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GPPB_PMR\"/>
    </mc:Choice>
  </mc:AlternateContent>
  <workbookProtection workbookAlgorithmName="SHA-512" workbookHashValue="xyCzLNQTpm5PDW81uY9DGS9OqwdV22pTmofNOAsTunqZ3Rmd737/MDh273YYX5+6YgXBoIy5mTdW7EEbVe8CWQ==" workbookSaltValue="UvJVbaPxdeS7SOka3dCa3w==" workbookSpinCount="100000" lockStructure="1"/>
  <bookViews>
    <workbookView xWindow="0" yWindow="0" windowWidth="20490" windowHeight="7755"/>
  </bookViews>
  <sheets>
    <sheet name="PMR" sheetId="2" r:id="rId1"/>
    <sheet name="Tool 1-Processing" sheetId="3" state="hidden" r:id="rId2"/>
    <sheet name="Validation Menu" sheetId="5" state="hidden" r:id="rId3"/>
  </sheets>
  <externalReferences>
    <externalReference r:id="rId4"/>
    <externalReference r:id="rId5"/>
  </externalReferences>
  <definedNames>
    <definedName name="_xlnm._FilterDatabase" localSheetId="0" hidden="1">PMR!$A$4:$AQ$23</definedName>
    <definedName name="Ao">PMR!$AA$540</definedName>
    <definedName name="Incoming">#REF!</definedName>
    <definedName name="_xlnm.Print_Area" localSheetId="0">PMR!$A$1:$AO$1260</definedName>
    <definedName name="_xlnm.Print_Titles" localSheetId="0">PMR!$4:$5</definedName>
    <definedName name="TotalABC">PMR!$AA$5:$AA$1249</definedName>
    <definedName name="TotalContract">PMR!$AD$5:$AD$1249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9" roundtripDataSignature="AMtx7micJbkIFgFCo8Xs4s68glw05ryK+A=="/>
    </ext>
  </extLst>
</workbook>
</file>

<file path=xl/calcChain.xml><?xml version="1.0" encoding="utf-8"?>
<calcChain xmlns="http://schemas.openxmlformats.org/spreadsheetml/2006/main">
  <c r="B624" i="2" l="1"/>
  <c r="AD585" i="2"/>
  <c r="AD286" i="2" l="1"/>
  <c r="Y435" i="2" l="1"/>
  <c r="X8" i="2" l="1"/>
  <c r="X9" i="2"/>
  <c r="X10" i="2"/>
  <c r="X11" i="2"/>
  <c r="X12" i="2"/>
  <c r="X13" i="2"/>
  <c r="X14" i="2"/>
  <c r="X15" i="2"/>
  <c r="X17" i="2"/>
  <c r="X18" i="2"/>
  <c r="X19" i="2"/>
  <c r="X20" i="2"/>
  <c r="X21" i="2"/>
  <c r="X22" i="2"/>
  <c r="X23" i="2"/>
  <c r="X24" i="2"/>
  <c r="Y25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3" i="2"/>
  <c r="X44" i="2"/>
  <c r="X45" i="2"/>
  <c r="X46" i="2"/>
  <c r="X47" i="2"/>
  <c r="X48" i="2"/>
  <c r="X49" i="2"/>
  <c r="X50" i="2"/>
  <c r="X51" i="2"/>
  <c r="X52" i="2"/>
  <c r="X53" i="2"/>
  <c r="X54" i="2"/>
  <c r="X56" i="2"/>
  <c r="X57" i="2"/>
  <c r="X59" i="2"/>
  <c r="X60" i="2"/>
  <c r="X61" i="2"/>
  <c r="X63" i="2"/>
  <c r="X64" i="2"/>
  <c r="X65" i="2"/>
  <c r="X66" i="2"/>
  <c r="X67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Y193" i="2"/>
  <c r="X196" i="2"/>
  <c r="X198" i="2"/>
  <c r="X199" i="2"/>
  <c r="X200" i="2"/>
  <c r="X202" i="2"/>
  <c r="X203" i="2"/>
  <c r="X205" i="2"/>
  <c r="X206" i="2"/>
  <c r="X210" i="2"/>
  <c r="X212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Y387" i="2" s="1"/>
  <c r="X388" i="2"/>
  <c r="X389" i="2"/>
  <c r="X390" i="2"/>
  <c r="X391" i="2"/>
  <c r="X392" i="2"/>
  <c r="X393" i="2"/>
  <c r="Y393" i="2" s="1"/>
  <c r="X394" i="2"/>
  <c r="X395" i="2"/>
  <c r="X396" i="2"/>
  <c r="X397" i="2"/>
  <c r="X398" i="2"/>
  <c r="X399" i="2"/>
  <c r="Y399" i="2" s="1"/>
  <c r="X400" i="2"/>
  <c r="X401" i="2"/>
  <c r="X402" i="2"/>
  <c r="X403" i="2"/>
  <c r="X404" i="2"/>
  <c r="X405" i="2"/>
  <c r="Y405" i="2" s="1"/>
  <c r="X406" i="2"/>
  <c r="X407" i="2"/>
  <c r="X408" i="2"/>
  <c r="X409" i="2"/>
  <c r="X410" i="2"/>
  <c r="X411" i="2"/>
  <c r="Y411" i="2" s="1"/>
  <c r="X412" i="2"/>
  <c r="X413" i="2"/>
  <c r="X414" i="2"/>
  <c r="X415" i="2"/>
  <c r="X416" i="2"/>
  <c r="X417" i="2"/>
  <c r="Y417" i="2" s="1"/>
  <c r="X418" i="2"/>
  <c r="X419" i="2"/>
  <c r="X420" i="2"/>
  <c r="X421" i="2"/>
  <c r="X422" i="2"/>
  <c r="X423" i="2"/>
  <c r="Y423" i="2" s="1"/>
  <c r="X424" i="2"/>
  <c r="X425" i="2"/>
  <c r="X426" i="2"/>
  <c r="X427" i="2"/>
  <c r="X428" i="2"/>
  <c r="X429" i="2"/>
  <c r="Y429" i="2" s="1"/>
  <c r="X430" i="2"/>
  <c r="X431" i="2"/>
  <c r="Y431" i="2" s="1"/>
  <c r="X432" i="2"/>
  <c r="X433" i="2"/>
  <c r="X434" i="2"/>
  <c r="X436" i="2"/>
  <c r="X437" i="2"/>
  <c r="X438" i="2"/>
  <c r="X439" i="2"/>
  <c r="X440" i="2"/>
  <c r="X441" i="2"/>
  <c r="Y441" i="2" s="1"/>
  <c r="X442" i="2"/>
  <c r="X443" i="2"/>
  <c r="Y443" i="2" s="1"/>
  <c r="X444" i="2"/>
  <c r="X445" i="2"/>
  <c r="X446" i="2"/>
  <c r="X447" i="2"/>
  <c r="Y447" i="2" s="1"/>
  <c r="X448" i="2"/>
  <c r="X449" i="2"/>
  <c r="X450" i="2"/>
  <c r="X451" i="2"/>
  <c r="X452" i="2"/>
  <c r="X453" i="2"/>
  <c r="Y453" i="2" s="1"/>
  <c r="X454" i="2"/>
  <c r="X455" i="2"/>
  <c r="X456" i="2"/>
  <c r="X457" i="2"/>
  <c r="X458" i="2"/>
  <c r="X459" i="2"/>
  <c r="Y459" i="2" s="1"/>
  <c r="X460" i="2"/>
  <c r="X461" i="2"/>
  <c r="X462" i="2"/>
  <c r="X463" i="2"/>
  <c r="X464" i="2"/>
  <c r="X465" i="2"/>
  <c r="Y465" i="2" s="1"/>
  <c r="X466" i="2"/>
  <c r="X467" i="2"/>
  <c r="Y467" i="2" s="1"/>
  <c r="X468" i="2"/>
  <c r="X469" i="2"/>
  <c r="X470" i="2"/>
  <c r="X471" i="2"/>
  <c r="Y471" i="2" s="1"/>
  <c r="X472" i="2"/>
  <c r="X473" i="2"/>
  <c r="Y473" i="2" s="1"/>
  <c r="X474" i="2"/>
  <c r="X475" i="2"/>
  <c r="X476" i="2"/>
  <c r="X477" i="2"/>
  <c r="Y477" i="2" s="1"/>
  <c r="X478" i="2"/>
  <c r="X479" i="2"/>
  <c r="Y479" i="2" s="1"/>
  <c r="X480" i="2"/>
  <c r="X481" i="2"/>
  <c r="X482" i="2"/>
  <c r="X483" i="2"/>
  <c r="Y483" i="2" s="1"/>
  <c r="X484" i="2"/>
  <c r="X485" i="2"/>
  <c r="Y485" i="2" s="1"/>
  <c r="X486" i="2"/>
  <c r="Y486" i="2" s="1"/>
  <c r="X487" i="2"/>
  <c r="X488" i="2"/>
  <c r="X489" i="2"/>
  <c r="Y489" i="2" s="1"/>
  <c r="X490" i="2"/>
  <c r="X491" i="2"/>
  <c r="X492" i="2"/>
  <c r="X493" i="2"/>
  <c r="X494" i="2"/>
  <c r="X495" i="2"/>
  <c r="Y495" i="2" s="1"/>
  <c r="X496" i="2"/>
  <c r="X497" i="2"/>
  <c r="X498" i="2"/>
  <c r="X499" i="2"/>
  <c r="X500" i="2"/>
  <c r="X501" i="2"/>
  <c r="Y501" i="2" s="1"/>
  <c r="X502" i="2"/>
  <c r="X503" i="2"/>
  <c r="Y503" i="2" s="1"/>
  <c r="X504" i="2"/>
  <c r="X505" i="2"/>
  <c r="X506" i="2"/>
  <c r="X507" i="2"/>
  <c r="Y507" i="2" s="1"/>
  <c r="X508" i="2"/>
  <c r="Y508" i="2" s="1"/>
  <c r="X509" i="2"/>
  <c r="Y509" i="2" s="1"/>
  <c r="X510" i="2"/>
  <c r="Y510" i="2" s="1"/>
  <c r="X511" i="2"/>
  <c r="X512" i="2"/>
  <c r="X513" i="2"/>
  <c r="Y513" i="2" s="1"/>
  <c r="X514" i="2"/>
  <c r="Y514" i="2" s="1"/>
  <c r="X515" i="2"/>
  <c r="X516" i="2"/>
  <c r="Y516" i="2" s="1"/>
  <c r="X517" i="2"/>
  <c r="Y517" i="2" s="1"/>
  <c r="X518" i="2"/>
  <c r="X519" i="2"/>
  <c r="Y519" i="2" s="1"/>
  <c r="X520" i="2"/>
  <c r="Y520" i="2" s="1"/>
  <c r="X521" i="2"/>
  <c r="Y521" i="2" s="1"/>
  <c r="X522" i="2"/>
  <c r="Y522" i="2" s="1"/>
  <c r="X523" i="2"/>
  <c r="X524" i="2"/>
  <c r="X525" i="2"/>
  <c r="Y525" i="2" s="1"/>
  <c r="X526" i="2"/>
  <c r="Y526" i="2" s="1"/>
  <c r="X527" i="2"/>
  <c r="Y527" i="2" s="1"/>
  <c r="X528" i="2"/>
  <c r="Y528" i="2" s="1"/>
  <c r="X529" i="2"/>
  <c r="Y529" i="2" s="1"/>
  <c r="X530" i="2"/>
  <c r="X531" i="2"/>
  <c r="Y531" i="2" s="1"/>
  <c r="X532" i="2"/>
  <c r="Y532" i="2" s="1"/>
  <c r="X533" i="2"/>
  <c r="Y533" i="2" s="1"/>
  <c r="X534" i="2"/>
  <c r="Y534" i="2" s="1"/>
  <c r="X535" i="2"/>
  <c r="Y536" i="2"/>
  <c r="X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8" i="2"/>
  <c r="Y389" i="2"/>
  <c r="Y390" i="2"/>
  <c r="Y391" i="2"/>
  <c r="Y392" i="2"/>
  <c r="Y394" i="2"/>
  <c r="Y395" i="2"/>
  <c r="Y396" i="2"/>
  <c r="Y397" i="2"/>
  <c r="Y398" i="2"/>
  <c r="Y400" i="2"/>
  <c r="Y401" i="2"/>
  <c r="Y402" i="2"/>
  <c r="Y403" i="2"/>
  <c r="Y404" i="2"/>
  <c r="Y406" i="2"/>
  <c r="Y407" i="2"/>
  <c r="Y408" i="2"/>
  <c r="Y409" i="2"/>
  <c r="Y410" i="2"/>
  <c r="Y412" i="2"/>
  <c r="Y413" i="2"/>
  <c r="Y414" i="2"/>
  <c r="Y415" i="2"/>
  <c r="Y416" i="2"/>
  <c r="Y418" i="2"/>
  <c r="Y419" i="2"/>
  <c r="Y420" i="2"/>
  <c r="Y421" i="2"/>
  <c r="Y422" i="2"/>
  <c r="Y424" i="2"/>
  <c r="Y425" i="2"/>
  <c r="Y426" i="2"/>
  <c r="Y427" i="2"/>
  <c r="Y428" i="2"/>
  <c r="Y430" i="2"/>
  <c r="Y432" i="2"/>
  <c r="Y433" i="2"/>
  <c r="Y434" i="2"/>
  <c r="Y436" i="2"/>
  <c r="Y437" i="2"/>
  <c r="Y438" i="2"/>
  <c r="Y439" i="2"/>
  <c r="Y440" i="2"/>
  <c r="Y442" i="2"/>
  <c r="Y444" i="2"/>
  <c r="Y445" i="2"/>
  <c r="Y446" i="2"/>
  <c r="Y448" i="2"/>
  <c r="Y449" i="2"/>
  <c r="Y450" i="2"/>
  <c r="Y451" i="2"/>
  <c r="Y452" i="2"/>
  <c r="Y454" i="2"/>
  <c r="Y455" i="2"/>
  <c r="Y456" i="2"/>
  <c r="Y457" i="2"/>
  <c r="Y458" i="2"/>
  <c r="Y460" i="2"/>
  <c r="Y461" i="2"/>
  <c r="Y462" i="2"/>
  <c r="Y463" i="2"/>
  <c r="Y464" i="2"/>
  <c r="Y466" i="2"/>
  <c r="Y468" i="2"/>
  <c r="Y469" i="2"/>
  <c r="Y470" i="2"/>
  <c r="Y472" i="2"/>
  <c r="Y474" i="2"/>
  <c r="Y475" i="2"/>
  <c r="Y476" i="2"/>
  <c r="Y478" i="2"/>
  <c r="Y480" i="2"/>
  <c r="Y481" i="2"/>
  <c r="Y482" i="2"/>
  <c r="Y484" i="2"/>
  <c r="Y487" i="2"/>
  <c r="Y488" i="2"/>
  <c r="Y490" i="2"/>
  <c r="Y491" i="2"/>
  <c r="Y492" i="2"/>
  <c r="Y493" i="2"/>
  <c r="Y494" i="2"/>
  <c r="Y496" i="2"/>
  <c r="Y497" i="2"/>
  <c r="Y498" i="2"/>
  <c r="Y499" i="2"/>
  <c r="Y500" i="2"/>
  <c r="Y502" i="2"/>
  <c r="Y504" i="2"/>
  <c r="Y505" i="2"/>
  <c r="Y506" i="2"/>
  <c r="Y511" i="2"/>
  <c r="Y512" i="2"/>
  <c r="Y515" i="2"/>
  <c r="Y518" i="2"/>
  <c r="Y523" i="2"/>
  <c r="Y524" i="2"/>
  <c r="Y530" i="2"/>
  <c r="Y535" i="2"/>
  <c r="Y7" i="2"/>
  <c r="AD850" i="2" l="1"/>
  <c r="AA850" i="2"/>
  <c r="AJ629" i="2" l="1"/>
  <c r="S12" i="2" l="1"/>
  <c r="I957" i="2"/>
  <c r="AI701" i="2"/>
  <c r="AJ701" i="2"/>
  <c r="AK701" i="2"/>
  <c r="AL701" i="2"/>
  <c r="AM701" i="2"/>
  <c r="AI702" i="2"/>
  <c r="AJ702" i="2"/>
  <c r="AK702" i="2"/>
  <c r="AL702" i="2"/>
  <c r="AM702" i="2"/>
  <c r="AD702" i="2"/>
  <c r="AD701" i="2"/>
  <c r="AA702" i="2"/>
  <c r="AA701" i="2"/>
  <c r="O701" i="2"/>
  <c r="O702" i="2"/>
  <c r="M701" i="2"/>
  <c r="N701" i="2"/>
  <c r="M702" i="2"/>
  <c r="N702" i="2"/>
  <c r="K701" i="2"/>
  <c r="K702" i="2"/>
  <c r="J701" i="2"/>
  <c r="J702" i="2"/>
  <c r="I701" i="2"/>
  <c r="I702" i="2"/>
  <c r="G701" i="2"/>
  <c r="G702" i="2"/>
  <c r="F701" i="2"/>
  <c r="F702" i="2"/>
  <c r="C701" i="2"/>
  <c r="C702" i="2"/>
  <c r="B702" i="2"/>
  <c r="B701" i="2"/>
  <c r="AI700" i="2"/>
  <c r="AJ700" i="2"/>
  <c r="AK700" i="2"/>
  <c r="AL700" i="2"/>
  <c r="AM700" i="2"/>
  <c r="T700" i="2"/>
  <c r="U700" i="2"/>
  <c r="O700" i="2"/>
  <c r="N700" i="2"/>
  <c r="M700" i="2"/>
  <c r="K700" i="2"/>
  <c r="J700" i="2"/>
  <c r="I700" i="2"/>
  <c r="G700" i="2"/>
  <c r="F700" i="2"/>
  <c r="C700" i="2"/>
  <c r="B700" i="2"/>
  <c r="AA700" i="2" s="1"/>
  <c r="AI698" i="2"/>
  <c r="AJ698" i="2"/>
  <c r="AK698" i="2"/>
  <c r="AL698" i="2"/>
  <c r="AM698" i="2"/>
  <c r="AI699" i="2"/>
  <c r="AJ699" i="2"/>
  <c r="AK699" i="2"/>
  <c r="AL699" i="2"/>
  <c r="AM699" i="2"/>
  <c r="O698" i="2"/>
  <c r="O699" i="2"/>
  <c r="N698" i="2"/>
  <c r="N699" i="2"/>
  <c r="M698" i="2"/>
  <c r="M699" i="2"/>
  <c r="K698" i="2"/>
  <c r="K699" i="2"/>
  <c r="J698" i="2"/>
  <c r="J699" i="2"/>
  <c r="I698" i="2"/>
  <c r="I699" i="2"/>
  <c r="G698" i="2"/>
  <c r="G699" i="2"/>
  <c r="F698" i="2"/>
  <c r="F699" i="2"/>
  <c r="C698" i="2"/>
  <c r="C699" i="2"/>
  <c r="B699" i="2"/>
  <c r="AA699" i="2" s="1"/>
  <c r="B698" i="2"/>
  <c r="AA698" i="2" s="1"/>
  <c r="AI707" i="2"/>
  <c r="AJ707" i="2"/>
  <c r="AK707" i="2"/>
  <c r="AL707" i="2"/>
  <c r="AM707" i="2"/>
  <c r="S707" i="2"/>
  <c r="O707" i="2"/>
  <c r="N707" i="2"/>
  <c r="M707" i="2"/>
  <c r="K707" i="2"/>
  <c r="J707" i="2"/>
  <c r="I707" i="2"/>
  <c r="G707" i="2"/>
  <c r="F707" i="2"/>
  <c r="E707" i="2"/>
  <c r="C707" i="2"/>
  <c r="B707" i="2"/>
  <c r="AA707" i="2" s="1"/>
  <c r="AI696" i="2"/>
  <c r="AJ696" i="2"/>
  <c r="AK696" i="2"/>
  <c r="AL696" i="2"/>
  <c r="AM696" i="2"/>
  <c r="O696" i="2"/>
  <c r="N696" i="2"/>
  <c r="M696" i="2"/>
  <c r="C696" i="2"/>
  <c r="B696" i="2"/>
  <c r="AA696" i="2" s="1"/>
  <c r="AM695" i="2"/>
  <c r="AM697" i="2"/>
  <c r="AL695" i="2"/>
  <c r="AL697" i="2"/>
  <c r="AK695" i="2"/>
  <c r="AK697" i="2"/>
  <c r="AJ695" i="2"/>
  <c r="AJ697" i="2"/>
  <c r="AI695" i="2"/>
  <c r="AI697" i="2"/>
  <c r="O697" i="2"/>
  <c r="N697" i="2"/>
  <c r="M697" i="2"/>
  <c r="K697" i="2"/>
  <c r="J697" i="2"/>
  <c r="I697" i="2"/>
  <c r="G697" i="2"/>
  <c r="F697" i="2"/>
  <c r="C697" i="2"/>
  <c r="B697" i="2"/>
  <c r="AA697" i="2" s="1"/>
  <c r="O695" i="2"/>
  <c r="N695" i="2"/>
  <c r="M695" i="2"/>
  <c r="K695" i="2"/>
  <c r="J695" i="2"/>
  <c r="I695" i="2"/>
  <c r="G695" i="2"/>
  <c r="F695" i="2"/>
  <c r="C695" i="2"/>
  <c r="B695" i="2"/>
  <c r="AA695" i="2" s="1"/>
  <c r="AD700" i="2" l="1"/>
  <c r="AD699" i="2"/>
  <c r="AD698" i="2"/>
  <c r="AD707" i="2"/>
  <c r="AD696" i="2"/>
  <c r="AD697" i="2"/>
  <c r="AD695" i="2"/>
  <c r="AD759" i="2" l="1"/>
  <c r="AA759" i="2"/>
  <c r="S547" i="2" l="1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2" i="2"/>
  <c r="S623" i="2"/>
  <c r="S624" i="2"/>
  <c r="S703" i="2"/>
  <c r="S704" i="2"/>
  <c r="S705" i="2"/>
  <c r="S706" i="2"/>
  <c r="S715" i="2"/>
  <c r="S804" i="2"/>
  <c r="S805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7" i="2"/>
  <c r="S958" i="2"/>
  <c r="S959" i="2"/>
  <c r="S960" i="2"/>
  <c r="S982" i="2"/>
  <c r="S983" i="2"/>
  <c r="AD615" i="2"/>
  <c r="M11" i="2"/>
  <c r="AA536" i="2"/>
  <c r="B550" i="2"/>
  <c r="AD547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703" i="2"/>
  <c r="E704" i="2"/>
  <c r="E705" i="2"/>
  <c r="E706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546" i="2"/>
  <c r="U563" i="2"/>
  <c r="U565" i="2"/>
  <c r="U615" i="2"/>
  <c r="U624" i="2"/>
  <c r="U641" i="2"/>
  <c r="U960" i="2"/>
  <c r="T563" i="2"/>
  <c r="T585" i="2"/>
  <c r="T615" i="2"/>
  <c r="T624" i="2"/>
  <c r="T706" i="2"/>
  <c r="T713" i="2"/>
  <c r="T714" i="2"/>
  <c r="T759" i="2"/>
  <c r="T827" i="2"/>
  <c r="T828" i="2"/>
  <c r="T829" i="2"/>
  <c r="T830" i="2"/>
  <c r="T832" i="2"/>
  <c r="T833" i="2"/>
  <c r="T834" i="2"/>
  <c r="T835" i="2"/>
  <c r="T838" i="2"/>
  <c r="T839" i="2"/>
  <c r="T840" i="2"/>
  <c r="T841" i="2"/>
  <c r="T842" i="2"/>
  <c r="T849" i="2"/>
  <c r="T850" i="2"/>
  <c r="T957" i="2"/>
  <c r="T958" i="2"/>
  <c r="T959" i="2"/>
  <c r="T960" i="2"/>
  <c r="T982" i="2"/>
  <c r="T983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703" i="2"/>
  <c r="O704" i="2"/>
  <c r="O705" i="2"/>
  <c r="O706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82" i="2"/>
  <c r="O983" i="2"/>
  <c r="O984" i="2"/>
  <c r="O985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703" i="2"/>
  <c r="N704" i="2"/>
  <c r="N705" i="2"/>
  <c r="N706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82" i="2"/>
  <c r="N983" i="2"/>
  <c r="N984" i="2"/>
  <c r="N985" i="2"/>
  <c r="AN547" i="2"/>
  <c r="AN548" i="2"/>
  <c r="AN549" i="2"/>
  <c r="AN550" i="2"/>
  <c r="AN1239" i="2"/>
  <c r="AN1240" i="2"/>
  <c r="AN1241" i="2"/>
  <c r="AN1242" i="2"/>
  <c r="AN1243" i="2"/>
  <c r="AN1244" i="2"/>
  <c r="AN1245" i="2"/>
  <c r="AN1246" i="2"/>
  <c r="AN1247" i="2"/>
  <c r="AM547" i="2"/>
  <c r="AM548" i="2"/>
  <c r="AM549" i="2"/>
  <c r="AM550" i="2"/>
  <c r="AM551" i="2"/>
  <c r="AM552" i="2"/>
  <c r="AM553" i="2"/>
  <c r="AM554" i="2"/>
  <c r="AM555" i="2"/>
  <c r="AM556" i="2"/>
  <c r="AM557" i="2"/>
  <c r="AM558" i="2"/>
  <c r="AM559" i="2"/>
  <c r="AM560" i="2"/>
  <c r="AM561" i="2"/>
  <c r="AM562" i="2"/>
  <c r="AM563" i="2"/>
  <c r="AM564" i="2"/>
  <c r="AM565" i="2"/>
  <c r="AM566" i="2"/>
  <c r="AM567" i="2"/>
  <c r="AM568" i="2"/>
  <c r="AM569" i="2"/>
  <c r="AM570" i="2"/>
  <c r="AM571" i="2"/>
  <c r="AM572" i="2"/>
  <c r="AM573" i="2"/>
  <c r="AM574" i="2"/>
  <c r="AM575" i="2"/>
  <c r="AM576" i="2"/>
  <c r="AM577" i="2"/>
  <c r="AM578" i="2"/>
  <c r="AM579" i="2"/>
  <c r="AM580" i="2"/>
  <c r="AM581" i="2"/>
  <c r="AM582" i="2"/>
  <c r="AM583" i="2"/>
  <c r="AM584" i="2"/>
  <c r="AM585" i="2"/>
  <c r="AM586" i="2"/>
  <c r="AM587" i="2"/>
  <c r="AM588" i="2"/>
  <c r="AM589" i="2"/>
  <c r="AM590" i="2"/>
  <c r="AM591" i="2"/>
  <c r="AM592" i="2"/>
  <c r="AM593" i="2"/>
  <c r="AM594" i="2"/>
  <c r="AM595" i="2"/>
  <c r="AM596" i="2"/>
  <c r="AM597" i="2"/>
  <c r="AM598" i="2"/>
  <c r="AM599" i="2"/>
  <c r="AM600" i="2"/>
  <c r="AM601" i="2"/>
  <c r="AM602" i="2"/>
  <c r="AM603" i="2"/>
  <c r="AM604" i="2"/>
  <c r="AM605" i="2"/>
  <c r="AM606" i="2"/>
  <c r="AM607" i="2"/>
  <c r="AM608" i="2"/>
  <c r="AM609" i="2"/>
  <c r="AM610" i="2"/>
  <c r="AM611" i="2"/>
  <c r="AM612" i="2"/>
  <c r="AM613" i="2"/>
  <c r="AM614" i="2"/>
  <c r="AM615" i="2"/>
  <c r="AM616" i="2"/>
  <c r="AM617" i="2"/>
  <c r="AM618" i="2"/>
  <c r="AM619" i="2"/>
  <c r="AM620" i="2"/>
  <c r="AM621" i="2"/>
  <c r="AM622" i="2"/>
  <c r="AM623" i="2"/>
  <c r="AM624" i="2"/>
  <c r="AM625" i="2"/>
  <c r="AM626" i="2"/>
  <c r="AM627" i="2"/>
  <c r="AM628" i="2"/>
  <c r="AM629" i="2"/>
  <c r="AM630" i="2"/>
  <c r="AM631" i="2"/>
  <c r="AM632" i="2"/>
  <c r="AM633" i="2"/>
  <c r="AM634" i="2"/>
  <c r="AM635" i="2"/>
  <c r="AM636" i="2"/>
  <c r="AM637" i="2"/>
  <c r="AM638" i="2"/>
  <c r="AM639" i="2"/>
  <c r="AM640" i="2"/>
  <c r="AM641" i="2"/>
  <c r="AM642" i="2"/>
  <c r="AM643" i="2"/>
  <c r="AM644" i="2"/>
  <c r="AM645" i="2"/>
  <c r="AM646" i="2"/>
  <c r="AM647" i="2"/>
  <c r="AM648" i="2"/>
  <c r="AM649" i="2"/>
  <c r="AM650" i="2"/>
  <c r="AM651" i="2"/>
  <c r="AM652" i="2"/>
  <c r="AM653" i="2"/>
  <c r="AM654" i="2"/>
  <c r="AM655" i="2"/>
  <c r="AM656" i="2"/>
  <c r="AM657" i="2"/>
  <c r="AM658" i="2"/>
  <c r="AM659" i="2"/>
  <c r="AM660" i="2"/>
  <c r="AM661" i="2"/>
  <c r="AM662" i="2"/>
  <c r="AM663" i="2"/>
  <c r="AM664" i="2"/>
  <c r="AM665" i="2"/>
  <c r="AM666" i="2"/>
  <c r="AM667" i="2"/>
  <c r="AM668" i="2"/>
  <c r="AM669" i="2"/>
  <c r="AM670" i="2"/>
  <c r="AM671" i="2"/>
  <c r="AM672" i="2"/>
  <c r="AM673" i="2"/>
  <c r="AM674" i="2"/>
  <c r="AM675" i="2"/>
  <c r="AM676" i="2"/>
  <c r="AM677" i="2"/>
  <c r="AM678" i="2"/>
  <c r="AM679" i="2"/>
  <c r="AM680" i="2"/>
  <c r="AM681" i="2"/>
  <c r="AM682" i="2"/>
  <c r="AM683" i="2"/>
  <c r="AM684" i="2"/>
  <c r="AM685" i="2"/>
  <c r="AM686" i="2"/>
  <c r="AM687" i="2"/>
  <c r="AM688" i="2"/>
  <c r="AM689" i="2"/>
  <c r="AM690" i="2"/>
  <c r="AM691" i="2"/>
  <c r="AM692" i="2"/>
  <c r="AM693" i="2"/>
  <c r="AM694" i="2"/>
  <c r="AM703" i="2"/>
  <c r="AM704" i="2"/>
  <c r="AM705" i="2"/>
  <c r="AM706" i="2"/>
  <c r="AM708" i="2"/>
  <c r="AM709" i="2"/>
  <c r="AM710" i="2"/>
  <c r="AM711" i="2"/>
  <c r="AM712" i="2"/>
  <c r="AM713" i="2"/>
  <c r="AM714" i="2"/>
  <c r="AM715" i="2"/>
  <c r="AM716" i="2"/>
  <c r="AM717" i="2"/>
  <c r="AM718" i="2"/>
  <c r="AM719" i="2"/>
  <c r="AM720" i="2"/>
  <c r="AM721" i="2"/>
  <c r="AM722" i="2"/>
  <c r="AM723" i="2"/>
  <c r="AM724" i="2"/>
  <c r="AM725" i="2"/>
  <c r="AM726" i="2"/>
  <c r="AM727" i="2"/>
  <c r="AM728" i="2"/>
  <c r="AM729" i="2"/>
  <c r="AM730" i="2"/>
  <c r="AM731" i="2"/>
  <c r="AM732" i="2"/>
  <c r="AM733" i="2"/>
  <c r="AM734" i="2"/>
  <c r="AM735" i="2"/>
  <c r="AM736" i="2"/>
  <c r="AM737" i="2"/>
  <c r="AM738" i="2"/>
  <c r="AM739" i="2"/>
  <c r="AM740" i="2"/>
  <c r="AM741" i="2"/>
  <c r="AM742" i="2"/>
  <c r="AM743" i="2"/>
  <c r="AM744" i="2"/>
  <c r="AM745" i="2"/>
  <c r="AM746" i="2"/>
  <c r="AM747" i="2"/>
  <c r="AM748" i="2"/>
  <c r="AM749" i="2"/>
  <c r="AM750" i="2"/>
  <c r="AM751" i="2"/>
  <c r="AM752" i="2"/>
  <c r="AM753" i="2"/>
  <c r="AM754" i="2"/>
  <c r="AM755" i="2"/>
  <c r="AM756" i="2"/>
  <c r="AM757" i="2"/>
  <c r="AM758" i="2"/>
  <c r="AM759" i="2"/>
  <c r="AM760" i="2"/>
  <c r="AM761" i="2"/>
  <c r="AM762" i="2"/>
  <c r="AM763" i="2"/>
  <c r="AM764" i="2"/>
  <c r="AM765" i="2"/>
  <c r="AM766" i="2"/>
  <c r="AM767" i="2"/>
  <c r="AM768" i="2"/>
  <c r="AM769" i="2"/>
  <c r="AM770" i="2"/>
  <c r="AM771" i="2"/>
  <c r="AM772" i="2"/>
  <c r="AM773" i="2"/>
  <c r="AM774" i="2"/>
  <c r="AM775" i="2"/>
  <c r="AM776" i="2"/>
  <c r="AM777" i="2"/>
  <c r="AM778" i="2"/>
  <c r="AM779" i="2"/>
  <c r="AM780" i="2"/>
  <c r="AM781" i="2"/>
  <c r="AM782" i="2"/>
  <c r="AM783" i="2"/>
  <c r="AM784" i="2"/>
  <c r="AM785" i="2"/>
  <c r="AM786" i="2"/>
  <c r="AM787" i="2"/>
  <c r="AM788" i="2"/>
  <c r="AM789" i="2"/>
  <c r="AM790" i="2"/>
  <c r="AM791" i="2"/>
  <c r="AM792" i="2"/>
  <c r="AM793" i="2"/>
  <c r="AM794" i="2"/>
  <c r="AM795" i="2"/>
  <c r="AM796" i="2"/>
  <c r="AM797" i="2"/>
  <c r="AM798" i="2"/>
  <c r="AM799" i="2"/>
  <c r="AM800" i="2"/>
  <c r="AM801" i="2"/>
  <c r="AM802" i="2"/>
  <c r="AM803" i="2"/>
  <c r="AM804" i="2"/>
  <c r="AM805" i="2"/>
  <c r="AM806" i="2"/>
  <c r="AM807" i="2"/>
  <c r="AM808" i="2"/>
  <c r="AM809" i="2"/>
  <c r="AM810" i="2"/>
  <c r="AM811" i="2"/>
  <c r="AM812" i="2"/>
  <c r="AM813" i="2"/>
  <c r="AM814" i="2"/>
  <c r="AM815" i="2"/>
  <c r="AM816" i="2"/>
  <c r="AM817" i="2"/>
  <c r="AM818" i="2"/>
  <c r="AM819" i="2"/>
  <c r="AM820" i="2"/>
  <c r="AM821" i="2"/>
  <c r="AM822" i="2"/>
  <c r="AM823" i="2"/>
  <c r="AM824" i="2"/>
  <c r="AM825" i="2"/>
  <c r="AM826" i="2"/>
  <c r="AM827" i="2"/>
  <c r="AM828" i="2"/>
  <c r="AM829" i="2"/>
  <c r="AM830" i="2"/>
  <c r="AM831" i="2"/>
  <c r="AM832" i="2"/>
  <c r="AM833" i="2"/>
  <c r="AM834" i="2"/>
  <c r="AM835" i="2"/>
  <c r="AM836" i="2"/>
  <c r="AM837" i="2"/>
  <c r="AM838" i="2"/>
  <c r="AM839" i="2"/>
  <c r="AM840" i="2"/>
  <c r="AM841" i="2"/>
  <c r="AM842" i="2"/>
  <c r="AM843" i="2"/>
  <c r="AM844" i="2"/>
  <c r="AM845" i="2"/>
  <c r="AM846" i="2"/>
  <c r="AM847" i="2"/>
  <c r="AM848" i="2"/>
  <c r="AM849" i="2"/>
  <c r="AM850" i="2"/>
  <c r="AM851" i="2"/>
  <c r="AM852" i="2"/>
  <c r="AM853" i="2"/>
  <c r="AM854" i="2"/>
  <c r="AM855" i="2"/>
  <c r="AM856" i="2"/>
  <c r="AM857" i="2"/>
  <c r="AM858" i="2"/>
  <c r="AM859" i="2"/>
  <c r="AM860" i="2"/>
  <c r="AM861" i="2"/>
  <c r="AM862" i="2"/>
  <c r="AM863" i="2"/>
  <c r="AM864" i="2"/>
  <c r="AM865" i="2"/>
  <c r="AM866" i="2"/>
  <c r="AM867" i="2"/>
  <c r="AM868" i="2"/>
  <c r="AM869" i="2"/>
  <c r="AM870" i="2"/>
  <c r="AM871" i="2"/>
  <c r="AM872" i="2"/>
  <c r="AM873" i="2"/>
  <c r="AM874" i="2"/>
  <c r="AM875" i="2"/>
  <c r="AM876" i="2"/>
  <c r="AM877" i="2"/>
  <c r="AM878" i="2"/>
  <c r="AM879" i="2"/>
  <c r="AM880" i="2"/>
  <c r="AM881" i="2"/>
  <c r="AM882" i="2"/>
  <c r="AM883" i="2"/>
  <c r="AM884" i="2"/>
  <c r="AM885" i="2"/>
  <c r="AM886" i="2"/>
  <c r="AM887" i="2"/>
  <c r="AM888" i="2"/>
  <c r="AM889" i="2"/>
  <c r="AM890" i="2"/>
  <c r="AM891" i="2"/>
  <c r="AM892" i="2"/>
  <c r="AM893" i="2"/>
  <c r="AM894" i="2"/>
  <c r="AM895" i="2"/>
  <c r="AM896" i="2"/>
  <c r="AM897" i="2"/>
  <c r="AM898" i="2"/>
  <c r="AM899" i="2"/>
  <c r="AM900" i="2"/>
  <c r="AM901" i="2"/>
  <c r="AM902" i="2"/>
  <c r="AM903" i="2"/>
  <c r="AM904" i="2"/>
  <c r="AM905" i="2"/>
  <c r="AM906" i="2"/>
  <c r="AM907" i="2"/>
  <c r="AM908" i="2"/>
  <c r="AM909" i="2"/>
  <c r="AM910" i="2"/>
  <c r="AM911" i="2"/>
  <c r="AM912" i="2"/>
  <c r="AM913" i="2"/>
  <c r="AM914" i="2"/>
  <c r="AM915" i="2"/>
  <c r="AM916" i="2"/>
  <c r="AM917" i="2"/>
  <c r="AM918" i="2"/>
  <c r="AM919" i="2"/>
  <c r="AM920" i="2"/>
  <c r="AM921" i="2"/>
  <c r="AM922" i="2"/>
  <c r="AM923" i="2"/>
  <c r="AM924" i="2"/>
  <c r="AM925" i="2"/>
  <c r="AM926" i="2"/>
  <c r="AM927" i="2"/>
  <c r="AM928" i="2"/>
  <c r="AM929" i="2"/>
  <c r="AM930" i="2"/>
  <c r="AM931" i="2"/>
  <c r="AM932" i="2"/>
  <c r="AM933" i="2"/>
  <c r="AM934" i="2"/>
  <c r="AM935" i="2"/>
  <c r="AM936" i="2"/>
  <c r="AM937" i="2"/>
  <c r="AM938" i="2"/>
  <c r="AM939" i="2"/>
  <c r="AM940" i="2"/>
  <c r="AM941" i="2"/>
  <c r="AM942" i="2"/>
  <c r="AM943" i="2"/>
  <c r="AM944" i="2"/>
  <c r="AM945" i="2"/>
  <c r="AM946" i="2"/>
  <c r="AM947" i="2"/>
  <c r="AM948" i="2"/>
  <c r="AM949" i="2"/>
  <c r="AM950" i="2"/>
  <c r="AM951" i="2"/>
  <c r="AM952" i="2"/>
  <c r="AM953" i="2"/>
  <c r="AM954" i="2"/>
  <c r="AM955" i="2"/>
  <c r="AM956" i="2"/>
  <c r="AM958" i="2"/>
  <c r="AM1239" i="2"/>
  <c r="AM1240" i="2"/>
  <c r="AM1241" i="2"/>
  <c r="AM1242" i="2"/>
  <c r="AM1243" i="2"/>
  <c r="AM1244" i="2"/>
  <c r="AM1245" i="2"/>
  <c r="AM1246" i="2"/>
  <c r="AM1247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703" i="2"/>
  <c r="AL704" i="2"/>
  <c r="AL705" i="2"/>
  <c r="AL706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8" i="2"/>
  <c r="AL1239" i="2"/>
  <c r="AL1240" i="2"/>
  <c r="AL1241" i="2"/>
  <c r="AL1242" i="2"/>
  <c r="AL1243" i="2"/>
  <c r="AL1244" i="2"/>
  <c r="AL1245" i="2"/>
  <c r="AL1246" i="2"/>
  <c r="AL1247" i="2"/>
  <c r="AK547" i="2"/>
  <c r="AK548" i="2"/>
  <c r="AK549" i="2"/>
  <c r="AK550" i="2"/>
  <c r="AK551" i="2"/>
  <c r="AK552" i="2"/>
  <c r="AK553" i="2"/>
  <c r="AK554" i="2"/>
  <c r="AK555" i="2"/>
  <c r="AK556" i="2"/>
  <c r="AK557" i="2"/>
  <c r="AK558" i="2"/>
  <c r="AK559" i="2"/>
  <c r="AK560" i="2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2" i="2"/>
  <c r="AK593" i="2"/>
  <c r="AK594" i="2"/>
  <c r="AK595" i="2"/>
  <c r="AK596" i="2"/>
  <c r="AK597" i="2"/>
  <c r="AK598" i="2"/>
  <c r="AK599" i="2"/>
  <c r="AK600" i="2"/>
  <c r="AK601" i="2"/>
  <c r="AK602" i="2"/>
  <c r="AK603" i="2"/>
  <c r="AK604" i="2"/>
  <c r="AK605" i="2"/>
  <c r="AK606" i="2"/>
  <c r="AK607" i="2"/>
  <c r="AK608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K634" i="2"/>
  <c r="AK635" i="2"/>
  <c r="AK636" i="2"/>
  <c r="AK637" i="2"/>
  <c r="AK638" i="2"/>
  <c r="AK639" i="2"/>
  <c r="AK640" i="2"/>
  <c r="AK641" i="2"/>
  <c r="AK642" i="2"/>
  <c r="AK643" i="2"/>
  <c r="AK644" i="2"/>
  <c r="AK645" i="2"/>
  <c r="AK646" i="2"/>
  <c r="AK647" i="2"/>
  <c r="AK648" i="2"/>
  <c r="AK649" i="2"/>
  <c r="AK650" i="2"/>
  <c r="AK651" i="2"/>
  <c r="AK652" i="2"/>
  <c r="AK653" i="2"/>
  <c r="AK654" i="2"/>
  <c r="AK655" i="2"/>
  <c r="AK656" i="2"/>
  <c r="AK657" i="2"/>
  <c r="AK658" i="2"/>
  <c r="AK659" i="2"/>
  <c r="AK660" i="2"/>
  <c r="AK661" i="2"/>
  <c r="AK662" i="2"/>
  <c r="AK663" i="2"/>
  <c r="AK664" i="2"/>
  <c r="AK665" i="2"/>
  <c r="AK666" i="2"/>
  <c r="AK667" i="2"/>
  <c r="AK668" i="2"/>
  <c r="AK669" i="2"/>
  <c r="AK670" i="2"/>
  <c r="AK671" i="2"/>
  <c r="AK672" i="2"/>
  <c r="AK673" i="2"/>
  <c r="AK674" i="2"/>
  <c r="AK675" i="2"/>
  <c r="AK678" i="2"/>
  <c r="AK679" i="2"/>
  <c r="AK680" i="2"/>
  <c r="AK681" i="2"/>
  <c r="AK682" i="2"/>
  <c r="AK683" i="2"/>
  <c r="AK684" i="2"/>
  <c r="AK685" i="2"/>
  <c r="AK686" i="2"/>
  <c r="AK687" i="2"/>
  <c r="AK688" i="2"/>
  <c r="AK689" i="2"/>
  <c r="AK690" i="2"/>
  <c r="AK691" i="2"/>
  <c r="AK692" i="2"/>
  <c r="AK693" i="2"/>
  <c r="AK694" i="2"/>
  <c r="AK703" i="2"/>
  <c r="AK704" i="2"/>
  <c r="AK705" i="2"/>
  <c r="AK706" i="2"/>
  <c r="AK708" i="2"/>
  <c r="AK709" i="2"/>
  <c r="AK710" i="2"/>
  <c r="AK711" i="2"/>
  <c r="AK712" i="2"/>
  <c r="AK713" i="2"/>
  <c r="AK714" i="2"/>
  <c r="AK715" i="2"/>
  <c r="AK716" i="2"/>
  <c r="AK717" i="2"/>
  <c r="AK718" i="2"/>
  <c r="AK719" i="2"/>
  <c r="AK720" i="2"/>
  <c r="AK721" i="2"/>
  <c r="AK722" i="2"/>
  <c r="AK723" i="2"/>
  <c r="AK724" i="2"/>
  <c r="AK725" i="2"/>
  <c r="AK726" i="2"/>
  <c r="AK727" i="2"/>
  <c r="AK728" i="2"/>
  <c r="AK729" i="2"/>
  <c r="AK730" i="2"/>
  <c r="AK731" i="2"/>
  <c r="AK732" i="2"/>
  <c r="AK733" i="2"/>
  <c r="AK734" i="2"/>
  <c r="AK735" i="2"/>
  <c r="AK736" i="2"/>
  <c r="AK737" i="2"/>
  <c r="AK738" i="2"/>
  <c r="AK739" i="2"/>
  <c r="AK740" i="2"/>
  <c r="AK741" i="2"/>
  <c r="AK742" i="2"/>
  <c r="AK743" i="2"/>
  <c r="AK744" i="2"/>
  <c r="AK745" i="2"/>
  <c r="AK746" i="2"/>
  <c r="AK747" i="2"/>
  <c r="AK748" i="2"/>
  <c r="AK749" i="2"/>
  <c r="AK750" i="2"/>
  <c r="AK751" i="2"/>
  <c r="AK752" i="2"/>
  <c r="AK753" i="2"/>
  <c r="AK754" i="2"/>
  <c r="AK755" i="2"/>
  <c r="AK756" i="2"/>
  <c r="AK757" i="2"/>
  <c r="AK758" i="2"/>
  <c r="AK759" i="2"/>
  <c r="AK760" i="2"/>
  <c r="AK761" i="2"/>
  <c r="AK762" i="2"/>
  <c r="AK763" i="2"/>
  <c r="AK764" i="2"/>
  <c r="AK765" i="2"/>
  <c r="AK766" i="2"/>
  <c r="AK767" i="2"/>
  <c r="AK768" i="2"/>
  <c r="AK769" i="2"/>
  <c r="AK770" i="2"/>
  <c r="AK771" i="2"/>
  <c r="AK772" i="2"/>
  <c r="AK773" i="2"/>
  <c r="AK774" i="2"/>
  <c r="AK775" i="2"/>
  <c r="AK776" i="2"/>
  <c r="AK777" i="2"/>
  <c r="AK778" i="2"/>
  <c r="AK779" i="2"/>
  <c r="AK780" i="2"/>
  <c r="AK781" i="2"/>
  <c r="AK782" i="2"/>
  <c r="AK783" i="2"/>
  <c r="AK784" i="2"/>
  <c r="AK785" i="2"/>
  <c r="AK786" i="2"/>
  <c r="AK787" i="2"/>
  <c r="AK788" i="2"/>
  <c r="AK789" i="2"/>
  <c r="AK790" i="2"/>
  <c r="AK791" i="2"/>
  <c r="AK792" i="2"/>
  <c r="AK793" i="2"/>
  <c r="AK794" i="2"/>
  <c r="AK795" i="2"/>
  <c r="AK796" i="2"/>
  <c r="AK797" i="2"/>
  <c r="AK798" i="2"/>
  <c r="AK799" i="2"/>
  <c r="AK800" i="2"/>
  <c r="AK801" i="2"/>
  <c r="AK802" i="2"/>
  <c r="AK803" i="2"/>
  <c r="AK804" i="2"/>
  <c r="AK805" i="2"/>
  <c r="AK806" i="2"/>
  <c r="AK807" i="2"/>
  <c r="AK808" i="2"/>
  <c r="AK809" i="2"/>
  <c r="AK810" i="2"/>
  <c r="AK811" i="2"/>
  <c r="AK812" i="2"/>
  <c r="AK813" i="2"/>
  <c r="AK814" i="2"/>
  <c r="AK815" i="2"/>
  <c r="AK816" i="2"/>
  <c r="AK817" i="2"/>
  <c r="AK818" i="2"/>
  <c r="AK819" i="2"/>
  <c r="AK820" i="2"/>
  <c r="AK821" i="2"/>
  <c r="AK822" i="2"/>
  <c r="AK823" i="2"/>
  <c r="AK824" i="2"/>
  <c r="AK825" i="2"/>
  <c r="AK826" i="2"/>
  <c r="AK827" i="2"/>
  <c r="AK828" i="2"/>
  <c r="AK829" i="2"/>
  <c r="AK830" i="2"/>
  <c r="AK831" i="2"/>
  <c r="AK832" i="2"/>
  <c r="AK833" i="2"/>
  <c r="AK834" i="2"/>
  <c r="AK835" i="2"/>
  <c r="AK836" i="2"/>
  <c r="AK837" i="2"/>
  <c r="AK838" i="2"/>
  <c r="AK839" i="2"/>
  <c r="AK840" i="2"/>
  <c r="AK841" i="2"/>
  <c r="AK842" i="2"/>
  <c r="AK843" i="2"/>
  <c r="AK844" i="2"/>
  <c r="AK845" i="2"/>
  <c r="AK846" i="2"/>
  <c r="AK847" i="2"/>
  <c r="AK848" i="2"/>
  <c r="AK849" i="2"/>
  <c r="AK851" i="2"/>
  <c r="AK852" i="2"/>
  <c r="AK853" i="2"/>
  <c r="AK854" i="2"/>
  <c r="AK855" i="2"/>
  <c r="AK856" i="2"/>
  <c r="AK857" i="2"/>
  <c r="AK858" i="2"/>
  <c r="AK859" i="2"/>
  <c r="AK860" i="2"/>
  <c r="AK861" i="2"/>
  <c r="AK862" i="2"/>
  <c r="AK863" i="2"/>
  <c r="AK864" i="2"/>
  <c r="AK865" i="2"/>
  <c r="AK866" i="2"/>
  <c r="AK867" i="2"/>
  <c r="AK868" i="2"/>
  <c r="AK869" i="2"/>
  <c r="AK870" i="2"/>
  <c r="AK871" i="2"/>
  <c r="AK872" i="2"/>
  <c r="AK873" i="2"/>
  <c r="AK874" i="2"/>
  <c r="AK875" i="2"/>
  <c r="AK876" i="2"/>
  <c r="AK877" i="2"/>
  <c r="AK878" i="2"/>
  <c r="AK879" i="2"/>
  <c r="AK880" i="2"/>
  <c r="AK881" i="2"/>
  <c r="AK882" i="2"/>
  <c r="AK883" i="2"/>
  <c r="AK884" i="2"/>
  <c r="AK885" i="2"/>
  <c r="AK886" i="2"/>
  <c r="AK887" i="2"/>
  <c r="AK888" i="2"/>
  <c r="AK889" i="2"/>
  <c r="AK890" i="2"/>
  <c r="AK891" i="2"/>
  <c r="AK892" i="2"/>
  <c r="AK893" i="2"/>
  <c r="AK894" i="2"/>
  <c r="AK895" i="2"/>
  <c r="AK896" i="2"/>
  <c r="AK897" i="2"/>
  <c r="AK898" i="2"/>
  <c r="AK899" i="2"/>
  <c r="AK900" i="2"/>
  <c r="AK901" i="2"/>
  <c r="AK902" i="2"/>
  <c r="AK903" i="2"/>
  <c r="AK904" i="2"/>
  <c r="AK905" i="2"/>
  <c r="AK906" i="2"/>
  <c r="AK907" i="2"/>
  <c r="AK908" i="2"/>
  <c r="AK909" i="2"/>
  <c r="AK910" i="2"/>
  <c r="AK911" i="2"/>
  <c r="AK912" i="2"/>
  <c r="AK913" i="2"/>
  <c r="AK914" i="2"/>
  <c r="AK915" i="2"/>
  <c r="AK916" i="2"/>
  <c r="AK917" i="2"/>
  <c r="AK918" i="2"/>
  <c r="AK919" i="2"/>
  <c r="AK920" i="2"/>
  <c r="AK921" i="2"/>
  <c r="AK922" i="2"/>
  <c r="AK923" i="2"/>
  <c r="AK924" i="2"/>
  <c r="AK925" i="2"/>
  <c r="AK926" i="2"/>
  <c r="AK927" i="2"/>
  <c r="AK928" i="2"/>
  <c r="AK929" i="2"/>
  <c r="AK930" i="2"/>
  <c r="AK931" i="2"/>
  <c r="AK932" i="2"/>
  <c r="AK933" i="2"/>
  <c r="AK934" i="2"/>
  <c r="AK935" i="2"/>
  <c r="AK936" i="2"/>
  <c r="AK937" i="2"/>
  <c r="AK938" i="2"/>
  <c r="AK939" i="2"/>
  <c r="AK940" i="2"/>
  <c r="AK941" i="2"/>
  <c r="AK942" i="2"/>
  <c r="AK943" i="2"/>
  <c r="AK944" i="2"/>
  <c r="AK945" i="2"/>
  <c r="AK946" i="2"/>
  <c r="AK947" i="2"/>
  <c r="AK948" i="2"/>
  <c r="AK949" i="2"/>
  <c r="AK950" i="2"/>
  <c r="AK951" i="2"/>
  <c r="AK952" i="2"/>
  <c r="AK953" i="2"/>
  <c r="AK954" i="2"/>
  <c r="AK955" i="2"/>
  <c r="AK956" i="2"/>
  <c r="AK958" i="2"/>
  <c r="AK1239" i="2"/>
  <c r="AK1240" i="2"/>
  <c r="AK1241" i="2"/>
  <c r="AK1242" i="2"/>
  <c r="AK1243" i="2"/>
  <c r="AK1244" i="2"/>
  <c r="AK1245" i="2"/>
  <c r="AK1246" i="2"/>
  <c r="AK1247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586" i="2"/>
  <c r="AJ587" i="2"/>
  <c r="AJ588" i="2"/>
  <c r="AJ589" i="2"/>
  <c r="AJ590" i="2"/>
  <c r="AJ591" i="2"/>
  <c r="AJ592" i="2"/>
  <c r="AJ593" i="2"/>
  <c r="AJ594" i="2"/>
  <c r="AJ595" i="2"/>
  <c r="AJ596" i="2"/>
  <c r="AJ597" i="2"/>
  <c r="AJ598" i="2"/>
  <c r="AJ599" i="2"/>
  <c r="AJ600" i="2"/>
  <c r="AJ601" i="2"/>
  <c r="AJ602" i="2"/>
  <c r="AJ603" i="2"/>
  <c r="AJ604" i="2"/>
  <c r="AJ605" i="2"/>
  <c r="AJ606" i="2"/>
  <c r="AJ607" i="2"/>
  <c r="AJ608" i="2"/>
  <c r="AJ609" i="2"/>
  <c r="AJ610" i="2"/>
  <c r="AJ611" i="2"/>
  <c r="AJ612" i="2"/>
  <c r="AJ613" i="2"/>
  <c r="AJ614" i="2"/>
  <c r="AJ615" i="2"/>
  <c r="AJ616" i="2"/>
  <c r="AJ617" i="2"/>
  <c r="AJ618" i="2"/>
  <c r="AJ619" i="2"/>
  <c r="AJ620" i="2"/>
  <c r="AJ621" i="2"/>
  <c r="AJ622" i="2"/>
  <c r="AJ623" i="2"/>
  <c r="AJ624" i="2"/>
  <c r="AJ625" i="2"/>
  <c r="AJ626" i="2"/>
  <c r="AJ627" i="2"/>
  <c r="AJ628" i="2"/>
  <c r="AJ630" i="2"/>
  <c r="AJ631" i="2"/>
  <c r="AJ632" i="2"/>
  <c r="AJ633" i="2"/>
  <c r="AJ634" i="2"/>
  <c r="AJ635" i="2"/>
  <c r="AJ636" i="2"/>
  <c r="AJ637" i="2"/>
  <c r="AJ638" i="2"/>
  <c r="AJ639" i="2"/>
  <c r="AJ640" i="2"/>
  <c r="AJ641" i="2"/>
  <c r="AJ642" i="2"/>
  <c r="AJ643" i="2"/>
  <c r="AJ644" i="2"/>
  <c r="AJ645" i="2"/>
  <c r="AJ646" i="2"/>
  <c r="AJ647" i="2"/>
  <c r="AJ648" i="2"/>
  <c r="AJ649" i="2"/>
  <c r="AJ650" i="2"/>
  <c r="AJ651" i="2"/>
  <c r="AJ652" i="2"/>
  <c r="AJ653" i="2"/>
  <c r="AJ654" i="2"/>
  <c r="AJ655" i="2"/>
  <c r="AJ656" i="2"/>
  <c r="AJ657" i="2"/>
  <c r="AJ658" i="2"/>
  <c r="AJ659" i="2"/>
  <c r="AJ660" i="2"/>
  <c r="AJ661" i="2"/>
  <c r="AJ662" i="2"/>
  <c r="AJ663" i="2"/>
  <c r="AJ664" i="2"/>
  <c r="AJ665" i="2"/>
  <c r="AJ666" i="2"/>
  <c r="AJ667" i="2"/>
  <c r="AJ668" i="2"/>
  <c r="AJ669" i="2"/>
  <c r="AJ670" i="2"/>
  <c r="AJ671" i="2"/>
  <c r="AJ672" i="2"/>
  <c r="AJ673" i="2"/>
  <c r="AJ674" i="2"/>
  <c r="AJ675" i="2"/>
  <c r="AJ678" i="2"/>
  <c r="AJ679" i="2"/>
  <c r="AJ680" i="2"/>
  <c r="AJ681" i="2"/>
  <c r="AJ682" i="2"/>
  <c r="AJ683" i="2"/>
  <c r="AJ684" i="2"/>
  <c r="AJ685" i="2"/>
  <c r="AJ686" i="2"/>
  <c r="AJ687" i="2"/>
  <c r="AJ688" i="2"/>
  <c r="AJ689" i="2"/>
  <c r="AJ690" i="2"/>
  <c r="AJ691" i="2"/>
  <c r="AJ692" i="2"/>
  <c r="AJ693" i="2"/>
  <c r="AJ694" i="2"/>
  <c r="AJ703" i="2"/>
  <c r="AJ704" i="2"/>
  <c r="AJ705" i="2"/>
  <c r="AJ706" i="2"/>
  <c r="AJ708" i="2"/>
  <c r="AJ709" i="2"/>
  <c r="AJ710" i="2"/>
  <c r="AJ711" i="2"/>
  <c r="AJ712" i="2"/>
  <c r="AJ713" i="2"/>
  <c r="AJ714" i="2"/>
  <c r="AJ715" i="2"/>
  <c r="AJ716" i="2"/>
  <c r="AJ717" i="2"/>
  <c r="AJ718" i="2"/>
  <c r="AJ719" i="2"/>
  <c r="AJ720" i="2"/>
  <c r="AJ721" i="2"/>
  <c r="AJ722" i="2"/>
  <c r="AJ723" i="2"/>
  <c r="AJ724" i="2"/>
  <c r="AJ725" i="2"/>
  <c r="AJ726" i="2"/>
  <c r="AJ727" i="2"/>
  <c r="AJ728" i="2"/>
  <c r="AJ729" i="2"/>
  <c r="AJ730" i="2"/>
  <c r="AJ731" i="2"/>
  <c r="AJ732" i="2"/>
  <c r="AJ733" i="2"/>
  <c r="AJ734" i="2"/>
  <c r="AJ735" i="2"/>
  <c r="AJ736" i="2"/>
  <c r="AJ737" i="2"/>
  <c r="AJ738" i="2"/>
  <c r="AJ739" i="2"/>
  <c r="AJ740" i="2"/>
  <c r="AJ741" i="2"/>
  <c r="AJ742" i="2"/>
  <c r="AJ743" i="2"/>
  <c r="AJ744" i="2"/>
  <c r="AJ745" i="2"/>
  <c r="AJ746" i="2"/>
  <c r="AJ747" i="2"/>
  <c r="AJ748" i="2"/>
  <c r="AJ749" i="2"/>
  <c r="AJ750" i="2"/>
  <c r="AJ751" i="2"/>
  <c r="AJ752" i="2"/>
  <c r="AJ753" i="2"/>
  <c r="AJ754" i="2"/>
  <c r="AJ755" i="2"/>
  <c r="AJ756" i="2"/>
  <c r="AJ757" i="2"/>
  <c r="AJ758" i="2"/>
  <c r="AJ759" i="2"/>
  <c r="AJ760" i="2"/>
  <c r="AJ761" i="2"/>
  <c r="AJ762" i="2"/>
  <c r="AJ763" i="2"/>
  <c r="AJ764" i="2"/>
  <c r="AJ765" i="2"/>
  <c r="AJ766" i="2"/>
  <c r="AJ767" i="2"/>
  <c r="AJ768" i="2"/>
  <c r="AJ769" i="2"/>
  <c r="AJ770" i="2"/>
  <c r="AJ771" i="2"/>
  <c r="AJ772" i="2"/>
  <c r="AJ773" i="2"/>
  <c r="AJ774" i="2"/>
  <c r="AJ775" i="2"/>
  <c r="AJ776" i="2"/>
  <c r="AJ777" i="2"/>
  <c r="AJ778" i="2"/>
  <c r="AJ779" i="2"/>
  <c r="AJ780" i="2"/>
  <c r="AJ781" i="2"/>
  <c r="AJ782" i="2"/>
  <c r="AJ783" i="2"/>
  <c r="AJ784" i="2"/>
  <c r="AJ785" i="2"/>
  <c r="AJ786" i="2"/>
  <c r="AJ787" i="2"/>
  <c r="AJ788" i="2"/>
  <c r="AJ789" i="2"/>
  <c r="AJ790" i="2"/>
  <c r="AJ791" i="2"/>
  <c r="AJ792" i="2"/>
  <c r="AJ793" i="2"/>
  <c r="AJ794" i="2"/>
  <c r="AJ795" i="2"/>
  <c r="AJ796" i="2"/>
  <c r="AJ797" i="2"/>
  <c r="AJ798" i="2"/>
  <c r="AJ799" i="2"/>
  <c r="AJ800" i="2"/>
  <c r="AJ801" i="2"/>
  <c r="AJ802" i="2"/>
  <c r="AJ803" i="2"/>
  <c r="AJ804" i="2"/>
  <c r="AJ805" i="2"/>
  <c r="AJ806" i="2"/>
  <c r="AJ807" i="2"/>
  <c r="AJ808" i="2"/>
  <c r="AJ809" i="2"/>
  <c r="AJ810" i="2"/>
  <c r="AJ811" i="2"/>
  <c r="AJ812" i="2"/>
  <c r="AJ813" i="2"/>
  <c r="AJ814" i="2"/>
  <c r="AJ815" i="2"/>
  <c r="AJ816" i="2"/>
  <c r="AJ817" i="2"/>
  <c r="AJ818" i="2"/>
  <c r="AJ819" i="2"/>
  <c r="AJ820" i="2"/>
  <c r="AJ821" i="2"/>
  <c r="AJ822" i="2"/>
  <c r="AJ823" i="2"/>
  <c r="AJ824" i="2"/>
  <c r="AJ825" i="2"/>
  <c r="AJ826" i="2"/>
  <c r="AJ827" i="2"/>
  <c r="AJ828" i="2"/>
  <c r="AJ829" i="2"/>
  <c r="AJ830" i="2"/>
  <c r="AJ831" i="2"/>
  <c r="AJ832" i="2"/>
  <c r="AJ833" i="2"/>
  <c r="AJ834" i="2"/>
  <c r="AJ835" i="2"/>
  <c r="AJ836" i="2"/>
  <c r="AJ837" i="2"/>
  <c r="AJ838" i="2"/>
  <c r="AJ839" i="2"/>
  <c r="AJ840" i="2"/>
  <c r="AJ841" i="2"/>
  <c r="AJ842" i="2"/>
  <c r="AJ843" i="2"/>
  <c r="AJ844" i="2"/>
  <c r="AJ845" i="2"/>
  <c r="AJ846" i="2"/>
  <c r="AJ847" i="2"/>
  <c r="AJ848" i="2"/>
  <c r="AJ849" i="2"/>
  <c r="AJ851" i="2"/>
  <c r="AJ852" i="2"/>
  <c r="AJ853" i="2"/>
  <c r="AJ854" i="2"/>
  <c r="AJ855" i="2"/>
  <c r="AJ856" i="2"/>
  <c r="AJ857" i="2"/>
  <c r="AJ858" i="2"/>
  <c r="AJ859" i="2"/>
  <c r="AJ860" i="2"/>
  <c r="AJ861" i="2"/>
  <c r="AJ862" i="2"/>
  <c r="AJ863" i="2"/>
  <c r="AJ864" i="2"/>
  <c r="AJ865" i="2"/>
  <c r="AJ866" i="2"/>
  <c r="AJ867" i="2"/>
  <c r="AJ868" i="2"/>
  <c r="AJ869" i="2"/>
  <c r="AJ870" i="2"/>
  <c r="AJ871" i="2"/>
  <c r="AJ872" i="2"/>
  <c r="AJ873" i="2"/>
  <c r="AJ874" i="2"/>
  <c r="AJ875" i="2"/>
  <c r="AJ876" i="2"/>
  <c r="AJ877" i="2"/>
  <c r="AJ878" i="2"/>
  <c r="AJ879" i="2"/>
  <c r="AJ880" i="2"/>
  <c r="AJ881" i="2"/>
  <c r="AJ882" i="2"/>
  <c r="AJ883" i="2"/>
  <c r="AJ884" i="2"/>
  <c r="AJ885" i="2"/>
  <c r="AJ886" i="2"/>
  <c r="AJ887" i="2"/>
  <c r="AJ888" i="2"/>
  <c r="AJ889" i="2"/>
  <c r="AJ890" i="2"/>
  <c r="AJ891" i="2"/>
  <c r="AJ892" i="2"/>
  <c r="AJ893" i="2"/>
  <c r="AJ894" i="2"/>
  <c r="AJ895" i="2"/>
  <c r="AJ896" i="2"/>
  <c r="AJ897" i="2"/>
  <c r="AJ898" i="2"/>
  <c r="AJ899" i="2"/>
  <c r="AJ900" i="2"/>
  <c r="AJ901" i="2"/>
  <c r="AJ902" i="2"/>
  <c r="AJ903" i="2"/>
  <c r="AJ904" i="2"/>
  <c r="AJ905" i="2"/>
  <c r="AJ906" i="2"/>
  <c r="AJ907" i="2"/>
  <c r="AJ908" i="2"/>
  <c r="AJ909" i="2"/>
  <c r="AJ910" i="2"/>
  <c r="AJ911" i="2"/>
  <c r="AJ912" i="2"/>
  <c r="AJ913" i="2"/>
  <c r="AJ914" i="2"/>
  <c r="AJ915" i="2"/>
  <c r="AJ916" i="2"/>
  <c r="AJ917" i="2"/>
  <c r="AJ918" i="2"/>
  <c r="AJ919" i="2"/>
  <c r="AJ920" i="2"/>
  <c r="AJ921" i="2"/>
  <c r="AJ922" i="2"/>
  <c r="AJ923" i="2"/>
  <c r="AJ924" i="2"/>
  <c r="AJ925" i="2"/>
  <c r="AJ926" i="2"/>
  <c r="AJ927" i="2"/>
  <c r="AJ928" i="2"/>
  <c r="AJ929" i="2"/>
  <c r="AJ930" i="2"/>
  <c r="AJ931" i="2"/>
  <c r="AJ932" i="2"/>
  <c r="AJ933" i="2"/>
  <c r="AJ934" i="2"/>
  <c r="AJ935" i="2"/>
  <c r="AJ936" i="2"/>
  <c r="AJ937" i="2"/>
  <c r="AJ938" i="2"/>
  <c r="AJ939" i="2"/>
  <c r="AJ940" i="2"/>
  <c r="AJ941" i="2"/>
  <c r="AJ942" i="2"/>
  <c r="AJ943" i="2"/>
  <c r="AJ944" i="2"/>
  <c r="AJ945" i="2"/>
  <c r="AJ946" i="2"/>
  <c r="AJ947" i="2"/>
  <c r="AJ948" i="2"/>
  <c r="AJ949" i="2"/>
  <c r="AJ950" i="2"/>
  <c r="AJ951" i="2"/>
  <c r="AJ952" i="2"/>
  <c r="AJ953" i="2"/>
  <c r="AJ954" i="2"/>
  <c r="AJ955" i="2"/>
  <c r="AJ956" i="2"/>
  <c r="AJ958" i="2"/>
  <c r="AJ1239" i="2"/>
  <c r="AJ1240" i="2"/>
  <c r="AJ1241" i="2"/>
  <c r="AJ1242" i="2"/>
  <c r="AJ1243" i="2"/>
  <c r="AJ1244" i="2"/>
  <c r="AJ1245" i="2"/>
  <c r="AJ1246" i="2"/>
  <c r="AJ1247" i="2"/>
  <c r="AI547" i="2"/>
  <c r="AI548" i="2"/>
  <c r="AI549" i="2"/>
  <c r="AI550" i="2"/>
  <c r="AI551" i="2"/>
  <c r="AI552" i="2"/>
  <c r="AI553" i="2"/>
  <c r="AI554" i="2"/>
  <c r="AI555" i="2"/>
  <c r="AI556" i="2"/>
  <c r="AI557" i="2"/>
  <c r="AI558" i="2"/>
  <c r="AI559" i="2"/>
  <c r="AI560" i="2"/>
  <c r="AI561" i="2"/>
  <c r="AI562" i="2"/>
  <c r="AI563" i="2"/>
  <c r="AI564" i="2"/>
  <c r="AI565" i="2"/>
  <c r="AI566" i="2"/>
  <c r="AI567" i="2"/>
  <c r="AI568" i="2"/>
  <c r="AI569" i="2"/>
  <c r="AI570" i="2"/>
  <c r="AI571" i="2"/>
  <c r="AI572" i="2"/>
  <c r="AI573" i="2"/>
  <c r="AI574" i="2"/>
  <c r="AI575" i="2"/>
  <c r="AI576" i="2"/>
  <c r="AI577" i="2"/>
  <c r="AI578" i="2"/>
  <c r="AI579" i="2"/>
  <c r="AI580" i="2"/>
  <c r="AI581" i="2"/>
  <c r="AI582" i="2"/>
  <c r="AI583" i="2"/>
  <c r="AI584" i="2"/>
  <c r="AI585" i="2"/>
  <c r="AI586" i="2"/>
  <c r="AI587" i="2"/>
  <c r="AI588" i="2"/>
  <c r="AI589" i="2"/>
  <c r="AI590" i="2"/>
  <c r="AI591" i="2"/>
  <c r="AI592" i="2"/>
  <c r="AI593" i="2"/>
  <c r="AI594" i="2"/>
  <c r="AI595" i="2"/>
  <c r="AI596" i="2"/>
  <c r="AI597" i="2"/>
  <c r="AI598" i="2"/>
  <c r="AI599" i="2"/>
  <c r="AI600" i="2"/>
  <c r="AI601" i="2"/>
  <c r="AI602" i="2"/>
  <c r="AI603" i="2"/>
  <c r="AI604" i="2"/>
  <c r="AI605" i="2"/>
  <c r="AI606" i="2"/>
  <c r="AI607" i="2"/>
  <c r="AI608" i="2"/>
  <c r="AI609" i="2"/>
  <c r="AI610" i="2"/>
  <c r="AI611" i="2"/>
  <c r="AI612" i="2"/>
  <c r="AI613" i="2"/>
  <c r="AI614" i="2"/>
  <c r="AI615" i="2"/>
  <c r="AI616" i="2"/>
  <c r="AI617" i="2"/>
  <c r="AI618" i="2"/>
  <c r="AI619" i="2"/>
  <c r="AI620" i="2"/>
  <c r="AI621" i="2"/>
  <c r="AI622" i="2"/>
  <c r="AI623" i="2"/>
  <c r="AI624" i="2"/>
  <c r="AI625" i="2"/>
  <c r="AI626" i="2"/>
  <c r="AI627" i="2"/>
  <c r="AI628" i="2"/>
  <c r="AI629" i="2"/>
  <c r="AI630" i="2"/>
  <c r="AI631" i="2"/>
  <c r="AI632" i="2"/>
  <c r="AI633" i="2"/>
  <c r="AI634" i="2"/>
  <c r="AI635" i="2"/>
  <c r="AI636" i="2"/>
  <c r="AI637" i="2"/>
  <c r="AI638" i="2"/>
  <c r="AI639" i="2"/>
  <c r="AI640" i="2"/>
  <c r="AI641" i="2"/>
  <c r="AI642" i="2"/>
  <c r="AI643" i="2"/>
  <c r="AI644" i="2"/>
  <c r="AI645" i="2"/>
  <c r="AI646" i="2"/>
  <c r="AI647" i="2"/>
  <c r="AI648" i="2"/>
  <c r="AI649" i="2"/>
  <c r="AI650" i="2"/>
  <c r="AI651" i="2"/>
  <c r="AI652" i="2"/>
  <c r="AI653" i="2"/>
  <c r="AI654" i="2"/>
  <c r="AI655" i="2"/>
  <c r="AI656" i="2"/>
  <c r="AI657" i="2"/>
  <c r="AI658" i="2"/>
  <c r="AI659" i="2"/>
  <c r="AI660" i="2"/>
  <c r="AI661" i="2"/>
  <c r="AI662" i="2"/>
  <c r="AI663" i="2"/>
  <c r="AI664" i="2"/>
  <c r="AI665" i="2"/>
  <c r="AI666" i="2"/>
  <c r="AI667" i="2"/>
  <c r="AI668" i="2"/>
  <c r="AI669" i="2"/>
  <c r="AI670" i="2"/>
  <c r="AI671" i="2"/>
  <c r="AI672" i="2"/>
  <c r="AI673" i="2"/>
  <c r="AI674" i="2"/>
  <c r="AI675" i="2"/>
  <c r="AI676" i="2"/>
  <c r="AI677" i="2"/>
  <c r="AI678" i="2"/>
  <c r="AI679" i="2"/>
  <c r="AI680" i="2"/>
  <c r="AI681" i="2"/>
  <c r="AI682" i="2"/>
  <c r="AI683" i="2"/>
  <c r="AI684" i="2"/>
  <c r="AI685" i="2"/>
  <c r="AI686" i="2"/>
  <c r="AI687" i="2"/>
  <c r="AI688" i="2"/>
  <c r="AI689" i="2"/>
  <c r="AI690" i="2"/>
  <c r="AI691" i="2"/>
  <c r="AI692" i="2"/>
  <c r="AI693" i="2"/>
  <c r="AI694" i="2"/>
  <c r="AI703" i="2"/>
  <c r="AI704" i="2"/>
  <c r="AI705" i="2"/>
  <c r="AI706" i="2"/>
  <c r="AI708" i="2"/>
  <c r="AI709" i="2"/>
  <c r="AI710" i="2"/>
  <c r="AI711" i="2"/>
  <c r="AI712" i="2"/>
  <c r="AI713" i="2"/>
  <c r="AI714" i="2"/>
  <c r="AI715" i="2"/>
  <c r="AI716" i="2"/>
  <c r="AI717" i="2"/>
  <c r="AI718" i="2"/>
  <c r="AI719" i="2"/>
  <c r="AI720" i="2"/>
  <c r="AI721" i="2"/>
  <c r="AI722" i="2"/>
  <c r="AI723" i="2"/>
  <c r="AI724" i="2"/>
  <c r="AI725" i="2"/>
  <c r="AI726" i="2"/>
  <c r="AI727" i="2"/>
  <c r="AI728" i="2"/>
  <c r="AI729" i="2"/>
  <c r="AI730" i="2"/>
  <c r="AI731" i="2"/>
  <c r="AI732" i="2"/>
  <c r="AI733" i="2"/>
  <c r="AI734" i="2"/>
  <c r="AI735" i="2"/>
  <c r="AI736" i="2"/>
  <c r="AI737" i="2"/>
  <c r="AI738" i="2"/>
  <c r="AI739" i="2"/>
  <c r="AI740" i="2"/>
  <c r="AI741" i="2"/>
  <c r="AI742" i="2"/>
  <c r="AI743" i="2"/>
  <c r="AI744" i="2"/>
  <c r="AI745" i="2"/>
  <c r="AI746" i="2"/>
  <c r="AI747" i="2"/>
  <c r="AI748" i="2"/>
  <c r="AI749" i="2"/>
  <c r="AI750" i="2"/>
  <c r="AI751" i="2"/>
  <c r="AI752" i="2"/>
  <c r="AI753" i="2"/>
  <c r="AI754" i="2"/>
  <c r="AI755" i="2"/>
  <c r="AI756" i="2"/>
  <c r="AI757" i="2"/>
  <c r="AI758" i="2"/>
  <c r="AI759" i="2"/>
  <c r="AI760" i="2"/>
  <c r="AI761" i="2"/>
  <c r="AI762" i="2"/>
  <c r="AI763" i="2"/>
  <c r="AI764" i="2"/>
  <c r="AI765" i="2"/>
  <c r="AI766" i="2"/>
  <c r="AI767" i="2"/>
  <c r="AI768" i="2"/>
  <c r="AI769" i="2"/>
  <c r="AI770" i="2"/>
  <c r="AI771" i="2"/>
  <c r="AI772" i="2"/>
  <c r="AI773" i="2"/>
  <c r="AI774" i="2"/>
  <c r="AI775" i="2"/>
  <c r="AI776" i="2"/>
  <c r="AI777" i="2"/>
  <c r="AI778" i="2"/>
  <c r="AI779" i="2"/>
  <c r="AI780" i="2"/>
  <c r="AI781" i="2"/>
  <c r="AI782" i="2"/>
  <c r="AI783" i="2"/>
  <c r="AI784" i="2"/>
  <c r="AI785" i="2"/>
  <c r="AI786" i="2"/>
  <c r="AI787" i="2"/>
  <c r="AI788" i="2"/>
  <c r="AI789" i="2"/>
  <c r="AI790" i="2"/>
  <c r="AI791" i="2"/>
  <c r="AI792" i="2"/>
  <c r="AI793" i="2"/>
  <c r="AI794" i="2"/>
  <c r="AI795" i="2"/>
  <c r="AI796" i="2"/>
  <c r="AI797" i="2"/>
  <c r="AI798" i="2"/>
  <c r="AI799" i="2"/>
  <c r="AI800" i="2"/>
  <c r="AI801" i="2"/>
  <c r="AI802" i="2"/>
  <c r="AI803" i="2"/>
  <c r="AI804" i="2"/>
  <c r="AI805" i="2"/>
  <c r="AI806" i="2"/>
  <c r="AI807" i="2"/>
  <c r="AI808" i="2"/>
  <c r="AI809" i="2"/>
  <c r="AI810" i="2"/>
  <c r="AI811" i="2"/>
  <c r="AI812" i="2"/>
  <c r="AI813" i="2"/>
  <c r="AI814" i="2"/>
  <c r="AI815" i="2"/>
  <c r="AI816" i="2"/>
  <c r="AI817" i="2"/>
  <c r="AI818" i="2"/>
  <c r="AI819" i="2"/>
  <c r="AI820" i="2"/>
  <c r="AI821" i="2"/>
  <c r="AI822" i="2"/>
  <c r="AI823" i="2"/>
  <c r="AI824" i="2"/>
  <c r="AI825" i="2"/>
  <c r="AI826" i="2"/>
  <c r="AI827" i="2"/>
  <c r="AI828" i="2"/>
  <c r="AI829" i="2"/>
  <c r="AI830" i="2"/>
  <c r="AI831" i="2"/>
  <c r="AI832" i="2"/>
  <c r="AI833" i="2"/>
  <c r="AI834" i="2"/>
  <c r="AI835" i="2"/>
  <c r="AI836" i="2"/>
  <c r="AI837" i="2"/>
  <c r="AI838" i="2"/>
  <c r="AI839" i="2"/>
  <c r="AI840" i="2"/>
  <c r="AI841" i="2"/>
  <c r="AI842" i="2"/>
  <c r="AI843" i="2"/>
  <c r="AI844" i="2"/>
  <c r="AI845" i="2"/>
  <c r="AI846" i="2"/>
  <c r="AI847" i="2"/>
  <c r="AI848" i="2"/>
  <c r="AI849" i="2"/>
  <c r="AI850" i="2"/>
  <c r="AI851" i="2"/>
  <c r="AI852" i="2"/>
  <c r="AI853" i="2"/>
  <c r="AI854" i="2"/>
  <c r="AI855" i="2"/>
  <c r="AI856" i="2"/>
  <c r="AI857" i="2"/>
  <c r="AI858" i="2"/>
  <c r="AI859" i="2"/>
  <c r="AI860" i="2"/>
  <c r="AI861" i="2"/>
  <c r="AI862" i="2"/>
  <c r="AI863" i="2"/>
  <c r="AI864" i="2"/>
  <c r="AI865" i="2"/>
  <c r="AI866" i="2"/>
  <c r="AI867" i="2"/>
  <c r="AI868" i="2"/>
  <c r="AI869" i="2"/>
  <c r="AI870" i="2"/>
  <c r="AI871" i="2"/>
  <c r="AI872" i="2"/>
  <c r="AI873" i="2"/>
  <c r="AI874" i="2"/>
  <c r="AI875" i="2"/>
  <c r="AI876" i="2"/>
  <c r="AI877" i="2"/>
  <c r="AI878" i="2"/>
  <c r="AI879" i="2"/>
  <c r="AI880" i="2"/>
  <c r="AI881" i="2"/>
  <c r="AI882" i="2"/>
  <c r="AI883" i="2"/>
  <c r="AI884" i="2"/>
  <c r="AI885" i="2"/>
  <c r="AI886" i="2"/>
  <c r="AI887" i="2"/>
  <c r="AI888" i="2"/>
  <c r="AI889" i="2"/>
  <c r="AI890" i="2"/>
  <c r="AI891" i="2"/>
  <c r="AI892" i="2"/>
  <c r="AI893" i="2"/>
  <c r="AI894" i="2"/>
  <c r="AI895" i="2"/>
  <c r="AI896" i="2"/>
  <c r="AI897" i="2"/>
  <c r="AI898" i="2"/>
  <c r="AI899" i="2"/>
  <c r="AI900" i="2"/>
  <c r="AI901" i="2"/>
  <c r="AI902" i="2"/>
  <c r="AI903" i="2"/>
  <c r="AI904" i="2"/>
  <c r="AI905" i="2"/>
  <c r="AI906" i="2"/>
  <c r="AI907" i="2"/>
  <c r="AI908" i="2"/>
  <c r="AI909" i="2"/>
  <c r="AI910" i="2"/>
  <c r="AI911" i="2"/>
  <c r="AI912" i="2"/>
  <c r="AI913" i="2"/>
  <c r="AI914" i="2"/>
  <c r="AI915" i="2"/>
  <c r="AI916" i="2"/>
  <c r="AI917" i="2"/>
  <c r="AI918" i="2"/>
  <c r="AI919" i="2"/>
  <c r="AI920" i="2"/>
  <c r="AI921" i="2"/>
  <c r="AI922" i="2"/>
  <c r="AI923" i="2"/>
  <c r="AI924" i="2"/>
  <c r="AI925" i="2"/>
  <c r="AI926" i="2"/>
  <c r="AI927" i="2"/>
  <c r="AI928" i="2"/>
  <c r="AI929" i="2"/>
  <c r="AI930" i="2"/>
  <c r="AI931" i="2"/>
  <c r="AI932" i="2"/>
  <c r="AI933" i="2"/>
  <c r="AI934" i="2"/>
  <c r="AI935" i="2"/>
  <c r="AI936" i="2"/>
  <c r="AI937" i="2"/>
  <c r="AI938" i="2"/>
  <c r="AI939" i="2"/>
  <c r="AI940" i="2"/>
  <c r="AI941" i="2"/>
  <c r="AI942" i="2"/>
  <c r="AI943" i="2"/>
  <c r="AI944" i="2"/>
  <c r="AI945" i="2"/>
  <c r="AI946" i="2"/>
  <c r="AI947" i="2"/>
  <c r="AI948" i="2"/>
  <c r="AI949" i="2"/>
  <c r="AI950" i="2"/>
  <c r="AI951" i="2"/>
  <c r="AI952" i="2"/>
  <c r="AI953" i="2"/>
  <c r="AI954" i="2"/>
  <c r="AI955" i="2"/>
  <c r="AI956" i="2"/>
  <c r="AI958" i="2"/>
  <c r="AI1239" i="2"/>
  <c r="AI1240" i="2"/>
  <c r="AI1241" i="2"/>
  <c r="AI1242" i="2"/>
  <c r="AI1243" i="2"/>
  <c r="AI1244" i="2"/>
  <c r="AI1245" i="2"/>
  <c r="AI1246" i="2"/>
  <c r="AI1247" i="2"/>
  <c r="AN546" i="2"/>
  <c r="AK546" i="2"/>
  <c r="AJ546" i="2"/>
  <c r="AL546" i="2"/>
  <c r="AM546" i="2"/>
  <c r="AI546" i="2"/>
  <c r="S546" i="2"/>
  <c r="O546" i="2"/>
  <c r="N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703" i="2"/>
  <c r="C704" i="2"/>
  <c r="C705" i="2"/>
  <c r="C706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703" i="2"/>
  <c r="M704" i="2"/>
  <c r="M705" i="2"/>
  <c r="M706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2" i="2"/>
  <c r="M963" i="2"/>
  <c r="M965" i="2"/>
  <c r="M982" i="2"/>
  <c r="M983" i="2"/>
  <c r="M984" i="2"/>
  <c r="M985" i="2"/>
  <c r="M992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703" i="2"/>
  <c r="K704" i="2"/>
  <c r="K705" i="2"/>
  <c r="K706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2" i="2"/>
  <c r="K963" i="2"/>
  <c r="K965" i="2"/>
  <c r="K982" i="2"/>
  <c r="K983" i="2"/>
  <c r="K984" i="2"/>
  <c r="K985" i="2"/>
  <c r="K989" i="2"/>
  <c r="K992" i="2"/>
  <c r="K993" i="2"/>
  <c r="K994" i="2"/>
  <c r="J547" i="2"/>
  <c r="J548" i="2"/>
  <c r="J550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703" i="2"/>
  <c r="J704" i="2"/>
  <c r="J705" i="2"/>
  <c r="J706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2" i="2"/>
  <c r="J963" i="2"/>
  <c r="J965" i="2"/>
  <c r="J982" i="2"/>
  <c r="J983" i="2"/>
  <c r="J984" i="2"/>
  <c r="J985" i="2"/>
  <c r="J986" i="2"/>
  <c r="J987" i="2"/>
  <c r="J988" i="2"/>
  <c r="J989" i="2"/>
  <c r="J992" i="2"/>
  <c r="J993" i="2"/>
  <c r="J994" i="2"/>
  <c r="J997" i="2"/>
  <c r="J1001" i="2"/>
  <c r="J1007" i="2"/>
  <c r="J1009" i="2"/>
  <c r="J1010" i="2"/>
  <c r="J1011" i="2"/>
  <c r="J1012" i="2"/>
  <c r="J1013" i="2"/>
  <c r="J1014" i="2"/>
  <c r="J1015" i="2"/>
  <c r="J1016" i="2"/>
  <c r="J1017" i="2"/>
  <c r="J1018" i="2"/>
  <c r="J1019" i="2"/>
  <c r="J1026" i="2"/>
  <c r="J1030" i="2"/>
  <c r="J1032" i="2"/>
  <c r="J1049" i="2"/>
  <c r="J1050" i="2"/>
  <c r="J1051" i="2"/>
  <c r="J1052" i="2"/>
  <c r="J1053" i="2"/>
  <c r="J1054" i="2"/>
  <c r="J1058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703" i="2"/>
  <c r="I704" i="2"/>
  <c r="I705" i="2"/>
  <c r="I706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8" i="2"/>
  <c r="I959" i="2"/>
  <c r="I960" i="2"/>
  <c r="I961" i="2"/>
  <c r="I962" i="2"/>
  <c r="I963" i="2"/>
  <c r="I965" i="2"/>
  <c r="I966" i="2"/>
  <c r="I967" i="2"/>
  <c r="I968" i="2"/>
  <c r="I969" i="2"/>
  <c r="I970" i="2"/>
  <c r="I972" i="2"/>
  <c r="I977" i="2"/>
  <c r="I978" i="2"/>
  <c r="I982" i="2"/>
  <c r="I983" i="2"/>
  <c r="I984" i="2"/>
  <c r="I985" i="2"/>
  <c r="I986" i="2"/>
  <c r="I987" i="2"/>
  <c r="I988" i="2"/>
  <c r="I989" i="2"/>
  <c r="I992" i="2"/>
  <c r="I993" i="2"/>
  <c r="I994" i="2"/>
  <c r="I995" i="2"/>
  <c r="I996" i="2"/>
  <c r="I997" i="2"/>
  <c r="I999" i="2"/>
  <c r="I1001" i="2"/>
  <c r="I1002" i="2"/>
  <c r="I1003" i="2"/>
  <c r="I1004" i="2"/>
  <c r="I1005" i="2"/>
  <c r="I1006" i="2"/>
  <c r="I1007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30" i="2"/>
  <c r="I1032" i="2"/>
  <c r="I1033" i="2"/>
  <c r="I1034" i="2"/>
  <c r="I1035" i="2"/>
  <c r="I1036" i="2"/>
  <c r="I1049" i="2"/>
  <c r="I1050" i="2"/>
  <c r="I1051" i="2"/>
  <c r="I1052" i="2"/>
  <c r="I1053" i="2"/>
  <c r="I1054" i="2"/>
  <c r="I1055" i="2"/>
  <c r="I1056" i="2"/>
  <c r="I1057" i="2"/>
  <c r="I1058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703" i="2"/>
  <c r="G704" i="2"/>
  <c r="G705" i="2"/>
  <c r="G706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5" i="2"/>
  <c r="G966" i="2"/>
  <c r="G967" i="2"/>
  <c r="G968" i="2"/>
  <c r="G969" i="2"/>
  <c r="G970" i="2"/>
  <c r="G972" i="2"/>
  <c r="G977" i="2"/>
  <c r="G978" i="2"/>
  <c r="G980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30" i="2"/>
  <c r="G1032" i="2"/>
  <c r="G1033" i="2"/>
  <c r="G1034" i="2"/>
  <c r="G1035" i="2"/>
  <c r="G1036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703" i="2"/>
  <c r="F704" i="2"/>
  <c r="F705" i="2"/>
  <c r="F706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M546" i="2"/>
  <c r="K546" i="2"/>
  <c r="J546" i="2"/>
  <c r="I546" i="2"/>
  <c r="G546" i="2"/>
  <c r="F546" i="2"/>
  <c r="B547" i="2"/>
  <c r="B548" i="2"/>
  <c r="B549" i="2"/>
  <c r="B551" i="2"/>
  <c r="B552" i="2"/>
  <c r="AD552" i="2" s="1"/>
  <c r="B553" i="2"/>
  <c r="AA553" i="2" s="1"/>
  <c r="B554" i="2"/>
  <c r="AD554" i="2" s="1"/>
  <c r="B555" i="2"/>
  <c r="AA555" i="2" s="1"/>
  <c r="B556" i="2"/>
  <c r="AA556" i="2" s="1"/>
  <c r="B557" i="2"/>
  <c r="AA557" i="2" s="1"/>
  <c r="B558" i="2"/>
  <c r="AD558" i="2" s="1"/>
  <c r="B559" i="2"/>
  <c r="AA559" i="2" s="1"/>
  <c r="B560" i="2"/>
  <c r="AD560" i="2" s="1"/>
  <c r="B561" i="2"/>
  <c r="AA561" i="2" s="1"/>
  <c r="B562" i="2"/>
  <c r="AD562" i="2" s="1"/>
  <c r="B563" i="2"/>
  <c r="AD563" i="2" s="1"/>
  <c r="B564" i="2"/>
  <c r="AA564" i="2" s="1"/>
  <c r="B565" i="2"/>
  <c r="AA565" i="2" s="1"/>
  <c r="B566" i="2"/>
  <c r="B567" i="2"/>
  <c r="AD567" i="2" s="1"/>
  <c r="B568" i="2"/>
  <c r="AD568" i="2" s="1"/>
  <c r="B569" i="2"/>
  <c r="AD569" i="2" s="1"/>
  <c r="B570" i="2"/>
  <c r="AD570" i="2" s="1"/>
  <c r="B571" i="2"/>
  <c r="AD571" i="2" s="1"/>
  <c r="B572" i="2"/>
  <c r="AA572" i="2" s="1"/>
  <c r="B573" i="2"/>
  <c r="AD573" i="2" s="1"/>
  <c r="B574" i="2"/>
  <c r="AD574" i="2" s="1"/>
  <c r="B575" i="2"/>
  <c r="AA575" i="2" s="1"/>
  <c r="B576" i="2"/>
  <c r="AA576" i="2" s="1"/>
  <c r="B577" i="2"/>
  <c r="AA577" i="2" s="1"/>
  <c r="B578" i="2"/>
  <c r="AD578" i="2" s="1"/>
  <c r="B579" i="2"/>
  <c r="AA579" i="2" s="1"/>
  <c r="B580" i="2"/>
  <c r="AD580" i="2" s="1"/>
  <c r="B581" i="2"/>
  <c r="AA581" i="2" s="1"/>
  <c r="B582" i="2"/>
  <c r="AD582" i="2" s="1"/>
  <c r="B583" i="2"/>
  <c r="AA583" i="2" s="1"/>
  <c r="B584" i="2"/>
  <c r="AA584" i="2" s="1"/>
  <c r="B585" i="2"/>
  <c r="AA585" i="2" s="1"/>
  <c r="B586" i="2"/>
  <c r="AD586" i="2" s="1"/>
  <c r="B587" i="2"/>
  <c r="AD587" i="2" s="1"/>
  <c r="B588" i="2"/>
  <c r="AD588" i="2" s="1"/>
  <c r="B589" i="2"/>
  <c r="AA589" i="2" s="1"/>
  <c r="B590" i="2"/>
  <c r="B591" i="2"/>
  <c r="AD591" i="2" s="1"/>
  <c r="B592" i="2"/>
  <c r="AA592" i="2" s="1"/>
  <c r="B593" i="2"/>
  <c r="AD593" i="2" s="1"/>
  <c r="B594" i="2"/>
  <c r="B595" i="2"/>
  <c r="AD595" i="2" s="1"/>
  <c r="B596" i="2"/>
  <c r="AD596" i="2" s="1"/>
  <c r="B597" i="2"/>
  <c r="AA597" i="2" s="1"/>
  <c r="B598" i="2"/>
  <c r="B599" i="2"/>
  <c r="AD599" i="2" s="1"/>
  <c r="B600" i="2"/>
  <c r="AA600" i="2" s="1"/>
  <c r="B601" i="2"/>
  <c r="B602" i="2"/>
  <c r="B603" i="2"/>
  <c r="AA603" i="2" s="1"/>
  <c r="B604" i="2"/>
  <c r="AD604" i="2" s="1"/>
  <c r="B605" i="2"/>
  <c r="B606" i="2"/>
  <c r="B607" i="2"/>
  <c r="AA607" i="2" s="1"/>
  <c r="B608" i="2"/>
  <c r="AA608" i="2" s="1"/>
  <c r="B609" i="2"/>
  <c r="AA609" i="2" s="1"/>
  <c r="B610" i="2"/>
  <c r="B611" i="2"/>
  <c r="AA611" i="2" s="1"/>
  <c r="B612" i="2"/>
  <c r="B613" i="2"/>
  <c r="B614" i="2"/>
  <c r="B615" i="2"/>
  <c r="B616" i="2"/>
  <c r="AD616" i="2" s="1"/>
  <c r="B617" i="2"/>
  <c r="B618" i="2"/>
  <c r="B619" i="2"/>
  <c r="AA619" i="2" s="1"/>
  <c r="B620" i="2"/>
  <c r="AD620" i="2" s="1"/>
  <c r="B621" i="2"/>
  <c r="B622" i="2"/>
  <c r="B623" i="2"/>
  <c r="AD623" i="2" s="1"/>
  <c r="AA624" i="2"/>
  <c r="B625" i="2"/>
  <c r="B626" i="2"/>
  <c r="B627" i="2"/>
  <c r="AA627" i="2" s="1"/>
  <c r="B628" i="2"/>
  <c r="AD628" i="2" s="1"/>
  <c r="B629" i="2"/>
  <c r="AA629" i="2" s="1"/>
  <c r="B630" i="2"/>
  <c r="B631" i="2"/>
  <c r="B632" i="2"/>
  <c r="AD632" i="2" s="1"/>
  <c r="B633" i="2"/>
  <c r="B634" i="2"/>
  <c r="B635" i="2"/>
  <c r="AD635" i="2" s="1"/>
  <c r="B636" i="2"/>
  <c r="B637" i="2"/>
  <c r="AD637" i="2" s="1"/>
  <c r="B638" i="2"/>
  <c r="B639" i="2"/>
  <c r="AA639" i="2" s="1"/>
  <c r="B640" i="2"/>
  <c r="AA640" i="2" s="1"/>
  <c r="B641" i="2"/>
  <c r="B642" i="2"/>
  <c r="B643" i="2"/>
  <c r="AD643" i="2" s="1"/>
  <c r="B644" i="2"/>
  <c r="AD644" i="2" s="1"/>
  <c r="B645" i="2"/>
  <c r="B646" i="2"/>
  <c r="B647" i="2"/>
  <c r="B648" i="2"/>
  <c r="AD648" i="2" s="1"/>
  <c r="B649" i="2"/>
  <c r="B650" i="2"/>
  <c r="B651" i="2"/>
  <c r="AD651" i="2" s="1"/>
  <c r="B652" i="2"/>
  <c r="B653" i="2"/>
  <c r="AA653" i="2" s="1"/>
  <c r="B654" i="2"/>
  <c r="B655" i="2"/>
  <c r="AD655" i="2" s="1"/>
  <c r="B656" i="2"/>
  <c r="AA656" i="2" s="1"/>
  <c r="B657" i="2"/>
  <c r="B658" i="2"/>
  <c r="B659" i="2"/>
  <c r="AA659" i="2" s="1"/>
  <c r="B660" i="2"/>
  <c r="AD660" i="2" s="1"/>
  <c r="B661" i="2"/>
  <c r="B662" i="2"/>
  <c r="B663" i="2"/>
  <c r="B664" i="2"/>
  <c r="AD664" i="2" s="1"/>
  <c r="B665" i="2"/>
  <c r="AD665" i="2" s="1"/>
  <c r="B666" i="2"/>
  <c r="AA666" i="2" s="1"/>
  <c r="B667" i="2"/>
  <c r="AA667" i="2" s="1"/>
  <c r="B668" i="2"/>
  <c r="B669" i="2"/>
  <c r="B670" i="2"/>
  <c r="AA670" i="2" s="1"/>
  <c r="B671" i="2"/>
  <c r="AD671" i="2" s="1"/>
  <c r="B672" i="2"/>
  <c r="AD672" i="2" s="1"/>
  <c r="B673" i="2"/>
  <c r="AD673" i="2" s="1"/>
  <c r="B674" i="2"/>
  <c r="AA674" i="2" s="1"/>
  <c r="B675" i="2"/>
  <c r="AD675" i="2" s="1"/>
  <c r="B676" i="2"/>
  <c r="AD676" i="2" s="1"/>
  <c r="B677" i="2"/>
  <c r="AA677" i="2" s="1"/>
  <c r="B678" i="2"/>
  <c r="AA678" i="2" s="1"/>
  <c r="B679" i="2"/>
  <c r="B680" i="2"/>
  <c r="B681" i="2"/>
  <c r="B682" i="2"/>
  <c r="AA682" i="2" s="1"/>
  <c r="B683" i="2"/>
  <c r="AD683" i="2" s="1"/>
  <c r="B684" i="2"/>
  <c r="B685" i="2"/>
  <c r="B686" i="2"/>
  <c r="AA686" i="2" s="1"/>
  <c r="B687" i="2"/>
  <c r="AA687" i="2" s="1"/>
  <c r="B688" i="2"/>
  <c r="AD688" i="2" s="1"/>
  <c r="B689" i="2"/>
  <c r="AD689" i="2" s="1"/>
  <c r="B690" i="2"/>
  <c r="AA690" i="2" s="1"/>
  <c r="B691" i="2"/>
  <c r="AA691" i="2" s="1"/>
  <c r="B692" i="2"/>
  <c r="AA692" i="2" s="1"/>
  <c r="B693" i="2"/>
  <c r="B694" i="2"/>
  <c r="AA694" i="2" s="1"/>
  <c r="B703" i="2"/>
  <c r="B704" i="2"/>
  <c r="AA704" i="2" s="1"/>
  <c r="B705" i="2"/>
  <c r="B706" i="2"/>
  <c r="AA706" i="2" s="1"/>
  <c r="B708" i="2"/>
  <c r="AA708" i="2" s="1"/>
  <c r="B709" i="2"/>
  <c r="B710" i="2"/>
  <c r="AD710" i="2" s="1"/>
  <c r="B711" i="2"/>
  <c r="AD711" i="2" s="1"/>
  <c r="B712" i="2"/>
  <c r="AD712" i="2" s="1"/>
  <c r="B713" i="2"/>
  <c r="AD713" i="2" s="1"/>
  <c r="B714" i="2"/>
  <c r="B715" i="2"/>
  <c r="AD715" i="2" s="1"/>
  <c r="B716" i="2"/>
  <c r="AA716" i="2" s="1"/>
  <c r="B717" i="2"/>
  <c r="AD717" i="2" s="1"/>
  <c r="B718" i="2"/>
  <c r="B719" i="2"/>
  <c r="AD719" i="2" s="1"/>
  <c r="B720" i="2"/>
  <c r="AA720" i="2" s="1"/>
  <c r="B721" i="2"/>
  <c r="AD721" i="2" s="1"/>
  <c r="B722" i="2"/>
  <c r="B723" i="2"/>
  <c r="AD723" i="2" s="1"/>
  <c r="B724" i="2"/>
  <c r="AA724" i="2" s="1"/>
  <c r="B725" i="2"/>
  <c r="AA725" i="2" s="1"/>
  <c r="B726" i="2"/>
  <c r="AD726" i="2" s="1"/>
  <c r="B727" i="2"/>
  <c r="AD727" i="2" s="1"/>
  <c r="B728" i="2"/>
  <c r="AD728" i="2" s="1"/>
  <c r="B729" i="2"/>
  <c r="AA729" i="2" s="1"/>
  <c r="B730" i="2"/>
  <c r="B731" i="2"/>
  <c r="AD731" i="2" s="1"/>
  <c r="B732" i="2"/>
  <c r="AD732" i="2" s="1"/>
  <c r="B733" i="2"/>
  <c r="AD733" i="2" s="1"/>
  <c r="B734" i="2"/>
  <c r="B735" i="2"/>
  <c r="AD735" i="2" s="1"/>
  <c r="B736" i="2"/>
  <c r="AA736" i="2" s="1"/>
  <c r="B737" i="2"/>
  <c r="AA737" i="2" s="1"/>
  <c r="B738" i="2"/>
  <c r="B739" i="2"/>
  <c r="AD739" i="2" s="1"/>
  <c r="B740" i="2"/>
  <c r="AA740" i="2" s="1"/>
  <c r="B741" i="2"/>
  <c r="AD741" i="2" s="1"/>
  <c r="B742" i="2"/>
  <c r="B743" i="2"/>
  <c r="B744" i="2"/>
  <c r="B745" i="2"/>
  <c r="AD745" i="2" s="1"/>
  <c r="B746" i="2"/>
  <c r="B747" i="2"/>
  <c r="B748" i="2"/>
  <c r="AD748" i="2" s="1"/>
  <c r="B749" i="2"/>
  <c r="AA749" i="2" s="1"/>
  <c r="B750" i="2"/>
  <c r="B751" i="2"/>
  <c r="B752" i="2"/>
  <c r="AA752" i="2" s="1"/>
  <c r="B753" i="2"/>
  <c r="AD753" i="2" s="1"/>
  <c r="B754" i="2"/>
  <c r="AD754" i="2" s="1"/>
  <c r="B755" i="2"/>
  <c r="B756" i="2"/>
  <c r="AD756" i="2" s="1"/>
  <c r="B757" i="2"/>
  <c r="AA757" i="2" s="1"/>
  <c r="B758" i="2"/>
  <c r="B759" i="2"/>
  <c r="B760" i="2"/>
  <c r="AA760" i="2" s="1"/>
  <c r="B761" i="2"/>
  <c r="AD761" i="2" s="1"/>
  <c r="B762" i="2"/>
  <c r="AA762" i="2" s="1"/>
  <c r="B763" i="2"/>
  <c r="B764" i="2"/>
  <c r="AA764" i="2" s="1"/>
  <c r="B765" i="2"/>
  <c r="AA765" i="2" s="1"/>
  <c r="B766" i="2"/>
  <c r="B767" i="2"/>
  <c r="B768" i="2"/>
  <c r="AD768" i="2" s="1"/>
  <c r="B769" i="2"/>
  <c r="AD769" i="2" s="1"/>
  <c r="B770" i="2"/>
  <c r="B771" i="2"/>
  <c r="B772" i="2"/>
  <c r="AD772" i="2" s="1"/>
  <c r="B773" i="2"/>
  <c r="AD773" i="2" s="1"/>
  <c r="B774" i="2"/>
  <c r="AA774" i="2" s="1"/>
  <c r="B775" i="2"/>
  <c r="B776" i="2"/>
  <c r="AA776" i="2" s="1"/>
  <c r="B777" i="2"/>
  <c r="AD777" i="2" s="1"/>
  <c r="B778" i="2"/>
  <c r="B779" i="2"/>
  <c r="B780" i="2"/>
  <c r="AD780" i="2" s="1"/>
  <c r="B781" i="2"/>
  <c r="AA781" i="2" s="1"/>
  <c r="B782" i="2"/>
  <c r="B783" i="2"/>
  <c r="B784" i="2"/>
  <c r="AA784" i="2" s="1"/>
  <c r="B785" i="2"/>
  <c r="AA785" i="2" s="1"/>
  <c r="B786" i="2"/>
  <c r="AA786" i="2" s="1"/>
  <c r="B787" i="2"/>
  <c r="AA787" i="2" s="1"/>
  <c r="B788" i="2"/>
  <c r="B789" i="2"/>
  <c r="AA789" i="2" s="1"/>
  <c r="B790" i="2"/>
  <c r="B791" i="2"/>
  <c r="AA791" i="2" s="1"/>
  <c r="B792" i="2"/>
  <c r="AA792" i="2" s="1"/>
  <c r="B793" i="2"/>
  <c r="B794" i="2"/>
  <c r="B795" i="2"/>
  <c r="AA795" i="2" s="1"/>
  <c r="B796" i="2"/>
  <c r="AD796" i="2" s="1"/>
  <c r="B797" i="2"/>
  <c r="AD797" i="2" s="1"/>
  <c r="B798" i="2"/>
  <c r="AA798" i="2" s="1"/>
  <c r="B799" i="2"/>
  <c r="AA799" i="2" s="1"/>
  <c r="B800" i="2"/>
  <c r="AD800" i="2" s="1"/>
  <c r="B801" i="2"/>
  <c r="AD801" i="2" s="1"/>
  <c r="B802" i="2"/>
  <c r="AD802" i="2" s="1"/>
  <c r="B803" i="2"/>
  <c r="AA803" i="2" s="1"/>
  <c r="B804" i="2"/>
  <c r="B805" i="2"/>
  <c r="B806" i="2"/>
  <c r="B807" i="2"/>
  <c r="AA807" i="2" s="1"/>
  <c r="B808" i="2"/>
  <c r="AD808" i="2" s="1"/>
  <c r="B809" i="2"/>
  <c r="B810" i="2"/>
  <c r="B811" i="2"/>
  <c r="AA811" i="2" s="1"/>
  <c r="B812" i="2"/>
  <c r="AA812" i="2" s="1"/>
  <c r="B813" i="2"/>
  <c r="AD813" i="2" s="1"/>
  <c r="B814" i="2"/>
  <c r="B815" i="2"/>
  <c r="AA815" i="2" s="1"/>
  <c r="B816" i="2"/>
  <c r="AA816" i="2" s="1"/>
  <c r="B817" i="2"/>
  <c r="AA817" i="2" s="1"/>
  <c r="B818" i="2"/>
  <c r="B819" i="2"/>
  <c r="AA819" i="2" s="1"/>
  <c r="B820" i="2"/>
  <c r="B821" i="2"/>
  <c r="AD821" i="2" s="1"/>
  <c r="B822" i="2"/>
  <c r="AA822" i="2" s="1"/>
  <c r="B823" i="2"/>
  <c r="B824" i="2"/>
  <c r="AD824" i="2" s="1"/>
  <c r="B825" i="2"/>
  <c r="B826" i="2"/>
  <c r="B827" i="2"/>
  <c r="AA827" i="2" s="1"/>
  <c r="B828" i="2"/>
  <c r="AD828" i="2" s="1"/>
  <c r="B829" i="2"/>
  <c r="AD829" i="2" s="1"/>
  <c r="B830" i="2"/>
  <c r="B831" i="2"/>
  <c r="AD831" i="2" s="1"/>
  <c r="B832" i="2"/>
  <c r="AD832" i="2" s="1"/>
  <c r="B833" i="2"/>
  <c r="AD833" i="2" s="1"/>
  <c r="B834" i="2"/>
  <c r="B835" i="2"/>
  <c r="AA835" i="2" s="1"/>
  <c r="B836" i="2"/>
  <c r="B837" i="2"/>
  <c r="AD837" i="2" s="1"/>
  <c r="B838" i="2"/>
  <c r="AA838" i="2" s="1"/>
  <c r="B839" i="2"/>
  <c r="AA839" i="2" s="1"/>
  <c r="B840" i="2"/>
  <c r="AD840" i="2" s="1"/>
  <c r="B841" i="2"/>
  <c r="AA841" i="2" s="1"/>
  <c r="B842" i="2"/>
  <c r="B843" i="2"/>
  <c r="AA843" i="2" s="1"/>
  <c r="B844" i="2"/>
  <c r="AD844" i="2" s="1"/>
  <c r="B845" i="2"/>
  <c r="AA845" i="2" s="1"/>
  <c r="B846" i="2"/>
  <c r="B847" i="2"/>
  <c r="AD847" i="2" s="1"/>
  <c r="B848" i="2"/>
  <c r="AD848" i="2" s="1"/>
  <c r="B849" i="2"/>
  <c r="AD849" i="2" s="1"/>
  <c r="B850" i="2"/>
  <c r="B851" i="2"/>
  <c r="AA851" i="2" s="1"/>
  <c r="B852" i="2"/>
  <c r="B853" i="2"/>
  <c r="AD853" i="2" s="1"/>
  <c r="B854" i="2"/>
  <c r="AA854" i="2" s="1"/>
  <c r="B855" i="2"/>
  <c r="AA855" i="2" s="1"/>
  <c r="B856" i="2"/>
  <c r="AD856" i="2" s="1"/>
  <c r="B857" i="2"/>
  <c r="B858" i="2"/>
  <c r="B859" i="2"/>
  <c r="AD859" i="2" s="1"/>
  <c r="B860" i="2"/>
  <c r="B861" i="2"/>
  <c r="AA861" i="2" s="1"/>
  <c r="B862" i="2"/>
  <c r="B863" i="2"/>
  <c r="AD863" i="2" s="1"/>
  <c r="B864" i="2"/>
  <c r="B865" i="2"/>
  <c r="AA865" i="2" s="1"/>
  <c r="B866" i="2"/>
  <c r="AD866" i="2" s="1"/>
  <c r="B867" i="2"/>
  <c r="AD867" i="2" s="1"/>
  <c r="B868" i="2"/>
  <c r="B869" i="2"/>
  <c r="AA869" i="2" s="1"/>
  <c r="B870" i="2"/>
  <c r="B871" i="2"/>
  <c r="AD871" i="2" s="1"/>
  <c r="B872" i="2"/>
  <c r="B873" i="2"/>
  <c r="AD873" i="2" s="1"/>
  <c r="B874" i="2"/>
  <c r="AA874" i="2" s="1"/>
  <c r="B875" i="2"/>
  <c r="AD875" i="2" s="1"/>
  <c r="B876" i="2"/>
  <c r="B877" i="2"/>
  <c r="B878" i="2"/>
  <c r="B879" i="2"/>
  <c r="AD879" i="2" s="1"/>
  <c r="B880" i="2"/>
  <c r="B881" i="2"/>
  <c r="AA881" i="2" s="1"/>
  <c r="B882" i="2"/>
  <c r="B883" i="2"/>
  <c r="AD883" i="2" s="1"/>
  <c r="B884" i="2"/>
  <c r="B885" i="2"/>
  <c r="AA885" i="2" s="1"/>
  <c r="B886" i="2"/>
  <c r="AD886" i="2" s="1"/>
  <c r="B887" i="2"/>
  <c r="AD887" i="2" s="1"/>
  <c r="B888" i="2"/>
  <c r="B889" i="2"/>
  <c r="AA889" i="2" s="1"/>
  <c r="B890" i="2"/>
  <c r="AA890" i="2" s="1"/>
  <c r="B891" i="2"/>
  <c r="AD891" i="2" s="1"/>
  <c r="B892" i="2"/>
  <c r="B893" i="2"/>
  <c r="AA893" i="2" s="1"/>
  <c r="B894" i="2"/>
  <c r="B895" i="2"/>
  <c r="B896" i="2"/>
  <c r="AA896" i="2" s="1"/>
  <c r="B897" i="2"/>
  <c r="AD897" i="2" s="1"/>
  <c r="B898" i="2"/>
  <c r="B899" i="2"/>
  <c r="B900" i="2"/>
  <c r="AA900" i="2" s="1"/>
  <c r="B901" i="2"/>
  <c r="AD901" i="2" s="1"/>
  <c r="B902" i="2"/>
  <c r="AD902" i="2" s="1"/>
  <c r="B903" i="2"/>
  <c r="B904" i="2"/>
  <c r="AA904" i="2" s="1"/>
  <c r="B905" i="2"/>
  <c r="AD905" i="2" s="1"/>
  <c r="B906" i="2"/>
  <c r="B907" i="2"/>
  <c r="B908" i="2"/>
  <c r="AA908" i="2" s="1"/>
  <c r="B909" i="2"/>
  <c r="B910" i="2"/>
  <c r="AA910" i="2" s="1"/>
  <c r="B911" i="2"/>
  <c r="B912" i="2"/>
  <c r="AA912" i="2" s="1"/>
  <c r="B913" i="2"/>
  <c r="AA913" i="2" s="1"/>
  <c r="B914" i="2"/>
  <c r="AA914" i="2" s="1"/>
  <c r="B915" i="2"/>
  <c r="B916" i="2"/>
  <c r="AA916" i="2" s="1"/>
  <c r="B917" i="2"/>
  <c r="AD917" i="2" s="1"/>
  <c r="B918" i="2"/>
  <c r="B919" i="2"/>
  <c r="B920" i="2"/>
  <c r="AA920" i="2" s="1"/>
  <c r="B921" i="2"/>
  <c r="AD921" i="2" s="1"/>
  <c r="B922" i="2"/>
  <c r="AA922" i="2" s="1"/>
  <c r="B923" i="2"/>
  <c r="AD923" i="2" s="1"/>
  <c r="B924" i="2"/>
  <c r="AA924" i="2" s="1"/>
  <c r="B925" i="2"/>
  <c r="AD925" i="2" s="1"/>
  <c r="B926" i="2"/>
  <c r="AD926" i="2" s="1"/>
  <c r="B927" i="2"/>
  <c r="AD927" i="2" s="1"/>
  <c r="B928" i="2"/>
  <c r="AA928" i="2" s="1"/>
  <c r="B929" i="2"/>
  <c r="AD929" i="2" s="1"/>
  <c r="B930" i="2"/>
  <c r="AD930" i="2" s="1"/>
  <c r="B931" i="2"/>
  <c r="AD931" i="2" s="1"/>
  <c r="B932" i="2"/>
  <c r="AD932" i="2" s="1"/>
  <c r="B933" i="2"/>
  <c r="AD933" i="2" s="1"/>
  <c r="B934" i="2"/>
  <c r="AD934" i="2" s="1"/>
  <c r="B935" i="2"/>
  <c r="AA935" i="2" s="1"/>
  <c r="B936" i="2"/>
  <c r="AA936" i="2" s="1"/>
  <c r="B937" i="2"/>
  <c r="AA937" i="2" s="1"/>
  <c r="B938" i="2"/>
  <c r="B939" i="2"/>
  <c r="AA939" i="2" s="1"/>
  <c r="B940" i="2"/>
  <c r="AA940" i="2" s="1"/>
  <c r="B941" i="2"/>
  <c r="AA941" i="2" s="1"/>
  <c r="B942" i="2"/>
  <c r="B943" i="2"/>
  <c r="AA943" i="2" s="1"/>
  <c r="B944" i="2"/>
  <c r="AA944" i="2" s="1"/>
  <c r="B945" i="2"/>
  <c r="AA945" i="2" s="1"/>
  <c r="B946" i="2"/>
  <c r="AD946" i="2" s="1"/>
  <c r="B947" i="2"/>
  <c r="AA947" i="2" s="1"/>
  <c r="B948" i="2"/>
  <c r="AA948" i="2" s="1"/>
  <c r="B949" i="2"/>
  <c r="AA949" i="2" s="1"/>
  <c r="B950" i="2"/>
  <c r="AD950" i="2" s="1"/>
  <c r="B951" i="2"/>
  <c r="AA951" i="2" s="1"/>
  <c r="B952" i="2"/>
  <c r="AA952" i="2" s="1"/>
  <c r="B953" i="2"/>
  <c r="AA953" i="2" s="1"/>
  <c r="B954" i="2"/>
  <c r="B955" i="2"/>
  <c r="AA955" i="2" s="1"/>
  <c r="B956" i="2"/>
  <c r="AA956" i="2" s="1"/>
  <c r="B957" i="2"/>
  <c r="AA957" i="2" s="1"/>
  <c r="B958" i="2"/>
  <c r="AD958" i="2" s="1"/>
  <c r="B959" i="2"/>
  <c r="AA959" i="2" s="1"/>
  <c r="B960" i="2"/>
  <c r="AA960" i="2" s="1"/>
  <c r="B961" i="2"/>
  <c r="AA961" i="2" s="1"/>
  <c r="B962" i="2"/>
  <c r="AD962" i="2" s="1"/>
  <c r="B963" i="2"/>
  <c r="AA963" i="2" s="1"/>
  <c r="B964" i="2"/>
  <c r="AA964" i="2" s="1"/>
  <c r="B965" i="2"/>
  <c r="AA965" i="2" s="1"/>
  <c r="B966" i="2"/>
  <c r="AD966" i="2" s="1"/>
  <c r="B967" i="2"/>
  <c r="AA967" i="2" s="1"/>
  <c r="B968" i="2"/>
  <c r="AA968" i="2" s="1"/>
  <c r="B969" i="2"/>
  <c r="AD969" i="2" s="1"/>
  <c r="B970" i="2"/>
  <c r="AD970" i="2" s="1"/>
  <c r="B971" i="2"/>
  <c r="AD971" i="2" s="1"/>
  <c r="B972" i="2"/>
  <c r="AA972" i="2" s="1"/>
  <c r="B973" i="2"/>
  <c r="AD973" i="2" s="1"/>
  <c r="B974" i="2"/>
  <c r="AD974" i="2" s="1"/>
  <c r="B975" i="2"/>
  <c r="AD975" i="2" s="1"/>
  <c r="B976" i="2"/>
  <c r="AD976" i="2" s="1"/>
  <c r="B977" i="2"/>
  <c r="AD977" i="2" s="1"/>
  <c r="B978" i="2"/>
  <c r="AD978" i="2" s="1"/>
  <c r="B979" i="2"/>
  <c r="AD979" i="2" s="1"/>
  <c r="B980" i="2"/>
  <c r="AA980" i="2" s="1"/>
  <c r="B981" i="2"/>
  <c r="AD981" i="2" s="1"/>
  <c r="B982" i="2"/>
  <c r="AA982" i="2" s="1"/>
  <c r="B983" i="2"/>
  <c r="AD983" i="2" s="1"/>
  <c r="B984" i="2"/>
  <c r="AD984" i="2" s="1"/>
  <c r="B985" i="2"/>
  <c r="AA985" i="2" s="1"/>
  <c r="B986" i="2"/>
  <c r="AD986" i="2" s="1"/>
  <c r="B987" i="2"/>
  <c r="AA987" i="2" s="1"/>
  <c r="B988" i="2"/>
  <c r="AD988" i="2" s="1"/>
  <c r="B989" i="2"/>
  <c r="B990" i="2"/>
  <c r="B991" i="2"/>
  <c r="AA991" i="2" s="1"/>
  <c r="B992" i="2"/>
  <c r="AD992" i="2" s="1"/>
  <c r="B993" i="2"/>
  <c r="AD993" i="2" s="1"/>
  <c r="B994" i="2"/>
  <c r="B995" i="2"/>
  <c r="AA995" i="2" s="1"/>
  <c r="B996" i="2"/>
  <c r="AA996" i="2" s="1"/>
  <c r="B997" i="2"/>
  <c r="B998" i="2"/>
  <c r="AD998" i="2" s="1"/>
  <c r="B999" i="2"/>
  <c r="AA999" i="2" s="1"/>
  <c r="B1000" i="2"/>
  <c r="AA1000" i="2" s="1"/>
  <c r="B1001" i="2"/>
  <c r="AA1001" i="2" s="1"/>
  <c r="B1002" i="2"/>
  <c r="B1003" i="2"/>
  <c r="AA1003" i="2" s="1"/>
  <c r="B1004" i="2"/>
  <c r="AA1004" i="2" s="1"/>
  <c r="B1005" i="2"/>
  <c r="B1006" i="2"/>
  <c r="B1007" i="2"/>
  <c r="AA1007" i="2" s="1"/>
  <c r="B1008" i="2"/>
  <c r="AA1008" i="2" s="1"/>
  <c r="B1009" i="2"/>
  <c r="AA1009" i="2" s="1"/>
  <c r="B1010" i="2"/>
  <c r="B1011" i="2"/>
  <c r="B1012" i="2"/>
  <c r="B1013" i="2"/>
  <c r="B1014" i="2"/>
  <c r="B1015" i="2"/>
  <c r="B1016" i="2"/>
  <c r="AD1016" i="2" s="1"/>
  <c r="B1017" i="2"/>
  <c r="AA1017" i="2" s="1"/>
  <c r="B1018" i="2"/>
  <c r="AD1018" i="2" s="1"/>
  <c r="B1019" i="2"/>
  <c r="B1020" i="2"/>
  <c r="AD1020" i="2" s="1"/>
  <c r="B1021" i="2"/>
  <c r="AD1021" i="2" s="1"/>
  <c r="B1022" i="2"/>
  <c r="AA1022" i="2" s="1"/>
  <c r="B1023" i="2"/>
  <c r="B1024" i="2"/>
  <c r="AD1024" i="2" s="1"/>
  <c r="B1025" i="2"/>
  <c r="AD1025" i="2" s="1"/>
  <c r="B1026" i="2"/>
  <c r="AA1026" i="2" s="1"/>
  <c r="B1027" i="2"/>
  <c r="AA1027" i="2" s="1"/>
  <c r="B1028" i="2"/>
  <c r="AD1028" i="2" s="1"/>
  <c r="B1029" i="2"/>
  <c r="B1030" i="2"/>
  <c r="B1031" i="2"/>
  <c r="AA1031" i="2" s="1"/>
  <c r="B1032" i="2"/>
  <c r="AA1032" i="2" s="1"/>
  <c r="B1033" i="2"/>
  <c r="AA1033" i="2" s="1"/>
  <c r="B1034" i="2"/>
  <c r="B1035" i="2"/>
  <c r="AA1035" i="2" s="1"/>
  <c r="B1036" i="2"/>
  <c r="B1037" i="2"/>
  <c r="AA1037" i="2" s="1"/>
  <c r="B1038" i="2"/>
  <c r="B1039" i="2"/>
  <c r="AA1039" i="2" s="1"/>
  <c r="B1040" i="2"/>
  <c r="AD1040" i="2" s="1"/>
  <c r="B1041" i="2"/>
  <c r="AD1041" i="2" s="1"/>
  <c r="B1042" i="2"/>
  <c r="B1043" i="2"/>
  <c r="B1044" i="2"/>
  <c r="B1045" i="2"/>
  <c r="AD1045" i="2" s="1"/>
  <c r="B1046" i="2"/>
  <c r="AA1046" i="2" s="1"/>
  <c r="B1047" i="2"/>
  <c r="B1048" i="2"/>
  <c r="AA1048" i="2" s="1"/>
  <c r="B1049" i="2"/>
  <c r="AA1049" i="2" s="1"/>
  <c r="B1050" i="2"/>
  <c r="B1051" i="2"/>
  <c r="AD1051" i="2" s="1"/>
  <c r="B1052" i="2"/>
  <c r="AA1052" i="2" s="1"/>
  <c r="B1053" i="2"/>
  <c r="AA1053" i="2" s="1"/>
  <c r="B1054" i="2"/>
  <c r="B1055" i="2"/>
  <c r="AD1055" i="2" s="1"/>
  <c r="B1056" i="2"/>
  <c r="B1057" i="2"/>
  <c r="AA1057" i="2" s="1"/>
  <c r="B1058" i="2"/>
  <c r="B1059" i="2"/>
  <c r="AA1059" i="2" s="1"/>
  <c r="B1060" i="2"/>
  <c r="B1061" i="2"/>
  <c r="AA1061" i="2" s="1"/>
  <c r="B1062" i="2"/>
  <c r="AD1062" i="2" s="1"/>
  <c r="B1063" i="2"/>
  <c r="AA1063" i="2" s="1"/>
  <c r="B1064" i="2"/>
  <c r="AD1064" i="2" s="1"/>
  <c r="B1065" i="2"/>
  <c r="AD1065" i="2" s="1"/>
  <c r="B1066" i="2"/>
  <c r="B1067" i="2"/>
  <c r="B1068" i="2"/>
  <c r="AA1068" i="2" s="1"/>
  <c r="B1069" i="2"/>
  <c r="AD1069" i="2" s="1"/>
  <c r="B1070" i="2"/>
  <c r="AD1070" i="2" s="1"/>
  <c r="B1071" i="2"/>
  <c r="B1072" i="2"/>
  <c r="AA1072" i="2" s="1"/>
  <c r="B1073" i="2"/>
  <c r="AA1073" i="2" s="1"/>
  <c r="B1074" i="2"/>
  <c r="B1075" i="2"/>
  <c r="B1076" i="2"/>
  <c r="AA1076" i="2" s="1"/>
  <c r="B1077" i="2"/>
  <c r="AA1077" i="2" s="1"/>
  <c r="B1078" i="2"/>
  <c r="AA1078" i="2" s="1"/>
  <c r="B1079" i="2"/>
  <c r="B1080" i="2"/>
  <c r="AA1080" i="2" s="1"/>
  <c r="B1081" i="2"/>
  <c r="AD1081" i="2" s="1"/>
  <c r="B1082" i="2"/>
  <c r="B1083" i="2"/>
  <c r="B1084" i="2"/>
  <c r="AA1084" i="2" s="1"/>
  <c r="B1085" i="2"/>
  <c r="AA1085" i="2" s="1"/>
  <c r="B1086" i="2"/>
  <c r="AD1086" i="2" s="1"/>
  <c r="B1087" i="2"/>
  <c r="B1088" i="2"/>
  <c r="AA1088" i="2" s="1"/>
  <c r="B1089" i="2"/>
  <c r="B1090" i="2"/>
  <c r="B1091" i="2"/>
  <c r="B1092" i="2"/>
  <c r="AA1092" i="2" s="1"/>
  <c r="B1093" i="2"/>
  <c r="AD1093" i="2" s="1"/>
  <c r="B1094" i="2"/>
  <c r="B1095" i="2"/>
  <c r="B1096" i="2"/>
  <c r="AD1096" i="2" s="1"/>
  <c r="B1097" i="2"/>
  <c r="AA1097" i="2" s="1"/>
  <c r="B1098" i="2"/>
  <c r="AA1098" i="2" s="1"/>
  <c r="B1099" i="2"/>
  <c r="B1100" i="2"/>
  <c r="AA1100" i="2" s="1"/>
  <c r="B1101" i="2"/>
  <c r="B1102" i="2"/>
  <c r="B1103" i="2"/>
  <c r="B1104" i="2"/>
  <c r="AA1104" i="2" s="1"/>
  <c r="B1105" i="2"/>
  <c r="AA1105" i="2" s="1"/>
  <c r="B1106" i="2"/>
  <c r="AD1106" i="2" s="1"/>
  <c r="B1107" i="2"/>
  <c r="B1108" i="2"/>
  <c r="AD1108" i="2" s="1"/>
  <c r="B1109" i="2"/>
  <c r="AA1109" i="2" s="1"/>
  <c r="B1110" i="2"/>
  <c r="B1111" i="2"/>
  <c r="B1112" i="2"/>
  <c r="AA1112" i="2" s="1"/>
  <c r="B1113" i="2"/>
  <c r="AA1113" i="2" s="1"/>
  <c r="B1114" i="2"/>
  <c r="AA1114" i="2" s="1"/>
  <c r="B1115" i="2"/>
  <c r="B1116" i="2"/>
  <c r="AA1116" i="2" s="1"/>
  <c r="B1117" i="2"/>
  <c r="AA1117" i="2" s="1"/>
  <c r="B1118" i="2"/>
  <c r="B1119" i="2"/>
  <c r="B1120" i="2"/>
  <c r="AA1120" i="2" s="1"/>
  <c r="B1121" i="2"/>
  <c r="AD1121" i="2" s="1"/>
  <c r="B1122" i="2"/>
  <c r="B1123" i="2"/>
  <c r="B1124" i="2"/>
  <c r="AA1124" i="2" s="1"/>
  <c r="B1125" i="2"/>
  <c r="AA1125" i="2" s="1"/>
  <c r="B1126" i="2"/>
  <c r="AA1126" i="2" s="1"/>
  <c r="B1127" i="2"/>
  <c r="B1128" i="2"/>
  <c r="AA1128" i="2" s="1"/>
  <c r="B1129" i="2"/>
  <c r="AD1129" i="2" s="1"/>
  <c r="B1130" i="2"/>
  <c r="B1131" i="2"/>
  <c r="AD1131" i="2" s="1"/>
  <c r="B1132" i="2"/>
  <c r="B1133" i="2"/>
  <c r="AA1133" i="2" s="1"/>
  <c r="B1134" i="2"/>
  <c r="AD1134" i="2" s="1"/>
  <c r="B1135" i="2"/>
  <c r="AD1135" i="2" s="1"/>
  <c r="B1136" i="2"/>
  <c r="B1137" i="2"/>
  <c r="B1138" i="2"/>
  <c r="B1139" i="2"/>
  <c r="B1140" i="2"/>
  <c r="B1141" i="2"/>
  <c r="AD1141" i="2" s="1"/>
  <c r="B1142" i="2"/>
  <c r="AD1142" i="2" s="1"/>
  <c r="B1143" i="2"/>
  <c r="B1144" i="2"/>
  <c r="B1145" i="2"/>
  <c r="B1146" i="2"/>
  <c r="B1147" i="2"/>
  <c r="AA1147" i="2" s="1"/>
  <c r="B1148" i="2"/>
  <c r="AA1148" i="2" s="1"/>
  <c r="B1149" i="2"/>
  <c r="AD1149" i="2" s="1"/>
  <c r="B1150" i="2"/>
  <c r="B1151" i="2"/>
  <c r="B1152" i="2"/>
  <c r="B1153" i="2"/>
  <c r="AA1153" i="2" s="1"/>
  <c r="B1154" i="2"/>
  <c r="AD1154" i="2" s="1"/>
  <c r="B1155" i="2"/>
  <c r="B1156" i="2"/>
  <c r="B1157" i="2"/>
  <c r="AD1157" i="2" s="1"/>
  <c r="B1158" i="2"/>
  <c r="B1159" i="2"/>
  <c r="AA1159" i="2" s="1"/>
  <c r="B1160" i="2"/>
  <c r="B1161" i="2"/>
  <c r="AA1161" i="2" s="1"/>
  <c r="B1162" i="2"/>
  <c r="B1163" i="2"/>
  <c r="B1164" i="2"/>
  <c r="B1165" i="2"/>
  <c r="AA1165" i="2" s="1"/>
  <c r="B1166" i="2"/>
  <c r="B1167" i="2"/>
  <c r="AD1167" i="2" s="1"/>
  <c r="B1168" i="2"/>
  <c r="B1169" i="2"/>
  <c r="AA1169" i="2" s="1"/>
  <c r="B1170" i="2"/>
  <c r="B1171" i="2"/>
  <c r="AD1171" i="2" s="1"/>
  <c r="B1172" i="2"/>
  <c r="B1173" i="2"/>
  <c r="AA1173" i="2" s="1"/>
  <c r="B1174" i="2"/>
  <c r="B1175" i="2"/>
  <c r="AA1175" i="2" s="1"/>
  <c r="B1176" i="2"/>
  <c r="B1177" i="2"/>
  <c r="AA1177" i="2" s="1"/>
  <c r="B1178" i="2"/>
  <c r="B1179" i="2"/>
  <c r="B1180" i="2"/>
  <c r="B1181" i="2"/>
  <c r="AA1181" i="2" s="1"/>
  <c r="B1182" i="2"/>
  <c r="B1183" i="2"/>
  <c r="AD1183" i="2" s="1"/>
  <c r="B1184" i="2"/>
  <c r="B1185" i="2"/>
  <c r="B1186" i="2"/>
  <c r="B1187" i="2"/>
  <c r="AA1187" i="2" s="1"/>
  <c r="B1188" i="2"/>
  <c r="B1189" i="2"/>
  <c r="AD1189" i="2" s="1"/>
  <c r="B1190" i="2"/>
  <c r="B1191" i="2"/>
  <c r="AA1191" i="2" s="1"/>
  <c r="B1192" i="2"/>
  <c r="AD1192" i="2" s="1"/>
  <c r="B1193" i="2"/>
  <c r="AD1193" i="2" s="1"/>
  <c r="B1194" i="2"/>
  <c r="B1195" i="2"/>
  <c r="AA1195" i="2" s="1"/>
  <c r="B1196" i="2"/>
  <c r="B1197" i="2"/>
  <c r="AD1197" i="2" s="1"/>
  <c r="B1198" i="2"/>
  <c r="B1199" i="2"/>
  <c r="AA1199" i="2" s="1"/>
  <c r="B1200" i="2"/>
  <c r="AD1200" i="2" s="1"/>
  <c r="B1201" i="2"/>
  <c r="AA1201" i="2" s="1"/>
  <c r="B1202" i="2"/>
  <c r="AD1202" i="2" s="1"/>
  <c r="B1203" i="2"/>
  <c r="AA1203" i="2" s="1"/>
  <c r="B1204" i="2"/>
  <c r="AD1204" i="2" s="1"/>
  <c r="B1205" i="2"/>
  <c r="AA1205" i="2" s="1"/>
  <c r="B1206" i="2"/>
  <c r="B1207" i="2"/>
  <c r="AD1207" i="2" s="1"/>
  <c r="B1208" i="2"/>
  <c r="AA1208" i="2" s="1"/>
  <c r="B1209" i="2"/>
  <c r="AD1209" i="2" s="1"/>
  <c r="B1210" i="2"/>
  <c r="AA1210" i="2" s="1"/>
  <c r="B1211" i="2"/>
  <c r="AA1211" i="2" s="1"/>
  <c r="B1212" i="2"/>
  <c r="AD1212" i="2" s="1"/>
  <c r="B1213" i="2"/>
  <c r="AA1213" i="2" s="1"/>
  <c r="B1214" i="2"/>
  <c r="B1215" i="2"/>
  <c r="AD1215" i="2" s="1"/>
  <c r="B1216" i="2"/>
  <c r="B1217" i="2"/>
  <c r="AA1217" i="2" s="1"/>
  <c r="B1218" i="2"/>
  <c r="AA1218" i="2" s="1"/>
  <c r="B1219" i="2"/>
  <c r="AD1219" i="2" s="1"/>
  <c r="B1220" i="2"/>
  <c r="AD1220" i="2" s="1"/>
  <c r="B1221" i="2"/>
  <c r="AA1221" i="2" s="1"/>
  <c r="B1222" i="2"/>
  <c r="B1223" i="2"/>
  <c r="AD1223" i="2" s="1"/>
  <c r="B1224" i="2"/>
  <c r="AD1224" i="2" s="1"/>
  <c r="B1225" i="2"/>
  <c r="AD1225" i="2" s="1"/>
  <c r="B1226" i="2"/>
  <c r="AA1226" i="2" s="1"/>
  <c r="B1227" i="2"/>
  <c r="B1228" i="2"/>
  <c r="AD1228" i="2" s="1"/>
  <c r="B1229" i="2"/>
  <c r="AD1229" i="2" s="1"/>
  <c r="B1230" i="2"/>
  <c r="B1231" i="2"/>
  <c r="B1232" i="2"/>
  <c r="AA1232" i="2" s="1"/>
  <c r="B1233" i="2"/>
  <c r="AA1233" i="2" s="1"/>
  <c r="B1234" i="2"/>
  <c r="B1235" i="2"/>
  <c r="AD1235" i="2" s="1"/>
  <c r="B1236" i="2"/>
  <c r="AA1236" i="2" s="1"/>
  <c r="B1237" i="2"/>
  <c r="AA1237" i="2" s="1"/>
  <c r="B1238" i="2"/>
  <c r="AD1240" i="2"/>
  <c r="AA1241" i="2"/>
  <c r="AA1243" i="2"/>
  <c r="AA1244" i="2"/>
  <c r="C546" i="2"/>
  <c r="B546" i="2"/>
  <c r="H546" i="2" s="1"/>
  <c r="AB1248" i="2"/>
  <c r="AC1248" i="2"/>
  <c r="AE1248" i="2"/>
  <c r="AF1248" i="2"/>
  <c r="B534" i="2"/>
  <c r="C534" i="2"/>
  <c r="E534" i="2"/>
  <c r="F534" i="2"/>
  <c r="G534" i="2"/>
  <c r="I534" i="2"/>
  <c r="J534" i="2"/>
  <c r="K534" i="2"/>
  <c r="M534" i="2"/>
  <c r="N534" i="2"/>
  <c r="O534" i="2"/>
  <c r="S534" i="2"/>
  <c r="AC534" i="2"/>
  <c r="AF534" i="2"/>
  <c r="AI534" i="2"/>
  <c r="AJ534" i="2"/>
  <c r="AK534" i="2"/>
  <c r="AL534" i="2"/>
  <c r="AM534" i="2"/>
  <c r="B535" i="2"/>
  <c r="C535" i="2"/>
  <c r="E535" i="2"/>
  <c r="F535" i="2"/>
  <c r="I535" i="2"/>
  <c r="J535" i="2"/>
  <c r="K535" i="2"/>
  <c r="M535" i="2"/>
  <c r="N535" i="2"/>
  <c r="O535" i="2"/>
  <c r="S535" i="2"/>
  <c r="AC535" i="2"/>
  <c r="AF535" i="2"/>
  <c r="AI535" i="2"/>
  <c r="AJ535" i="2"/>
  <c r="AK535" i="2"/>
  <c r="AL535" i="2"/>
  <c r="AM535" i="2"/>
  <c r="AD536" i="2" l="1"/>
  <c r="AD611" i="2"/>
  <c r="AA973" i="2"/>
  <c r="AD885" i="2"/>
  <c r="AD961" i="2"/>
  <c r="AA837" i="2"/>
  <c r="AD584" i="2"/>
  <c r="AD640" i="2"/>
  <c r="AA756" i="2"/>
  <c r="AA683" i="2"/>
  <c r="AA552" i="2"/>
  <c r="AA797" i="2"/>
  <c r="AA632" i="2"/>
  <c r="AD575" i="2"/>
  <c r="AA824" i="2"/>
  <c r="AD940" i="2"/>
  <c r="AD629" i="2"/>
  <c r="AD1046" i="2"/>
  <c r="AD941" i="2"/>
  <c r="AD861" i="2"/>
  <c r="AA769" i="2"/>
  <c r="AA933" i="2"/>
  <c r="AD982" i="2"/>
  <c r="AD949" i="2"/>
  <c r="AA917" i="2"/>
  <c r="AD948" i="2"/>
  <c r="AD784" i="2"/>
  <c r="AD555" i="2"/>
  <c r="AD1104" i="2"/>
  <c r="AD947" i="2"/>
  <c r="AA728" i="2"/>
  <c r="AA932" i="2"/>
  <c r="AD708" i="2"/>
  <c r="AA591" i="2"/>
  <c r="AD579" i="2"/>
  <c r="AD900" i="2"/>
  <c r="AD667" i="2"/>
  <c r="AA1028" i="2"/>
  <c r="AA1021" i="2"/>
  <c r="AD1169" i="2"/>
  <c r="AD559" i="2"/>
  <c r="AD956" i="2"/>
  <c r="AD937" i="2"/>
  <c r="AA901" i="2"/>
  <c r="AD792" i="2"/>
  <c r="AD737" i="2"/>
  <c r="AA672" i="2"/>
  <c r="AD600" i="2"/>
  <c r="AA1141" i="2"/>
  <c r="AD957" i="2"/>
  <c r="AD583" i="2"/>
  <c r="AD965" i="2"/>
  <c r="AD920" i="2"/>
  <c r="AA849" i="2"/>
  <c r="AA796" i="2"/>
  <c r="AD692" i="2"/>
  <c r="AA644" i="2"/>
  <c r="AD1001" i="2"/>
  <c r="AD1221" i="2"/>
  <c r="AA981" i="2"/>
  <c r="AD556" i="2"/>
  <c r="AD964" i="2"/>
  <c r="AD953" i="2"/>
  <c r="AD945" i="2"/>
  <c r="AD893" i="2"/>
  <c r="AA844" i="2"/>
  <c r="AD785" i="2"/>
  <c r="AD776" i="2"/>
  <c r="AA733" i="2"/>
  <c r="AD691" i="2"/>
  <c r="AA671" i="2"/>
  <c r="AA643" i="2"/>
  <c r="AA616" i="2"/>
  <c r="AA1157" i="2"/>
  <c r="AA574" i="2"/>
  <c r="AA887" i="2"/>
  <c r="AA573" i="2"/>
  <c r="AD959" i="2"/>
  <c r="AD812" i="2"/>
  <c r="AA808" i="2"/>
  <c r="AD752" i="2"/>
  <c r="AD724" i="2"/>
  <c r="AA651" i="2"/>
  <c r="AD1072" i="2"/>
  <c r="AA586" i="2"/>
  <c r="AA582" i="2"/>
  <c r="AD939" i="2"/>
  <c r="AA931" i="2"/>
  <c r="AA871" i="2"/>
  <c r="AD561" i="2"/>
  <c r="AD963" i="2"/>
  <c r="AD943" i="2"/>
  <c r="AA958" i="2"/>
  <c r="AA926" i="2"/>
  <c r="AD855" i="2"/>
  <c r="AD653" i="2"/>
  <c r="AD951" i="2"/>
  <c r="AD1211" i="2"/>
  <c r="AA970" i="2"/>
  <c r="AD967" i="2"/>
  <c r="AD955" i="2"/>
  <c r="AD935" i="2"/>
  <c r="AA934" i="2"/>
  <c r="AD839" i="2"/>
  <c r="AA998" i="2"/>
  <c r="AA1204" i="2"/>
  <c r="AA978" i="2"/>
  <c r="AA587" i="2"/>
  <c r="AD577" i="2"/>
  <c r="AA571" i="2"/>
  <c r="AD968" i="2"/>
  <c r="AD952" i="2"/>
  <c r="AD936" i="2"/>
  <c r="AD874" i="2"/>
  <c r="AA848" i="2"/>
  <c r="AD816" i="2"/>
  <c r="AD764" i="2"/>
  <c r="AA768" i="2"/>
  <c r="AD736" i="2"/>
  <c r="AA732" i="2"/>
  <c r="AD659" i="2"/>
  <c r="AD639" i="2"/>
  <c r="AD619" i="2"/>
  <c r="AA623" i="2"/>
  <c r="AA593" i="2"/>
  <c r="AA988" i="2"/>
  <c r="AD1120" i="2"/>
  <c r="AA984" i="2"/>
  <c r="AD972" i="2"/>
  <c r="AA563" i="2"/>
  <c r="AD960" i="2"/>
  <c r="AD944" i="2"/>
  <c r="AD922" i="2"/>
  <c r="AA856" i="2"/>
  <c r="AD798" i="2"/>
  <c r="AA780" i="2"/>
  <c r="AA748" i="2"/>
  <c r="AD716" i="2"/>
  <c r="AA710" i="2"/>
  <c r="AD687" i="2"/>
  <c r="AD627" i="2"/>
  <c r="AD607" i="2"/>
  <c r="AA615" i="2"/>
  <c r="AD1032" i="2"/>
  <c r="AA1064" i="2"/>
  <c r="AD1092" i="2"/>
  <c r="AA1238" i="2"/>
  <c r="AD1238" i="2"/>
  <c r="AD1222" i="2"/>
  <c r="AA1222" i="2"/>
  <c r="AA1206" i="2"/>
  <c r="AD1206" i="2"/>
  <c r="AA1194" i="2"/>
  <c r="AD1194" i="2"/>
  <c r="AA1178" i="2"/>
  <c r="AD1178" i="2"/>
  <c r="AD1162" i="2"/>
  <c r="AA1162" i="2"/>
  <c r="AA1110" i="2"/>
  <c r="AD1110" i="2"/>
  <c r="AD1094" i="2"/>
  <c r="AA1094" i="2"/>
  <c r="AD1082" i="2"/>
  <c r="AA1082" i="2"/>
  <c r="AA1050" i="2"/>
  <c r="AD1050" i="2"/>
  <c r="AD1034" i="2"/>
  <c r="AA1034" i="2"/>
  <c r="AA1002" i="2"/>
  <c r="AD1002" i="2"/>
  <c r="AA938" i="2"/>
  <c r="AD938" i="2"/>
  <c r="AA826" i="2"/>
  <c r="AD826" i="2"/>
  <c r="AA806" i="2"/>
  <c r="AD806" i="2"/>
  <c r="AA790" i="2"/>
  <c r="AD790" i="2"/>
  <c r="AD778" i="2"/>
  <c r="AA778" i="2"/>
  <c r="AA746" i="2"/>
  <c r="AD746" i="2"/>
  <c r="AD685" i="2"/>
  <c r="AA685" i="2"/>
  <c r="AA669" i="2"/>
  <c r="AD669" i="2"/>
  <c r="AD641" i="2"/>
  <c r="AA641" i="2"/>
  <c r="AD621" i="2"/>
  <c r="AA621" i="2"/>
  <c r="AD1230" i="2"/>
  <c r="AA1230" i="2"/>
  <c r="AD1214" i="2"/>
  <c r="AA1214" i="2"/>
  <c r="AD1198" i="2"/>
  <c r="AA1198" i="2"/>
  <c r="AD1182" i="2"/>
  <c r="AA1182" i="2"/>
  <c r="AD1150" i="2"/>
  <c r="AA1150" i="2"/>
  <c r="AA1138" i="2"/>
  <c r="AD1138" i="2"/>
  <c r="AA1118" i="2"/>
  <c r="AD1118" i="2"/>
  <c r="AA1102" i="2"/>
  <c r="AD1102" i="2"/>
  <c r="AA1090" i="2"/>
  <c r="AD1090" i="2"/>
  <c r="AA1054" i="2"/>
  <c r="AD1054" i="2"/>
  <c r="AA1042" i="2"/>
  <c r="AD1042" i="2"/>
  <c r="AD1006" i="2"/>
  <c r="AA1006" i="2"/>
  <c r="AD994" i="2"/>
  <c r="AA994" i="2"/>
  <c r="AA898" i="2"/>
  <c r="AD898" i="2"/>
  <c r="AD878" i="2"/>
  <c r="AA878" i="2"/>
  <c r="AD862" i="2"/>
  <c r="AA862" i="2"/>
  <c r="AD846" i="2"/>
  <c r="AA846" i="2"/>
  <c r="AA834" i="2"/>
  <c r="AD834" i="2"/>
  <c r="AA818" i="2"/>
  <c r="AD818" i="2"/>
  <c r="AA782" i="2"/>
  <c r="AD782" i="2"/>
  <c r="AD766" i="2"/>
  <c r="AA766" i="2"/>
  <c r="AA750" i="2"/>
  <c r="AD750" i="2"/>
  <c r="AA734" i="2"/>
  <c r="AD734" i="2"/>
  <c r="AA718" i="2"/>
  <c r="AD718" i="2"/>
  <c r="AD705" i="2"/>
  <c r="AA705" i="2"/>
  <c r="AD649" i="2"/>
  <c r="AA649" i="2"/>
  <c r="AA613" i="2"/>
  <c r="AD613" i="2"/>
  <c r="AA601" i="2"/>
  <c r="AD601" i="2"/>
  <c r="AD589" i="2"/>
  <c r="AA966" i="2"/>
  <c r="AA866" i="2"/>
  <c r="AD838" i="2"/>
  <c r="AD774" i="2"/>
  <c r="AA754" i="2"/>
  <c r="AD677" i="2"/>
  <c r="AA689" i="2"/>
  <c r="AD1026" i="2"/>
  <c r="AA1018" i="2"/>
  <c r="AA1134" i="2"/>
  <c r="AD1126" i="2"/>
  <c r="AD1098" i="2"/>
  <c r="AA1070" i="2"/>
  <c r="AA1190" i="2"/>
  <c r="AD1190" i="2"/>
  <c r="AA1146" i="2"/>
  <c r="AD1146" i="2"/>
  <c r="AA1130" i="2"/>
  <c r="AD1130" i="2"/>
  <c r="AD1066" i="2"/>
  <c r="AA1066" i="2"/>
  <c r="AD1030" i="2"/>
  <c r="AA1030" i="2"/>
  <c r="AD1014" i="2"/>
  <c r="AA1014" i="2"/>
  <c r="AA954" i="2"/>
  <c r="AD954" i="2"/>
  <c r="AA918" i="2"/>
  <c r="AD918" i="2"/>
  <c r="AA906" i="2"/>
  <c r="AD906" i="2"/>
  <c r="AA870" i="2"/>
  <c r="AD870" i="2"/>
  <c r="AA858" i="2"/>
  <c r="AD858" i="2"/>
  <c r="AA842" i="2"/>
  <c r="AD842" i="2"/>
  <c r="AA810" i="2"/>
  <c r="AD810" i="2"/>
  <c r="AA794" i="2"/>
  <c r="AD794" i="2"/>
  <c r="AD758" i="2"/>
  <c r="AA758" i="2"/>
  <c r="AD742" i="2"/>
  <c r="AA742" i="2"/>
  <c r="AD730" i="2"/>
  <c r="AA730" i="2"/>
  <c r="AA714" i="2"/>
  <c r="AD714" i="2"/>
  <c r="AA657" i="2"/>
  <c r="AD657" i="2"/>
  <c r="AD625" i="2"/>
  <c r="AA625" i="2"/>
  <c r="AD605" i="2"/>
  <c r="AA605" i="2"/>
  <c r="AD1210" i="2"/>
  <c r="AA974" i="2"/>
  <c r="AD581" i="2"/>
  <c r="AA569" i="2"/>
  <c r="AA950" i="2"/>
  <c r="AD914" i="2"/>
  <c r="AD890" i="2"/>
  <c r="AD822" i="2"/>
  <c r="AD786" i="2"/>
  <c r="AA665" i="2"/>
  <c r="AD597" i="2"/>
  <c r="AA986" i="2"/>
  <c r="AA1154" i="2"/>
  <c r="AA1106" i="2"/>
  <c r="AD1234" i="2"/>
  <c r="AA1234" i="2"/>
  <c r="AA1186" i="2"/>
  <c r="AD1186" i="2"/>
  <c r="AA1170" i="2"/>
  <c r="AD1170" i="2"/>
  <c r="AA1122" i="2"/>
  <c r="AD1122" i="2"/>
  <c r="AA1074" i="2"/>
  <c r="AD1074" i="2"/>
  <c r="AA1058" i="2"/>
  <c r="AD1058" i="2"/>
  <c r="AA1038" i="2"/>
  <c r="AD1038" i="2"/>
  <c r="AA1010" i="2"/>
  <c r="AD1010" i="2"/>
  <c r="AA990" i="2"/>
  <c r="AD990" i="2"/>
  <c r="AA942" i="2"/>
  <c r="AD942" i="2"/>
  <c r="AA894" i="2"/>
  <c r="AD894" i="2"/>
  <c r="AA882" i="2"/>
  <c r="AD882" i="2"/>
  <c r="AA830" i="2"/>
  <c r="AD830" i="2"/>
  <c r="AD814" i="2"/>
  <c r="AA814" i="2"/>
  <c r="AA770" i="2"/>
  <c r="AD770" i="2"/>
  <c r="AD738" i="2"/>
  <c r="AA738" i="2"/>
  <c r="AA722" i="2"/>
  <c r="AD722" i="2"/>
  <c r="AA693" i="2"/>
  <c r="AD693" i="2"/>
  <c r="AA681" i="2"/>
  <c r="AD681" i="2"/>
  <c r="AA661" i="2"/>
  <c r="AD661" i="2"/>
  <c r="AA645" i="2"/>
  <c r="AD645" i="2"/>
  <c r="AA633" i="2"/>
  <c r="AD633" i="2"/>
  <c r="AA617" i="2"/>
  <c r="AD617" i="2"/>
  <c r="AD1226" i="2"/>
  <c r="AA1202" i="2"/>
  <c r="AD565" i="2"/>
  <c r="AD557" i="2"/>
  <c r="AD553" i="2"/>
  <c r="AA962" i="2"/>
  <c r="AA946" i="2"/>
  <c r="AD910" i="2"/>
  <c r="AA930" i="2"/>
  <c r="AA902" i="2"/>
  <c r="AA886" i="2"/>
  <c r="AD854" i="2"/>
  <c r="AA802" i="2"/>
  <c r="AD762" i="2"/>
  <c r="AA726" i="2"/>
  <c r="AA673" i="2"/>
  <c r="AA637" i="2"/>
  <c r="AD609" i="2"/>
  <c r="AD1022" i="2"/>
  <c r="AA1142" i="2"/>
  <c r="AA1062" i="2"/>
  <c r="AD1114" i="2"/>
  <c r="AD1078" i="2"/>
  <c r="AA1086" i="2"/>
  <c r="AD1013" i="2"/>
  <c r="AA1013" i="2"/>
  <c r="AD909" i="2"/>
  <c r="AA909" i="2"/>
  <c r="AA877" i="2"/>
  <c r="AD877" i="2"/>
  <c r="AA805" i="2"/>
  <c r="AD805" i="2"/>
  <c r="AD1185" i="2"/>
  <c r="AA1185" i="2"/>
  <c r="AD1089" i="2"/>
  <c r="AA1089" i="2"/>
  <c r="AA857" i="2"/>
  <c r="AD857" i="2"/>
  <c r="AA680" i="2"/>
  <c r="AD680" i="2"/>
  <c r="AA612" i="2"/>
  <c r="AD612" i="2"/>
  <c r="AA977" i="2"/>
  <c r="AA969" i="2"/>
  <c r="AD564" i="2"/>
  <c r="AA925" i="2"/>
  <c r="AD869" i="2"/>
  <c r="AD817" i="2"/>
  <c r="AD765" i="2"/>
  <c r="AA741" i="2"/>
  <c r="AA721" i="2"/>
  <c r="AA604" i="2"/>
  <c r="AA1171" i="2"/>
  <c r="AA1197" i="2"/>
  <c r="AD1151" i="2"/>
  <c r="AA1151" i="2"/>
  <c r="AA823" i="2"/>
  <c r="AD823" i="2"/>
  <c r="AA709" i="2"/>
  <c r="AD709" i="2"/>
  <c r="AA684" i="2"/>
  <c r="AD684" i="2"/>
  <c r="AA668" i="2"/>
  <c r="AD668" i="2"/>
  <c r="AA652" i="2"/>
  <c r="AD652" i="2"/>
  <c r="AA636" i="2"/>
  <c r="AD636" i="2"/>
  <c r="AA1145" i="2"/>
  <c r="AD1145" i="2"/>
  <c r="AA1005" i="2"/>
  <c r="AD1005" i="2"/>
  <c r="AA809" i="2"/>
  <c r="AD809" i="2"/>
  <c r="AA873" i="2"/>
  <c r="AD757" i="2"/>
  <c r="AA773" i="2"/>
  <c r="AD729" i="2"/>
  <c r="AA664" i="2"/>
  <c r="AD592" i="2"/>
  <c r="AD1009" i="2"/>
  <c r="AA1196" i="2"/>
  <c r="AD1196" i="2"/>
  <c r="AD1044" i="2"/>
  <c r="AA1044" i="2"/>
  <c r="AD836" i="2"/>
  <c r="AA836" i="2"/>
  <c r="AA744" i="2"/>
  <c r="AD744" i="2"/>
  <c r="AA1137" i="2"/>
  <c r="AD1137" i="2"/>
  <c r="AA1029" i="2"/>
  <c r="AD1029" i="2"/>
  <c r="AA997" i="2"/>
  <c r="AD997" i="2"/>
  <c r="AA568" i="2"/>
  <c r="AD913" i="2"/>
  <c r="AA829" i="2"/>
  <c r="AA801" i="2"/>
  <c r="AA676" i="2"/>
  <c r="AA596" i="2"/>
  <c r="AA1193" i="2"/>
  <c r="AD1165" i="2"/>
  <c r="AA1036" i="2"/>
  <c r="AD1036" i="2"/>
  <c r="AD1012" i="2"/>
  <c r="AA1012" i="2"/>
  <c r="AA820" i="2"/>
  <c r="AD820" i="2"/>
  <c r="AA679" i="2"/>
  <c r="AD679" i="2"/>
  <c r="AA631" i="2"/>
  <c r="AD631" i="2"/>
  <c r="AA588" i="2"/>
  <c r="AA580" i="2"/>
  <c r="AA567" i="2"/>
  <c r="AD904" i="2"/>
  <c r="AA929" i="2"/>
  <c r="AA921" i="2"/>
  <c r="AA905" i="2"/>
  <c r="AA897" i="2"/>
  <c r="AD889" i="2"/>
  <c r="AD881" i="2"/>
  <c r="AD865" i="2"/>
  <c r="AA853" i="2"/>
  <c r="AA840" i="2"/>
  <c r="AA833" i="2"/>
  <c r="AA828" i="2"/>
  <c r="AA821" i="2"/>
  <c r="AD789" i="2"/>
  <c r="AA813" i="2"/>
  <c r="AA800" i="2"/>
  <c r="AD781" i="2"/>
  <c r="AD749" i="2"/>
  <c r="AA772" i="2"/>
  <c r="AA753" i="2"/>
  <c r="AD740" i="2"/>
  <c r="AA745" i="2"/>
  <c r="AA717" i="2"/>
  <c r="AA712" i="2"/>
  <c r="AD704" i="2"/>
  <c r="AA688" i="2"/>
  <c r="AA675" i="2"/>
  <c r="AD656" i="2"/>
  <c r="AA660" i="2"/>
  <c r="AA655" i="2"/>
  <c r="AA648" i="2"/>
  <c r="AA635" i="2"/>
  <c r="AA628" i="2"/>
  <c r="AD603" i="2"/>
  <c r="AA620" i="2"/>
  <c r="AA595" i="2"/>
  <c r="AD985" i="2"/>
  <c r="AA992" i="2"/>
  <c r="AD1037" i="2"/>
  <c r="AA1025" i="2"/>
  <c r="AA1016" i="2"/>
  <c r="AA1149" i="2"/>
  <c r="AD1173" i="2"/>
  <c r="AA989" i="2"/>
  <c r="AD989" i="2"/>
  <c r="AA825" i="2"/>
  <c r="AD825" i="2"/>
  <c r="AA793" i="2"/>
  <c r="AD793" i="2"/>
  <c r="AD576" i="2"/>
  <c r="AD572" i="2"/>
  <c r="AA560" i="2"/>
  <c r="AD841" i="2"/>
  <c r="AA761" i="2"/>
  <c r="AA713" i="2"/>
  <c r="AD624" i="2"/>
  <c r="AA993" i="2"/>
  <c r="AD1161" i="2"/>
  <c r="AD1017" i="2"/>
  <c r="AD852" i="2"/>
  <c r="AA852" i="2"/>
  <c r="AA804" i="2"/>
  <c r="AD804" i="2"/>
  <c r="AA788" i="2"/>
  <c r="AD788" i="2"/>
  <c r="AA703" i="2"/>
  <c r="AD703" i="2"/>
  <c r="AA663" i="2"/>
  <c r="AD663" i="2"/>
  <c r="AA647" i="2"/>
  <c r="AD647" i="2"/>
  <c r="AD980" i="2"/>
  <c r="AD916" i="2"/>
  <c r="AD845" i="2"/>
  <c r="AA832" i="2"/>
  <c r="AD760" i="2"/>
  <c r="AA777" i="2"/>
  <c r="AD725" i="2"/>
  <c r="AD720" i="2"/>
  <c r="AD608" i="2"/>
  <c r="AA599" i="2"/>
  <c r="AD1133" i="2"/>
  <c r="AA1045" i="2"/>
  <c r="AD1088" i="2"/>
  <c r="AD1076" i="2"/>
  <c r="AA1189" i="2"/>
  <c r="AA1242" i="2"/>
  <c r="AD1242" i="2"/>
  <c r="AA1174" i="2"/>
  <c r="AD1174" i="2"/>
  <c r="AA1166" i="2"/>
  <c r="AD1166" i="2"/>
  <c r="AA1158" i="2"/>
  <c r="AD1158" i="2"/>
  <c r="AA1224" i="2"/>
  <c r="AD1205" i="2"/>
  <c r="AD1203" i="2"/>
  <c r="AD1199" i="2"/>
  <c r="AA979" i="2"/>
  <c r="AA971" i="2"/>
  <c r="AA867" i="2"/>
  <c r="AD835" i="2"/>
  <c r="AA739" i="2"/>
  <c r="AA735" i="2"/>
  <c r="AA731" i="2"/>
  <c r="AA727" i="2"/>
  <c r="AA723" i="2"/>
  <c r="AA719" i="2"/>
  <c r="AA715" i="2"/>
  <c r="AA711" i="2"/>
  <c r="AD706" i="2"/>
  <c r="AD694" i="2"/>
  <c r="AD690" i="2"/>
  <c r="AD686" i="2"/>
  <c r="AD682" i="2"/>
  <c r="AD678" i="2"/>
  <c r="AD674" i="2"/>
  <c r="AD670" i="2"/>
  <c r="AD666" i="2"/>
  <c r="AD1033" i="2"/>
  <c r="AD1061" i="2"/>
  <c r="AD1039" i="2"/>
  <c r="AD1113" i="2"/>
  <c r="AD1105" i="2"/>
  <c r="AD1213" i="2"/>
  <c r="AD1232" i="2"/>
  <c r="AD1237" i="2"/>
  <c r="AA1223" i="2"/>
  <c r="AD1175" i="2"/>
  <c r="AA1215" i="2"/>
  <c r="AA1209" i="2"/>
  <c r="AD1201" i="2"/>
  <c r="AA983" i="2"/>
  <c r="AA883" i="2"/>
  <c r="AD851" i="2"/>
  <c r="AD1063" i="2"/>
  <c r="AA1065" i="2"/>
  <c r="AD1117" i="2"/>
  <c r="AD1109" i="2"/>
  <c r="AD1073" i="2"/>
  <c r="AD1217" i="2"/>
  <c r="AA570" i="2"/>
  <c r="AA558" i="2"/>
  <c r="AA562" i="2"/>
  <c r="AA554" i="2"/>
  <c r="AA1225" i="2"/>
  <c r="AD1153" i="2"/>
  <c r="AD1057" i="2"/>
  <c r="AD1053" i="2"/>
  <c r="AA1041" i="2"/>
  <c r="AD1125" i="2"/>
  <c r="AD1097" i="2"/>
  <c r="AD1085" i="2"/>
  <c r="AD1077" i="2"/>
  <c r="AA1129" i="2"/>
  <c r="AA1121" i="2"/>
  <c r="AA1101" i="2"/>
  <c r="AA1093" i="2"/>
  <c r="AA1081" i="2"/>
  <c r="AA1069" i="2"/>
  <c r="AD1177" i="2"/>
  <c r="AA1183" i="2"/>
  <c r="AA1229" i="2"/>
  <c r="AD1195" i="2"/>
  <c r="AD1059" i="2"/>
  <c r="AD1049" i="2"/>
  <c r="AD1187" i="2"/>
  <c r="AD1181" i="2"/>
  <c r="AD1218" i="2"/>
  <c r="AD1233" i="2"/>
  <c r="AD1236" i="2"/>
  <c r="AA1188" i="2"/>
  <c r="AD1188" i="2"/>
  <c r="AA1172" i="2"/>
  <c r="AD1172" i="2"/>
  <c r="AA1160" i="2"/>
  <c r="AD1160" i="2"/>
  <c r="AD1140" i="2"/>
  <c r="AA1140" i="2"/>
  <c r="AA1132" i="2"/>
  <c r="AD1132" i="2"/>
  <c r="AD1148" i="2"/>
  <c r="AA1220" i="2"/>
  <c r="AD1244" i="2"/>
  <c r="AD1239" i="2"/>
  <c r="AA1239" i="2"/>
  <c r="AA1227" i="2"/>
  <c r="AD1227" i="2"/>
  <c r="AA1179" i="2"/>
  <c r="AD1179" i="2"/>
  <c r="AA1163" i="2"/>
  <c r="AD1163" i="2"/>
  <c r="AA1139" i="2"/>
  <c r="AD1139" i="2"/>
  <c r="AA1127" i="2"/>
  <c r="AD1127" i="2"/>
  <c r="AA1115" i="2"/>
  <c r="AD1115" i="2"/>
  <c r="AA1103" i="2"/>
  <c r="AD1103" i="2"/>
  <c r="AA1091" i="2"/>
  <c r="AD1091" i="2"/>
  <c r="AA1079" i="2"/>
  <c r="AD1079" i="2"/>
  <c r="AA1067" i="2"/>
  <c r="AD1067" i="2"/>
  <c r="AA1043" i="2"/>
  <c r="AD1043" i="2"/>
  <c r="AD1019" i="2"/>
  <c r="AA1019" i="2"/>
  <c r="AA919" i="2"/>
  <c r="AD919" i="2"/>
  <c r="AA907" i="2"/>
  <c r="AD907" i="2"/>
  <c r="AA895" i="2"/>
  <c r="AD895" i="2"/>
  <c r="AA767" i="2"/>
  <c r="AD767" i="2"/>
  <c r="AA755" i="2"/>
  <c r="AD755" i="2"/>
  <c r="AD743" i="2"/>
  <c r="AA743" i="2"/>
  <c r="AA1180" i="2"/>
  <c r="AD1180" i="2"/>
  <c r="AA1164" i="2"/>
  <c r="AD1164" i="2"/>
  <c r="AA1152" i="2"/>
  <c r="AD1152" i="2"/>
  <c r="AA1108" i="2"/>
  <c r="AA1123" i="2"/>
  <c r="AD1123" i="2"/>
  <c r="AA1111" i="2"/>
  <c r="AD1111" i="2"/>
  <c r="AA1095" i="2"/>
  <c r="AD1095" i="2"/>
  <c r="AA1087" i="2"/>
  <c r="AD1087" i="2"/>
  <c r="AA1071" i="2"/>
  <c r="AD1071" i="2"/>
  <c r="AD1047" i="2"/>
  <c r="AA1047" i="2"/>
  <c r="AD1023" i="2"/>
  <c r="AA1023" i="2"/>
  <c r="AD1011" i="2"/>
  <c r="AA1011" i="2"/>
  <c r="AA915" i="2"/>
  <c r="AD915" i="2"/>
  <c r="AA903" i="2"/>
  <c r="AD903" i="2"/>
  <c r="AA779" i="2"/>
  <c r="AD779" i="2"/>
  <c r="AA775" i="2"/>
  <c r="AD775" i="2"/>
  <c r="AA763" i="2"/>
  <c r="AD763" i="2"/>
  <c r="AA747" i="2"/>
  <c r="AD747" i="2"/>
  <c r="AA662" i="2"/>
  <c r="AD662" i="2"/>
  <c r="AA658" i="2"/>
  <c r="AD658" i="2"/>
  <c r="AA654" i="2"/>
  <c r="AD654" i="2"/>
  <c r="AA650" i="2"/>
  <c r="AD650" i="2"/>
  <c r="AA646" i="2"/>
  <c r="AD646" i="2"/>
  <c r="AA638" i="2"/>
  <c r="AD638" i="2"/>
  <c r="AA626" i="2"/>
  <c r="AD626" i="2"/>
  <c r="AA618" i="2"/>
  <c r="AD618" i="2"/>
  <c r="AA610" i="2"/>
  <c r="AD610" i="2"/>
  <c r="AA606" i="2"/>
  <c r="AD606" i="2"/>
  <c r="AA598" i="2"/>
  <c r="AD598" i="2"/>
  <c r="AA590" i="2"/>
  <c r="AD590" i="2"/>
  <c r="AA1235" i="2"/>
  <c r="AA1212" i="2"/>
  <c r="AD1208" i="2"/>
  <c r="AA1207" i="2"/>
  <c r="AA1200" i="2"/>
  <c r="AA976" i="2"/>
  <c r="AA975" i="2"/>
  <c r="AA578" i="2"/>
  <c r="AA566" i="2"/>
  <c r="AD924" i="2"/>
  <c r="AD908" i="2"/>
  <c r="AA923" i="2"/>
  <c r="AA891" i="2"/>
  <c r="AA875" i="2"/>
  <c r="AA859" i="2"/>
  <c r="AD843" i="2"/>
  <c r="AD827" i="2"/>
  <c r="AA847" i="2"/>
  <c r="AA831" i="2"/>
  <c r="AD819" i="2"/>
  <c r="AD815" i="2"/>
  <c r="AD811" i="2"/>
  <c r="AD807" i="2"/>
  <c r="AD803" i="2"/>
  <c r="AD799" i="2"/>
  <c r="AD795" i="2"/>
  <c r="AD791" i="2"/>
  <c r="AD787" i="2"/>
  <c r="AD1008" i="2"/>
  <c r="AD1004" i="2"/>
  <c r="AD1000" i="2"/>
  <c r="AD996" i="2"/>
  <c r="AA1192" i="2"/>
  <c r="AD1035" i="2"/>
  <c r="AD1027" i="2"/>
  <c r="AA1020" i="2"/>
  <c r="AD1112" i="2"/>
  <c r="AD1080" i="2"/>
  <c r="AA1096" i="2"/>
  <c r="AA1228" i="2"/>
  <c r="AA1184" i="2"/>
  <c r="AD1184" i="2"/>
  <c r="AA1168" i="2"/>
  <c r="AD1168" i="2"/>
  <c r="AD1124" i="2"/>
  <c r="AA1231" i="2"/>
  <c r="AD1231" i="2"/>
  <c r="AD1155" i="2"/>
  <c r="AA1155" i="2"/>
  <c r="AA1143" i="2"/>
  <c r="AD1143" i="2"/>
  <c r="AA1119" i="2"/>
  <c r="AD1119" i="2"/>
  <c r="AA1107" i="2"/>
  <c r="AD1107" i="2"/>
  <c r="AA1099" i="2"/>
  <c r="AD1099" i="2"/>
  <c r="AA1083" i="2"/>
  <c r="AD1083" i="2"/>
  <c r="AA1075" i="2"/>
  <c r="AD1075" i="2"/>
  <c r="AD1015" i="2"/>
  <c r="AA1015" i="2"/>
  <c r="AA911" i="2"/>
  <c r="AD911" i="2"/>
  <c r="AA899" i="2"/>
  <c r="AD899" i="2"/>
  <c r="AA783" i="2"/>
  <c r="AD783" i="2"/>
  <c r="AA771" i="2"/>
  <c r="AD771" i="2"/>
  <c r="AA751" i="2"/>
  <c r="AD751" i="2"/>
  <c r="AA642" i="2"/>
  <c r="AD642" i="2"/>
  <c r="AA634" i="2"/>
  <c r="AD634" i="2"/>
  <c r="AA630" i="2"/>
  <c r="AD630" i="2"/>
  <c r="AA622" i="2"/>
  <c r="AD622" i="2"/>
  <c r="AA614" i="2"/>
  <c r="AD614" i="2"/>
  <c r="AA602" i="2"/>
  <c r="AD602" i="2"/>
  <c r="AA594" i="2"/>
  <c r="AD594" i="2"/>
  <c r="AD1159" i="2"/>
  <c r="AD1031" i="2"/>
  <c r="AA1131" i="2"/>
  <c r="AD1048" i="2"/>
  <c r="AA1051" i="2"/>
  <c r="AD1128" i="2"/>
  <c r="AA1219" i="2"/>
  <c r="AD1243" i="2"/>
  <c r="AD928" i="2"/>
  <c r="AD912" i="2"/>
  <c r="AD896" i="2"/>
  <c r="AA927" i="2"/>
  <c r="AA879" i="2"/>
  <c r="AA863" i="2"/>
  <c r="AD1007" i="2"/>
  <c r="AD1003" i="2"/>
  <c r="AD999" i="2"/>
  <c r="AD995" i="2"/>
  <c r="AD991" i="2"/>
  <c r="AD987" i="2"/>
  <c r="AD1191" i="2"/>
  <c r="AA1024" i="2"/>
  <c r="AD1147" i="2"/>
  <c r="AA1135" i="2"/>
  <c r="AD1052" i="2"/>
  <c r="AA1055" i="2"/>
  <c r="AA1040" i="2"/>
  <c r="AD1116" i="2"/>
  <c r="AD1100" i="2"/>
  <c r="AD1084" i="2"/>
  <c r="AD1068" i="2"/>
  <c r="AA1167" i="2"/>
  <c r="AA1240" i="2"/>
  <c r="AD1216" i="2"/>
  <c r="AA1216" i="2"/>
  <c r="AA1176" i="2"/>
  <c r="AD1176" i="2"/>
  <c r="AA1156" i="2"/>
  <c r="AD1156" i="2"/>
  <c r="AD1144" i="2"/>
  <c r="AA1144" i="2"/>
  <c r="AA1136" i="2"/>
  <c r="AD1136" i="2"/>
  <c r="AA1060" i="2"/>
  <c r="AD1060" i="2"/>
  <c r="AA1056" i="2"/>
  <c r="AD1056" i="2"/>
  <c r="AA892" i="2"/>
  <c r="AD892" i="2"/>
  <c r="AA888" i="2"/>
  <c r="AD888" i="2"/>
  <c r="AA884" i="2"/>
  <c r="AD884" i="2"/>
  <c r="AA880" i="2"/>
  <c r="AD880" i="2"/>
  <c r="AA876" i="2"/>
  <c r="AD876" i="2"/>
  <c r="AA872" i="2"/>
  <c r="AD872" i="2"/>
  <c r="AA868" i="2"/>
  <c r="AD868" i="2"/>
  <c r="AA864" i="2"/>
  <c r="AD864" i="2"/>
  <c r="AA860" i="2"/>
  <c r="AD860" i="2"/>
  <c r="AD1241" i="2"/>
  <c r="AD534" i="2"/>
  <c r="AA534" i="2"/>
  <c r="AA535" i="2"/>
  <c r="S32" i="2" l="1"/>
  <c r="AA1245" i="2"/>
  <c r="AD1245" i="2"/>
  <c r="AA1246" i="2"/>
  <c r="AD1246" i="2"/>
  <c r="AA1247" i="2"/>
  <c r="AD1247" i="2"/>
  <c r="AD419" i="2" l="1"/>
  <c r="AB251" i="2"/>
  <c r="AC151" i="2"/>
  <c r="AA7" i="2"/>
  <c r="B42" i="2"/>
  <c r="AD42" i="2" s="1"/>
  <c r="C42" i="2"/>
  <c r="E42" i="2"/>
  <c r="F42" i="2"/>
  <c r="G42" i="2"/>
  <c r="I42" i="2"/>
  <c r="K42" i="2"/>
  <c r="M42" i="2"/>
  <c r="N42" i="2"/>
  <c r="O42" i="2"/>
  <c r="S42" i="2"/>
  <c r="AA42" i="2"/>
  <c r="AI42" i="2"/>
  <c r="AJ42" i="2"/>
  <c r="AK42" i="2"/>
  <c r="AL42" i="2"/>
  <c r="AM42" i="2"/>
  <c r="AO42" i="2"/>
  <c r="B41" i="2"/>
  <c r="AD41" i="2" s="1"/>
  <c r="C41" i="2"/>
  <c r="E41" i="2"/>
  <c r="F41" i="2"/>
  <c r="G41" i="2"/>
  <c r="I41" i="2"/>
  <c r="K41" i="2"/>
  <c r="M41" i="2"/>
  <c r="N41" i="2"/>
  <c r="O41" i="2"/>
  <c r="S41" i="2"/>
  <c r="AA41" i="2"/>
  <c r="AI41" i="2"/>
  <c r="AJ41" i="2"/>
  <c r="AK41" i="2"/>
  <c r="AL41" i="2"/>
  <c r="AM41" i="2"/>
  <c r="AO41" i="2"/>
  <c r="B533" i="2" l="1"/>
  <c r="C533" i="2"/>
  <c r="E533" i="2"/>
  <c r="F533" i="2"/>
  <c r="G533" i="2"/>
  <c r="I533" i="2"/>
  <c r="J533" i="2"/>
  <c r="K533" i="2"/>
  <c r="M533" i="2"/>
  <c r="N533" i="2"/>
  <c r="O533" i="2"/>
  <c r="AI533" i="2"/>
  <c r="AJ533" i="2"/>
  <c r="AK533" i="2"/>
  <c r="AL533" i="2"/>
  <c r="AM533" i="2"/>
  <c r="B532" i="2"/>
  <c r="C532" i="2"/>
  <c r="E532" i="2"/>
  <c r="F532" i="2"/>
  <c r="G532" i="2"/>
  <c r="I532" i="2"/>
  <c r="J532" i="2"/>
  <c r="K532" i="2"/>
  <c r="M532" i="2"/>
  <c r="N532" i="2"/>
  <c r="O532" i="2"/>
  <c r="AI532" i="2"/>
  <c r="AJ532" i="2"/>
  <c r="AK532" i="2"/>
  <c r="AL532" i="2"/>
  <c r="AM532" i="2"/>
  <c r="B531" i="2"/>
  <c r="C531" i="2"/>
  <c r="E531" i="2"/>
  <c r="F531" i="2"/>
  <c r="G531" i="2"/>
  <c r="I531" i="2"/>
  <c r="J531" i="2"/>
  <c r="K531" i="2"/>
  <c r="M531" i="2"/>
  <c r="N531" i="2"/>
  <c r="O531" i="2"/>
  <c r="AI531" i="2"/>
  <c r="AJ531" i="2"/>
  <c r="AK531" i="2"/>
  <c r="AL531" i="2"/>
  <c r="AM531" i="2"/>
  <c r="B530" i="2"/>
  <c r="C530" i="2"/>
  <c r="E530" i="2"/>
  <c r="F530" i="2"/>
  <c r="G530" i="2"/>
  <c r="I530" i="2"/>
  <c r="J530" i="2"/>
  <c r="K530" i="2"/>
  <c r="M530" i="2"/>
  <c r="N530" i="2"/>
  <c r="O530" i="2"/>
  <c r="AI530" i="2"/>
  <c r="AJ530" i="2"/>
  <c r="AK530" i="2"/>
  <c r="AL530" i="2"/>
  <c r="AM530" i="2"/>
  <c r="F392" i="2"/>
  <c r="AD532" i="2" l="1"/>
  <c r="AA531" i="2"/>
  <c r="AA533" i="2"/>
  <c r="AA530" i="2"/>
  <c r="AA532" i="2"/>
  <c r="AD533" i="2"/>
  <c r="AD531" i="2"/>
  <c r="AD530" i="2"/>
  <c r="B45" i="2"/>
  <c r="AA11" i="2" l="1"/>
  <c r="AA12" i="2"/>
  <c r="AA13" i="2"/>
  <c r="AA14" i="2"/>
  <c r="AA21" i="2"/>
  <c r="AA22" i="2"/>
  <c r="AA23" i="2"/>
  <c r="AA24" i="2"/>
  <c r="AA32" i="2"/>
  <c r="AA33" i="2"/>
  <c r="AA34" i="2"/>
  <c r="AA35" i="2"/>
  <c r="AA36" i="2"/>
  <c r="AA37" i="2"/>
  <c r="AA38" i="2"/>
  <c r="AA40" i="2"/>
  <c r="AA46" i="2"/>
  <c r="AA47" i="2"/>
  <c r="AA50" i="2"/>
  <c r="AA51" i="2"/>
  <c r="AA52" i="2"/>
  <c r="AA53" i="2"/>
  <c r="AA55" i="2"/>
  <c r="AA56" i="2"/>
  <c r="AA57" i="2"/>
  <c r="AA58" i="2"/>
  <c r="AA59" i="2"/>
  <c r="AC65" i="2"/>
  <c r="AA65" i="2" s="1"/>
  <c r="AA68" i="2"/>
  <c r="AA69" i="2"/>
  <c r="AA71" i="2"/>
  <c r="AA74" i="2"/>
  <c r="AA75" i="2"/>
  <c r="AC112" i="2"/>
  <c r="AC114" i="2"/>
  <c r="AC269" i="2"/>
  <c r="AC321" i="2"/>
  <c r="AC322" i="2"/>
  <c r="AC442" i="2"/>
  <c r="AC475" i="2"/>
  <c r="AC502" i="2"/>
  <c r="B529" i="2" l="1"/>
  <c r="C529" i="2"/>
  <c r="E529" i="2"/>
  <c r="F529" i="2"/>
  <c r="G529" i="2"/>
  <c r="I529" i="2"/>
  <c r="J529" i="2"/>
  <c r="K529" i="2"/>
  <c r="M529" i="2"/>
  <c r="N529" i="2"/>
  <c r="O529" i="2"/>
  <c r="AA529" i="2"/>
  <c r="AI529" i="2"/>
  <c r="AJ529" i="2"/>
  <c r="AK529" i="2"/>
  <c r="AL529" i="2"/>
  <c r="AM529" i="2"/>
  <c r="B524" i="2"/>
  <c r="B525" i="2"/>
  <c r="B526" i="2"/>
  <c r="C524" i="2"/>
  <c r="C525" i="2"/>
  <c r="C526" i="2"/>
  <c r="E524" i="2"/>
  <c r="E525" i="2"/>
  <c r="E526" i="2"/>
  <c r="F524" i="2"/>
  <c r="F525" i="2"/>
  <c r="F526" i="2"/>
  <c r="G524" i="2"/>
  <c r="G525" i="2"/>
  <c r="G526" i="2"/>
  <c r="I524" i="2"/>
  <c r="I525" i="2"/>
  <c r="I526" i="2"/>
  <c r="J524" i="2"/>
  <c r="J525" i="2"/>
  <c r="J526" i="2"/>
  <c r="K524" i="2"/>
  <c r="K525" i="2"/>
  <c r="K526" i="2"/>
  <c r="M524" i="2"/>
  <c r="M525" i="2"/>
  <c r="M526" i="2"/>
  <c r="N524" i="2"/>
  <c r="N525" i="2"/>
  <c r="N526" i="2"/>
  <c r="O524" i="2"/>
  <c r="O525" i="2"/>
  <c r="O526" i="2"/>
  <c r="AA524" i="2"/>
  <c r="AA525" i="2"/>
  <c r="AA526" i="2"/>
  <c r="AI524" i="2"/>
  <c r="AI525" i="2"/>
  <c r="AI526" i="2"/>
  <c r="AJ524" i="2"/>
  <c r="AJ525" i="2"/>
  <c r="AJ526" i="2"/>
  <c r="AK524" i="2"/>
  <c r="AK525" i="2"/>
  <c r="AK526" i="2"/>
  <c r="AL524" i="2"/>
  <c r="AL525" i="2"/>
  <c r="AL526" i="2"/>
  <c r="AM524" i="2"/>
  <c r="AM525" i="2"/>
  <c r="AM526" i="2"/>
  <c r="B511" i="2"/>
  <c r="B512" i="2"/>
  <c r="B513" i="2"/>
  <c r="B514" i="2"/>
  <c r="B515" i="2"/>
  <c r="B516" i="2"/>
  <c r="B517" i="2"/>
  <c r="B518" i="2"/>
  <c r="C511" i="2"/>
  <c r="C512" i="2"/>
  <c r="C513" i="2"/>
  <c r="C514" i="2"/>
  <c r="C515" i="2"/>
  <c r="C516" i="2"/>
  <c r="C517" i="2"/>
  <c r="C518" i="2"/>
  <c r="E511" i="2"/>
  <c r="E512" i="2"/>
  <c r="E513" i="2"/>
  <c r="E514" i="2"/>
  <c r="E515" i="2"/>
  <c r="E516" i="2"/>
  <c r="E517" i="2"/>
  <c r="E518" i="2"/>
  <c r="F511" i="2"/>
  <c r="F512" i="2"/>
  <c r="F513" i="2"/>
  <c r="F514" i="2"/>
  <c r="F515" i="2"/>
  <c r="F516" i="2"/>
  <c r="F517" i="2"/>
  <c r="F518" i="2"/>
  <c r="G511" i="2"/>
  <c r="G512" i="2"/>
  <c r="G513" i="2"/>
  <c r="G514" i="2"/>
  <c r="G515" i="2"/>
  <c r="G516" i="2"/>
  <c r="G517" i="2"/>
  <c r="G518" i="2"/>
  <c r="I511" i="2"/>
  <c r="I512" i="2"/>
  <c r="I513" i="2"/>
  <c r="I514" i="2"/>
  <c r="I515" i="2"/>
  <c r="I516" i="2"/>
  <c r="I517" i="2"/>
  <c r="I518" i="2"/>
  <c r="J511" i="2"/>
  <c r="J512" i="2"/>
  <c r="J513" i="2"/>
  <c r="J514" i="2"/>
  <c r="J515" i="2"/>
  <c r="J516" i="2"/>
  <c r="J517" i="2"/>
  <c r="J518" i="2"/>
  <c r="K511" i="2"/>
  <c r="K512" i="2"/>
  <c r="K513" i="2"/>
  <c r="K514" i="2"/>
  <c r="K515" i="2"/>
  <c r="K516" i="2"/>
  <c r="K517" i="2"/>
  <c r="K518" i="2"/>
  <c r="M511" i="2"/>
  <c r="M512" i="2"/>
  <c r="M513" i="2"/>
  <c r="M514" i="2"/>
  <c r="M515" i="2"/>
  <c r="M516" i="2"/>
  <c r="M517" i="2"/>
  <c r="M518" i="2"/>
  <c r="N511" i="2"/>
  <c r="N512" i="2"/>
  <c r="N513" i="2"/>
  <c r="N514" i="2"/>
  <c r="N515" i="2"/>
  <c r="N516" i="2"/>
  <c r="N517" i="2"/>
  <c r="N518" i="2"/>
  <c r="O511" i="2"/>
  <c r="O512" i="2"/>
  <c r="O513" i="2"/>
  <c r="O514" i="2"/>
  <c r="O515" i="2"/>
  <c r="O516" i="2"/>
  <c r="O517" i="2"/>
  <c r="O518" i="2"/>
  <c r="AA511" i="2"/>
  <c r="AA512" i="2"/>
  <c r="AA513" i="2"/>
  <c r="AA514" i="2"/>
  <c r="AA515" i="2"/>
  <c r="AA516" i="2"/>
  <c r="AA517" i="2"/>
  <c r="AA518" i="2"/>
  <c r="AI511" i="2"/>
  <c r="AI512" i="2"/>
  <c r="AI513" i="2"/>
  <c r="AI514" i="2"/>
  <c r="AI515" i="2"/>
  <c r="AI516" i="2"/>
  <c r="AI517" i="2"/>
  <c r="AI518" i="2"/>
  <c r="AJ511" i="2"/>
  <c r="AJ512" i="2"/>
  <c r="AJ513" i="2"/>
  <c r="AJ514" i="2"/>
  <c r="AJ515" i="2"/>
  <c r="AJ516" i="2"/>
  <c r="AJ517" i="2"/>
  <c r="AJ518" i="2"/>
  <c r="AK511" i="2"/>
  <c r="AK512" i="2"/>
  <c r="AK513" i="2"/>
  <c r="AK514" i="2"/>
  <c r="AK515" i="2"/>
  <c r="AK516" i="2"/>
  <c r="AK517" i="2"/>
  <c r="AK518" i="2"/>
  <c r="AL511" i="2"/>
  <c r="AL512" i="2"/>
  <c r="AL513" i="2"/>
  <c r="AL514" i="2"/>
  <c r="AL515" i="2"/>
  <c r="AL516" i="2"/>
  <c r="AL517" i="2"/>
  <c r="AL518" i="2"/>
  <c r="AM511" i="2"/>
  <c r="AM512" i="2"/>
  <c r="AM513" i="2"/>
  <c r="AM514" i="2"/>
  <c r="AM515" i="2"/>
  <c r="AM516" i="2"/>
  <c r="AM517" i="2"/>
  <c r="AM518" i="2"/>
  <c r="B519" i="2"/>
  <c r="B520" i="2"/>
  <c r="B521" i="2"/>
  <c r="B522" i="2"/>
  <c r="C519" i="2"/>
  <c r="C520" i="2"/>
  <c r="C521" i="2"/>
  <c r="C522" i="2"/>
  <c r="E519" i="2"/>
  <c r="E520" i="2"/>
  <c r="E521" i="2"/>
  <c r="E522" i="2"/>
  <c r="F519" i="2"/>
  <c r="F520" i="2"/>
  <c r="F521" i="2"/>
  <c r="F522" i="2"/>
  <c r="G519" i="2"/>
  <c r="G520" i="2"/>
  <c r="G521" i="2"/>
  <c r="G522" i="2"/>
  <c r="I519" i="2"/>
  <c r="I520" i="2"/>
  <c r="I521" i="2"/>
  <c r="I522" i="2"/>
  <c r="J519" i="2"/>
  <c r="J520" i="2"/>
  <c r="J521" i="2"/>
  <c r="J522" i="2"/>
  <c r="K519" i="2"/>
  <c r="K520" i="2"/>
  <c r="K521" i="2"/>
  <c r="K522" i="2"/>
  <c r="M519" i="2"/>
  <c r="M520" i="2"/>
  <c r="M521" i="2"/>
  <c r="M522" i="2"/>
  <c r="N519" i="2"/>
  <c r="N520" i="2"/>
  <c r="N521" i="2"/>
  <c r="N522" i="2"/>
  <c r="O519" i="2"/>
  <c r="O520" i="2"/>
  <c r="O521" i="2"/>
  <c r="O522" i="2"/>
  <c r="AA519" i="2"/>
  <c r="AA520" i="2"/>
  <c r="AA521" i="2"/>
  <c r="AA522" i="2"/>
  <c r="AI519" i="2"/>
  <c r="AI520" i="2"/>
  <c r="AI521" i="2"/>
  <c r="AI522" i="2"/>
  <c r="AJ519" i="2"/>
  <c r="AJ520" i="2"/>
  <c r="AJ521" i="2"/>
  <c r="AJ522" i="2"/>
  <c r="AK519" i="2"/>
  <c r="AK520" i="2"/>
  <c r="AK521" i="2"/>
  <c r="AK522" i="2"/>
  <c r="AL519" i="2"/>
  <c r="AL520" i="2"/>
  <c r="AL521" i="2"/>
  <c r="AL522" i="2"/>
  <c r="AM519" i="2"/>
  <c r="AM520" i="2"/>
  <c r="AM521" i="2"/>
  <c r="AM522" i="2"/>
  <c r="B501" i="2"/>
  <c r="B502" i="2"/>
  <c r="B503" i="2"/>
  <c r="B504" i="2"/>
  <c r="B505" i="2"/>
  <c r="B506" i="2"/>
  <c r="B507" i="2"/>
  <c r="C501" i="2"/>
  <c r="C502" i="2"/>
  <c r="C503" i="2"/>
  <c r="C504" i="2"/>
  <c r="C505" i="2"/>
  <c r="C506" i="2"/>
  <c r="C507" i="2"/>
  <c r="E501" i="2"/>
  <c r="E502" i="2"/>
  <c r="E503" i="2"/>
  <c r="E504" i="2"/>
  <c r="E505" i="2"/>
  <c r="E506" i="2"/>
  <c r="E507" i="2"/>
  <c r="F501" i="2"/>
  <c r="F502" i="2"/>
  <c r="F503" i="2"/>
  <c r="F504" i="2"/>
  <c r="F505" i="2"/>
  <c r="F507" i="2"/>
  <c r="G501" i="2"/>
  <c r="G502" i="2"/>
  <c r="G503" i="2"/>
  <c r="G504" i="2"/>
  <c r="G505" i="2"/>
  <c r="G506" i="2"/>
  <c r="G507" i="2"/>
  <c r="I501" i="2"/>
  <c r="I502" i="2"/>
  <c r="I503" i="2"/>
  <c r="I504" i="2"/>
  <c r="I505" i="2"/>
  <c r="I506" i="2"/>
  <c r="I507" i="2"/>
  <c r="J501" i="2"/>
  <c r="J502" i="2"/>
  <c r="J503" i="2"/>
  <c r="J504" i="2"/>
  <c r="J505" i="2"/>
  <c r="J506" i="2"/>
  <c r="J507" i="2"/>
  <c r="K501" i="2"/>
  <c r="K502" i="2"/>
  <c r="K503" i="2"/>
  <c r="K504" i="2"/>
  <c r="K505" i="2"/>
  <c r="K506" i="2"/>
  <c r="K507" i="2"/>
  <c r="M501" i="2"/>
  <c r="M502" i="2"/>
  <c r="M503" i="2"/>
  <c r="M504" i="2"/>
  <c r="M505" i="2"/>
  <c r="M506" i="2"/>
  <c r="M507" i="2"/>
  <c r="N501" i="2"/>
  <c r="N502" i="2"/>
  <c r="N503" i="2"/>
  <c r="N504" i="2"/>
  <c r="N505" i="2"/>
  <c r="N506" i="2"/>
  <c r="N507" i="2"/>
  <c r="O501" i="2"/>
  <c r="O502" i="2"/>
  <c r="O503" i="2"/>
  <c r="O504" i="2"/>
  <c r="O505" i="2"/>
  <c r="O506" i="2"/>
  <c r="O507" i="2"/>
  <c r="AA501" i="2"/>
  <c r="AA502" i="2"/>
  <c r="AA503" i="2"/>
  <c r="AA504" i="2"/>
  <c r="AA505" i="2"/>
  <c r="AA506" i="2"/>
  <c r="AA507" i="2"/>
  <c r="AI501" i="2"/>
  <c r="AI502" i="2"/>
  <c r="AI503" i="2"/>
  <c r="AI504" i="2"/>
  <c r="AI505" i="2"/>
  <c r="AI506" i="2"/>
  <c r="AI507" i="2"/>
  <c r="AJ501" i="2"/>
  <c r="AJ502" i="2"/>
  <c r="AJ503" i="2"/>
  <c r="AJ504" i="2"/>
  <c r="AJ505" i="2"/>
  <c r="AJ506" i="2"/>
  <c r="AJ507" i="2"/>
  <c r="AK501" i="2"/>
  <c r="AK502" i="2"/>
  <c r="AK503" i="2"/>
  <c r="AK504" i="2"/>
  <c r="AK505" i="2"/>
  <c r="AK506" i="2"/>
  <c r="AK507" i="2"/>
  <c r="AL501" i="2"/>
  <c r="AL502" i="2"/>
  <c r="AL503" i="2"/>
  <c r="AL504" i="2"/>
  <c r="AL505" i="2"/>
  <c r="AL506" i="2"/>
  <c r="AL507" i="2"/>
  <c r="AM501" i="2"/>
  <c r="AM502" i="2"/>
  <c r="AM503" i="2"/>
  <c r="AM504" i="2"/>
  <c r="AM505" i="2"/>
  <c r="AM506" i="2"/>
  <c r="AM507" i="2"/>
  <c r="B492" i="2"/>
  <c r="B493" i="2"/>
  <c r="B494" i="2"/>
  <c r="B495" i="2"/>
  <c r="B496" i="2"/>
  <c r="B497" i="2"/>
  <c r="B498" i="2"/>
  <c r="B499" i="2"/>
  <c r="C492" i="2"/>
  <c r="C493" i="2"/>
  <c r="C494" i="2"/>
  <c r="C495" i="2"/>
  <c r="C496" i="2"/>
  <c r="C497" i="2"/>
  <c r="C498" i="2"/>
  <c r="C499" i="2"/>
  <c r="E492" i="2"/>
  <c r="E493" i="2"/>
  <c r="E494" i="2"/>
  <c r="E495" i="2"/>
  <c r="E496" i="2"/>
  <c r="E497" i="2"/>
  <c r="E498" i="2"/>
  <c r="E499" i="2"/>
  <c r="F492" i="2"/>
  <c r="F493" i="2"/>
  <c r="F494" i="2"/>
  <c r="F495" i="2"/>
  <c r="F496" i="2"/>
  <c r="F497" i="2"/>
  <c r="F498" i="2"/>
  <c r="F499" i="2"/>
  <c r="G492" i="2"/>
  <c r="G493" i="2"/>
  <c r="G494" i="2"/>
  <c r="G495" i="2"/>
  <c r="G496" i="2"/>
  <c r="G497" i="2"/>
  <c r="G498" i="2"/>
  <c r="G499" i="2"/>
  <c r="I492" i="2"/>
  <c r="I493" i="2"/>
  <c r="I494" i="2"/>
  <c r="I495" i="2"/>
  <c r="I496" i="2"/>
  <c r="I497" i="2"/>
  <c r="I498" i="2"/>
  <c r="I499" i="2"/>
  <c r="J492" i="2"/>
  <c r="J493" i="2"/>
  <c r="J494" i="2"/>
  <c r="J495" i="2"/>
  <c r="J496" i="2"/>
  <c r="J497" i="2"/>
  <c r="J498" i="2"/>
  <c r="J499" i="2"/>
  <c r="K492" i="2"/>
  <c r="K493" i="2"/>
  <c r="K494" i="2"/>
  <c r="K495" i="2"/>
  <c r="K496" i="2"/>
  <c r="K497" i="2"/>
  <c r="K498" i="2"/>
  <c r="K499" i="2"/>
  <c r="M492" i="2"/>
  <c r="M493" i="2"/>
  <c r="M494" i="2"/>
  <c r="M495" i="2"/>
  <c r="M496" i="2"/>
  <c r="M497" i="2"/>
  <c r="M498" i="2"/>
  <c r="M499" i="2"/>
  <c r="N492" i="2"/>
  <c r="N493" i="2"/>
  <c r="N494" i="2"/>
  <c r="N495" i="2"/>
  <c r="N496" i="2"/>
  <c r="N497" i="2"/>
  <c r="N498" i="2"/>
  <c r="N499" i="2"/>
  <c r="O492" i="2"/>
  <c r="O493" i="2"/>
  <c r="O494" i="2"/>
  <c r="O495" i="2"/>
  <c r="O496" i="2"/>
  <c r="O497" i="2"/>
  <c r="O498" i="2"/>
  <c r="O499" i="2"/>
  <c r="AA492" i="2"/>
  <c r="AA493" i="2"/>
  <c r="AA494" i="2"/>
  <c r="AA495" i="2"/>
  <c r="AA496" i="2"/>
  <c r="AA497" i="2"/>
  <c r="AA498" i="2"/>
  <c r="AA499" i="2"/>
  <c r="AI492" i="2"/>
  <c r="AI493" i="2"/>
  <c r="AI494" i="2"/>
  <c r="AI495" i="2"/>
  <c r="AI496" i="2"/>
  <c r="AI497" i="2"/>
  <c r="AI498" i="2"/>
  <c r="AI499" i="2"/>
  <c r="AJ492" i="2"/>
  <c r="AJ493" i="2"/>
  <c r="AJ494" i="2"/>
  <c r="AJ495" i="2"/>
  <c r="AJ496" i="2"/>
  <c r="AJ497" i="2"/>
  <c r="AJ498" i="2"/>
  <c r="AJ499" i="2"/>
  <c r="AK492" i="2"/>
  <c r="AK493" i="2"/>
  <c r="AK494" i="2"/>
  <c r="AK495" i="2"/>
  <c r="AK496" i="2"/>
  <c r="AK497" i="2"/>
  <c r="AK498" i="2"/>
  <c r="AK499" i="2"/>
  <c r="AL492" i="2"/>
  <c r="AL493" i="2"/>
  <c r="AL494" i="2"/>
  <c r="AL495" i="2"/>
  <c r="AL496" i="2"/>
  <c r="AL497" i="2"/>
  <c r="AL498" i="2"/>
  <c r="AL499" i="2"/>
  <c r="AM492" i="2"/>
  <c r="AM493" i="2"/>
  <c r="AM494" i="2"/>
  <c r="AM495" i="2"/>
  <c r="AM496" i="2"/>
  <c r="AM497" i="2"/>
  <c r="AM498" i="2"/>
  <c r="AM49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F442" i="2"/>
  <c r="AI430" i="2"/>
  <c r="AI431" i="2"/>
  <c r="AI432" i="2"/>
  <c r="AI433" i="2"/>
  <c r="AI434" i="2"/>
  <c r="AI435" i="2"/>
  <c r="AI436" i="2"/>
  <c r="AI437" i="2"/>
  <c r="AI438" i="2"/>
  <c r="AI439" i="2"/>
  <c r="AI440" i="2"/>
  <c r="AI441" i="2"/>
  <c r="AI442" i="2"/>
  <c r="AI443" i="2"/>
  <c r="AI444" i="2"/>
  <c r="AI445" i="2"/>
  <c r="AI446" i="2"/>
  <c r="AI447" i="2"/>
  <c r="AI448" i="2"/>
  <c r="AI449" i="2"/>
  <c r="AI450" i="2"/>
  <c r="AI451" i="2"/>
  <c r="AI452" i="2"/>
  <c r="AI453" i="2"/>
  <c r="AI454" i="2"/>
  <c r="AI455" i="2"/>
  <c r="AI456" i="2"/>
  <c r="AI457" i="2"/>
  <c r="AI458" i="2"/>
  <c r="AI459" i="2"/>
  <c r="AI460" i="2"/>
  <c r="AI461" i="2"/>
  <c r="AI462" i="2"/>
  <c r="AI463" i="2"/>
  <c r="AI464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K430" i="2"/>
  <c r="AK431" i="2"/>
  <c r="AK432" i="2"/>
  <c r="AK433" i="2"/>
  <c r="AK434" i="2"/>
  <c r="AK435" i="2"/>
  <c r="AK436" i="2"/>
  <c r="AK437" i="2"/>
  <c r="AK438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M430" i="2"/>
  <c r="AM431" i="2"/>
  <c r="AM432" i="2"/>
  <c r="AM433" i="2"/>
  <c r="AM434" i="2"/>
  <c r="AM435" i="2"/>
  <c r="AM436" i="2"/>
  <c r="AM437" i="2"/>
  <c r="AM438" i="2"/>
  <c r="AM439" i="2"/>
  <c r="AM440" i="2"/>
  <c r="AM441" i="2"/>
  <c r="AM442" i="2"/>
  <c r="AM443" i="2"/>
  <c r="AM444" i="2"/>
  <c r="AM445" i="2"/>
  <c r="AM446" i="2"/>
  <c r="AM447" i="2"/>
  <c r="AM448" i="2"/>
  <c r="AM449" i="2"/>
  <c r="AM450" i="2"/>
  <c r="AM451" i="2"/>
  <c r="AM452" i="2"/>
  <c r="AM453" i="2"/>
  <c r="AM454" i="2"/>
  <c r="AM455" i="2"/>
  <c r="AM456" i="2"/>
  <c r="AM457" i="2"/>
  <c r="AM458" i="2"/>
  <c r="AM459" i="2"/>
  <c r="AM460" i="2"/>
  <c r="AM461" i="2"/>
  <c r="AM462" i="2"/>
  <c r="AM463" i="2"/>
  <c r="AM464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65" i="2"/>
  <c r="B466" i="2"/>
  <c r="B467" i="2"/>
  <c r="B468" i="2"/>
  <c r="B469" i="2"/>
  <c r="B470" i="2"/>
  <c r="B471" i="2"/>
  <c r="B472" i="2"/>
  <c r="B473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65" i="2"/>
  <c r="C466" i="2"/>
  <c r="C467" i="2"/>
  <c r="C468" i="2"/>
  <c r="C469" i="2"/>
  <c r="C470" i="2"/>
  <c r="C471" i="2"/>
  <c r="C472" i="2"/>
  <c r="C473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65" i="2"/>
  <c r="E466" i="2"/>
  <c r="E467" i="2"/>
  <c r="E468" i="2"/>
  <c r="E469" i="2"/>
  <c r="E470" i="2"/>
  <c r="E471" i="2"/>
  <c r="E472" i="2"/>
  <c r="E473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65" i="2"/>
  <c r="F466" i="2"/>
  <c r="F467" i="2"/>
  <c r="F468" i="2"/>
  <c r="F469" i="2"/>
  <c r="F470" i="2"/>
  <c r="F471" i="2"/>
  <c r="F472" i="2"/>
  <c r="F473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65" i="2"/>
  <c r="G466" i="2"/>
  <c r="G467" i="2"/>
  <c r="G468" i="2"/>
  <c r="G469" i="2"/>
  <c r="G470" i="2"/>
  <c r="G471" i="2"/>
  <c r="G472" i="2"/>
  <c r="G473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65" i="2"/>
  <c r="I466" i="2"/>
  <c r="I467" i="2"/>
  <c r="I468" i="2"/>
  <c r="I469" i="2"/>
  <c r="I470" i="2"/>
  <c r="I471" i="2"/>
  <c r="I472" i="2"/>
  <c r="I473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65" i="2"/>
  <c r="J466" i="2"/>
  <c r="J467" i="2"/>
  <c r="J468" i="2"/>
  <c r="J469" i="2"/>
  <c r="J470" i="2"/>
  <c r="J471" i="2"/>
  <c r="J472" i="2"/>
  <c r="J473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65" i="2"/>
  <c r="K466" i="2"/>
  <c r="K467" i="2"/>
  <c r="K468" i="2"/>
  <c r="K469" i="2"/>
  <c r="K470" i="2"/>
  <c r="K471" i="2"/>
  <c r="K472" i="2"/>
  <c r="K473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65" i="2"/>
  <c r="M466" i="2"/>
  <c r="M467" i="2"/>
  <c r="M468" i="2"/>
  <c r="M469" i="2"/>
  <c r="M470" i="2"/>
  <c r="M471" i="2"/>
  <c r="M472" i="2"/>
  <c r="M473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65" i="2"/>
  <c r="N466" i="2"/>
  <c r="N467" i="2"/>
  <c r="N468" i="2"/>
  <c r="N469" i="2"/>
  <c r="N470" i="2"/>
  <c r="N471" i="2"/>
  <c r="N472" i="2"/>
  <c r="N473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67" i="2"/>
  <c r="O468" i="2"/>
  <c r="O469" i="2"/>
  <c r="O470" i="2"/>
  <c r="O471" i="2"/>
  <c r="O472" i="2"/>
  <c r="O473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65" i="2"/>
  <c r="AA466" i="2"/>
  <c r="AA467" i="2"/>
  <c r="AA468" i="2"/>
  <c r="AA469" i="2"/>
  <c r="AA470" i="2"/>
  <c r="AA471" i="2"/>
  <c r="AA472" i="2"/>
  <c r="AA473" i="2"/>
  <c r="AE472" i="2"/>
  <c r="AI413" i="2"/>
  <c r="AI414" i="2"/>
  <c r="AI415" i="2"/>
  <c r="AI416" i="2"/>
  <c r="AI417" i="2"/>
  <c r="AI418" i="2"/>
  <c r="AI419" i="2"/>
  <c r="AI420" i="2"/>
  <c r="AI421" i="2"/>
  <c r="AI422" i="2"/>
  <c r="AI423" i="2"/>
  <c r="AI424" i="2"/>
  <c r="AI425" i="2"/>
  <c r="AI426" i="2"/>
  <c r="AI427" i="2"/>
  <c r="AI428" i="2"/>
  <c r="AI429" i="2"/>
  <c r="AI465" i="2"/>
  <c r="AI466" i="2"/>
  <c r="AI467" i="2"/>
  <c r="AI468" i="2"/>
  <c r="AI469" i="2"/>
  <c r="AI470" i="2"/>
  <c r="AI471" i="2"/>
  <c r="AI472" i="2"/>
  <c r="AI473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65" i="2"/>
  <c r="AJ466" i="2"/>
  <c r="AJ467" i="2"/>
  <c r="AJ468" i="2"/>
  <c r="AJ469" i="2"/>
  <c r="AJ470" i="2"/>
  <c r="AJ471" i="2"/>
  <c r="AJ472" i="2"/>
  <c r="AJ473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65" i="2"/>
  <c r="AK466" i="2"/>
  <c r="AK467" i="2"/>
  <c r="AK468" i="2"/>
  <c r="AK469" i="2"/>
  <c r="AK470" i="2"/>
  <c r="AK471" i="2"/>
  <c r="AK472" i="2"/>
  <c r="AK473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65" i="2"/>
  <c r="AL466" i="2"/>
  <c r="AL467" i="2"/>
  <c r="AL468" i="2"/>
  <c r="AL469" i="2"/>
  <c r="AL470" i="2"/>
  <c r="AL471" i="2"/>
  <c r="AL472" i="2"/>
  <c r="AL473" i="2"/>
  <c r="AM413" i="2"/>
  <c r="AM414" i="2"/>
  <c r="AM415" i="2"/>
  <c r="AM416" i="2"/>
  <c r="AM417" i="2"/>
  <c r="AM418" i="2"/>
  <c r="AM419" i="2"/>
  <c r="AM420" i="2"/>
  <c r="AM421" i="2"/>
  <c r="AM422" i="2"/>
  <c r="AM423" i="2"/>
  <c r="AM424" i="2"/>
  <c r="AM425" i="2"/>
  <c r="AM426" i="2"/>
  <c r="AM427" i="2"/>
  <c r="AM428" i="2"/>
  <c r="AM429" i="2"/>
  <c r="AM465" i="2"/>
  <c r="AM466" i="2"/>
  <c r="AM467" i="2"/>
  <c r="AM468" i="2"/>
  <c r="AM469" i="2"/>
  <c r="AM470" i="2"/>
  <c r="AM471" i="2"/>
  <c r="AM472" i="2"/>
  <c r="AM473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O329" i="2"/>
  <c r="O330" i="2"/>
  <c r="O331" i="2"/>
  <c r="O332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3" i="2"/>
  <c r="S364" i="2"/>
  <c r="S365" i="2"/>
  <c r="S366" i="2"/>
  <c r="S367" i="2"/>
  <c r="S368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B367" i="2"/>
  <c r="AA367" i="2" s="1"/>
  <c r="AA368" i="2"/>
  <c r="AA369" i="2"/>
  <c r="AA370" i="2"/>
  <c r="AB371" i="2"/>
  <c r="AA371" i="2" s="1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I329" i="2"/>
  <c r="AI330" i="2"/>
  <c r="AI331" i="2"/>
  <c r="AI332" i="2"/>
  <c r="AI333" i="2"/>
  <c r="AI334" i="2"/>
  <c r="AI335" i="2"/>
  <c r="AI336" i="2"/>
  <c r="AI337" i="2"/>
  <c r="AI338" i="2"/>
  <c r="AI339" i="2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2" i="2"/>
  <c r="AI353" i="2"/>
  <c r="AI354" i="2"/>
  <c r="AI355" i="2"/>
  <c r="AI356" i="2"/>
  <c r="AI357" i="2"/>
  <c r="AI358" i="2"/>
  <c r="AI359" i="2"/>
  <c r="AI360" i="2"/>
  <c r="AI361" i="2"/>
  <c r="AI362" i="2"/>
  <c r="AI363" i="2"/>
  <c r="AI364" i="2"/>
  <c r="AI365" i="2"/>
  <c r="AI366" i="2"/>
  <c r="AI367" i="2"/>
  <c r="AI368" i="2"/>
  <c r="AI369" i="2"/>
  <c r="AI370" i="2"/>
  <c r="AI371" i="2"/>
  <c r="AI372" i="2"/>
  <c r="AI373" i="2"/>
  <c r="AI374" i="2"/>
  <c r="AI375" i="2"/>
  <c r="AI376" i="2"/>
  <c r="AI377" i="2"/>
  <c r="AI378" i="2"/>
  <c r="AI379" i="2"/>
  <c r="AI380" i="2"/>
  <c r="AI381" i="2"/>
  <c r="AI382" i="2"/>
  <c r="AI383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63" i="2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378" i="2"/>
  <c r="AK379" i="2"/>
  <c r="AK380" i="2"/>
  <c r="AK381" i="2"/>
  <c r="AK382" i="2"/>
  <c r="AK383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M329" i="2"/>
  <c r="AM330" i="2"/>
  <c r="AM331" i="2"/>
  <c r="AM332" i="2"/>
  <c r="AM333" i="2"/>
  <c r="AM334" i="2"/>
  <c r="AM335" i="2"/>
  <c r="AM336" i="2"/>
  <c r="AM337" i="2"/>
  <c r="AM338" i="2"/>
  <c r="AM339" i="2"/>
  <c r="AM340" i="2"/>
  <c r="AM341" i="2"/>
  <c r="AM342" i="2"/>
  <c r="AM343" i="2"/>
  <c r="AM344" i="2"/>
  <c r="AM345" i="2"/>
  <c r="AM346" i="2"/>
  <c r="AM347" i="2"/>
  <c r="AM348" i="2"/>
  <c r="AM349" i="2"/>
  <c r="AM350" i="2"/>
  <c r="AM351" i="2"/>
  <c r="AM352" i="2"/>
  <c r="AM353" i="2"/>
  <c r="AM354" i="2"/>
  <c r="AM355" i="2"/>
  <c r="AM356" i="2"/>
  <c r="AM357" i="2"/>
  <c r="AM358" i="2"/>
  <c r="AM359" i="2"/>
  <c r="AM360" i="2"/>
  <c r="AM361" i="2"/>
  <c r="AM362" i="2"/>
  <c r="AM363" i="2"/>
  <c r="AM364" i="2"/>
  <c r="AM365" i="2"/>
  <c r="AM366" i="2"/>
  <c r="AM367" i="2"/>
  <c r="AM368" i="2"/>
  <c r="AM369" i="2"/>
  <c r="AM370" i="2"/>
  <c r="AM371" i="2"/>
  <c r="AM372" i="2"/>
  <c r="AM373" i="2"/>
  <c r="AM374" i="2"/>
  <c r="AM375" i="2"/>
  <c r="AM376" i="2"/>
  <c r="AM377" i="2"/>
  <c r="AM378" i="2"/>
  <c r="AM379" i="2"/>
  <c r="AM380" i="2"/>
  <c r="AM381" i="2"/>
  <c r="AM382" i="2"/>
  <c r="AM383" i="2"/>
  <c r="B326" i="2"/>
  <c r="B327" i="2"/>
  <c r="B328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C326" i="2"/>
  <c r="C327" i="2"/>
  <c r="C328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E326" i="2"/>
  <c r="E327" i="2"/>
  <c r="E328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F326" i="2"/>
  <c r="F327" i="2"/>
  <c r="F328" i="2"/>
  <c r="F384" i="2"/>
  <c r="F385" i="2"/>
  <c r="F386" i="2"/>
  <c r="F387" i="2"/>
  <c r="F388" i="2"/>
  <c r="F389" i="2"/>
  <c r="F390" i="2"/>
  <c r="F391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G326" i="2"/>
  <c r="G327" i="2"/>
  <c r="G328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I326" i="2"/>
  <c r="I327" i="2"/>
  <c r="I328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J326" i="2"/>
  <c r="J327" i="2"/>
  <c r="J328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K326" i="2"/>
  <c r="K327" i="2"/>
  <c r="K328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M326" i="2"/>
  <c r="M327" i="2"/>
  <c r="M328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N326" i="2"/>
  <c r="N327" i="2"/>
  <c r="N328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O326" i="2"/>
  <c r="O327" i="2"/>
  <c r="O328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S326" i="2"/>
  <c r="S327" i="2"/>
  <c r="S328" i="2"/>
  <c r="S385" i="2"/>
  <c r="AA326" i="2"/>
  <c r="AA327" i="2"/>
  <c r="AA328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I326" i="2"/>
  <c r="AI327" i="2"/>
  <c r="AI328" i="2"/>
  <c r="AI384" i="2"/>
  <c r="AI385" i="2"/>
  <c r="AI386" i="2"/>
  <c r="AI387" i="2"/>
  <c r="AI388" i="2"/>
  <c r="AI389" i="2"/>
  <c r="AI390" i="2"/>
  <c r="AI391" i="2"/>
  <c r="AI392" i="2"/>
  <c r="AI393" i="2"/>
  <c r="AI394" i="2"/>
  <c r="AI395" i="2"/>
  <c r="AI396" i="2"/>
  <c r="AI397" i="2"/>
  <c r="AI398" i="2"/>
  <c r="AI399" i="2"/>
  <c r="AI400" i="2"/>
  <c r="AI401" i="2"/>
  <c r="AI402" i="2"/>
  <c r="AI403" i="2"/>
  <c r="AI404" i="2"/>
  <c r="AI405" i="2"/>
  <c r="AI406" i="2"/>
  <c r="AI407" i="2"/>
  <c r="AI408" i="2"/>
  <c r="AI409" i="2"/>
  <c r="AJ326" i="2"/>
  <c r="AJ327" i="2"/>
  <c r="AJ328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K326" i="2"/>
  <c r="AK327" i="2"/>
  <c r="AK328" i="2"/>
  <c r="AK384" i="2"/>
  <c r="AK385" i="2"/>
  <c r="AK386" i="2"/>
  <c r="AK387" i="2"/>
  <c r="AK388" i="2"/>
  <c r="AK389" i="2"/>
  <c r="AK390" i="2"/>
  <c r="AK391" i="2"/>
  <c r="AK392" i="2"/>
  <c r="AK393" i="2"/>
  <c r="AK394" i="2"/>
  <c r="AK395" i="2"/>
  <c r="AK396" i="2"/>
  <c r="AK397" i="2"/>
  <c r="AK398" i="2"/>
  <c r="AK399" i="2"/>
  <c r="AK400" i="2"/>
  <c r="AK401" i="2"/>
  <c r="AK402" i="2"/>
  <c r="AK403" i="2"/>
  <c r="AK404" i="2"/>
  <c r="AK405" i="2"/>
  <c r="AK406" i="2"/>
  <c r="AK407" i="2"/>
  <c r="AK408" i="2"/>
  <c r="AK409" i="2"/>
  <c r="AL326" i="2"/>
  <c r="AL327" i="2"/>
  <c r="AL328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M326" i="2"/>
  <c r="AM327" i="2"/>
  <c r="AM328" i="2"/>
  <c r="AM384" i="2"/>
  <c r="AM385" i="2"/>
  <c r="AM386" i="2"/>
  <c r="AM387" i="2"/>
  <c r="AM388" i="2"/>
  <c r="AM389" i="2"/>
  <c r="AM390" i="2"/>
  <c r="AM391" i="2"/>
  <c r="AM392" i="2"/>
  <c r="AM393" i="2"/>
  <c r="AM394" i="2"/>
  <c r="AM395" i="2"/>
  <c r="AM396" i="2"/>
  <c r="AM397" i="2"/>
  <c r="AM398" i="2"/>
  <c r="AM399" i="2"/>
  <c r="AM400" i="2"/>
  <c r="AM401" i="2"/>
  <c r="AM402" i="2"/>
  <c r="AM403" i="2"/>
  <c r="AM404" i="2"/>
  <c r="AM405" i="2"/>
  <c r="AM406" i="2"/>
  <c r="AM407" i="2"/>
  <c r="AM408" i="2"/>
  <c r="AM409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B299" i="2"/>
  <c r="AA299" i="2" s="1"/>
  <c r="AA300" i="2"/>
  <c r="AA301" i="2"/>
  <c r="AA302" i="2"/>
  <c r="AA303" i="2"/>
  <c r="AA304" i="2"/>
  <c r="AA305" i="2"/>
  <c r="AF295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M257" i="2"/>
  <c r="AM258" i="2"/>
  <c r="AM259" i="2"/>
  <c r="AM260" i="2"/>
  <c r="AM261" i="2"/>
  <c r="AM262" i="2"/>
  <c r="AM263" i="2"/>
  <c r="AM264" i="2"/>
  <c r="AM265" i="2"/>
  <c r="AM266" i="2"/>
  <c r="AM267" i="2"/>
  <c r="AM268" i="2"/>
  <c r="AM269" i="2"/>
  <c r="AM270" i="2"/>
  <c r="AM271" i="2"/>
  <c r="AM272" i="2"/>
  <c r="AM273" i="2"/>
  <c r="AM274" i="2"/>
  <c r="AM275" i="2"/>
  <c r="AM276" i="2"/>
  <c r="AM277" i="2"/>
  <c r="AM278" i="2"/>
  <c r="AM279" i="2"/>
  <c r="AM280" i="2"/>
  <c r="AM281" i="2"/>
  <c r="AM282" i="2"/>
  <c r="AM283" i="2"/>
  <c r="AM284" i="2"/>
  <c r="AM285" i="2"/>
  <c r="AM286" i="2"/>
  <c r="AM287" i="2"/>
  <c r="AM288" i="2"/>
  <c r="AM289" i="2"/>
  <c r="AM290" i="2"/>
  <c r="AM291" i="2"/>
  <c r="AM292" i="2"/>
  <c r="AM293" i="2"/>
  <c r="AM294" i="2"/>
  <c r="AM295" i="2"/>
  <c r="AM296" i="2"/>
  <c r="AM297" i="2"/>
  <c r="AM298" i="2"/>
  <c r="AM299" i="2"/>
  <c r="AM300" i="2"/>
  <c r="AM301" i="2"/>
  <c r="AM302" i="2"/>
  <c r="AM303" i="2"/>
  <c r="AM304" i="2"/>
  <c r="AM30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I216" i="2"/>
  <c r="AI217" i="2"/>
  <c r="AI218" i="2"/>
  <c r="AI219" i="2"/>
  <c r="AI220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M216" i="2"/>
  <c r="AM217" i="2"/>
  <c r="AM218" i="2"/>
  <c r="AM219" i="2"/>
  <c r="AM220" i="2"/>
  <c r="AM221" i="2"/>
  <c r="AM222" i="2"/>
  <c r="AM223" i="2"/>
  <c r="AM224" i="2"/>
  <c r="AM225" i="2"/>
  <c r="AM226" i="2"/>
  <c r="AM227" i="2"/>
  <c r="AM228" i="2"/>
  <c r="AM229" i="2"/>
  <c r="AM230" i="2"/>
  <c r="AM231" i="2"/>
  <c r="AM232" i="2"/>
  <c r="AM233" i="2"/>
  <c r="AM234" i="2"/>
  <c r="AM235" i="2"/>
  <c r="AM236" i="2"/>
  <c r="AM237" i="2"/>
  <c r="AM238" i="2"/>
  <c r="AM239" i="2"/>
  <c r="AM240" i="2"/>
  <c r="AM241" i="2"/>
  <c r="AM242" i="2"/>
  <c r="AM243" i="2"/>
  <c r="AM244" i="2"/>
  <c r="AM245" i="2"/>
  <c r="B246" i="2"/>
  <c r="B247" i="2"/>
  <c r="B248" i="2"/>
  <c r="B249" i="2"/>
  <c r="B250" i="2"/>
  <c r="B251" i="2"/>
  <c r="B252" i="2"/>
  <c r="B253" i="2"/>
  <c r="B254" i="2"/>
  <c r="B255" i="2"/>
  <c r="B256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C246" i="2"/>
  <c r="C247" i="2"/>
  <c r="C248" i="2"/>
  <c r="C249" i="2"/>
  <c r="C250" i="2"/>
  <c r="C251" i="2"/>
  <c r="C252" i="2"/>
  <c r="C253" i="2"/>
  <c r="C254" i="2"/>
  <c r="C255" i="2"/>
  <c r="C256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E246" i="2"/>
  <c r="E247" i="2"/>
  <c r="E248" i="2"/>
  <c r="E249" i="2"/>
  <c r="E250" i="2"/>
  <c r="E251" i="2"/>
  <c r="E252" i="2"/>
  <c r="E253" i="2"/>
  <c r="E254" i="2"/>
  <c r="E255" i="2"/>
  <c r="E256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F246" i="2"/>
  <c r="F247" i="2"/>
  <c r="F248" i="2"/>
  <c r="F249" i="2"/>
  <c r="F250" i="2"/>
  <c r="F251" i="2"/>
  <c r="F252" i="2"/>
  <c r="F253" i="2"/>
  <c r="F254" i="2"/>
  <c r="F255" i="2"/>
  <c r="F256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G246" i="2"/>
  <c r="G247" i="2"/>
  <c r="G248" i="2"/>
  <c r="G249" i="2"/>
  <c r="G250" i="2"/>
  <c r="G251" i="2"/>
  <c r="G252" i="2"/>
  <c r="G253" i="2"/>
  <c r="G254" i="2"/>
  <c r="G255" i="2"/>
  <c r="G256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I246" i="2"/>
  <c r="I247" i="2"/>
  <c r="I248" i="2"/>
  <c r="I249" i="2"/>
  <c r="I250" i="2"/>
  <c r="I251" i="2"/>
  <c r="I252" i="2"/>
  <c r="I253" i="2"/>
  <c r="I254" i="2"/>
  <c r="I255" i="2"/>
  <c r="I256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J246" i="2"/>
  <c r="J247" i="2"/>
  <c r="J248" i="2"/>
  <c r="J249" i="2"/>
  <c r="J250" i="2"/>
  <c r="J251" i="2"/>
  <c r="J252" i="2"/>
  <c r="J253" i="2"/>
  <c r="J254" i="2"/>
  <c r="J255" i="2"/>
  <c r="J256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K246" i="2"/>
  <c r="K247" i="2"/>
  <c r="K248" i="2"/>
  <c r="K249" i="2"/>
  <c r="K250" i="2"/>
  <c r="K251" i="2"/>
  <c r="K252" i="2"/>
  <c r="K253" i="2"/>
  <c r="K254" i="2"/>
  <c r="K255" i="2"/>
  <c r="K256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M246" i="2"/>
  <c r="M247" i="2"/>
  <c r="M248" i="2"/>
  <c r="M249" i="2"/>
  <c r="M250" i="2"/>
  <c r="M251" i="2"/>
  <c r="M252" i="2"/>
  <c r="M253" i="2"/>
  <c r="M254" i="2"/>
  <c r="M255" i="2"/>
  <c r="M256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N246" i="2"/>
  <c r="N247" i="2"/>
  <c r="N248" i="2"/>
  <c r="N249" i="2"/>
  <c r="N250" i="2"/>
  <c r="N251" i="2"/>
  <c r="N252" i="2"/>
  <c r="N253" i="2"/>
  <c r="N254" i="2"/>
  <c r="N255" i="2"/>
  <c r="N256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O246" i="2"/>
  <c r="O247" i="2"/>
  <c r="O248" i="2"/>
  <c r="O249" i="2"/>
  <c r="O250" i="2"/>
  <c r="O251" i="2"/>
  <c r="O252" i="2"/>
  <c r="O253" i="2"/>
  <c r="O254" i="2"/>
  <c r="O255" i="2"/>
  <c r="O256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S246" i="2"/>
  <c r="S247" i="2"/>
  <c r="S248" i="2"/>
  <c r="S249" i="2"/>
  <c r="S250" i="2"/>
  <c r="S251" i="2"/>
  <c r="S252" i="2"/>
  <c r="S253" i="2"/>
  <c r="S254" i="2"/>
  <c r="S255" i="2"/>
  <c r="S256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3" i="2"/>
  <c r="S324" i="2"/>
  <c r="AA246" i="2"/>
  <c r="AA247" i="2"/>
  <c r="AA248" i="2"/>
  <c r="AA249" i="2"/>
  <c r="AA250" i="2"/>
  <c r="AA251" i="2"/>
  <c r="AA252" i="2"/>
  <c r="AA253" i="2"/>
  <c r="AA254" i="2"/>
  <c r="AA255" i="2"/>
  <c r="AA256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I246" i="2"/>
  <c r="AI247" i="2"/>
  <c r="AI248" i="2"/>
  <c r="AI249" i="2"/>
  <c r="AI250" i="2"/>
  <c r="AI251" i="2"/>
  <c r="AI252" i="2"/>
  <c r="AI253" i="2"/>
  <c r="AI254" i="2"/>
  <c r="AI255" i="2"/>
  <c r="AI256" i="2"/>
  <c r="AI306" i="2"/>
  <c r="AI307" i="2"/>
  <c r="AI308" i="2"/>
  <c r="AI309" i="2"/>
  <c r="AI310" i="2"/>
  <c r="AI311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J246" i="2"/>
  <c r="AJ247" i="2"/>
  <c r="AJ248" i="2"/>
  <c r="AJ249" i="2"/>
  <c r="AJ250" i="2"/>
  <c r="AJ251" i="2"/>
  <c r="AJ252" i="2"/>
  <c r="AJ253" i="2"/>
  <c r="AJ254" i="2"/>
  <c r="AJ255" i="2"/>
  <c r="AJ256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K246" i="2"/>
  <c r="AK247" i="2"/>
  <c r="AK248" i="2"/>
  <c r="AK249" i="2"/>
  <c r="AK250" i="2"/>
  <c r="AK251" i="2"/>
  <c r="AK252" i="2"/>
  <c r="AK253" i="2"/>
  <c r="AK254" i="2"/>
  <c r="AK255" i="2"/>
  <c r="AK256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L246" i="2"/>
  <c r="AL247" i="2"/>
  <c r="AL248" i="2"/>
  <c r="AL249" i="2"/>
  <c r="AL250" i="2"/>
  <c r="AL251" i="2"/>
  <c r="AL252" i="2"/>
  <c r="AL253" i="2"/>
  <c r="AL254" i="2"/>
  <c r="AL255" i="2"/>
  <c r="AL256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M246" i="2"/>
  <c r="AM247" i="2"/>
  <c r="AM248" i="2"/>
  <c r="AM249" i="2"/>
  <c r="AM250" i="2"/>
  <c r="AM251" i="2"/>
  <c r="AM252" i="2"/>
  <c r="AM253" i="2"/>
  <c r="AM254" i="2"/>
  <c r="AM255" i="2"/>
  <c r="AM256" i="2"/>
  <c r="AM306" i="2"/>
  <c r="AM307" i="2"/>
  <c r="AM308" i="2"/>
  <c r="AM309" i="2"/>
  <c r="AM310" i="2"/>
  <c r="AM311" i="2"/>
  <c r="AM312" i="2"/>
  <c r="AM313" i="2"/>
  <c r="AM314" i="2"/>
  <c r="AM315" i="2"/>
  <c r="AM316" i="2"/>
  <c r="AM317" i="2"/>
  <c r="AM318" i="2"/>
  <c r="AM319" i="2"/>
  <c r="AM320" i="2"/>
  <c r="AM321" i="2"/>
  <c r="AM322" i="2"/>
  <c r="AM323" i="2"/>
  <c r="AM324" i="2"/>
  <c r="B32" i="2"/>
  <c r="B33" i="2"/>
  <c r="B34" i="2"/>
  <c r="B35" i="2"/>
  <c r="B36" i="2"/>
  <c r="B37" i="2"/>
  <c r="B38" i="2"/>
  <c r="B39" i="2"/>
  <c r="B40" i="2"/>
  <c r="B43" i="2"/>
  <c r="B44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C32" i="2"/>
  <c r="C33" i="2"/>
  <c r="C34" i="2"/>
  <c r="C35" i="2"/>
  <c r="C36" i="2"/>
  <c r="C37" i="2"/>
  <c r="C38" i="2"/>
  <c r="C39" i="2"/>
  <c r="C40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E32" i="2"/>
  <c r="E33" i="2"/>
  <c r="E34" i="2"/>
  <c r="E35" i="2"/>
  <c r="E36" i="2"/>
  <c r="E37" i="2"/>
  <c r="E38" i="2"/>
  <c r="E39" i="2"/>
  <c r="E40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F32" i="2"/>
  <c r="F33" i="2"/>
  <c r="F34" i="2"/>
  <c r="F35" i="2"/>
  <c r="F36" i="2"/>
  <c r="F37" i="2"/>
  <c r="F38" i="2"/>
  <c r="F39" i="2"/>
  <c r="F40" i="2"/>
  <c r="F43" i="2"/>
  <c r="F44" i="2"/>
  <c r="F45" i="2"/>
  <c r="F46" i="2"/>
  <c r="F47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G32" i="2"/>
  <c r="G33" i="2"/>
  <c r="G34" i="2"/>
  <c r="G35" i="2"/>
  <c r="G36" i="2"/>
  <c r="G37" i="2"/>
  <c r="G38" i="2"/>
  <c r="G39" i="2"/>
  <c r="G40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I32" i="2"/>
  <c r="I33" i="2"/>
  <c r="I34" i="2"/>
  <c r="I35" i="2"/>
  <c r="I36" i="2"/>
  <c r="I37" i="2"/>
  <c r="I38" i="2"/>
  <c r="I39" i="2"/>
  <c r="I40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J32" i="2"/>
  <c r="J3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K32" i="2"/>
  <c r="K33" i="2"/>
  <c r="K34" i="2"/>
  <c r="K35" i="2"/>
  <c r="K36" i="2"/>
  <c r="K37" i="2"/>
  <c r="K38" i="2"/>
  <c r="K39" i="2"/>
  <c r="K40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M32" i="2"/>
  <c r="M33" i="2"/>
  <c r="M34" i="2"/>
  <c r="M35" i="2"/>
  <c r="M36" i="2"/>
  <c r="M37" i="2"/>
  <c r="M38" i="2"/>
  <c r="M39" i="2"/>
  <c r="M40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N32" i="2"/>
  <c r="N33" i="2"/>
  <c r="N34" i="2"/>
  <c r="N35" i="2"/>
  <c r="N36" i="2"/>
  <c r="N37" i="2"/>
  <c r="N38" i="2"/>
  <c r="N39" i="2"/>
  <c r="N40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O32" i="2"/>
  <c r="O33" i="2"/>
  <c r="O34" i="2"/>
  <c r="O35" i="2"/>
  <c r="O36" i="2"/>
  <c r="O37" i="2"/>
  <c r="O38" i="2"/>
  <c r="O39" i="2"/>
  <c r="O40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S33" i="2"/>
  <c r="S34" i="2"/>
  <c r="S35" i="2"/>
  <c r="S36" i="2"/>
  <c r="S37" i="2"/>
  <c r="S38" i="2"/>
  <c r="S39" i="2"/>
  <c r="S40" i="2"/>
  <c r="S43" i="2"/>
  <c r="S44" i="2"/>
  <c r="S46" i="2"/>
  <c r="S47" i="2"/>
  <c r="S48" i="2"/>
  <c r="S49" i="2"/>
  <c r="S50" i="2"/>
  <c r="S51" i="2"/>
  <c r="S52" i="2"/>
  <c r="S53" i="2"/>
  <c r="S54" i="2"/>
  <c r="S55" i="2"/>
  <c r="S56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AB39" i="2"/>
  <c r="AA39" i="2" s="1"/>
  <c r="AA43" i="2"/>
  <c r="AA44" i="2"/>
  <c r="AA45" i="2"/>
  <c r="AA48" i="2"/>
  <c r="AA49" i="2"/>
  <c r="AA54" i="2"/>
  <c r="AA60" i="2"/>
  <c r="AA61" i="2"/>
  <c r="AA62" i="2"/>
  <c r="AA63" i="2"/>
  <c r="AA64" i="2"/>
  <c r="AA66" i="2"/>
  <c r="AA67" i="2"/>
  <c r="AA70" i="2"/>
  <c r="AA72" i="2"/>
  <c r="AA73" i="2"/>
  <c r="AA76" i="2"/>
  <c r="AA77" i="2"/>
  <c r="AA78" i="2"/>
  <c r="AA79" i="2"/>
  <c r="AA80" i="2"/>
  <c r="AA81" i="2"/>
  <c r="AA82" i="2"/>
  <c r="AA83" i="2"/>
  <c r="AA84" i="2"/>
  <c r="AA85" i="2"/>
  <c r="AA86" i="2"/>
  <c r="AE39" i="2"/>
  <c r="AD45" i="2"/>
  <c r="AD78" i="2"/>
  <c r="AF44" i="2"/>
  <c r="AI32" i="2"/>
  <c r="AI33" i="2"/>
  <c r="AI34" i="2"/>
  <c r="AI35" i="2"/>
  <c r="AI36" i="2"/>
  <c r="AI37" i="2"/>
  <c r="AI38" i="2"/>
  <c r="AI39" i="2"/>
  <c r="AI40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J32" i="2"/>
  <c r="AJ33" i="2"/>
  <c r="AJ34" i="2"/>
  <c r="AJ35" i="2"/>
  <c r="AJ36" i="2"/>
  <c r="AJ37" i="2"/>
  <c r="AJ38" i="2"/>
  <c r="AJ39" i="2"/>
  <c r="AJ40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K32" i="2"/>
  <c r="AK33" i="2"/>
  <c r="AK34" i="2"/>
  <c r="AK35" i="2"/>
  <c r="AK36" i="2"/>
  <c r="AK37" i="2"/>
  <c r="AK38" i="2"/>
  <c r="AK39" i="2"/>
  <c r="AK40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L32" i="2"/>
  <c r="AL33" i="2"/>
  <c r="AL34" i="2"/>
  <c r="AL35" i="2"/>
  <c r="AL36" i="2"/>
  <c r="AL37" i="2"/>
  <c r="AL38" i="2"/>
  <c r="AL39" i="2"/>
  <c r="AL40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M32" i="2"/>
  <c r="AM33" i="2"/>
  <c r="AM34" i="2"/>
  <c r="AM35" i="2"/>
  <c r="AM36" i="2"/>
  <c r="AM37" i="2"/>
  <c r="AM38" i="2"/>
  <c r="AM39" i="2"/>
  <c r="AM40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AA87" i="2"/>
  <c r="AB88" i="2"/>
  <c r="AA88" i="2" s="1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B111" i="2"/>
  <c r="AA111" i="2" s="1"/>
  <c r="AA112" i="2"/>
  <c r="AB113" i="2"/>
  <c r="AA113" i="2" s="1"/>
  <c r="AA114" i="2"/>
  <c r="AA115" i="2"/>
  <c r="AA116" i="2"/>
  <c r="AA117" i="2"/>
  <c r="AA118" i="2"/>
  <c r="AA119" i="2"/>
  <c r="AA120" i="2"/>
  <c r="AA121" i="2"/>
  <c r="AA122" i="2"/>
  <c r="AA123" i="2"/>
  <c r="AA124" i="2"/>
  <c r="AB125" i="2"/>
  <c r="AA125" i="2" s="1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E88" i="2"/>
  <c r="AE111" i="2"/>
  <c r="AE113" i="2"/>
  <c r="AE125" i="2"/>
  <c r="AF112" i="2"/>
  <c r="AF114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3" i="2"/>
  <c r="AM114" i="2"/>
  <c r="AM115" i="2"/>
  <c r="AM116" i="2"/>
  <c r="AM117" i="2"/>
  <c r="AM118" i="2"/>
  <c r="AM119" i="2"/>
  <c r="AM120" i="2"/>
  <c r="AM121" i="2"/>
  <c r="AM122" i="2"/>
  <c r="AM123" i="2"/>
  <c r="AM124" i="2"/>
  <c r="AM125" i="2"/>
  <c r="AM126" i="2"/>
  <c r="AM127" i="2"/>
  <c r="AM128" i="2"/>
  <c r="AM129" i="2"/>
  <c r="AM130" i="2"/>
  <c r="AM131" i="2"/>
  <c r="AM132" i="2"/>
  <c r="AM133" i="2"/>
  <c r="AM134" i="2"/>
  <c r="AM135" i="2"/>
  <c r="AM136" i="2"/>
  <c r="AM137" i="2"/>
  <c r="AM138" i="2"/>
  <c r="AM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E181" i="2"/>
  <c r="AI140" i="2"/>
  <c r="AI141" i="2"/>
  <c r="AI142" i="2"/>
  <c r="AI143" i="2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M140" i="2"/>
  <c r="AM141" i="2"/>
  <c r="AM142" i="2"/>
  <c r="AM143" i="2"/>
  <c r="AM144" i="2"/>
  <c r="AM145" i="2"/>
  <c r="AM146" i="2"/>
  <c r="AM147" i="2"/>
  <c r="AM148" i="2"/>
  <c r="AM149" i="2"/>
  <c r="AM150" i="2"/>
  <c r="AM151" i="2"/>
  <c r="AM152" i="2"/>
  <c r="AM153" i="2"/>
  <c r="AM154" i="2"/>
  <c r="AM155" i="2"/>
  <c r="AM156" i="2"/>
  <c r="AM157" i="2"/>
  <c r="AM158" i="2"/>
  <c r="AM159" i="2"/>
  <c r="AM160" i="2"/>
  <c r="AM161" i="2"/>
  <c r="AM162" i="2"/>
  <c r="AM163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AM185" i="2"/>
  <c r="AM186" i="2"/>
  <c r="AM187" i="2"/>
  <c r="AM188" i="2"/>
  <c r="AM189" i="2"/>
  <c r="AM190" i="2"/>
  <c r="AM191" i="2"/>
  <c r="AM192" i="2"/>
  <c r="B25" i="2"/>
  <c r="B26" i="2"/>
  <c r="B27" i="2"/>
  <c r="C25" i="2"/>
  <c r="C26" i="2"/>
  <c r="C27" i="2"/>
  <c r="E25" i="2"/>
  <c r="E26" i="2"/>
  <c r="E27" i="2"/>
  <c r="F25" i="2"/>
  <c r="F26" i="2"/>
  <c r="F27" i="2"/>
  <c r="G25" i="2"/>
  <c r="G26" i="2"/>
  <c r="G27" i="2"/>
  <c r="I25" i="2"/>
  <c r="I26" i="2"/>
  <c r="I27" i="2"/>
  <c r="K25" i="2"/>
  <c r="K26" i="2"/>
  <c r="K27" i="2"/>
  <c r="M25" i="2"/>
  <c r="M26" i="2"/>
  <c r="M27" i="2"/>
  <c r="N25" i="2"/>
  <c r="N26" i="2"/>
  <c r="N27" i="2"/>
  <c r="O25" i="2"/>
  <c r="O26" i="2"/>
  <c r="O27" i="2"/>
  <c r="S25" i="2"/>
  <c r="S26" i="2"/>
  <c r="S27" i="2"/>
  <c r="AA25" i="2"/>
  <c r="AA26" i="2"/>
  <c r="AA27" i="2"/>
  <c r="AI25" i="2"/>
  <c r="AI26" i="2"/>
  <c r="AI27" i="2"/>
  <c r="AJ25" i="2"/>
  <c r="AJ26" i="2"/>
  <c r="AJ27" i="2"/>
  <c r="AK25" i="2"/>
  <c r="AK26" i="2"/>
  <c r="AK27" i="2"/>
  <c r="AL25" i="2"/>
  <c r="AL26" i="2"/>
  <c r="AL27" i="2"/>
  <c r="AM25" i="2"/>
  <c r="AM26" i="2"/>
  <c r="AM27" i="2"/>
  <c r="B28" i="2"/>
  <c r="B29" i="2"/>
  <c r="B30" i="2"/>
  <c r="C28" i="2"/>
  <c r="C29" i="2"/>
  <c r="C30" i="2"/>
  <c r="E28" i="2"/>
  <c r="E29" i="2"/>
  <c r="E30" i="2"/>
  <c r="F28" i="2"/>
  <c r="F29" i="2"/>
  <c r="F30" i="2"/>
  <c r="G28" i="2"/>
  <c r="G29" i="2"/>
  <c r="G30" i="2"/>
  <c r="I28" i="2"/>
  <c r="I29" i="2"/>
  <c r="I30" i="2"/>
  <c r="J28" i="2"/>
  <c r="J29" i="2"/>
  <c r="J30" i="2"/>
  <c r="K28" i="2"/>
  <c r="K29" i="2"/>
  <c r="K30" i="2"/>
  <c r="M28" i="2"/>
  <c r="M29" i="2"/>
  <c r="M30" i="2"/>
  <c r="N28" i="2"/>
  <c r="N29" i="2"/>
  <c r="N30" i="2"/>
  <c r="O28" i="2"/>
  <c r="O29" i="2"/>
  <c r="O30" i="2"/>
  <c r="S28" i="2"/>
  <c r="S29" i="2"/>
  <c r="S30" i="2"/>
  <c r="AA28" i="2"/>
  <c r="AA29" i="2"/>
  <c r="AA30" i="2"/>
  <c r="AI28" i="2"/>
  <c r="AI29" i="2"/>
  <c r="AI30" i="2"/>
  <c r="AJ28" i="2"/>
  <c r="AJ29" i="2"/>
  <c r="AJ30" i="2"/>
  <c r="AK28" i="2"/>
  <c r="AK29" i="2"/>
  <c r="AK30" i="2"/>
  <c r="AL28" i="2"/>
  <c r="AL29" i="2"/>
  <c r="AL30" i="2"/>
  <c r="AM28" i="2"/>
  <c r="AM29" i="2"/>
  <c r="AM30" i="2"/>
  <c r="B31" i="2"/>
  <c r="B193" i="2"/>
  <c r="B194" i="2"/>
  <c r="C31" i="2"/>
  <c r="C193" i="2"/>
  <c r="C194" i="2"/>
  <c r="E31" i="2"/>
  <c r="E193" i="2"/>
  <c r="E194" i="2"/>
  <c r="F31" i="2"/>
  <c r="F193" i="2"/>
  <c r="F194" i="2"/>
  <c r="G31" i="2"/>
  <c r="G193" i="2"/>
  <c r="G194" i="2"/>
  <c r="I31" i="2"/>
  <c r="I193" i="2"/>
  <c r="I194" i="2"/>
  <c r="J193" i="2"/>
  <c r="J194" i="2"/>
  <c r="K31" i="2"/>
  <c r="K193" i="2"/>
  <c r="K194" i="2"/>
  <c r="M31" i="2"/>
  <c r="M193" i="2"/>
  <c r="M194" i="2"/>
  <c r="N31" i="2"/>
  <c r="N193" i="2"/>
  <c r="N194" i="2"/>
  <c r="O31" i="2"/>
  <c r="O193" i="2"/>
  <c r="O194" i="2"/>
  <c r="S31" i="2"/>
  <c r="S193" i="2"/>
  <c r="S194" i="2"/>
  <c r="AA31" i="2"/>
  <c r="AA193" i="2"/>
  <c r="AA194" i="2"/>
  <c r="AI31" i="2"/>
  <c r="AI193" i="2"/>
  <c r="AI194" i="2"/>
  <c r="AJ31" i="2"/>
  <c r="AJ193" i="2"/>
  <c r="AJ194" i="2"/>
  <c r="AK31" i="2"/>
  <c r="AK193" i="2"/>
  <c r="AK194" i="2"/>
  <c r="AL31" i="2"/>
  <c r="AL193" i="2"/>
  <c r="AL194" i="2"/>
  <c r="AM31" i="2"/>
  <c r="AM193" i="2"/>
  <c r="AM194" i="2"/>
  <c r="B195" i="2"/>
  <c r="B196" i="2"/>
  <c r="B197" i="2"/>
  <c r="C195" i="2"/>
  <c r="C196" i="2"/>
  <c r="C197" i="2"/>
  <c r="E195" i="2"/>
  <c r="E196" i="2"/>
  <c r="E197" i="2"/>
  <c r="F195" i="2"/>
  <c r="F196" i="2"/>
  <c r="F197" i="2"/>
  <c r="G195" i="2"/>
  <c r="G196" i="2"/>
  <c r="G197" i="2"/>
  <c r="I195" i="2"/>
  <c r="I196" i="2"/>
  <c r="I197" i="2"/>
  <c r="J195" i="2"/>
  <c r="J196" i="2"/>
  <c r="J197" i="2"/>
  <c r="K195" i="2"/>
  <c r="K196" i="2"/>
  <c r="K197" i="2"/>
  <c r="M195" i="2"/>
  <c r="M196" i="2"/>
  <c r="M197" i="2"/>
  <c r="N195" i="2"/>
  <c r="N196" i="2"/>
  <c r="N197" i="2"/>
  <c r="O195" i="2"/>
  <c r="O196" i="2"/>
  <c r="O197" i="2"/>
  <c r="S195" i="2"/>
  <c r="S196" i="2"/>
  <c r="S197" i="2"/>
  <c r="AA195" i="2"/>
  <c r="AA196" i="2"/>
  <c r="AA197" i="2"/>
  <c r="AI195" i="2"/>
  <c r="AI196" i="2"/>
  <c r="AI197" i="2"/>
  <c r="AJ195" i="2"/>
  <c r="AJ196" i="2"/>
  <c r="AJ197" i="2"/>
  <c r="AK195" i="2"/>
  <c r="AK196" i="2"/>
  <c r="AK197" i="2"/>
  <c r="AL195" i="2"/>
  <c r="AL196" i="2"/>
  <c r="AL197" i="2"/>
  <c r="AM195" i="2"/>
  <c r="AM196" i="2"/>
  <c r="AM197" i="2"/>
  <c r="B198" i="2"/>
  <c r="B199" i="2"/>
  <c r="B200" i="2"/>
  <c r="C198" i="2"/>
  <c r="C199" i="2"/>
  <c r="C200" i="2"/>
  <c r="E198" i="2"/>
  <c r="E199" i="2"/>
  <c r="E200" i="2"/>
  <c r="F198" i="2"/>
  <c r="F199" i="2"/>
  <c r="F200" i="2"/>
  <c r="G198" i="2"/>
  <c r="G199" i="2"/>
  <c r="G200" i="2"/>
  <c r="I198" i="2"/>
  <c r="I199" i="2"/>
  <c r="I200" i="2"/>
  <c r="J198" i="2"/>
  <c r="J199" i="2"/>
  <c r="J200" i="2"/>
  <c r="K198" i="2"/>
  <c r="K199" i="2"/>
  <c r="K200" i="2"/>
  <c r="M198" i="2"/>
  <c r="M199" i="2"/>
  <c r="M200" i="2"/>
  <c r="N198" i="2"/>
  <c r="N199" i="2"/>
  <c r="N200" i="2"/>
  <c r="O198" i="2"/>
  <c r="O199" i="2"/>
  <c r="O200" i="2"/>
  <c r="S198" i="2"/>
  <c r="S199" i="2"/>
  <c r="S200" i="2"/>
  <c r="AA198" i="2"/>
  <c r="AA199" i="2"/>
  <c r="AA200" i="2"/>
  <c r="AI198" i="2"/>
  <c r="AI199" i="2"/>
  <c r="AI200" i="2"/>
  <c r="AJ198" i="2"/>
  <c r="AJ199" i="2"/>
  <c r="AJ200" i="2"/>
  <c r="AK198" i="2"/>
  <c r="AK199" i="2"/>
  <c r="AK200" i="2"/>
  <c r="AL198" i="2"/>
  <c r="AL199" i="2"/>
  <c r="AL200" i="2"/>
  <c r="AM198" i="2"/>
  <c r="AM199" i="2"/>
  <c r="AM200" i="2"/>
  <c r="B201" i="2"/>
  <c r="B202" i="2"/>
  <c r="B203" i="2"/>
  <c r="C201" i="2"/>
  <c r="C202" i="2"/>
  <c r="C203" i="2"/>
  <c r="E201" i="2"/>
  <c r="E202" i="2"/>
  <c r="E203" i="2"/>
  <c r="F201" i="2"/>
  <c r="F202" i="2"/>
  <c r="F203" i="2"/>
  <c r="G201" i="2"/>
  <c r="G202" i="2"/>
  <c r="G203" i="2"/>
  <c r="I201" i="2"/>
  <c r="I202" i="2"/>
  <c r="I203" i="2"/>
  <c r="J201" i="2"/>
  <c r="J202" i="2"/>
  <c r="J203" i="2"/>
  <c r="K201" i="2"/>
  <c r="K202" i="2"/>
  <c r="K203" i="2"/>
  <c r="M201" i="2"/>
  <c r="M202" i="2"/>
  <c r="M203" i="2"/>
  <c r="N201" i="2"/>
  <c r="N202" i="2"/>
  <c r="N203" i="2"/>
  <c r="O201" i="2"/>
  <c r="O202" i="2"/>
  <c r="O203" i="2"/>
  <c r="S201" i="2"/>
  <c r="S202" i="2"/>
  <c r="S203" i="2"/>
  <c r="AA201" i="2"/>
  <c r="AA202" i="2"/>
  <c r="AA203" i="2"/>
  <c r="AI201" i="2"/>
  <c r="AI202" i="2"/>
  <c r="AI203" i="2"/>
  <c r="AJ201" i="2"/>
  <c r="AJ202" i="2"/>
  <c r="AJ203" i="2"/>
  <c r="AK201" i="2"/>
  <c r="AK202" i="2"/>
  <c r="AK203" i="2"/>
  <c r="AL201" i="2"/>
  <c r="AL202" i="2"/>
  <c r="AL203" i="2"/>
  <c r="AM201" i="2"/>
  <c r="AM202" i="2"/>
  <c r="AM203" i="2"/>
  <c r="B204" i="2"/>
  <c r="B205" i="2"/>
  <c r="B206" i="2"/>
  <c r="C204" i="2"/>
  <c r="C205" i="2"/>
  <c r="C206" i="2"/>
  <c r="E204" i="2"/>
  <c r="E205" i="2"/>
  <c r="E206" i="2"/>
  <c r="F204" i="2"/>
  <c r="F205" i="2"/>
  <c r="F206" i="2"/>
  <c r="G204" i="2"/>
  <c r="G205" i="2"/>
  <c r="G206" i="2"/>
  <c r="I204" i="2"/>
  <c r="I205" i="2"/>
  <c r="I206" i="2"/>
  <c r="J204" i="2"/>
  <c r="J205" i="2"/>
  <c r="J206" i="2"/>
  <c r="K204" i="2"/>
  <c r="K205" i="2"/>
  <c r="K206" i="2"/>
  <c r="M204" i="2"/>
  <c r="M205" i="2"/>
  <c r="M206" i="2"/>
  <c r="N204" i="2"/>
  <c r="N205" i="2"/>
  <c r="N206" i="2"/>
  <c r="O204" i="2"/>
  <c r="O205" i="2"/>
  <c r="O206" i="2"/>
  <c r="S204" i="2"/>
  <c r="S205" i="2"/>
  <c r="S206" i="2"/>
  <c r="AA204" i="2"/>
  <c r="AA205" i="2"/>
  <c r="AA206" i="2"/>
  <c r="AI204" i="2"/>
  <c r="AI205" i="2"/>
  <c r="AI206" i="2"/>
  <c r="AJ204" i="2"/>
  <c r="AJ205" i="2"/>
  <c r="AJ206" i="2"/>
  <c r="AK204" i="2"/>
  <c r="AK205" i="2"/>
  <c r="AK206" i="2"/>
  <c r="AL204" i="2"/>
  <c r="AL205" i="2"/>
  <c r="AL206" i="2"/>
  <c r="AM204" i="2"/>
  <c r="AM205" i="2"/>
  <c r="AM206" i="2"/>
  <c r="B207" i="2"/>
  <c r="B208" i="2"/>
  <c r="B209" i="2"/>
  <c r="C207" i="2"/>
  <c r="C208" i="2"/>
  <c r="C209" i="2"/>
  <c r="E207" i="2"/>
  <c r="E208" i="2"/>
  <c r="E209" i="2"/>
  <c r="F207" i="2"/>
  <c r="F208" i="2"/>
  <c r="F209" i="2"/>
  <c r="G207" i="2"/>
  <c r="G208" i="2"/>
  <c r="G209" i="2"/>
  <c r="I207" i="2"/>
  <c r="I208" i="2"/>
  <c r="I209" i="2"/>
  <c r="J207" i="2"/>
  <c r="J208" i="2"/>
  <c r="J209" i="2"/>
  <c r="K207" i="2"/>
  <c r="K208" i="2"/>
  <c r="K209" i="2"/>
  <c r="M207" i="2"/>
  <c r="M208" i="2"/>
  <c r="M209" i="2"/>
  <c r="N207" i="2"/>
  <c r="N208" i="2"/>
  <c r="N209" i="2"/>
  <c r="O207" i="2"/>
  <c r="O208" i="2"/>
  <c r="O209" i="2"/>
  <c r="S207" i="2"/>
  <c r="S208" i="2"/>
  <c r="S209" i="2"/>
  <c r="AA207" i="2"/>
  <c r="AA208" i="2"/>
  <c r="AA209" i="2"/>
  <c r="AI207" i="2"/>
  <c r="AI208" i="2"/>
  <c r="AI209" i="2"/>
  <c r="AJ207" i="2"/>
  <c r="AJ208" i="2"/>
  <c r="AJ209" i="2"/>
  <c r="AK207" i="2"/>
  <c r="AK208" i="2"/>
  <c r="AK209" i="2"/>
  <c r="AL207" i="2"/>
  <c r="AL208" i="2"/>
  <c r="AL209" i="2"/>
  <c r="AM207" i="2"/>
  <c r="AM208" i="2"/>
  <c r="AM209" i="2"/>
  <c r="B210" i="2"/>
  <c r="B211" i="2"/>
  <c r="B212" i="2"/>
  <c r="C210" i="2"/>
  <c r="C211" i="2"/>
  <c r="C212" i="2"/>
  <c r="E210" i="2"/>
  <c r="E211" i="2"/>
  <c r="E212" i="2"/>
  <c r="F210" i="2"/>
  <c r="F211" i="2"/>
  <c r="F212" i="2"/>
  <c r="G210" i="2"/>
  <c r="G211" i="2"/>
  <c r="G212" i="2"/>
  <c r="I210" i="2"/>
  <c r="I211" i="2"/>
  <c r="I212" i="2"/>
  <c r="J210" i="2"/>
  <c r="J211" i="2"/>
  <c r="J212" i="2"/>
  <c r="K210" i="2"/>
  <c r="K211" i="2"/>
  <c r="K212" i="2"/>
  <c r="M210" i="2"/>
  <c r="M211" i="2"/>
  <c r="M212" i="2"/>
  <c r="N210" i="2"/>
  <c r="N211" i="2"/>
  <c r="N212" i="2"/>
  <c r="O210" i="2"/>
  <c r="O211" i="2"/>
  <c r="O212" i="2"/>
  <c r="S210" i="2"/>
  <c r="S211" i="2"/>
  <c r="S212" i="2"/>
  <c r="AA210" i="2"/>
  <c r="AA211" i="2"/>
  <c r="AA212" i="2"/>
  <c r="AI210" i="2"/>
  <c r="AI211" i="2"/>
  <c r="AI212" i="2"/>
  <c r="AJ210" i="2"/>
  <c r="AJ211" i="2"/>
  <c r="AJ212" i="2"/>
  <c r="AK210" i="2"/>
  <c r="AK211" i="2"/>
  <c r="AK212" i="2"/>
  <c r="AL210" i="2"/>
  <c r="AL211" i="2"/>
  <c r="AL212" i="2"/>
  <c r="AM210" i="2"/>
  <c r="AM211" i="2"/>
  <c r="AM212" i="2"/>
  <c r="B213" i="2"/>
  <c r="B214" i="2"/>
  <c r="B215" i="2"/>
  <c r="C213" i="2"/>
  <c r="C214" i="2"/>
  <c r="C215" i="2"/>
  <c r="E213" i="2"/>
  <c r="E214" i="2"/>
  <c r="E215" i="2"/>
  <c r="F213" i="2"/>
  <c r="F214" i="2"/>
  <c r="F215" i="2"/>
  <c r="G213" i="2"/>
  <c r="G214" i="2"/>
  <c r="G215" i="2"/>
  <c r="I213" i="2"/>
  <c r="I214" i="2"/>
  <c r="I215" i="2"/>
  <c r="J213" i="2"/>
  <c r="J214" i="2"/>
  <c r="J215" i="2"/>
  <c r="K213" i="2"/>
  <c r="K214" i="2"/>
  <c r="K215" i="2"/>
  <c r="M213" i="2"/>
  <c r="M214" i="2"/>
  <c r="M215" i="2"/>
  <c r="N213" i="2"/>
  <c r="N214" i="2"/>
  <c r="N215" i="2"/>
  <c r="O213" i="2"/>
  <c r="O214" i="2"/>
  <c r="O215" i="2"/>
  <c r="S213" i="2"/>
  <c r="S214" i="2"/>
  <c r="S215" i="2"/>
  <c r="AA213" i="2"/>
  <c r="AA214" i="2"/>
  <c r="AA215" i="2"/>
  <c r="AI213" i="2"/>
  <c r="AI214" i="2"/>
  <c r="AI215" i="2"/>
  <c r="AJ213" i="2"/>
  <c r="AJ214" i="2"/>
  <c r="AJ215" i="2"/>
  <c r="AK213" i="2"/>
  <c r="AK214" i="2"/>
  <c r="AK215" i="2"/>
  <c r="AL213" i="2"/>
  <c r="AL214" i="2"/>
  <c r="AL215" i="2"/>
  <c r="AM213" i="2"/>
  <c r="AM214" i="2"/>
  <c r="AM215" i="2"/>
  <c r="B325" i="2"/>
  <c r="B410" i="2"/>
  <c r="B411" i="2"/>
  <c r="C325" i="2"/>
  <c r="C410" i="2"/>
  <c r="C411" i="2"/>
  <c r="E325" i="2"/>
  <c r="E410" i="2"/>
  <c r="E411" i="2"/>
  <c r="F325" i="2"/>
  <c r="F410" i="2"/>
  <c r="F411" i="2"/>
  <c r="G325" i="2"/>
  <c r="G410" i="2"/>
  <c r="G411" i="2"/>
  <c r="I325" i="2"/>
  <c r="I410" i="2"/>
  <c r="I411" i="2"/>
  <c r="J325" i="2"/>
  <c r="J410" i="2"/>
  <c r="J411" i="2"/>
  <c r="K325" i="2"/>
  <c r="K410" i="2"/>
  <c r="K411" i="2"/>
  <c r="M325" i="2"/>
  <c r="M410" i="2"/>
  <c r="M411" i="2"/>
  <c r="N325" i="2"/>
  <c r="N410" i="2"/>
  <c r="N411" i="2"/>
  <c r="O325" i="2"/>
  <c r="O410" i="2"/>
  <c r="O411" i="2"/>
  <c r="S325" i="2"/>
  <c r="AA325" i="2"/>
  <c r="AA410" i="2"/>
  <c r="AA411" i="2"/>
  <c r="AI325" i="2"/>
  <c r="AI410" i="2"/>
  <c r="AI411" i="2"/>
  <c r="AJ325" i="2"/>
  <c r="AJ410" i="2"/>
  <c r="AJ411" i="2"/>
  <c r="AK325" i="2"/>
  <c r="AK410" i="2"/>
  <c r="AK411" i="2"/>
  <c r="AL325" i="2"/>
  <c r="AL410" i="2"/>
  <c r="AL411" i="2"/>
  <c r="AM325" i="2"/>
  <c r="AM410" i="2"/>
  <c r="AM411" i="2"/>
  <c r="B412" i="2"/>
  <c r="B474" i="2"/>
  <c r="B475" i="2"/>
  <c r="C412" i="2"/>
  <c r="C474" i="2"/>
  <c r="C475" i="2"/>
  <c r="E412" i="2"/>
  <c r="E474" i="2"/>
  <c r="E475" i="2"/>
  <c r="F412" i="2"/>
  <c r="F474" i="2"/>
  <c r="F475" i="2"/>
  <c r="G412" i="2"/>
  <c r="G474" i="2"/>
  <c r="G475" i="2"/>
  <c r="I412" i="2"/>
  <c r="I474" i="2"/>
  <c r="I475" i="2"/>
  <c r="J412" i="2"/>
  <c r="J474" i="2"/>
  <c r="J475" i="2"/>
  <c r="K412" i="2"/>
  <c r="K474" i="2"/>
  <c r="K475" i="2"/>
  <c r="M412" i="2"/>
  <c r="M474" i="2"/>
  <c r="M475" i="2"/>
  <c r="N412" i="2"/>
  <c r="N474" i="2"/>
  <c r="N475" i="2"/>
  <c r="O412" i="2"/>
  <c r="O474" i="2"/>
  <c r="O475" i="2"/>
  <c r="AA412" i="2"/>
  <c r="AA474" i="2"/>
  <c r="AA475" i="2"/>
  <c r="AI412" i="2"/>
  <c r="AI474" i="2"/>
  <c r="AI475" i="2"/>
  <c r="AJ412" i="2"/>
  <c r="AJ474" i="2"/>
  <c r="AJ475" i="2"/>
  <c r="AK412" i="2"/>
  <c r="AK474" i="2"/>
  <c r="AK475" i="2"/>
  <c r="AL412" i="2"/>
  <c r="AL474" i="2"/>
  <c r="AL475" i="2"/>
  <c r="AM412" i="2"/>
  <c r="AM474" i="2"/>
  <c r="AM475" i="2"/>
  <c r="B476" i="2"/>
  <c r="C476" i="2"/>
  <c r="E476" i="2"/>
  <c r="F476" i="2"/>
  <c r="G476" i="2"/>
  <c r="I476" i="2"/>
  <c r="J476" i="2"/>
  <c r="K476" i="2"/>
  <c r="M476" i="2"/>
  <c r="N476" i="2"/>
  <c r="O476" i="2"/>
  <c r="AA476" i="2"/>
  <c r="AI476" i="2"/>
  <c r="AJ476" i="2"/>
  <c r="AK476" i="2"/>
  <c r="AL476" i="2"/>
  <c r="AM476" i="2"/>
  <c r="B477" i="2"/>
  <c r="B478" i="2"/>
  <c r="C477" i="2"/>
  <c r="C478" i="2"/>
  <c r="E477" i="2"/>
  <c r="E478" i="2"/>
  <c r="F477" i="2"/>
  <c r="F478" i="2"/>
  <c r="G477" i="2"/>
  <c r="G478" i="2"/>
  <c r="I477" i="2"/>
  <c r="I478" i="2"/>
  <c r="J477" i="2"/>
  <c r="J478" i="2"/>
  <c r="K477" i="2"/>
  <c r="K478" i="2"/>
  <c r="M477" i="2"/>
  <c r="M478" i="2"/>
  <c r="N477" i="2"/>
  <c r="N478" i="2"/>
  <c r="O477" i="2"/>
  <c r="O478" i="2"/>
  <c r="AA477" i="2"/>
  <c r="AA478" i="2"/>
  <c r="AI477" i="2"/>
  <c r="AI478" i="2"/>
  <c r="AJ477" i="2"/>
  <c r="AJ478" i="2"/>
  <c r="AK477" i="2"/>
  <c r="AK478" i="2"/>
  <c r="AL477" i="2"/>
  <c r="AL478" i="2"/>
  <c r="AM477" i="2"/>
  <c r="AM478" i="2"/>
  <c r="B479" i="2"/>
  <c r="B480" i="2"/>
  <c r="C479" i="2"/>
  <c r="C480" i="2"/>
  <c r="E479" i="2"/>
  <c r="E480" i="2"/>
  <c r="F479" i="2"/>
  <c r="F480" i="2"/>
  <c r="G479" i="2"/>
  <c r="G480" i="2"/>
  <c r="I479" i="2"/>
  <c r="I480" i="2"/>
  <c r="J479" i="2"/>
  <c r="J480" i="2"/>
  <c r="K479" i="2"/>
  <c r="K480" i="2"/>
  <c r="M479" i="2"/>
  <c r="M480" i="2"/>
  <c r="N479" i="2"/>
  <c r="N480" i="2"/>
  <c r="O479" i="2"/>
  <c r="O480" i="2"/>
  <c r="AA479" i="2"/>
  <c r="AA480" i="2"/>
  <c r="AI479" i="2"/>
  <c r="AI480" i="2"/>
  <c r="AJ479" i="2"/>
  <c r="AJ480" i="2"/>
  <c r="AK479" i="2"/>
  <c r="AK480" i="2"/>
  <c r="AL479" i="2"/>
  <c r="AL480" i="2"/>
  <c r="AM479" i="2"/>
  <c r="AM480" i="2"/>
  <c r="B481" i="2"/>
  <c r="B482" i="2"/>
  <c r="C481" i="2"/>
  <c r="C482" i="2"/>
  <c r="E481" i="2"/>
  <c r="E482" i="2"/>
  <c r="F481" i="2"/>
  <c r="F482" i="2"/>
  <c r="G481" i="2"/>
  <c r="G482" i="2"/>
  <c r="I481" i="2"/>
  <c r="I482" i="2"/>
  <c r="J481" i="2"/>
  <c r="J482" i="2"/>
  <c r="K481" i="2"/>
  <c r="K482" i="2"/>
  <c r="M481" i="2"/>
  <c r="M482" i="2"/>
  <c r="N481" i="2"/>
  <c r="N482" i="2"/>
  <c r="O481" i="2"/>
  <c r="O482" i="2"/>
  <c r="AA481" i="2"/>
  <c r="AA482" i="2"/>
  <c r="AI481" i="2"/>
  <c r="AI482" i="2"/>
  <c r="AJ481" i="2"/>
  <c r="AJ482" i="2"/>
  <c r="AK481" i="2"/>
  <c r="AK482" i="2"/>
  <c r="AL481" i="2"/>
  <c r="AL482" i="2"/>
  <c r="AM481" i="2"/>
  <c r="AM482" i="2"/>
  <c r="B483" i="2"/>
  <c r="B484" i="2"/>
  <c r="C483" i="2"/>
  <c r="C484" i="2"/>
  <c r="E483" i="2"/>
  <c r="E484" i="2"/>
  <c r="F483" i="2"/>
  <c r="F484" i="2"/>
  <c r="G483" i="2"/>
  <c r="G484" i="2"/>
  <c r="I483" i="2"/>
  <c r="I484" i="2"/>
  <c r="J483" i="2"/>
  <c r="J484" i="2"/>
  <c r="K483" i="2"/>
  <c r="K484" i="2"/>
  <c r="M483" i="2"/>
  <c r="M484" i="2"/>
  <c r="N483" i="2"/>
  <c r="N484" i="2"/>
  <c r="O483" i="2"/>
  <c r="O484" i="2"/>
  <c r="AA483" i="2"/>
  <c r="AA484" i="2"/>
  <c r="AI483" i="2"/>
  <c r="AI484" i="2"/>
  <c r="AJ483" i="2"/>
  <c r="AJ484" i="2"/>
  <c r="AK483" i="2"/>
  <c r="AK484" i="2"/>
  <c r="AL483" i="2"/>
  <c r="AL484" i="2"/>
  <c r="AM483" i="2"/>
  <c r="AM484" i="2"/>
  <c r="B485" i="2"/>
  <c r="B486" i="2"/>
  <c r="C485" i="2"/>
  <c r="C486" i="2"/>
  <c r="E485" i="2"/>
  <c r="E486" i="2"/>
  <c r="F485" i="2"/>
  <c r="F486" i="2"/>
  <c r="G485" i="2"/>
  <c r="G486" i="2"/>
  <c r="I485" i="2"/>
  <c r="I486" i="2"/>
  <c r="J485" i="2"/>
  <c r="J486" i="2"/>
  <c r="K485" i="2"/>
  <c r="K486" i="2"/>
  <c r="M485" i="2"/>
  <c r="M486" i="2"/>
  <c r="N485" i="2"/>
  <c r="N486" i="2"/>
  <c r="O485" i="2"/>
  <c r="O486" i="2"/>
  <c r="AA485" i="2"/>
  <c r="AA486" i="2"/>
  <c r="AI485" i="2"/>
  <c r="AI486" i="2"/>
  <c r="AJ485" i="2"/>
  <c r="AJ486" i="2"/>
  <c r="AK485" i="2"/>
  <c r="AK486" i="2"/>
  <c r="AL485" i="2"/>
  <c r="AL486" i="2"/>
  <c r="AM485" i="2"/>
  <c r="AM486" i="2"/>
  <c r="B487" i="2"/>
  <c r="B488" i="2"/>
  <c r="C487" i="2"/>
  <c r="C488" i="2"/>
  <c r="E487" i="2"/>
  <c r="E488" i="2"/>
  <c r="F487" i="2"/>
  <c r="F488" i="2"/>
  <c r="G487" i="2"/>
  <c r="G488" i="2"/>
  <c r="I487" i="2"/>
  <c r="I488" i="2"/>
  <c r="J487" i="2"/>
  <c r="J488" i="2"/>
  <c r="K487" i="2"/>
  <c r="K488" i="2"/>
  <c r="M487" i="2"/>
  <c r="M488" i="2"/>
  <c r="N487" i="2"/>
  <c r="N488" i="2"/>
  <c r="O487" i="2"/>
  <c r="O488" i="2"/>
  <c r="AA487" i="2"/>
  <c r="AA488" i="2"/>
  <c r="AI487" i="2"/>
  <c r="AI488" i="2"/>
  <c r="AJ487" i="2"/>
  <c r="AJ488" i="2"/>
  <c r="AK487" i="2"/>
  <c r="AK488" i="2"/>
  <c r="AL487" i="2"/>
  <c r="AL488" i="2"/>
  <c r="AM487" i="2"/>
  <c r="AM488" i="2"/>
  <c r="B489" i="2"/>
  <c r="B490" i="2"/>
  <c r="C489" i="2"/>
  <c r="C490" i="2"/>
  <c r="E489" i="2"/>
  <c r="E490" i="2"/>
  <c r="F489" i="2"/>
  <c r="F490" i="2"/>
  <c r="G489" i="2"/>
  <c r="G490" i="2"/>
  <c r="I489" i="2"/>
  <c r="I490" i="2"/>
  <c r="J489" i="2"/>
  <c r="J490" i="2"/>
  <c r="K489" i="2"/>
  <c r="K490" i="2"/>
  <c r="M489" i="2"/>
  <c r="M490" i="2"/>
  <c r="N489" i="2"/>
  <c r="N490" i="2"/>
  <c r="O489" i="2"/>
  <c r="O490" i="2"/>
  <c r="AA489" i="2"/>
  <c r="AA490" i="2"/>
  <c r="AI489" i="2"/>
  <c r="AI490" i="2"/>
  <c r="AJ489" i="2"/>
  <c r="AJ490" i="2"/>
  <c r="AK489" i="2"/>
  <c r="AK490" i="2"/>
  <c r="AL489" i="2"/>
  <c r="AL490" i="2"/>
  <c r="AM489" i="2"/>
  <c r="AM490" i="2"/>
  <c r="B491" i="2"/>
  <c r="B500" i="2"/>
  <c r="C491" i="2"/>
  <c r="C500" i="2"/>
  <c r="E491" i="2"/>
  <c r="E500" i="2"/>
  <c r="F491" i="2"/>
  <c r="F500" i="2"/>
  <c r="G491" i="2"/>
  <c r="G500" i="2"/>
  <c r="I491" i="2"/>
  <c r="I500" i="2"/>
  <c r="J491" i="2"/>
  <c r="J500" i="2"/>
  <c r="K491" i="2"/>
  <c r="K500" i="2"/>
  <c r="M491" i="2"/>
  <c r="M500" i="2"/>
  <c r="N491" i="2"/>
  <c r="N500" i="2"/>
  <c r="O491" i="2"/>
  <c r="O500" i="2"/>
  <c r="AA491" i="2"/>
  <c r="AA500" i="2"/>
  <c r="AI491" i="2"/>
  <c r="AI500" i="2"/>
  <c r="AJ491" i="2"/>
  <c r="AJ500" i="2"/>
  <c r="AK491" i="2"/>
  <c r="AK500" i="2"/>
  <c r="AL491" i="2"/>
  <c r="AL500" i="2"/>
  <c r="AM491" i="2"/>
  <c r="AM500" i="2"/>
  <c r="B508" i="2"/>
  <c r="B509" i="2"/>
  <c r="C508" i="2"/>
  <c r="C509" i="2"/>
  <c r="E508" i="2"/>
  <c r="E509" i="2"/>
  <c r="F508" i="2"/>
  <c r="F509" i="2"/>
  <c r="G508" i="2"/>
  <c r="G509" i="2"/>
  <c r="I508" i="2"/>
  <c r="I509" i="2"/>
  <c r="J508" i="2"/>
  <c r="J509" i="2"/>
  <c r="K508" i="2"/>
  <c r="K509" i="2"/>
  <c r="M508" i="2"/>
  <c r="M509" i="2"/>
  <c r="N508" i="2"/>
  <c r="N509" i="2"/>
  <c r="O508" i="2"/>
  <c r="O509" i="2"/>
  <c r="AA508" i="2"/>
  <c r="AA509" i="2"/>
  <c r="AI508" i="2"/>
  <c r="AI509" i="2"/>
  <c r="AJ508" i="2"/>
  <c r="AJ509" i="2"/>
  <c r="AK508" i="2"/>
  <c r="AK509" i="2"/>
  <c r="AL508" i="2"/>
  <c r="AL509" i="2"/>
  <c r="AM508" i="2"/>
  <c r="AM509" i="2"/>
  <c r="B510" i="2"/>
  <c r="B523" i="2"/>
  <c r="C510" i="2"/>
  <c r="C523" i="2"/>
  <c r="E510" i="2"/>
  <c r="E523" i="2"/>
  <c r="F510" i="2"/>
  <c r="F523" i="2"/>
  <c r="G510" i="2"/>
  <c r="G523" i="2"/>
  <c r="I510" i="2"/>
  <c r="I523" i="2"/>
  <c r="J510" i="2"/>
  <c r="J523" i="2"/>
  <c r="K510" i="2"/>
  <c r="K523" i="2"/>
  <c r="M510" i="2"/>
  <c r="M523" i="2"/>
  <c r="N510" i="2"/>
  <c r="N523" i="2"/>
  <c r="O510" i="2"/>
  <c r="O523" i="2"/>
  <c r="AA510" i="2"/>
  <c r="AA523" i="2"/>
  <c r="AI510" i="2"/>
  <c r="AI523" i="2"/>
  <c r="AJ510" i="2"/>
  <c r="AJ523" i="2"/>
  <c r="AK510" i="2"/>
  <c r="AK523" i="2"/>
  <c r="AL510" i="2"/>
  <c r="AL523" i="2"/>
  <c r="AM510" i="2"/>
  <c r="AM523" i="2"/>
  <c r="B527" i="2"/>
  <c r="C527" i="2"/>
  <c r="E527" i="2"/>
  <c r="F527" i="2"/>
  <c r="G527" i="2"/>
  <c r="I527" i="2"/>
  <c r="J527" i="2"/>
  <c r="K527" i="2"/>
  <c r="M527" i="2"/>
  <c r="N527" i="2"/>
  <c r="O527" i="2"/>
  <c r="AA527" i="2"/>
  <c r="AI527" i="2"/>
  <c r="AJ527" i="2"/>
  <c r="AK527" i="2"/>
  <c r="AL527" i="2"/>
  <c r="AM527" i="2"/>
  <c r="B528" i="2"/>
  <c r="C528" i="2"/>
  <c r="E528" i="2"/>
  <c r="F528" i="2"/>
  <c r="G528" i="2"/>
  <c r="I528" i="2"/>
  <c r="J528" i="2"/>
  <c r="K528" i="2"/>
  <c r="M528" i="2"/>
  <c r="N528" i="2"/>
  <c r="O528" i="2"/>
  <c r="AA528" i="2"/>
  <c r="AI528" i="2"/>
  <c r="AJ528" i="2"/>
  <c r="AK528" i="2"/>
  <c r="AL528" i="2"/>
  <c r="AM528" i="2"/>
  <c r="F11" i="2"/>
  <c r="E11" i="2"/>
  <c r="AD525" i="2" l="1"/>
  <c r="AD524" i="2"/>
  <c r="AD520" i="2"/>
  <c r="AD516" i="2"/>
  <c r="AD514" i="2"/>
  <c r="AD507" i="2"/>
  <c r="AD505" i="2"/>
  <c r="AD501" i="2"/>
  <c r="AD499" i="2"/>
  <c r="AD495" i="2"/>
  <c r="AD494" i="2"/>
  <c r="AD476" i="2"/>
  <c r="AD475" i="2"/>
  <c r="AD474" i="2"/>
  <c r="AD469" i="2"/>
  <c r="AD468" i="2"/>
  <c r="AD464" i="2"/>
  <c r="AD463" i="2"/>
  <c r="AD462" i="2"/>
  <c r="AD460" i="2"/>
  <c r="AD457" i="2"/>
  <c r="AD456" i="2"/>
  <c r="AD452" i="2"/>
  <c r="AD448" i="2"/>
  <c r="AD445" i="2"/>
  <c r="AD444" i="2"/>
  <c r="AD442" i="2"/>
  <c r="AD441" i="2"/>
  <c r="AD436" i="2"/>
  <c r="AD434" i="2"/>
  <c r="AD433" i="2"/>
  <c r="AD432" i="2"/>
  <c r="AD428" i="2"/>
  <c r="AD427" i="2"/>
  <c r="AD424" i="2"/>
  <c r="AD423" i="2"/>
  <c r="AD422" i="2"/>
  <c r="AD415" i="2"/>
  <c r="AD412" i="2"/>
  <c r="AD411" i="2"/>
  <c r="AD410" i="2"/>
  <c r="AD407" i="2"/>
  <c r="AD404" i="2"/>
  <c r="AD401" i="2"/>
  <c r="AD400" i="2"/>
  <c r="AD398" i="2"/>
  <c r="AD395" i="2"/>
  <c r="AD393" i="2"/>
  <c r="AD392" i="2"/>
  <c r="AD391" i="2"/>
  <c r="AD388" i="2"/>
  <c r="AD387" i="2"/>
  <c r="AD382" i="2"/>
  <c r="AD378" i="2"/>
  <c r="AD377" i="2"/>
  <c r="AD376" i="2"/>
  <c r="AD374" i="2"/>
  <c r="AD372" i="2"/>
  <c r="AD371" i="2"/>
  <c r="AD369" i="2"/>
  <c r="AD364" i="2"/>
  <c r="AD363" i="2"/>
  <c r="AD360" i="2"/>
  <c r="AD359" i="2"/>
  <c r="AD358" i="2"/>
  <c r="AD357" i="2"/>
  <c r="AD356" i="2"/>
  <c r="AD353" i="2"/>
  <c r="AD352" i="2"/>
  <c r="AD348" i="2"/>
  <c r="AD346" i="2"/>
  <c r="AD342" i="2"/>
  <c r="AD340" i="2"/>
  <c r="AD338" i="2"/>
  <c r="AD336" i="2"/>
  <c r="AD333" i="2"/>
  <c r="AD328" i="2"/>
  <c r="AD329" i="2"/>
  <c r="AD325" i="2"/>
  <c r="AD323" i="2"/>
  <c r="AD321" i="2"/>
  <c r="AD320" i="2"/>
  <c r="AD319" i="2"/>
  <c r="AD317" i="2"/>
  <c r="AD308" i="2"/>
  <c r="AD316" i="2"/>
  <c r="AD313" i="2"/>
  <c r="AD311" i="2"/>
  <c r="AD310" i="2"/>
  <c r="AD309" i="2"/>
  <c r="AD307" i="2"/>
  <c r="AD304" i="2"/>
  <c r="AD297" i="2"/>
  <c r="AD293" i="2"/>
  <c r="AD288" i="2"/>
  <c r="AD315" i="2"/>
  <c r="AD282" i="2"/>
  <c r="AD281" i="2"/>
  <c r="AD276" i="2"/>
  <c r="AD270" i="2"/>
  <c r="AD268" i="2"/>
  <c r="AD267" i="2"/>
  <c r="AD263" i="2"/>
  <c r="AD262" i="2"/>
  <c r="AD261" i="2"/>
  <c r="AD254" i="2"/>
  <c r="AD255" i="2"/>
  <c r="AD314" i="2"/>
  <c r="AD256" i="2"/>
  <c r="AD306" i="2"/>
  <c r="AD252" i="2"/>
  <c r="AD324" i="2"/>
  <c r="AD312" i="2"/>
  <c r="AD251" i="2"/>
  <c r="AD318" i="2"/>
  <c r="AD253" i="2"/>
  <c r="AD249" i="2"/>
  <c r="AD250" i="2"/>
  <c r="AD322" i="2"/>
  <c r="AD247" i="2"/>
  <c r="AD248" i="2"/>
  <c r="AD246" i="2"/>
  <c r="AD245" i="2"/>
  <c r="AD241" i="2"/>
  <c r="AD239" i="2"/>
  <c r="AD236" i="2"/>
  <c r="AD233" i="2"/>
  <c r="AD232" i="2"/>
  <c r="AD242" i="2"/>
  <c r="AD230" i="2"/>
  <c r="AD231" i="2"/>
  <c r="AD228" i="2"/>
  <c r="AD235" i="2"/>
  <c r="AD227" i="2"/>
  <c r="AD226" i="2"/>
  <c r="AD225" i="2"/>
  <c r="AD224" i="2"/>
  <c r="AD223" i="2"/>
  <c r="AD229" i="2"/>
  <c r="AD222" i="2"/>
  <c r="AD221" i="2"/>
  <c r="AD517" i="2"/>
  <c r="AD220" i="2"/>
  <c r="AD218" i="2"/>
  <c r="AD219" i="2"/>
  <c r="AD217" i="2"/>
  <c r="AD234" i="2"/>
  <c r="AD216" i="2"/>
  <c r="AD215" i="2"/>
  <c r="AD214" i="2"/>
  <c r="AD213" i="2"/>
  <c r="AD212" i="2"/>
  <c r="AD211" i="2"/>
  <c r="AD210" i="2"/>
  <c r="AD209" i="2"/>
  <c r="AD208" i="2"/>
  <c r="AD207" i="2"/>
  <c r="AD206" i="2"/>
  <c r="AD205" i="2"/>
  <c r="AD204" i="2"/>
  <c r="AD203" i="2"/>
  <c r="AD202" i="2"/>
  <c r="AD201" i="2"/>
  <c r="AD200" i="2"/>
  <c r="AD243" i="2"/>
  <c r="AD237" i="2"/>
  <c r="AD199" i="2"/>
  <c r="AD198" i="2"/>
  <c r="AD240" i="2"/>
  <c r="AD238" i="2"/>
  <c r="AD244" i="2"/>
  <c r="AD197" i="2"/>
  <c r="AD196" i="2"/>
  <c r="AD195" i="2"/>
  <c r="AD194" i="2"/>
  <c r="AD193" i="2"/>
  <c r="AD192" i="2"/>
  <c r="AD188" i="2"/>
  <c r="AD185" i="2"/>
  <c r="AD183" i="2"/>
  <c r="AD182" i="2"/>
  <c r="AD351" i="2"/>
  <c r="AD176" i="2"/>
  <c r="AD174" i="2"/>
  <c r="AD173" i="2"/>
  <c r="AD166" i="2"/>
  <c r="AD345" i="2"/>
  <c r="AD518" i="2"/>
  <c r="AD381" i="2"/>
  <c r="AD339" i="2"/>
  <c r="AD443" i="2"/>
  <c r="AD375" i="2"/>
  <c r="AD526" i="2"/>
  <c r="AD362" i="2"/>
  <c r="AD162" i="2"/>
  <c r="AD159" i="2"/>
  <c r="AD158" i="2"/>
  <c r="AD155" i="2"/>
  <c r="AD154" i="2"/>
  <c r="AD153" i="2"/>
  <c r="AD152" i="2"/>
  <c r="AD146" i="2"/>
  <c r="AD143" i="2"/>
  <c r="AD291" i="2"/>
  <c r="AD285" i="2"/>
  <c r="AD140" i="2"/>
  <c r="AD139" i="2"/>
  <c r="AD138" i="2"/>
  <c r="AD133" i="2"/>
  <c r="AD132" i="2"/>
  <c r="AD502" i="2"/>
  <c r="AD403" i="2"/>
  <c r="AD131" i="2"/>
  <c r="AD512" i="2"/>
  <c r="AD511" i="2"/>
  <c r="AD332" i="2"/>
  <c r="AD380" i="2"/>
  <c r="AD344" i="2"/>
  <c r="AD127" i="2"/>
  <c r="AD529" i="2"/>
  <c r="AD128" i="2"/>
  <c r="AD126" i="2"/>
  <c r="AD180" i="2"/>
  <c r="AD144" i="2"/>
  <c r="AD435" i="2"/>
  <c r="AD343" i="2"/>
  <c r="AD459" i="2"/>
  <c r="AD453" i="2"/>
  <c r="AD447" i="2"/>
  <c r="AD471" i="2"/>
  <c r="AD383" i="2"/>
  <c r="AD368" i="2"/>
  <c r="AD350" i="2"/>
  <c r="AD465" i="2"/>
  <c r="AD450" i="2"/>
  <c r="AD496" i="2"/>
  <c r="AD418" i="2"/>
  <c r="AD341" i="2"/>
  <c r="AD191" i="2"/>
  <c r="AD122" i="2"/>
  <c r="AD161" i="2"/>
  <c r="AD414" i="2"/>
  <c r="AD149" i="2"/>
  <c r="AD467" i="2"/>
  <c r="AD120" i="2"/>
  <c r="AD389" i="2"/>
  <c r="AD354" i="2"/>
  <c r="AD181" i="2"/>
  <c r="AD141" i="2"/>
  <c r="AD134" i="2"/>
  <c r="AD171" i="2"/>
  <c r="AD272" i="2"/>
  <c r="AD451" i="2"/>
  <c r="AD121" i="2"/>
  <c r="AD373" i="2"/>
  <c r="AD331" i="2"/>
  <c r="AD439" i="2"/>
  <c r="AD157" i="2"/>
  <c r="AD175" i="2"/>
  <c r="AD151" i="2"/>
  <c r="AD112" i="2"/>
  <c r="AD303" i="2"/>
  <c r="AD280" i="2"/>
  <c r="AD361" i="2"/>
  <c r="AD330" i="2"/>
  <c r="AD438" i="2"/>
  <c r="AD92" i="2"/>
  <c r="AD298" i="2"/>
  <c r="AD279" i="2"/>
  <c r="AD349" i="2"/>
  <c r="AD169" i="2"/>
  <c r="AD145" i="2"/>
  <c r="AD274" i="2"/>
  <c r="AD379" i="2"/>
  <c r="AD367" i="2"/>
  <c r="AD337" i="2"/>
  <c r="AD187" i="2"/>
  <c r="AD163" i="2"/>
  <c r="AD292" i="2"/>
  <c r="AD273" i="2"/>
  <c r="AD366" i="2"/>
  <c r="AD355" i="2"/>
  <c r="AD421" i="2"/>
  <c r="AD522" i="2"/>
  <c r="AD130" i="2"/>
  <c r="AD287" i="2"/>
  <c r="AD365" i="2"/>
  <c r="AD466" i="2"/>
  <c r="AD458" i="2"/>
  <c r="AD498" i="2"/>
  <c r="AD104" i="2"/>
  <c r="AD299" i="2"/>
  <c r="AD269" i="2"/>
  <c r="AD394" i="2"/>
  <c r="AD347" i="2"/>
  <c r="AD440" i="2"/>
  <c r="AD472" i="2"/>
  <c r="AD446" i="2"/>
  <c r="AD492" i="2"/>
  <c r="AD118" i="2"/>
  <c r="AD406" i="2"/>
  <c r="AD335" i="2"/>
  <c r="AD425" i="2"/>
  <c r="AD178" i="2"/>
  <c r="AD142" i="2"/>
  <c r="AD136" i="2"/>
  <c r="AD257" i="2"/>
  <c r="AD327" i="2"/>
  <c r="AD413" i="2"/>
  <c r="AD119" i="2"/>
  <c r="AD116" i="2"/>
  <c r="AD114" i="2"/>
  <c r="AD110" i="2"/>
  <c r="AD109" i="2"/>
  <c r="AD108" i="2"/>
  <c r="AD107" i="2"/>
  <c r="AD106" i="2"/>
  <c r="AD103" i="2"/>
  <c r="AD102" i="2"/>
  <c r="AD100" i="2"/>
  <c r="AD98" i="2"/>
  <c r="AD97" i="2"/>
  <c r="AD95" i="2"/>
  <c r="AD94" i="2"/>
  <c r="AD91" i="2"/>
  <c r="AD189" i="2"/>
  <c r="AD179" i="2"/>
  <c r="AD147" i="2"/>
  <c r="AD86" i="2"/>
  <c r="AD289" i="2"/>
  <c r="AD271" i="2"/>
  <c r="AD259" i="2"/>
  <c r="AD167" i="2"/>
  <c r="AD277" i="2"/>
  <c r="AD473" i="2"/>
  <c r="AD420" i="2"/>
  <c r="AD177" i="2"/>
  <c r="AD305" i="2"/>
  <c r="AD295" i="2"/>
  <c r="AD275" i="2"/>
  <c r="AD385" i="2"/>
  <c r="AD165" i="2"/>
  <c r="AD124" i="2"/>
  <c r="AD283" i="2"/>
  <c r="AD265" i="2"/>
  <c r="AD397" i="2"/>
  <c r="AD426" i="2"/>
  <c r="AD301" i="2"/>
  <c r="AD409" i="2"/>
  <c r="AD431" i="2"/>
  <c r="AD186" i="2"/>
  <c r="AD172" i="2"/>
  <c r="AD150" i="2"/>
  <c r="AD137" i="2"/>
  <c r="AD125" i="2"/>
  <c r="AD113" i="2"/>
  <c r="AD101" i="2"/>
  <c r="AD89" i="2"/>
  <c r="AD80" i="2"/>
  <c r="AD437" i="2"/>
  <c r="AD497" i="2"/>
  <c r="AD156" i="2"/>
  <c r="AD184" i="2"/>
  <c r="AD148" i="2"/>
  <c r="AD449" i="2"/>
  <c r="AD190" i="2"/>
  <c r="AD168" i="2"/>
  <c r="AD455" i="2"/>
  <c r="AD160" i="2"/>
  <c r="AD88" i="2"/>
  <c r="AD461" i="2"/>
  <c r="AD96" i="2"/>
  <c r="AD74" i="2"/>
  <c r="AD62" i="2"/>
  <c r="AD56" i="2"/>
  <c r="AD50" i="2"/>
  <c r="AD278" i="2"/>
  <c r="AD399" i="2"/>
  <c r="AD326" i="2"/>
  <c r="AD284" i="2"/>
  <c r="AD416" i="2"/>
  <c r="AD493" i="2"/>
  <c r="AD503" i="2"/>
  <c r="AD521" i="2"/>
  <c r="AD515" i="2"/>
  <c r="AD27" i="2"/>
  <c r="AD84" i="2"/>
  <c r="AD72" i="2"/>
  <c r="AD66" i="2"/>
  <c r="AD60" i="2"/>
  <c r="AD54" i="2"/>
  <c r="AD48" i="2"/>
  <c r="AD290" i="2"/>
  <c r="AD405" i="2"/>
  <c r="AD296" i="2"/>
  <c r="AD260" i="2"/>
  <c r="AD454" i="2"/>
  <c r="AD430" i="2"/>
  <c r="AD90" i="2"/>
  <c r="AD65" i="2"/>
  <c r="AD76" i="2"/>
  <c r="AD70" i="2"/>
  <c r="AD64" i="2"/>
  <c r="AD58" i="2"/>
  <c r="AD52" i="2"/>
  <c r="AD81" i="2"/>
  <c r="AD69" i="2"/>
  <c r="AD302" i="2"/>
  <c r="AD266" i="2"/>
  <c r="AD83" i="2"/>
  <c r="AD71" i="2"/>
  <c r="AD47" i="2"/>
  <c r="AD408" i="2"/>
  <c r="AD402" i="2"/>
  <c r="AD396" i="2"/>
  <c r="AD390" i="2"/>
  <c r="AD384" i="2"/>
  <c r="AD470" i="2"/>
  <c r="AD429" i="2"/>
  <c r="AD417" i="2"/>
  <c r="AD135" i="2"/>
  <c r="AD129" i="2"/>
  <c r="AD123" i="2"/>
  <c r="AD117" i="2"/>
  <c r="AD111" i="2"/>
  <c r="AD105" i="2"/>
  <c r="AD99" i="2"/>
  <c r="AD93" i="2"/>
  <c r="AD87" i="2"/>
  <c r="AD63" i="2"/>
  <c r="AD68" i="2"/>
  <c r="AD513" i="2"/>
  <c r="AD170" i="2"/>
  <c r="AD164" i="2"/>
  <c r="AD44" i="2"/>
  <c r="AD36" i="2"/>
  <c r="AD300" i="2"/>
  <c r="AD294" i="2"/>
  <c r="AD264" i="2"/>
  <c r="AD258" i="2"/>
  <c r="AD506" i="2"/>
  <c r="AD115" i="2"/>
  <c r="AD82" i="2"/>
  <c r="AD386" i="2"/>
  <c r="AD370" i="2"/>
  <c r="AD334" i="2"/>
  <c r="AD77" i="2"/>
  <c r="AD75" i="2"/>
  <c r="AD59" i="2"/>
  <c r="AD57" i="2"/>
  <c r="AD53" i="2"/>
  <c r="AD51" i="2"/>
  <c r="AD46" i="2"/>
  <c r="AD85" i="2"/>
  <c r="AD79" i="2"/>
  <c r="AD73" i="2"/>
  <c r="AD67" i="2"/>
  <c r="AD61" i="2"/>
  <c r="AD55" i="2"/>
  <c r="AD49" i="2"/>
  <c r="AD519" i="2"/>
  <c r="AD504" i="2"/>
  <c r="AD485" i="2"/>
  <c r="AD38" i="2"/>
  <c r="AD32" i="2"/>
  <c r="AD26" i="2"/>
  <c r="AD25" i="2"/>
  <c r="AD35" i="2"/>
  <c r="AD37" i="2"/>
  <c r="AD40" i="2"/>
  <c r="AD34" i="2"/>
  <c r="AD39" i="2"/>
  <c r="AD43" i="2"/>
  <c r="AD33" i="2"/>
  <c r="AD31" i="2"/>
  <c r="AD30" i="2"/>
  <c r="AD29" i="2"/>
  <c r="AD28" i="2"/>
  <c r="AD478" i="2"/>
  <c r="AD482" i="2"/>
  <c r="AD480" i="2"/>
  <c r="AD527" i="2"/>
  <c r="AD477" i="2"/>
  <c r="AD528" i="2"/>
  <c r="AD523" i="2"/>
  <c r="AD479" i="2"/>
  <c r="AD481" i="2"/>
  <c r="AD484" i="2"/>
  <c r="AD483" i="2"/>
  <c r="AD488" i="2"/>
  <c r="AD486" i="2"/>
  <c r="AD487" i="2"/>
  <c r="AD500" i="2"/>
  <c r="AD490" i="2"/>
  <c r="AD491" i="2"/>
  <c r="AD489" i="2"/>
  <c r="AD509" i="2"/>
  <c r="AD508" i="2"/>
  <c r="AD510" i="2"/>
  <c r="AM7" i="2"/>
  <c r="AM8" i="2"/>
  <c r="AM9" i="2"/>
  <c r="AM10" i="2"/>
  <c r="AM11" i="2"/>
  <c r="AM12" i="2"/>
  <c r="AM13" i="2"/>
  <c r="AM14" i="2"/>
  <c r="AM15" i="2"/>
  <c r="AM16" i="2"/>
  <c r="AM18" i="2"/>
  <c r="AM19" i="2"/>
  <c r="AM20" i="2"/>
  <c r="AM21" i="2"/>
  <c r="AM22" i="2"/>
  <c r="AM23" i="2"/>
  <c r="AM24" i="2"/>
  <c r="AL7" i="2"/>
  <c r="AL8" i="2"/>
  <c r="AL9" i="2"/>
  <c r="AL10" i="2"/>
  <c r="AL11" i="2"/>
  <c r="AL12" i="2"/>
  <c r="AL13" i="2"/>
  <c r="AL14" i="2"/>
  <c r="AL15" i="2"/>
  <c r="AL16" i="2"/>
  <c r="AL18" i="2"/>
  <c r="AL19" i="2"/>
  <c r="AL20" i="2"/>
  <c r="AL21" i="2"/>
  <c r="AL22" i="2"/>
  <c r="AL23" i="2"/>
  <c r="AL24" i="2"/>
  <c r="AK7" i="2"/>
  <c r="AK8" i="2"/>
  <c r="AK9" i="2"/>
  <c r="AK10" i="2"/>
  <c r="AK11" i="2"/>
  <c r="AK12" i="2"/>
  <c r="AK13" i="2"/>
  <c r="AK14" i="2"/>
  <c r="AK15" i="2"/>
  <c r="AK16" i="2"/>
  <c r="AK18" i="2"/>
  <c r="AK19" i="2"/>
  <c r="AK20" i="2"/>
  <c r="AK21" i="2"/>
  <c r="AK22" i="2"/>
  <c r="AK23" i="2"/>
  <c r="AK24" i="2"/>
  <c r="AJ7" i="2"/>
  <c r="AJ8" i="2"/>
  <c r="AJ9" i="2"/>
  <c r="AJ10" i="2"/>
  <c r="AJ11" i="2"/>
  <c r="AJ12" i="2"/>
  <c r="AJ13" i="2"/>
  <c r="AJ14" i="2"/>
  <c r="AJ15" i="2"/>
  <c r="AJ16" i="2"/>
  <c r="AJ18" i="2"/>
  <c r="AJ19" i="2"/>
  <c r="AJ20" i="2"/>
  <c r="AJ21" i="2"/>
  <c r="AJ22" i="2"/>
  <c r="AJ23" i="2"/>
  <c r="AJ24" i="2"/>
  <c r="AI7" i="2"/>
  <c r="AI8" i="2"/>
  <c r="AI9" i="2"/>
  <c r="AI10" i="2"/>
  <c r="AI11" i="2"/>
  <c r="AI12" i="2"/>
  <c r="AI13" i="2"/>
  <c r="AI14" i="2"/>
  <c r="AI15" i="2"/>
  <c r="AI16" i="2"/>
  <c r="AI18" i="2"/>
  <c r="AI19" i="2"/>
  <c r="AI20" i="2"/>
  <c r="AI21" i="2"/>
  <c r="AI22" i="2"/>
  <c r="AI23" i="2"/>
  <c r="AI24" i="2"/>
  <c r="AF10" i="2"/>
  <c r="AE23" i="2"/>
  <c r="AA8" i="2"/>
  <c r="AA9" i="2"/>
  <c r="AA10" i="2"/>
  <c r="AA15" i="2"/>
  <c r="AA16" i="2"/>
  <c r="AA17" i="2"/>
  <c r="AA18" i="2"/>
  <c r="AA19" i="2"/>
  <c r="AA20" i="2"/>
  <c r="U9" i="2"/>
  <c r="U10" i="2"/>
  <c r="U17" i="2"/>
  <c r="U18" i="2"/>
  <c r="T9" i="2"/>
  <c r="T10" i="2"/>
  <c r="T17" i="2"/>
  <c r="T18" i="2"/>
  <c r="S7" i="2"/>
  <c r="S8" i="2"/>
  <c r="S9" i="2"/>
  <c r="S10" i="2"/>
  <c r="S14" i="2"/>
  <c r="S15" i="2"/>
  <c r="S16" i="2"/>
  <c r="S18" i="2"/>
  <c r="S19" i="2"/>
  <c r="S20" i="2"/>
  <c r="O7" i="2" l="1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N7" i="2"/>
  <c r="N8" i="2"/>
  <c r="N9" i="2"/>
  <c r="N10" i="2"/>
  <c r="N12" i="2"/>
  <c r="N13" i="2"/>
  <c r="N14" i="2"/>
  <c r="N15" i="2"/>
  <c r="N16" i="2"/>
  <c r="N18" i="2"/>
  <c r="N19" i="2"/>
  <c r="N20" i="2"/>
  <c r="N21" i="2"/>
  <c r="N22" i="2"/>
  <c r="N23" i="2"/>
  <c r="N24" i="2"/>
  <c r="M7" i="2"/>
  <c r="M8" i="2"/>
  <c r="M9" i="2"/>
  <c r="M10" i="2"/>
  <c r="M12" i="2"/>
  <c r="M13" i="2"/>
  <c r="M14" i="2"/>
  <c r="M15" i="2"/>
  <c r="M16" i="2"/>
  <c r="M18" i="2"/>
  <c r="M19" i="2"/>
  <c r="M20" i="2"/>
  <c r="M21" i="2"/>
  <c r="M22" i="2"/>
  <c r="M23" i="2"/>
  <c r="M24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J19" i="2"/>
  <c r="J20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E7" i="2"/>
  <c r="E8" i="2"/>
  <c r="E9" i="2"/>
  <c r="E10" i="2"/>
  <c r="E13" i="2"/>
  <c r="E14" i="2"/>
  <c r="E15" i="2"/>
  <c r="E16" i="2"/>
  <c r="E17" i="2"/>
  <c r="E18" i="2"/>
  <c r="E19" i="2"/>
  <c r="E20" i="2"/>
  <c r="E21" i="2"/>
  <c r="E22" i="2"/>
  <c r="E23" i="2"/>
  <c r="E24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535" i="2"/>
  <c r="F7" i="2" l="1"/>
  <c r="F8" i="2"/>
  <c r="F9" i="2"/>
  <c r="F10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H547" i="2" l="1"/>
  <c r="H548" i="2"/>
  <c r="L547" i="2"/>
  <c r="L548" i="2"/>
  <c r="P547" i="2"/>
  <c r="P548" i="2"/>
  <c r="Q547" i="2"/>
  <c r="Q548" i="2"/>
  <c r="R547" i="2"/>
  <c r="R548" i="2"/>
  <c r="AA547" i="2"/>
  <c r="AA548" i="2"/>
  <c r="AD548" i="2"/>
  <c r="AP547" i="2"/>
  <c r="AP548" i="2"/>
  <c r="AD14" i="2"/>
  <c r="AD546" i="2"/>
  <c r="AD549" i="2"/>
  <c r="AD550" i="2"/>
  <c r="AD551" i="2"/>
  <c r="AA546" i="2"/>
  <c r="AA549" i="2"/>
  <c r="AA550" i="2"/>
  <c r="AA551" i="2"/>
  <c r="AD545" i="2"/>
  <c r="AA545" i="2"/>
  <c r="H24" i="2"/>
  <c r="L24" i="2"/>
  <c r="P24" i="2"/>
  <c r="Q24" i="2"/>
  <c r="R24" i="2"/>
  <c r="AD24" i="2"/>
  <c r="H22" i="2"/>
  <c r="L22" i="2"/>
  <c r="P22" i="2"/>
  <c r="Q22" i="2"/>
  <c r="R22" i="2"/>
  <c r="AD22" i="2"/>
  <c r="AA6" i="2"/>
  <c r="AD8" i="2"/>
  <c r="H17" i="2"/>
  <c r="L17" i="2"/>
  <c r="P17" i="2"/>
  <c r="Q17" i="2"/>
  <c r="R17" i="2"/>
  <c r="V17" i="2"/>
  <c r="W17" i="2"/>
  <c r="AD17" i="2"/>
  <c r="AD6" i="2"/>
  <c r="AD9" i="2"/>
  <c r="AD10" i="2"/>
  <c r="AD11" i="2"/>
  <c r="AD12" i="2"/>
  <c r="AD13" i="2"/>
  <c r="AD15" i="2"/>
  <c r="AD16" i="2"/>
  <c r="AD18" i="2"/>
  <c r="AD19" i="2"/>
  <c r="AD20" i="2"/>
  <c r="AD21" i="2"/>
  <c r="AD23" i="2"/>
  <c r="AD535" i="2"/>
  <c r="H21" i="2"/>
  <c r="L21" i="2"/>
  <c r="P21" i="2"/>
  <c r="Q21" i="2"/>
  <c r="R21" i="2"/>
  <c r="H12" i="2"/>
  <c r="L12" i="2"/>
  <c r="P12" i="2"/>
  <c r="Q12" i="2"/>
  <c r="R12" i="2"/>
  <c r="AQ6" i="2"/>
  <c r="AP6" i="2"/>
  <c r="AE541" i="2"/>
  <c r="AF541" i="2"/>
  <c r="AC540" i="2"/>
  <c r="AB540" i="2"/>
  <c r="W545" i="2"/>
  <c r="V545" i="2"/>
  <c r="R545" i="2"/>
  <c r="R546" i="2"/>
  <c r="R549" i="2"/>
  <c r="R550" i="2"/>
  <c r="R551" i="2"/>
  <c r="Q545" i="2"/>
  <c r="Q546" i="2"/>
  <c r="Q549" i="2"/>
  <c r="Q550" i="2"/>
  <c r="Q551" i="2"/>
  <c r="P545" i="2"/>
  <c r="P546" i="2"/>
  <c r="P549" i="2"/>
  <c r="P550" i="2"/>
  <c r="P551" i="2"/>
  <c r="L545" i="2"/>
  <c r="L546" i="2"/>
  <c r="L549" i="2"/>
  <c r="L550" i="2"/>
  <c r="L551" i="2"/>
  <c r="H545" i="2"/>
  <c r="H549" i="2"/>
  <c r="H550" i="2"/>
  <c r="H551" i="2"/>
  <c r="W6" i="2"/>
  <c r="W9" i="2"/>
  <c r="W10" i="2"/>
  <c r="W18" i="2"/>
  <c r="V6" i="2"/>
  <c r="V9" i="2"/>
  <c r="V10" i="2"/>
  <c r="V18" i="2"/>
  <c r="R6" i="2"/>
  <c r="R7" i="2"/>
  <c r="R9" i="2"/>
  <c r="R10" i="2"/>
  <c r="R13" i="2"/>
  <c r="R15" i="2"/>
  <c r="R16" i="2"/>
  <c r="R18" i="2"/>
  <c r="R23" i="2"/>
  <c r="Q6" i="2"/>
  <c r="Q7" i="2"/>
  <c r="Q9" i="2"/>
  <c r="Q10" i="2"/>
  <c r="Q13" i="2"/>
  <c r="Q15" i="2"/>
  <c r="Q16" i="2"/>
  <c r="Q18" i="2"/>
  <c r="Q23" i="2"/>
  <c r="P6" i="2"/>
  <c r="P7" i="2"/>
  <c r="P9" i="2"/>
  <c r="P10" i="2"/>
  <c r="P13" i="2"/>
  <c r="P15" i="2"/>
  <c r="P16" i="2"/>
  <c r="P18" i="2"/>
  <c r="P23" i="2"/>
  <c r="L6" i="2"/>
  <c r="L7" i="2"/>
  <c r="L9" i="2"/>
  <c r="L10" i="2"/>
  <c r="L13" i="2"/>
  <c r="L15" i="2"/>
  <c r="L16" i="2"/>
  <c r="L18" i="2"/>
  <c r="L23" i="2"/>
  <c r="H6" i="2"/>
  <c r="H7" i="2"/>
  <c r="H9" i="2"/>
  <c r="H10" i="2"/>
  <c r="H13" i="2"/>
  <c r="H15" i="2"/>
  <c r="H16" i="2"/>
  <c r="H18" i="2"/>
  <c r="H23" i="2"/>
  <c r="AP549" i="2"/>
  <c r="AP550" i="2"/>
  <c r="AA1248" i="2" l="1"/>
  <c r="AD1248" i="2"/>
  <c r="AG548" i="2"/>
  <c r="AG547" i="2"/>
  <c r="AG24" i="2"/>
  <c r="AG22" i="2"/>
  <c r="AG21" i="2"/>
  <c r="AG17" i="2"/>
  <c r="AG12" i="2"/>
  <c r="AG6" i="2"/>
  <c r="AG550" i="2"/>
  <c r="AG18" i="2"/>
  <c r="AG10" i="2"/>
  <c r="AG549" i="2"/>
  <c r="AG551" i="2"/>
  <c r="AG15" i="2"/>
  <c r="AD541" i="2"/>
  <c r="AG13" i="2"/>
  <c r="AG9" i="2"/>
  <c r="AG23" i="2"/>
  <c r="AG16" i="2"/>
  <c r="AG7" i="2"/>
  <c r="AG545" i="2"/>
  <c r="AG546" i="2"/>
  <c r="AA540" i="2"/>
  <c r="I52" i="3"/>
  <c r="I53" i="3"/>
  <c r="I54" i="3"/>
  <c r="I55" i="3"/>
  <c r="I56" i="3"/>
  <c r="I58" i="3"/>
  <c r="I59" i="3"/>
  <c r="I60" i="3"/>
  <c r="I61" i="3"/>
  <c r="I62" i="3"/>
  <c r="I63" i="3"/>
  <c r="I67" i="3"/>
  <c r="I68" i="3"/>
  <c r="I70" i="3"/>
  <c r="I71" i="3"/>
  <c r="I73" i="3"/>
  <c r="F52" i="3"/>
  <c r="F53" i="3"/>
  <c r="F54" i="3"/>
  <c r="F55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E52" i="3"/>
  <c r="H52" i="3" s="1"/>
  <c r="E53" i="3"/>
  <c r="H53" i="3" s="1"/>
  <c r="E54" i="3"/>
  <c r="H54" i="3" s="1"/>
  <c r="E55" i="3"/>
  <c r="H55" i="3" s="1"/>
  <c r="E57" i="3"/>
  <c r="E58" i="3"/>
  <c r="E59" i="3"/>
  <c r="H59" i="3" s="1"/>
  <c r="E60" i="3"/>
  <c r="H60" i="3" s="1"/>
  <c r="E62" i="3"/>
  <c r="H62" i="3" s="1"/>
  <c r="E63" i="3"/>
  <c r="H63" i="3" s="1"/>
  <c r="E64" i="3"/>
  <c r="H64" i="3" s="1"/>
  <c r="E65" i="3"/>
  <c r="E66" i="3"/>
  <c r="H66" i="3" s="1"/>
  <c r="E67" i="3"/>
  <c r="H67" i="3" s="1"/>
  <c r="E68" i="3"/>
  <c r="H68" i="3" s="1"/>
  <c r="E69" i="3"/>
  <c r="H69" i="3" s="1"/>
  <c r="E70" i="3"/>
  <c r="H70" i="3" s="1"/>
  <c r="E71" i="3"/>
  <c r="H71" i="3" s="1"/>
  <c r="E72" i="3"/>
  <c r="H72" i="3" s="1"/>
  <c r="E73" i="3"/>
  <c r="H73" i="3" s="1"/>
  <c r="C52" i="3"/>
  <c r="G52" i="3" s="1"/>
  <c r="C53" i="3"/>
  <c r="C54" i="3"/>
  <c r="G54" i="3" s="1"/>
  <c r="C55" i="3"/>
  <c r="C56" i="3"/>
  <c r="C57" i="3"/>
  <c r="C58" i="3"/>
  <c r="C59" i="3"/>
  <c r="G59" i="3" s="1"/>
  <c r="C60" i="3"/>
  <c r="G60" i="3" s="1"/>
  <c r="C61" i="3"/>
  <c r="C62" i="3"/>
  <c r="C63" i="3"/>
  <c r="G63" i="3" s="1"/>
  <c r="C64" i="3"/>
  <c r="G64" i="3" s="1"/>
  <c r="C65" i="3"/>
  <c r="C66" i="3"/>
  <c r="C67" i="3"/>
  <c r="G67" i="3" s="1"/>
  <c r="C68" i="3"/>
  <c r="G68" i="3" s="1"/>
  <c r="C69" i="3"/>
  <c r="C70" i="3"/>
  <c r="G70" i="3" s="1"/>
  <c r="C71" i="3"/>
  <c r="G71" i="3" s="1"/>
  <c r="C72" i="3"/>
  <c r="C73" i="3"/>
  <c r="G73" i="3" s="1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C51" i="3"/>
  <c r="C7" i="3"/>
  <c r="N23" i="3"/>
  <c r="N24" i="3"/>
  <c r="N25" i="3"/>
  <c r="N26" i="3"/>
  <c r="N27" i="3"/>
  <c r="N28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C86" i="3"/>
  <c r="C85" i="3"/>
  <c r="C84" i="3"/>
  <c r="AP551" i="2"/>
  <c r="AP546" i="2"/>
  <c r="C83" i="3" s="1"/>
  <c r="D23" i="3"/>
  <c r="D24" i="3"/>
  <c r="D25" i="3"/>
  <c r="D26" i="3"/>
  <c r="D28" i="3"/>
  <c r="D29" i="3"/>
  <c r="D30" i="3"/>
  <c r="D31" i="3"/>
  <c r="D32" i="3"/>
  <c r="D33" i="3"/>
  <c r="D34" i="3"/>
  <c r="D35" i="3"/>
  <c r="D36" i="3"/>
  <c r="D38" i="3"/>
  <c r="D39" i="3"/>
  <c r="D40" i="3"/>
  <c r="D41" i="3"/>
  <c r="D42" i="3"/>
  <c r="D43" i="3"/>
  <c r="D44" i="3"/>
  <c r="C96" i="3"/>
  <c r="AP545" i="2"/>
  <c r="D27" i="3"/>
  <c r="D37" i="3"/>
  <c r="D22" i="3"/>
  <c r="C16" i="3"/>
  <c r="AF1249" i="2"/>
  <c r="AE1249" i="2"/>
  <c r="AC1249" i="2"/>
  <c r="AB1249" i="2"/>
  <c r="F56" i="3"/>
  <c r="E61" i="3"/>
  <c r="E56" i="3"/>
  <c r="I66" i="3"/>
  <c r="C132" i="3"/>
  <c r="E117" i="3"/>
  <c r="E116" i="3"/>
  <c r="C117" i="3"/>
  <c r="C115" i="3"/>
  <c r="C114" i="3"/>
  <c r="G53" i="3" l="1"/>
  <c r="H56" i="3"/>
  <c r="H58" i="3"/>
  <c r="G58" i="3"/>
  <c r="G65" i="3"/>
  <c r="H65" i="3"/>
  <c r="G55" i="3"/>
  <c r="H57" i="3"/>
  <c r="G57" i="3"/>
  <c r="I72" i="3"/>
  <c r="G72" i="3"/>
  <c r="G62" i="3"/>
  <c r="G69" i="3"/>
  <c r="I69" i="3"/>
  <c r="I64" i="3"/>
  <c r="C93" i="3"/>
  <c r="C94" i="3"/>
  <c r="H61" i="3"/>
  <c r="E51" i="3"/>
  <c r="F51" i="3"/>
  <c r="D76" i="3"/>
  <c r="F76" i="3"/>
  <c r="C76" i="3"/>
  <c r="E76" i="3"/>
  <c r="G66" i="3"/>
  <c r="G56" i="3"/>
  <c r="G51" i="3"/>
  <c r="G61" i="3"/>
  <c r="D74" i="3"/>
  <c r="C74" i="3"/>
  <c r="D45" i="3"/>
  <c r="C87" i="3"/>
  <c r="C14" i="3"/>
  <c r="AA1249" i="2"/>
  <c r="H1249" i="2"/>
  <c r="AD1249" i="2"/>
  <c r="E115" i="3"/>
  <c r="E94" i="3"/>
  <c r="D115" i="3"/>
  <c r="G94" i="3"/>
  <c r="C116" i="3"/>
  <c r="D116" i="3"/>
  <c r="F117" i="3"/>
  <c r="F116" i="3"/>
  <c r="C22" i="3"/>
  <c r="C36" i="3"/>
  <c r="O36" i="3" s="1"/>
  <c r="H51" i="3" l="1"/>
  <c r="H74" i="3" s="1"/>
  <c r="H76" i="3"/>
  <c r="E74" i="3"/>
  <c r="F74" i="3"/>
  <c r="G74" i="3"/>
  <c r="G76" i="3"/>
  <c r="AG1249" i="2"/>
  <c r="G22" i="3"/>
  <c r="E22" i="3"/>
  <c r="G36" i="3"/>
  <c r="E36" i="3"/>
  <c r="E114" i="3"/>
  <c r="E118" i="3" s="1"/>
  <c r="G93" i="3"/>
  <c r="I94" i="3"/>
  <c r="C105" i="3"/>
  <c r="C104" i="3"/>
  <c r="G96" i="3" l="1"/>
  <c r="F22" i="3"/>
  <c r="F115" i="3"/>
  <c r="C118" i="3" l="1"/>
  <c r="L44" i="3"/>
  <c r="J44" i="3"/>
  <c r="H44" i="3"/>
  <c r="F44" i="3"/>
  <c r="C44" i="3"/>
  <c r="O44" i="3" s="1"/>
  <c r="L43" i="3"/>
  <c r="J43" i="3"/>
  <c r="H43" i="3"/>
  <c r="F43" i="3"/>
  <c r="C43" i="3"/>
  <c r="O43" i="3" s="1"/>
  <c r="L42" i="3"/>
  <c r="J42" i="3"/>
  <c r="H42" i="3"/>
  <c r="F42" i="3"/>
  <c r="C42" i="3"/>
  <c r="O42" i="3" s="1"/>
  <c r="L41" i="3"/>
  <c r="J41" i="3"/>
  <c r="H41" i="3"/>
  <c r="F41" i="3"/>
  <c r="C41" i="3"/>
  <c r="O41" i="3" s="1"/>
  <c r="L40" i="3"/>
  <c r="J40" i="3"/>
  <c r="H40" i="3"/>
  <c r="F40" i="3"/>
  <c r="C40" i="3"/>
  <c r="O40" i="3" s="1"/>
  <c r="L39" i="3"/>
  <c r="J39" i="3"/>
  <c r="H39" i="3"/>
  <c r="F39" i="3"/>
  <c r="C39" i="3"/>
  <c r="O39" i="3" s="1"/>
  <c r="L38" i="3"/>
  <c r="J38" i="3"/>
  <c r="H38" i="3"/>
  <c r="F38" i="3"/>
  <c r="C38" i="3"/>
  <c r="O38" i="3" s="1"/>
  <c r="L37" i="3"/>
  <c r="J37" i="3"/>
  <c r="H37" i="3"/>
  <c r="F37" i="3"/>
  <c r="C37" i="3"/>
  <c r="O37" i="3" s="1"/>
  <c r="J36" i="3"/>
  <c r="K36" i="3" s="1"/>
  <c r="H36" i="3"/>
  <c r="I36" i="3" s="1"/>
  <c r="L35" i="3"/>
  <c r="J35" i="3"/>
  <c r="H35" i="3"/>
  <c r="F35" i="3"/>
  <c r="C35" i="3"/>
  <c r="O35" i="3" s="1"/>
  <c r="L34" i="3"/>
  <c r="J34" i="3"/>
  <c r="H34" i="3"/>
  <c r="F34" i="3"/>
  <c r="C34" i="3"/>
  <c r="O34" i="3" s="1"/>
  <c r="L33" i="3"/>
  <c r="J33" i="3"/>
  <c r="H33" i="3"/>
  <c r="F33" i="3"/>
  <c r="C33" i="3"/>
  <c r="O33" i="3" s="1"/>
  <c r="L32" i="3"/>
  <c r="J32" i="3"/>
  <c r="H32" i="3"/>
  <c r="F32" i="3"/>
  <c r="C32" i="3"/>
  <c r="O32" i="3" s="1"/>
  <c r="L31" i="3"/>
  <c r="J31" i="3"/>
  <c r="H31" i="3"/>
  <c r="F31" i="3"/>
  <c r="C31" i="3"/>
  <c r="O31" i="3" s="1"/>
  <c r="L30" i="3"/>
  <c r="J30" i="3"/>
  <c r="H30" i="3"/>
  <c r="F30" i="3"/>
  <c r="C30" i="3"/>
  <c r="O30" i="3" s="1"/>
  <c r="J29" i="3"/>
  <c r="H29" i="3"/>
  <c r="F29" i="3"/>
  <c r="C29" i="3"/>
  <c r="J28" i="3"/>
  <c r="H28" i="3"/>
  <c r="F28" i="3"/>
  <c r="C28" i="3"/>
  <c r="O28" i="3" s="1"/>
  <c r="L27" i="3"/>
  <c r="J27" i="3"/>
  <c r="H27" i="3"/>
  <c r="F27" i="3"/>
  <c r="C27" i="3"/>
  <c r="O27" i="3" s="1"/>
  <c r="L26" i="3"/>
  <c r="J26" i="3"/>
  <c r="H26" i="3"/>
  <c r="F26" i="3"/>
  <c r="C26" i="3"/>
  <c r="O26" i="3" s="1"/>
  <c r="L25" i="3"/>
  <c r="J25" i="3"/>
  <c r="H25" i="3"/>
  <c r="F25" i="3"/>
  <c r="C25" i="3"/>
  <c r="O25" i="3" s="1"/>
  <c r="L24" i="3"/>
  <c r="J24" i="3"/>
  <c r="H24" i="3"/>
  <c r="F24" i="3"/>
  <c r="C24" i="3"/>
  <c r="O24" i="3" s="1"/>
  <c r="L23" i="3"/>
  <c r="J23" i="3"/>
  <c r="H23" i="3"/>
  <c r="F23" i="3"/>
  <c r="C23" i="3"/>
  <c r="J22" i="3"/>
  <c r="H22" i="3"/>
  <c r="F36" i="3"/>
  <c r="F45" i="3" l="1"/>
  <c r="K22" i="3"/>
  <c r="J45" i="3"/>
  <c r="I22" i="3"/>
  <c r="H45" i="3"/>
  <c r="O23" i="3"/>
  <c r="C45" i="3"/>
  <c r="G31" i="3"/>
  <c r="K31" i="3"/>
  <c r="M31" i="3"/>
  <c r="I31" i="3"/>
  <c r="E31" i="3"/>
  <c r="I38" i="3"/>
  <c r="E38" i="3"/>
  <c r="G38" i="3"/>
  <c r="K38" i="3"/>
  <c r="M38" i="3"/>
  <c r="K23" i="3"/>
  <c r="G23" i="3"/>
  <c r="M23" i="3"/>
  <c r="I23" i="3"/>
  <c r="E23" i="3"/>
  <c r="I43" i="3"/>
  <c r="E43" i="3"/>
  <c r="K43" i="3"/>
  <c r="M43" i="3"/>
  <c r="G43" i="3"/>
  <c r="E30" i="3"/>
  <c r="G30" i="3"/>
  <c r="I30" i="3"/>
  <c r="M30" i="3"/>
  <c r="K30" i="3"/>
  <c r="G37" i="3"/>
  <c r="K37" i="3"/>
  <c r="I37" i="3"/>
  <c r="E37" i="3"/>
  <c r="M37" i="3"/>
  <c r="M25" i="3"/>
  <c r="G25" i="3"/>
  <c r="I25" i="3"/>
  <c r="K25" i="3"/>
  <c r="E25" i="3"/>
  <c r="M33" i="3"/>
  <c r="G33" i="3"/>
  <c r="I33" i="3"/>
  <c r="E33" i="3"/>
  <c r="K33" i="3"/>
  <c r="I40" i="3"/>
  <c r="M40" i="3"/>
  <c r="G40" i="3"/>
  <c r="E40" i="3"/>
  <c r="K40" i="3"/>
  <c r="I27" i="3"/>
  <c r="E27" i="3"/>
  <c r="K27" i="3"/>
  <c r="M27" i="3"/>
  <c r="G27" i="3"/>
  <c r="I35" i="3"/>
  <c r="E35" i="3"/>
  <c r="K35" i="3"/>
  <c r="G35" i="3"/>
  <c r="M35" i="3"/>
  <c r="K42" i="3"/>
  <c r="E42" i="3"/>
  <c r="M42" i="3"/>
  <c r="G42" i="3"/>
  <c r="I42" i="3"/>
  <c r="E24" i="3"/>
  <c r="I24" i="3"/>
  <c r="K24" i="3"/>
  <c r="G24" i="3"/>
  <c r="M24" i="3"/>
  <c r="G39" i="3"/>
  <c r="I39" i="3"/>
  <c r="E39" i="3"/>
  <c r="K39" i="3"/>
  <c r="M39" i="3"/>
  <c r="G29" i="3"/>
  <c r="I29" i="3"/>
  <c r="E29" i="3"/>
  <c r="K29" i="3"/>
  <c r="G44" i="3"/>
  <c r="I44" i="3"/>
  <c r="E44" i="3"/>
  <c r="M44" i="3"/>
  <c r="K44" i="3"/>
  <c r="G28" i="3"/>
  <c r="I28" i="3"/>
  <c r="E28" i="3"/>
  <c r="K28" i="3"/>
  <c r="K32" i="3"/>
  <c r="E32" i="3"/>
  <c r="G32" i="3"/>
  <c r="I32" i="3"/>
  <c r="M32" i="3"/>
  <c r="K26" i="3"/>
  <c r="M26" i="3"/>
  <c r="I26" i="3"/>
  <c r="E26" i="3"/>
  <c r="G26" i="3"/>
  <c r="K34" i="3"/>
  <c r="G34" i="3"/>
  <c r="M34" i="3"/>
  <c r="E34" i="3"/>
  <c r="I34" i="3"/>
  <c r="K41" i="3"/>
  <c r="M41" i="3"/>
  <c r="I41" i="3"/>
  <c r="E41" i="3"/>
  <c r="G41" i="3"/>
  <c r="D117" i="3"/>
  <c r="E96" i="3"/>
  <c r="I96" i="3" s="1"/>
  <c r="E93" i="3"/>
  <c r="I93" i="3" s="1"/>
  <c r="D114" i="3"/>
  <c r="E109" i="3"/>
  <c r="D104" i="3"/>
  <c r="C106" i="3"/>
  <c r="E100" i="3" s="1"/>
  <c r="G45" i="3" l="1"/>
  <c r="K45" i="3"/>
  <c r="I45" i="3"/>
  <c r="E45" i="3"/>
  <c r="D118" i="3"/>
  <c r="E111" i="3" s="1"/>
  <c r="F114" i="3"/>
  <c r="D83" i="3" l="1"/>
  <c r="D85" i="3"/>
  <c r="D86" i="3"/>
  <c r="D84" i="3"/>
  <c r="D87" i="3" l="1"/>
  <c r="D105" i="3"/>
  <c r="D106" i="3" s="1"/>
  <c r="E101" i="3" s="1"/>
  <c r="AA542" i="2" l="1"/>
  <c r="AG540" i="2"/>
  <c r="D4" i="3" l="1"/>
  <c r="J62" i="3" l="1"/>
  <c r="J63" i="3"/>
  <c r="J61" i="3"/>
  <c r="J51" i="3"/>
  <c r="J57" i="3"/>
  <c r="J58" i="3"/>
  <c r="J65" i="3"/>
  <c r="J72" i="3"/>
  <c r="J69" i="3"/>
  <c r="J55" i="3"/>
  <c r="J59" i="3"/>
  <c r="J68" i="3"/>
  <c r="J67" i="3"/>
  <c r="J52" i="3"/>
  <c r="J56" i="3"/>
  <c r="J70" i="3"/>
  <c r="J66" i="3"/>
  <c r="J60" i="3"/>
  <c r="J53" i="3"/>
  <c r="J64" i="3"/>
  <c r="J73" i="3"/>
  <c r="J54" i="3"/>
  <c r="J71" i="3"/>
  <c r="J76" i="3" l="1"/>
  <c r="J74" i="3"/>
  <c r="U467" i="2" l="1"/>
  <c r="U553" i="2"/>
  <c r="J7" i="2" l="1"/>
  <c r="U551" i="2" l="1"/>
  <c r="U8" i="2"/>
  <c r="U11" i="2"/>
  <c r="U12" i="2"/>
  <c r="U13" i="2"/>
  <c r="U14" i="2"/>
  <c r="U15" i="2"/>
  <c r="U16" i="2"/>
  <c r="U19" i="2"/>
  <c r="U20" i="2"/>
  <c r="U21" i="2"/>
  <c r="U22" i="2"/>
  <c r="U23" i="2"/>
  <c r="U24" i="2"/>
  <c r="U25" i="2"/>
  <c r="U26" i="2"/>
  <c r="U27" i="2"/>
  <c r="U549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6" i="2"/>
  <c r="U47" i="2"/>
  <c r="U48" i="2"/>
  <c r="U49" i="2"/>
  <c r="U50" i="2"/>
  <c r="U552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695" i="2"/>
  <c r="U72" i="2"/>
  <c r="U697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554" i="2"/>
  <c r="U111" i="2"/>
  <c r="U112" i="2"/>
  <c r="U113" i="2"/>
  <c r="U114" i="2"/>
  <c r="U555" i="2"/>
  <c r="U115" i="2"/>
  <c r="U116" i="2"/>
  <c r="U556" i="2"/>
  <c r="U117" i="2"/>
  <c r="U118" i="2"/>
  <c r="U119" i="2"/>
  <c r="U120" i="2"/>
  <c r="U121" i="2"/>
  <c r="U122" i="2"/>
  <c r="U123" i="2"/>
  <c r="U557" i="2"/>
  <c r="U124" i="2"/>
  <c r="U125" i="2"/>
  <c r="U126" i="2"/>
  <c r="U127" i="2"/>
  <c r="U128" i="2"/>
  <c r="U129" i="2"/>
  <c r="U558" i="2"/>
  <c r="U130" i="2"/>
  <c r="U559" i="2"/>
  <c r="U131" i="2"/>
  <c r="U132" i="2"/>
  <c r="U133" i="2"/>
  <c r="U134" i="2"/>
  <c r="U135" i="2"/>
  <c r="U136" i="2"/>
  <c r="U137" i="2"/>
  <c r="U138" i="2"/>
  <c r="U560" i="2"/>
  <c r="U139" i="2"/>
  <c r="U140" i="2"/>
  <c r="U141" i="2"/>
  <c r="U561" i="2"/>
  <c r="U142" i="2"/>
  <c r="U143" i="2"/>
  <c r="U144" i="2"/>
  <c r="U562" i="2"/>
  <c r="U145" i="2"/>
  <c r="U146" i="2"/>
  <c r="U147" i="2"/>
  <c r="U148" i="2"/>
  <c r="U149" i="2"/>
  <c r="U150" i="2"/>
  <c r="U548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564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566" i="2"/>
  <c r="U188" i="2"/>
  <c r="U189" i="2"/>
  <c r="U567" i="2"/>
  <c r="U190" i="2"/>
  <c r="U191" i="2"/>
  <c r="U568" i="2"/>
  <c r="U569" i="2"/>
  <c r="U570" i="2"/>
  <c r="U571" i="2"/>
  <c r="U192" i="2"/>
  <c r="U193" i="2"/>
  <c r="U572" i="2"/>
  <c r="U194" i="2"/>
  <c r="U573" i="2"/>
  <c r="U195" i="2"/>
  <c r="U574" i="2"/>
  <c r="U575" i="2"/>
  <c r="U196" i="2"/>
  <c r="U576" i="2"/>
  <c r="U197" i="2"/>
  <c r="U198" i="2"/>
  <c r="U199" i="2"/>
  <c r="U200" i="2"/>
  <c r="U577" i="2"/>
  <c r="U578" i="2"/>
  <c r="U579" i="2"/>
  <c r="U580" i="2"/>
  <c r="U201" i="2"/>
  <c r="U581" i="2"/>
  <c r="U202" i="2"/>
  <c r="U582" i="2"/>
  <c r="U583" i="2"/>
  <c r="U584" i="2"/>
  <c r="U203" i="2"/>
  <c r="U204" i="2"/>
  <c r="U205" i="2"/>
  <c r="U206" i="2"/>
  <c r="U207" i="2"/>
  <c r="U208" i="2"/>
  <c r="U209" i="2"/>
  <c r="U210" i="2"/>
  <c r="U211" i="2"/>
  <c r="U586" i="2"/>
  <c r="U212" i="2"/>
  <c r="U213" i="2"/>
  <c r="U214" i="2"/>
  <c r="U587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588" i="2"/>
  <c r="U589" i="2"/>
  <c r="U590" i="2"/>
  <c r="U591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592" i="2"/>
  <c r="U248" i="2"/>
  <c r="U593" i="2"/>
  <c r="U594" i="2"/>
  <c r="U249" i="2"/>
  <c r="U595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596" i="2"/>
  <c r="U270" i="2"/>
  <c r="U271" i="2"/>
  <c r="U272" i="2"/>
  <c r="U273" i="2"/>
  <c r="U274" i="2"/>
  <c r="U275" i="2"/>
  <c r="U276" i="2"/>
  <c r="U277" i="2"/>
  <c r="U278" i="2"/>
  <c r="U279" i="2"/>
  <c r="U280" i="2"/>
  <c r="U546" i="2"/>
  <c r="U597" i="2"/>
  <c r="U281" i="2"/>
  <c r="U282" i="2"/>
  <c r="U283" i="2"/>
  <c r="U284" i="2"/>
  <c r="U285" i="2"/>
  <c r="U286" i="2"/>
  <c r="U550" i="2"/>
  <c r="U287" i="2"/>
  <c r="U288" i="2"/>
  <c r="U289" i="2"/>
  <c r="U290" i="2"/>
  <c r="U598" i="2"/>
  <c r="U291" i="2"/>
  <c r="U292" i="2"/>
  <c r="U293" i="2"/>
  <c r="U294" i="2"/>
  <c r="U295" i="2"/>
  <c r="U296" i="2"/>
  <c r="U297" i="2"/>
  <c r="U298" i="2"/>
  <c r="U299" i="2"/>
  <c r="U300" i="2"/>
  <c r="U599" i="2"/>
  <c r="U301" i="2"/>
  <c r="U547" i="2"/>
  <c r="U302" i="2"/>
  <c r="U600" i="2"/>
  <c r="U601" i="2"/>
  <c r="U303" i="2"/>
  <c r="U602" i="2"/>
  <c r="U304" i="2"/>
  <c r="U603" i="2"/>
  <c r="U604" i="2"/>
  <c r="U605" i="2"/>
  <c r="U696" i="2"/>
  <c r="U305" i="2"/>
  <c r="U306" i="2"/>
  <c r="U307" i="2"/>
  <c r="U308" i="2"/>
  <c r="U309" i="2"/>
  <c r="U606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607" i="2"/>
  <c r="U323" i="2"/>
  <c r="U608" i="2"/>
  <c r="U324" i="2"/>
  <c r="U609" i="2"/>
  <c r="U610" i="2"/>
  <c r="U611" i="2"/>
  <c r="U325" i="2"/>
  <c r="U612" i="2"/>
  <c r="U326" i="2"/>
  <c r="U327" i="2"/>
  <c r="U328" i="2"/>
  <c r="U698" i="2"/>
  <c r="U329" i="2"/>
  <c r="U699" i="2"/>
  <c r="U330" i="2"/>
  <c r="U331" i="2"/>
  <c r="U332" i="2"/>
  <c r="U613" i="2"/>
  <c r="U333" i="2"/>
  <c r="U614" i="2"/>
  <c r="U334" i="2"/>
  <c r="U335" i="2"/>
  <c r="U336" i="2"/>
  <c r="U337" i="2"/>
  <c r="U338" i="2"/>
  <c r="U339" i="2"/>
  <c r="U340" i="2"/>
  <c r="U341" i="2"/>
  <c r="U342" i="2"/>
  <c r="U343" i="2"/>
  <c r="U344" i="2"/>
  <c r="U616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617" i="2"/>
  <c r="U359" i="2"/>
  <c r="U360" i="2"/>
  <c r="U361" i="2"/>
  <c r="U618" i="2"/>
  <c r="U362" i="2"/>
  <c r="U363" i="2"/>
  <c r="U364" i="2"/>
  <c r="U365" i="2"/>
  <c r="U366" i="2"/>
  <c r="U367" i="2"/>
  <c r="U368" i="2"/>
  <c r="U369" i="2"/>
  <c r="U619" i="2"/>
  <c r="U370" i="2"/>
  <c r="U620" i="2"/>
  <c r="U371" i="2"/>
  <c r="U372" i="2"/>
  <c r="U373" i="2"/>
  <c r="U374" i="2"/>
  <c r="U375" i="2"/>
  <c r="U621" i="2"/>
  <c r="U376" i="2"/>
  <c r="U377" i="2"/>
  <c r="U378" i="2"/>
  <c r="U379" i="2"/>
  <c r="U380" i="2"/>
  <c r="U381" i="2"/>
  <c r="U382" i="2"/>
  <c r="U622" i="2"/>
  <c r="U623" i="2"/>
  <c r="U383" i="2"/>
  <c r="U384" i="2"/>
  <c r="U385" i="2"/>
  <c r="U386" i="2"/>
  <c r="U387" i="2"/>
  <c r="U388" i="2"/>
  <c r="U389" i="2"/>
  <c r="U390" i="2"/>
  <c r="U391" i="2"/>
  <c r="U625" i="2"/>
  <c r="U626" i="2"/>
  <c r="U392" i="2"/>
  <c r="U393" i="2"/>
  <c r="U627" i="2"/>
  <c r="U394" i="2"/>
  <c r="U395" i="2"/>
  <c r="U396" i="2"/>
  <c r="U628" i="2"/>
  <c r="U629" i="2"/>
  <c r="U397" i="2"/>
  <c r="U398" i="2"/>
  <c r="U399" i="2"/>
  <c r="U400" i="2"/>
  <c r="U630" i="2"/>
  <c r="U401" i="2"/>
  <c r="U402" i="2"/>
  <c r="U403" i="2"/>
  <c r="U404" i="2"/>
  <c r="U405" i="2"/>
  <c r="U631" i="2"/>
  <c r="U406" i="2"/>
  <c r="U632" i="2"/>
  <c r="U633" i="2"/>
  <c r="U407" i="2"/>
  <c r="U408" i="2"/>
  <c r="U409" i="2"/>
  <c r="U410" i="2"/>
  <c r="U634" i="2"/>
  <c r="U635" i="2"/>
  <c r="U411" i="2"/>
  <c r="U412" i="2"/>
  <c r="U636" i="2"/>
  <c r="U637" i="2"/>
  <c r="U638" i="2"/>
  <c r="U413" i="2"/>
  <c r="U414" i="2"/>
  <c r="U639" i="2"/>
  <c r="U415" i="2"/>
  <c r="U640" i="2"/>
  <c r="U416" i="2"/>
  <c r="U417" i="2"/>
  <c r="U642" i="2"/>
  <c r="U418" i="2"/>
  <c r="U419" i="2"/>
  <c r="U643" i="2"/>
  <c r="U644" i="2"/>
  <c r="U420" i="2"/>
  <c r="U421" i="2"/>
  <c r="U422" i="2"/>
  <c r="U423" i="2"/>
  <c r="U424" i="2"/>
  <c r="U645" i="2"/>
  <c r="U425" i="2"/>
  <c r="U426" i="2"/>
  <c r="U427" i="2"/>
  <c r="U428" i="2"/>
  <c r="U429" i="2"/>
  <c r="U646" i="2"/>
  <c r="U430" i="2"/>
  <c r="U647" i="2"/>
  <c r="U431" i="2"/>
  <c r="U432" i="2"/>
  <c r="U648" i="2"/>
  <c r="U433" i="2"/>
  <c r="U434" i="2"/>
  <c r="U649" i="2"/>
  <c r="U435" i="2"/>
  <c r="U650" i="2"/>
  <c r="U436" i="2"/>
  <c r="U437" i="2"/>
  <c r="U438" i="2"/>
  <c r="U651" i="2"/>
  <c r="U439" i="2"/>
  <c r="U652" i="2"/>
  <c r="U440" i="2"/>
  <c r="U653" i="2"/>
  <c r="U441" i="2"/>
  <c r="U442" i="2"/>
  <c r="U443" i="2"/>
  <c r="U444" i="2"/>
  <c r="U445" i="2"/>
  <c r="U654" i="2"/>
  <c r="U65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656" i="2"/>
  <c r="U657" i="2"/>
  <c r="U459" i="2"/>
  <c r="U460" i="2"/>
  <c r="U461" i="2"/>
  <c r="U462" i="2"/>
  <c r="U463" i="2"/>
  <c r="U464" i="2"/>
  <c r="U465" i="2"/>
  <c r="U658" i="2"/>
  <c r="U466" i="2"/>
  <c r="U468" i="2"/>
  <c r="U469" i="2"/>
  <c r="U470" i="2"/>
  <c r="U659" i="2"/>
  <c r="U660" i="2"/>
  <c r="U661" i="2"/>
  <c r="U471" i="2"/>
  <c r="U472" i="2"/>
  <c r="U473" i="2"/>
  <c r="U662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663" i="2"/>
  <c r="U486" i="2"/>
  <c r="U664" i="2"/>
  <c r="U487" i="2"/>
  <c r="U665" i="2"/>
  <c r="U488" i="2"/>
  <c r="U666" i="2"/>
  <c r="U489" i="2"/>
  <c r="U490" i="2"/>
  <c r="U667" i="2"/>
  <c r="U491" i="2"/>
  <c r="U492" i="2"/>
  <c r="U668" i="2"/>
  <c r="U669" i="2"/>
  <c r="U670" i="2"/>
  <c r="U493" i="2"/>
  <c r="U671" i="2"/>
  <c r="U672" i="2"/>
  <c r="U494" i="2"/>
  <c r="U495" i="2"/>
  <c r="U496" i="2"/>
  <c r="U673" i="2"/>
  <c r="U497" i="2"/>
  <c r="U674" i="2"/>
  <c r="U498" i="2"/>
  <c r="U499" i="2"/>
  <c r="U675" i="2"/>
  <c r="U500" i="2"/>
  <c r="U501" i="2"/>
  <c r="U676" i="2"/>
  <c r="U677" i="2"/>
  <c r="U502" i="2"/>
  <c r="U678" i="2"/>
  <c r="U679" i="2"/>
  <c r="U503" i="2"/>
  <c r="U680" i="2"/>
  <c r="U681" i="2"/>
  <c r="U504" i="2"/>
  <c r="U505" i="2"/>
  <c r="U506" i="2"/>
  <c r="U507" i="2"/>
  <c r="U508" i="2"/>
  <c r="U682" i="2"/>
  <c r="U509" i="2"/>
  <c r="U510" i="2"/>
  <c r="U511" i="2"/>
  <c r="U512" i="2"/>
  <c r="U683" i="2"/>
  <c r="U684" i="2"/>
  <c r="U513" i="2"/>
  <c r="U514" i="2"/>
  <c r="U515" i="2"/>
  <c r="U516" i="2"/>
  <c r="U685" i="2"/>
  <c r="U517" i="2"/>
  <c r="U518" i="2"/>
  <c r="U519" i="2"/>
  <c r="U520" i="2"/>
  <c r="U521" i="2"/>
  <c r="U522" i="2"/>
  <c r="U523" i="2"/>
  <c r="U524" i="2"/>
  <c r="U525" i="2"/>
  <c r="U526" i="2"/>
  <c r="U701" i="2"/>
  <c r="U527" i="2"/>
  <c r="U702" i="2"/>
  <c r="U528" i="2"/>
  <c r="U529" i="2"/>
  <c r="U530" i="2"/>
  <c r="U531" i="2"/>
  <c r="U532" i="2"/>
  <c r="U686" i="2"/>
  <c r="U687" i="2"/>
  <c r="U688" i="2"/>
  <c r="U689" i="2"/>
  <c r="U690" i="2"/>
  <c r="U691" i="2"/>
  <c r="U692" i="2"/>
  <c r="U693" i="2"/>
  <c r="U694" i="2"/>
  <c r="U533" i="2"/>
  <c r="U45" i="2"/>
  <c r="U823" i="2"/>
  <c r="U7" i="2"/>
  <c r="T551" i="2"/>
  <c r="T8" i="2"/>
  <c r="T11" i="2"/>
  <c r="T12" i="2"/>
  <c r="T13" i="2"/>
  <c r="T14" i="2"/>
  <c r="T15" i="2"/>
  <c r="T16" i="2"/>
  <c r="T19" i="2"/>
  <c r="T20" i="2"/>
  <c r="T21" i="2"/>
  <c r="T22" i="2"/>
  <c r="T23" i="2"/>
  <c r="T24" i="2"/>
  <c r="T25" i="2"/>
  <c r="T26" i="2"/>
  <c r="T27" i="2"/>
  <c r="T549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6" i="2"/>
  <c r="T47" i="2"/>
  <c r="T48" i="2"/>
  <c r="T49" i="2"/>
  <c r="T50" i="2"/>
  <c r="T552" i="2"/>
  <c r="T51" i="2"/>
  <c r="T52" i="2"/>
  <c r="T53" i="2"/>
  <c r="T54" i="2"/>
  <c r="T55" i="2"/>
  <c r="T56" i="2"/>
  <c r="T57" i="2"/>
  <c r="T553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695" i="2"/>
  <c r="T72" i="2"/>
  <c r="T697" i="2"/>
  <c r="T73" i="2"/>
  <c r="T74" i="2"/>
  <c r="T75" i="2"/>
  <c r="T76" i="2"/>
  <c r="T77" i="2"/>
  <c r="T78" i="2"/>
  <c r="T79" i="2"/>
  <c r="T80" i="2"/>
  <c r="T81" i="2"/>
  <c r="T82" i="2"/>
  <c r="T703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554" i="2"/>
  <c r="T111" i="2"/>
  <c r="T112" i="2"/>
  <c r="T113" i="2"/>
  <c r="T114" i="2"/>
  <c r="T555" i="2"/>
  <c r="T115" i="2"/>
  <c r="T116" i="2"/>
  <c r="T556" i="2"/>
  <c r="T117" i="2"/>
  <c r="T118" i="2"/>
  <c r="T119" i="2"/>
  <c r="T120" i="2"/>
  <c r="T121" i="2"/>
  <c r="T122" i="2"/>
  <c r="T123" i="2"/>
  <c r="T557" i="2"/>
  <c r="T124" i="2"/>
  <c r="T125" i="2"/>
  <c r="T126" i="2"/>
  <c r="T127" i="2"/>
  <c r="T128" i="2"/>
  <c r="T129" i="2"/>
  <c r="T558" i="2"/>
  <c r="T130" i="2"/>
  <c r="T559" i="2"/>
  <c r="T131" i="2"/>
  <c r="T132" i="2"/>
  <c r="T133" i="2"/>
  <c r="T134" i="2"/>
  <c r="T135" i="2"/>
  <c r="T136" i="2"/>
  <c r="T137" i="2"/>
  <c r="T138" i="2"/>
  <c r="T560" i="2"/>
  <c r="T139" i="2"/>
  <c r="T140" i="2"/>
  <c r="T141" i="2"/>
  <c r="T561" i="2"/>
  <c r="T142" i="2"/>
  <c r="T143" i="2"/>
  <c r="T144" i="2"/>
  <c r="T562" i="2"/>
  <c r="T145" i="2"/>
  <c r="T146" i="2"/>
  <c r="T147" i="2"/>
  <c r="T148" i="2"/>
  <c r="T149" i="2"/>
  <c r="T150" i="2"/>
  <c r="T548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564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565" i="2"/>
  <c r="T185" i="2"/>
  <c r="T186" i="2"/>
  <c r="T187" i="2"/>
  <c r="T566" i="2"/>
  <c r="T188" i="2"/>
  <c r="T189" i="2"/>
  <c r="T567" i="2"/>
  <c r="T190" i="2"/>
  <c r="T191" i="2"/>
  <c r="T568" i="2"/>
  <c r="T569" i="2"/>
  <c r="T570" i="2"/>
  <c r="T571" i="2"/>
  <c r="T192" i="2"/>
  <c r="T193" i="2"/>
  <c r="T572" i="2"/>
  <c r="T194" i="2"/>
  <c r="T573" i="2"/>
  <c r="T195" i="2"/>
  <c r="T574" i="2"/>
  <c r="T575" i="2"/>
  <c r="T196" i="2"/>
  <c r="T576" i="2"/>
  <c r="T197" i="2"/>
  <c r="T198" i="2"/>
  <c r="T199" i="2"/>
  <c r="T200" i="2"/>
  <c r="T577" i="2"/>
  <c r="T578" i="2"/>
  <c r="T579" i="2"/>
  <c r="T580" i="2"/>
  <c r="T201" i="2"/>
  <c r="T581" i="2"/>
  <c r="T202" i="2"/>
  <c r="T582" i="2"/>
  <c r="T583" i="2"/>
  <c r="T584" i="2"/>
  <c r="T203" i="2"/>
  <c r="T204" i="2"/>
  <c r="T205" i="2"/>
  <c r="T206" i="2"/>
  <c r="T207" i="2"/>
  <c r="T208" i="2"/>
  <c r="T209" i="2"/>
  <c r="T210" i="2"/>
  <c r="T211" i="2"/>
  <c r="T586" i="2"/>
  <c r="T212" i="2"/>
  <c r="T213" i="2"/>
  <c r="T214" i="2"/>
  <c r="T587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588" i="2"/>
  <c r="T589" i="2"/>
  <c r="T590" i="2"/>
  <c r="T591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592" i="2"/>
  <c r="T248" i="2"/>
  <c r="T593" i="2"/>
  <c r="T594" i="2"/>
  <c r="T249" i="2"/>
  <c r="T595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596" i="2"/>
  <c r="T270" i="2"/>
  <c r="T271" i="2"/>
  <c r="T272" i="2"/>
  <c r="T273" i="2"/>
  <c r="T274" i="2"/>
  <c r="T275" i="2"/>
  <c r="T276" i="2"/>
  <c r="T277" i="2"/>
  <c r="T278" i="2"/>
  <c r="T279" i="2"/>
  <c r="T280" i="2"/>
  <c r="T546" i="2"/>
  <c r="T597" i="2"/>
  <c r="T281" i="2"/>
  <c r="T282" i="2"/>
  <c r="T283" i="2"/>
  <c r="T284" i="2"/>
  <c r="T285" i="2"/>
  <c r="T286" i="2"/>
  <c r="T550" i="2"/>
  <c r="T287" i="2"/>
  <c r="T288" i="2"/>
  <c r="T289" i="2"/>
  <c r="T290" i="2"/>
  <c r="T598" i="2"/>
  <c r="T291" i="2"/>
  <c r="T292" i="2"/>
  <c r="T293" i="2"/>
  <c r="T294" i="2"/>
  <c r="T295" i="2"/>
  <c r="T296" i="2"/>
  <c r="T297" i="2"/>
  <c r="T298" i="2"/>
  <c r="T299" i="2"/>
  <c r="T300" i="2"/>
  <c r="T599" i="2"/>
  <c r="T301" i="2"/>
  <c r="T547" i="2"/>
  <c r="T302" i="2"/>
  <c r="T600" i="2"/>
  <c r="T601" i="2"/>
  <c r="T303" i="2"/>
  <c r="T602" i="2"/>
  <c r="T304" i="2"/>
  <c r="T603" i="2"/>
  <c r="T604" i="2"/>
  <c r="T605" i="2"/>
  <c r="T696" i="2"/>
  <c r="T305" i="2"/>
  <c r="T306" i="2"/>
  <c r="T307" i="2"/>
  <c r="T308" i="2"/>
  <c r="T309" i="2"/>
  <c r="T606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607" i="2"/>
  <c r="T323" i="2"/>
  <c r="T608" i="2"/>
  <c r="T324" i="2"/>
  <c r="T609" i="2"/>
  <c r="T610" i="2"/>
  <c r="T611" i="2"/>
  <c r="T325" i="2"/>
  <c r="T612" i="2"/>
  <c r="T326" i="2"/>
  <c r="T327" i="2"/>
  <c r="T707" i="2"/>
  <c r="T328" i="2"/>
  <c r="T698" i="2"/>
  <c r="T329" i="2"/>
  <c r="T699" i="2"/>
  <c r="T330" i="2"/>
  <c r="T331" i="2"/>
  <c r="T332" i="2"/>
  <c r="T613" i="2"/>
  <c r="T333" i="2"/>
  <c r="T614" i="2"/>
  <c r="T334" i="2"/>
  <c r="T335" i="2"/>
  <c r="T336" i="2"/>
  <c r="T337" i="2"/>
  <c r="T704" i="2"/>
  <c r="T338" i="2"/>
  <c r="T339" i="2"/>
  <c r="T340" i="2"/>
  <c r="T341" i="2"/>
  <c r="T342" i="2"/>
  <c r="T343" i="2"/>
  <c r="T344" i="2"/>
  <c r="T616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617" i="2"/>
  <c r="T359" i="2"/>
  <c r="T360" i="2"/>
  <c r="T361" i="2"/>
  <c r="T618" i="2"/>
  <c r="T362" i="2"/>
  <c r="T363" i="2"/>
  <c r="T364" i="2"/>
  <c r="T365" i="2"/>
  <c r="T366" i="2"/>
  <c r="T367" i="2"/>
  <c r="T368" i="2"/>
  <c r="T369" i="2"/>
  <c r="T619" i="2"/>
  <c r="T705" i="2"/>
  <c r="T370" i="2"/>
  <c r="T620" i="2"/>
  <c r="T371" i="2"/>
  <c r="T372" i="2"/>
  <c r="T373" i="2"/>
  <c r="T374" i="2"/>
  <c r="T375" i="2"/>
  <c r="T621" i="2"/>
  <c r="T376" i="2"/>
  <c r="T377" i="2"/>
  <c r="T378" i="2"/>
  <c r="T379" i="2"/>
  <c r="T380" i="2"/>
  <c r="T381" i="2"/>
  <c r="T382" i="2"/>
  <c r="T622" i="2"/>
  <c r="T623" i="2"/>
  <c r="T383" i="2"/>
  <c r="T384" i="2"/>
  <c r="T385" i="2"/>
  <c r="T386" i="2"/>
  <c r="T708" i="2"/>
  <c r="T387" i="2"/>
  <c r="T388" i="2"/>
  <c r="T389" i="2"/>
  <c r="T390" i="2"/>
  <c r="T391" i="2"/>
  <c r="T625" i="2"/>
  <c r="T626" i="2"/>
  <c r="T392" i="2"/>
  <c r="T393" i="2"/>
  <c r="T627" i="2"/>
  <c r="T394" i="2"/>
  <c r="T395" i="2"/>
  <c r="T396" i="2"/>
  <c r="T628" i="2"/>
  <c r="T629" i="2"/>
  <c r="T397" i="2"/>
  <c r="T398" i="2"/>
  <c r="T399" i="2"/>
  <c r="T400" i="2"/>
  <c r="T630" i="2"/>
  <c r="T401" i="2"/>
  <c r="T402" i="2"/>
  <c r="T403" i="2"/>
  <c r="T404" i="2"/>
  <c r="T405" i="2"/>
  <c r="T631" i="2"/>
  <c r="T406" i="2"/>
  <c r="T632" i="2"/>
  <c r="T633" i="2"/>
  <c r="T407" i="2"/>
  <c r="T408" i="2"/>
  <c r="T409" i="2"/>
  <c r="T410" i="2"/>
  <c r="T634" i="2"/>
  <c r="T635" i="2"/>
  <c r="T411" i="2"/>
  <c r="T412" i="2"/>
  <c r="T636" i="2"/>
  <c r="T637" i="2"/>
  <c r="T638" i="2"/>
  <c r="T413" i="2"/>
  <c r="T414" i="2"/>
  <c r="T639" i="2"/>
  <c r="T415" i="2"/>
  <c r="T640" i="2"/>
  <c r="T416" i="2"/>
  <c r="T641" i="2"/>
  <c r="T417" i="2"/>
  <c r="T642" i="2"/>
  <c r="T418" i="2"/>
  <c r="T419" i="2"/>
  <c r="T643" i="2"/>
  <c r="T644" i="2"/>
  <c r="T420" i="2"/>
  <c r="T421" i="2"/>
  <c r="T422" i="2"/>
  <c r="T423" i="2"/>
  <c r="T424" i="2"/>
  <c r="T645" i="2"/>
  <c r="T425" i="2"/>
  <c r="T426" i="2"/>
  <c r="T427" i="2"/>
  <c r="T428" i="2"/>
  <c r="T429" i="2"/>
  <c r="T646" i="2"/>
  <c r="T430" i="2"/>
  <c r="T647" i="2"/>
  <c r="T431" i="2"/>
  <c r="T709" i="2"/>
  <c r="T432" i="2"/>
  <c r="T648" i="2"/>
  <c r="T710" i="2"/>
  <c r="T433" i="2"/>
  <c r="T434" i="2"/>
  <c r="T649" i="2"/>
  <c r="T435" i="2"/>
  <c r="T650" i="2"/>
  <c r="T436" i="2"/>
  <c r="T437" i="2"/>
  <c r="T438" i="2"/>
  <c r="T651" i="2"/>
  <c r="T439" i="2"/>
  <c r="T652" i="2"/>
  <c r="T440" i="2"/>
  <c r="T653" i="2"/>
  <c r="T441" i="2"/>
  <c r="T442" i="2"/>
  <c r="T443" i="2"/>
  <c r="T444" i="2"/>
  <c r="T445" i="2"/>
  <c r="T654" i="2"/>
  <c r="T655" i="2"/>
  <c r="T446" i="2"/>
  <c r="T447" i="2"/>
  <c r="T448" i="2"/>
  <c r="T449" i="2"/>
  <c r="T450" i="2"/>
  <c r="T711" i="2"/>
  <c r="T712" i="2"/>
  <c r="T451" i="2"/>
  <c r="T452" i="2"/>
  <c r="T453" i="2"/>
  <c r="T454" i="2"/>
  <c r="T455" i="2"/>
  <c r="T456" i="2"/>
  <c r="T457" i="2"/>
  <c r="T458" i="2"/>
  <c r="T656" i="2"/>
  <c r="T657" i="2"/>
  <c r="T459" i="2"/>
  <c r="T460" i="2"/>
  <c r="T461" i="2"/>
  <c r="T462" i="2"/>
  <c r="T463" i="2"/>
  <c r="T464" i="2"/>
  <c r="T465" i="2"/>
  <c r="T658" i="2"/>
  <c r="T466" i="2"/>
  <c r="T467" i="2"/>
  <c r="T715" i="2"/>
  <c r="T468" i="2"/>
  <c r="T469" i="2"/>
  <c r="T470" i="2"/>
  <c r="T659" i="2"/>
  <c r="T660" i="2"/>
  <c r="T661" i="2"/>
  <c r="T471" i="2"/>
  <c r="T472" i="2"/>
  <c r="T473" i="2"/>
  <c r="T662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716" i="2"/>
  <c r="T663" i="2"/>
  <c r="T486" i="2"/>
  <c r="T664" i="2"/>
  <c r="T487" i="2"/>
  <c r="T665" i="2"/>
  <c r="T488" i="2"/>
  <c r="T666" i="2"/>
  <c r="T489" i="2"/>
  <c r="T490" i="2"/>
  <c r="T667" i="2"/>
  <c r="T491" i="2"/>
  <c r="T492" i="2"/>
  <c r="T668" i="2"/>
  <c r="T669" i="2"/>
  <c r="T670" i="2"/>
  <c r="T493" i="2"/>
  <c r="T671" i="2"/>
  <c r="T672" i="2"/>
  <c r="T494" i="2"/>
  <c r="T495" i="2"/>
  <c r="T496" i="2"/>
  <c r="T673" i="2"/>
  <c r="T497" i="2"/>
  <c r="T674" i="2"/>
  <c r="T498" i="2"/>
  <c r="T499" i="2"/>
  <c r="T675" i="2"/>
  <c r="T500" i="2"/>
  <c r="T501" i="2"/>
  <c r="T676" i="2"/>
  <c r="T677" i="2"/>
  <c r="T502" i="2"/>
  <c r="T678" i="2"/>
  <c r="T679" i="2"/>
  <c r="T503" i="2"/>
  <c r="T680" i="2"/>
  <c r="T681" i="2"/>
  <c r="T717" i="2"/>
  <c r="T504" i="2"/>
  <c r="T505" i="2"/>
  <c r="T506" i="2"/>
  <c r="T718" i="2"/>
  <c r="T507" i="2"/>
  <c r="T508" i="2"/>
  <c r="T682" i="2"/>
  <c r="T509" i="2"/>
  <c r="T510" i="2"/>
  <c r="T511" i="2"/>
  <c r="T512" i="2"/>
  <c r="T719" i="2"/>
  <c r="T720" i="2"/>
  <c r="T683" i="2"/>
  <c r="T684" i="2"/>
  <c r="T513" i="2"/>
  <c r="T514" i="2"/>
  <c r="T515" i="2"/>
  <c r="T516" i="2"/>
  <c r="T685" i="2"/>
  <c r="T517" i="2"/>
  <c r="T518" i="2"/>
  <c r="T519" i="2"/>
  <c r="T520" i="2"/>
  <c r="T521" i="2"/>
  <c r="T721" i="2"/>
  <c r="T522" i="2"/>
  <c r="T523" i="2"/>
  <c r="T524" i="2"/>
  <c r="T525" i="2"/>
  <c r="T526" i="2"/>
  <c r="T701" i="2"/>
  <c r="T722" i="2"/>
  <c r="T527" i="2"/>
  <c r="T702" i="2"/>
  <c r="T528" i="2"/>
  <c r="T723" i="2"/>
  <c r="T529" i="2"/>
  <c r="T724" i="2"/>
  <c r="T725" i="2"/>
  <c r="T726" i="2"/>
  <c r="T530" i="2"/>
  <c r="T531" i="2"/>
  <c r="T532" i="2"/>
  <c r="T727" i="2"/>
  <c r="T686" i="2"/>
  <c r="T687" i="2"/>
  <c r="T688" i="2"/>
  <c r="T728" i="2"/>
  <c r="T729" i="2"/>
  <c r="T730" i="2"/>
  <c r="T731" i="2"/>
  <c r="T732" i="2"/>
  <c r="T733" i="2"/>
  <c r="T734" i="2"/>
  <c r="T689" i="2"/>
  <c r="T690" i="2"/>
  <c r="T735" i="2"/>
  <c r="T736" i="2"/>
  <c r="T691" i="2"/>
  <c r="T692" i="2"/>
  <c r="T737" i="2"/>
  <c r="T693" i="2"/>
  <c r="T738" i="2"/>
  <c r="T739" i="2"/>
  <c r="T694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533" i="2"/>
  <c r="T758" i="2"/>
  <c r="T760" i="2"/>
  <c r="T761" i="2"/>
  <c r="T762" i="2"/>
  <c r="T763" i="2"/>
  <c r="T764" i="2"/>
  <c r="T765" i="2"/>
  <c r="T4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20" i="2"/>
  <c r="T821" i="2"/>
  <c r="T817" i="2"/>
  <c r="T818" i="2"/>
  <c r="T819" i="2"/>
  <c r="T823" i="2"/>
  <c r="T825" i="2"/>
  <c r="T826" i="2"/>
  <c r="T831" i="2"/>
  <c r="T836" i="2"/>
  <c r="T837" i="2"/>
  <c r="T843" i="2"/>
  <c r="T844" i="2"/>
  <c r="T845" i="2"/>
  <c r="T846" i="2"/>
  <c r="T847" i="2"/>
  <c r="T848" i="2"/>
  <c r="T851" i="2"/>
  <c r="T852" i="2"/>
  <c r="T853" i="2"/>
  <c r="T854" i="2"/>
  <c r="T855" i="2"/>
  <c r="T856" i="2"/>
  <c r="T857" i="2"/>
  <c r="T858" i="2"/>
  <c r="T859" i="2"/>
  <c r="T860" i="2"/>
  <c r="T861" i="2"/>
  <c r="T7" i="2"/>
  <c r="AP7" i="2" l="1"/>
  <c r="V7" i="2"/>
  <c r="L28" i="3" s="1"/>
  <c r="M28" i="3" s="1"/>
  <c r="W7" i="2"/>
  <c r="W22" i="2"/>
  <c r="V22" i="2"/>
  <c r="W16" i="2"/>
  <c r="V16" i="2"/>
  <c r="V12" i="2"/>
  <c r="W12" i="2"/>
  <c r="AQ7" i="2"/>
  <c r="W550" i="2"/>
  <c r="V550" i="2"/>
  <c r="W546" i="2"/>
  <c r="V546" i="2"/>
  <c r="W21" i="2"/>
  <c r="V21" i="2"/>
  <c r="V15" i="2"/>
  <c r="W15" i="2"/>
  <c r="W549" i="2"/>
  <c r="N29" i="3" s="1"/>
  <c r="O29" i="3" s="1"/>
  <c r="V549" i="2"/>
  <c r="L29" i="3" s="1"/>
  <c r="M29" i="3" s="1"/>
  <c r="V24" i="2"/>
  <c r="W24" i="2"/>
  <c r="W547" i="2"/>
  <c r="V547" i="2"/>
  <c r="V548" i="2"/>
  <c r="W548" i="2"/>
  <c r="W23" i="2"/>
  <c r="V23" i="2"/>
  <c r="V13" i="2"/>
  <c r="W13" i="2"/>
  <c r="W551" i="2"/>
  <c r="V551" i="2"/>
  <c r="N22" i="3" l="1"/>
  <c r="O22" i="3" s="1"/>
  <c r="O45" i="3" s="1"/>
  <c r="L36" i="3"/>
  <c r="M36" i="3" s="1"/>
  <c r="L22" i="3"/>
  <c r="I57" i="3"/>
  <c r="N45" i="3" l="1"/>
  <c r="M22" i="3"/>
  <c r="M45" i="3" s="1"/>
  <c r="L45" i="3"/>
  <c r="J16" i="2" l="1"/>
  <c r="AP16" i="2" s="1"/>
  <c r="AQ16" i="2" s="1"/>
  <c r="J551" i="2"/>
  <c r="J43" i="2" l="1"/>
  <c r="J42" i="2"/>
  <c r="J41" i="2"/>
  <c r="J40" i="2"/>
  <c r="J38" i="2"/>
  <c r="J39" i="2"/>
  <c r="J37" i="2"/>
  <c r="J36" i="2"/>
  <c r="J35" i="2"/>
  <c r="J34" i="2"/>
  <c r="J31" i="2"/>
  <c r="J549" i="2"/>
  <c r="J8" i="2"/>
  <c r="J9" i="2"/>
  <c r="AP9" i="2" s="1"/>
  <c r="J10" i="2"/>
  <c r="AP10" i="2" s="1"/>
  <c r="AQ10" i="2" s="1"/>
  <c r="J11" i="2"/>
  <c r="AP11" i="2" s="1"/>
  <c r="AQ11" i="2" s="1"/>
  <c r="J12" i="2"/>
  <c r="AP12" i="2" s="1"/>
  <c r="AQ12" i="2" s="1"/>
  <c r="J13" i="2"/>
  <c r="AP13" i="2" s="1"/>
  <c r="AQ13" i="2" s="1"/>
  <c r="J14" i="2"/>
  <c r="J15" i="2"/>
  <c r="AP15" i="2" s="1"/>
  <c r="AQ15" i="2" s="1"/>
  <c r="J17" i="2"/>
  <c r="AP17" i="2" s="1"/>
  <c r="AQ17" i="2" s="1"/>
  <c r="J18" i="2"/>
  <c r="AP18" i="2" s="1"/>
  <c r="AQ18" i="2" s="1"/>
  <c r="J21" i="2"/>
  <c r="AP21" i="2" s="1"/>
  <c r="AQ21" i="2" s="1"/>
  <c r="J22" i="2"/>
  <c r="AP22" i="2" s="1"/>
  <c r="AQ22" i="2" s="1"/>
  <c r="J23" i="2"/>
  <c r="AP23" i="2" s="1"/>
  <c r="AQ23" i="2" s="1"/>
  <c r="J24" i="2"/>
  <c r="AP24" i="2" s="1"/>
  <c r="AQ24" i="2" s="1"/>
  <c r="J25" i="2"/>
  <c r="J26" i="2"/>
  <c r="J27" i="2"/>
  <c r="AQ9" i="2" l="1"/>
  <c r="C126" i="3"/>
  <c r="C129" i="3"/>
  <c r="C130" i="3"/>
  <c r="C131" i="3"/>
  <c r="C125" i="3"/>
  <c r="C128" i="3"/>
  <c r="C127" i="3"/>
  <c r="I65" i="3"/>
  <c r="I76" i="3" s="1"/>
  <c r="C133" i="3" l="1"/>
  <c r="E129" i="3" s="1"/>
  <c r="I51" i="3"/>
  <c r="I74" i="3" s="1"/>
  <c r="G95" i="3"/>
  <c r="G97" i="3" s="1"/>
  <c r="D129" i="3"/>
  <c r="D128" i="3"/>
  <c r="E95" i="3"/>
  <c r="D130" i="3"/>
  <c r="D131" i="3"/>
  <c r="D132" i="3"/>
  <c r="D126" i="3"/>
  <c r="C95" i="3"/>
  <c r="C97" i="3" s="1"/>
  <c r="D125" i="3"/>
  <c r="D127" i="3"/>
  <c r="E132" i="3" l="1"/>
  <c r="E127" i="3"/>
  <c r="E125" i="3"/>
  <c r="E126" i="3"/>
  <c r="E128" i="3"/>
  <c r="E130" i="3"/>
  <c r="E131" i="3"/>
  <c r="D133" i="3"/>
  <c r="I95" i="3"/>
  <c r="C8" i="3"/>
  <c r="C13" i="3" s="1"/>
  <c r="C15" i="3" s="1"/>
  <c r="D10" i="3" s="1"/>
  <c r="E97" i="3"/>
  <c r="D94" i="3"/>
  <c r="D93" i="3"/>
  <c r="D95" i="3"/>
  <c r="D96" i="3"/>
  <c r="H95" i="3"/>
  <c r="H94" i="3"/>
  <c r="H97" i="3"/>
  <c r="H93" i="3"/>
  <c r="H96" i="3"/>
  <c r="F96" i="3" l="1"/>
  <c r="I97" i="3"/>
  <c r="F95" i="3"/>
  <c r="F93" i="3"/>
  <c r="F94" i="3"/>
  <c r="D97" i="3"/>
  <c r="F126" i="3"/>
  <c r="F131" i="3"/>
  <c r="F125" i="3"/>
  <c r="F129" i="3"/>
  <c r="F132" i="3"/>
  <c r="F128" i="3"/>
  <c r="F127" i="3"/>
  <c r="F130" i="3"/>
  <c r="F97" i="3" l="1"/>
</calcChain>
</file>

<file path=xl/sharedStrings.xml><?xml version="1.0" encoding="utf-8"?>
<sst xmlns="http://schemas.openxmlformats.org/spreadsheetml/2006/main" count="7685" uniqueCount="1480">
  <si>
    <t>Actual Procurement Activities</t>
  </si>
  <si>
    <t>ABC (PhP)</t>
  </si>
  <si>
    <t>Contract Cost (PhP)</t>
  </si>
  <si>
    <t>Date of Receipt of Invitation</t>
  </si>
  <si>
    <t>Code
(PAP)</t>
  </si>
  <si>
    <t>Procurement Project</t>
  </si>
  <si>
    <t>PMO/End-User</t>
  </si>
  <si>
    <t>Is this an Early Procurement Activity?</t>
  </si>
  <si>
    <t>Mode of Procurement</t>
  </si>
  <si>
    <t>Pre-Proc Conference</t>
  </si>
  <si>
    <t>Ads/Post of IB</t>
  </si>
  <si>
    <t>Ave. No. of Days to Commence Procurement 
(Pre-Proc to Posting of IB) (i.3)</t>
  </si>
  <si>
    <t>Pre-bid Conf</t>
  </si>
  <si>
    <t>Eligibility Check</t>
  </si>
  <si>
    <t>Sub/Open of Bids</t>
  </si>
  <si>
    <t>Average No. of Days to open bid proposals 
(Posting of IB to Opening of Bids) (i.4)</t>
  </si>
  <si>
    <t>Bid Evaluation</t>
  </si>
  <si>
    <t>Post Qual</t>
  </si>
  <si>
    <t>Date of BAC Resolution Recommending Award</t>
  </si>
  <si>
    <t xml:space="preserve">Accumulated Days in Evaluation of Bids 
(Opening of Bids to Post Qua) </t>
  </si>
  <si>
    <t>Average Number of Days to Recommend Award
(Opening of Bids to Recommend Award) (i.5)</t>
  </si>
  <si>
    <t xml:space="preserve"> Average Number of Days to Conclude Procurement 
 (IB to BAC Reso) (i.6)</t>
  </si>
  <si>
    <t>Notice of Award</t>
  </si>
  <si>
    <t>Contract Signing</t>
  </si>
  <si>
    <t>Notice to Proceed</t>
  </si>
  <si>
    <t>Average Number of Days to Issue Notice to Proceed
(NOA to NTP) (i.7)</t>
  </si>
  <si>
    <t>Average
Days from (Posting of IB to NTP) (i.8)</t>
  </si>
  <si>
    <t>Delivery/ Completion</t>
  </si>
  <si>
    <t>Inspection &amp; Acceptance</t>
  </si>
  <si>
    <t>Source of Funds</t>
  </si>
  <si>
    <t xml:space="preserve">Total </t>
  </si>
  <si>
    <t>MOOE</t>
  </si>
  <si>
    <t>CO</t>
  </si>
  <si>
    <r>
      <t>Total</t>
    </r>
    <r>
      <rPr>
        <b/>
        <sz val="12"/>
        <color theme="0"/>
        <rFont val="Verdana"/>
        <family val="2"/>
      </rPr>
      <t>2</t>
    </r>
  </si>
  <si>
    <r>
      <t>MOOE</t>
    </r>
    <r>
      <rPr>
        <b/>
        <sz val="12"/>
        <color theme="0"/>
        <rFont val="Verdana"/>
        <family val="2"/>
      </rPr>
      <t>2</t>
    </r>
  </si>
  <si>
    <t>% Variance</t>
  </si>
  <si>
    <t>List of Invited Observers</t>
  </si>
  <si>
    <t>Delivery/
Completion/
Acceptance
(If applicable)</t>
  </si>
  <si>
    <t>Remarks
(Explaining changes from the APP)</t>
  </si>
  <si>
    <t>Column1</t>
  </si>
  <si>
    <t>Column2</t>
  </si>
  <si>
    <t>COMPLETED PROCUREMENT ACTIVITIES</t>
  </si>
  <si>
    <t>Total</t>
  </si>
  <si>
    <t xml:space="preserve">   Total Allotted Budget of Procurement Activities</t>
  </si>
  <si>
    <t xml:space="preserve">   Total Contract Price of Procurement Activities Conducted</t>
  </si>
  <si>
    <t xml:space="preserve">   Total Savings (Total Allotted Budget - Total Contract Price)</t>
  </si>
  <si>
    <t>Column42</t>
  </si>
  <si>
    <t>ONGOING PROCUREMENT ACTIVITIES</t>
  </si>
  <si>
    <t xml:space="preserve">   Total Allotted Budget of On-going Procurement Activities</t>
  </si>
  <si>
    <t>Prepared by:</t>
  </si>
  <si>
    <t>BAC Chairperson</t>
  </si>
  <si>
    <t>Head of the Procuring Entity</t>
  </si>
  <si>
    <t>Summary of Information for Processing of IRPP</t>
  </si>
  <si>
    <t>Indicator 1: % of Processed Procurement Activities vs Planned in terms of amount</t>
  </si>
  <si>
    <t>Formula</t>
  </si>
  <si>
    <t>Value</t>
  </si>
  <si>
    <t>Remarks</t>
  </si>
  <si>
    <t>Total Amount of APP as updated</t>
  </si>
  <si>
    <t>Divide by: Total Amount of ABC of procurement activities started</t>
  </si>
  <si>
    <t>ABC of awarded + ABC of on-going procurement projects (less ABC of Failure of Bids)</t>
  </si>
  <si>
    <t>Indicator 2: Average % of Variance Between Contract Amount vs Approved Budget for the Contract</t>
  </si>
  <si>
    <t>Particular</t>
  </si>
  <si>
    <t>Total Amount of ABC of procurement activities started</t>
  </si>
  <si>
    <t>Total Contact Cost</t>
  </si>
  <si>
    <t>Total Variance for Each Awarded Procurement Project</t>
  </si>
  <si>
    <t>Column shall be hidden</t>
  </si>
  <si>
    <t>Divide by Number of Awarded Procurement Projects</t>
  </si>
  <si>
    <t>Indicator 3. Timeliness on the Conduct of Procurement</t>
  </si>
  <si>
    <t>Indicator 3.1 Average No. of Days to commence procurement 
(Pre-Proc to Posting of IB)</t>
  </si>
  <si>
    <t>Indicator 3.2: Average No. of Days to open bid proposals
(Posting of IB/ to Opening of Bids)</t>
  </si>
  <si>
    <t>Indicator 3.3: Average Number of Days to Recommend Award
(Opening of Bids to Recommend Award)</t>
  </si>
  <si>
    <t>Indicator 3.4: Average Number of Days to Conclude Procurement (Posting of IB to Recommend Award)</t>
  </si>
  <si>
    <t>Indicator 3.5:  Average Number of Days to Issue Notice to Proceed (from Issuance of NOA to Issuance of NTP)</t>
  </si>
  <si>
    <t>Indicator 3.6:  Accumulated Number of Days for the Procurement Process (Posting of IB to NTP)</t>
  </si>
  <si>
    <t>Total No. of Activities under subject modality</t>
  </si>
  <si>
    <t>Total No. of Days from PreProc to IB</t>
  </si>
  <si>
    <t>Average Days from Pre-Proc to Posting of IB</t>
  </si>
  <si>
    <t>Total No. of Days from IB  to Opening</t>
  </si>
  <si>
    <t>Average
Days from Posting of IB to Opening of Bids</t>
  </si>
  <si>
    <t>Total No. of Days Opening to Recommend Award)</t>
  </si>
  <si>
    <t>Average
Days from Opening of Bids to Recommend Award</t>
  </si>
  <si>
    <t>Total No. of Days
from Posting of IB to Recommend Award</t>
  </si>
  <si>
    <t>Average
Days from Posting of IB to Recommend Award</t>
  </si>
  <si>
    <t>Total No. of Days 
from Issuance of NOA to Issue NTP</t>
  </si>
  <si>
    <t>Average
Days from NOA to NTP</t>
  </si>
  <si>
    <t>Total No. of Days 
from Posting of IB to Issue NTP</t>
  </si>
  <si>
    <t>Average
Days from Posting of IB to NTP</t>
  </si>
  <si>
    <t>Competitive Bidding</t>
  </si>
  <si>
    <t>Limited Source Bidding</t>
  </si>
  <si>
    <t>Direct Contracting</t>
  </si>
  <si>
    <t>Repeat Order</t>
  </si>
  <si>
    <t>Shopping 52.1(a) - Unforeseen Contingency</t>
  </si>
  <si>
    <t>Shopping 52.1(b) - Regular Office Supplies and Equipment no available in PS</t>
  </si>
  <si>
    <t>NP-53.1 Two Failed Biddings</t>
  </si>
  <si>
    <t>NP-53.2 Emergency Cases</t>
  </si>
  <si>
    <t>NP-53.3 Take-Over of Contracts</t>
  </si>
  <si>
    <t>NP-53.4 Adjacent or Contiguous</t>
  </si>
  <si>
    <t>NP-53.5 Agency-to-Agency</t>
  </si>
  <si>
    <t>NP-53.6 Scientific, Scholarly, Artistic Work, Exclusive Technology and Media Services</t>
  </si>
  <si>
    <t>NP-53.7 Highly Technical Consultants</t>
  </si>
  <si>
    <t>NP-53.8 Defense Cooperation Agreement</t>
  </si>
  <si>
    <t>NP-53.9 - Small Value Procurement</t>
  </si>
  <si>
    <t>NP-53.10 Lease of Real Property and Venue</t>
  </si>
  <si>
    <t>NP-53.11 NGO Participation</t>
  </si>
  <si>
    <t>NP-53.12 Community Participation</t>
  </si>
  <si>
    <t>NP-53.13 UN Agencies, Int'l Organizations or International Financing Institutions</t>
  </si>
  <si>
    <t>NP-53.14 Direct Retail Purchase of Petroleum Fuel, Oil and Lubricant (POL) Products and Airline Tickets</t>
  </si>
  <si>
    <t>Emergency Procurement under Bayanihan Act</t>
  </si>
  <si>
    <t>Foreign Guidelines - Competitive Bidding</t>
  </si>
  <si>
    <t>Foreign Guidelines - Alternative Method</t>
  </si>
  <si>
    <t xml:space="preserve">*formula for days interval for each procurement activity for each indicator are embedded in the PMR. </t>
  </si>
  <si>
    <t>Indicator 4. Percentage of Amount and Volume by Tender and Award of Procurement Activities per Mode of Procurement</t>
  </si>
  <si>
    <t xml:space="preserve">Total No. of Activities </t>
  </si>
  <si>
    <t>Total Number of Awarded</t>
  </si>
  <si>
    <t>Total ABC</t>
  </si>
  <si>
    <t>Total Contract Cost</t>
  </si>
  <si>
    <t>%Vol of Awarded</t>
  </si>
  <si>
    <t>%ABC of Awarded</t>
  </si>
  <si>
    <t>Total Number of Failed</t>
  </si>
  <si>
    <t>ABC of Failed</t>
  </si>
  <si>
    <t>Total for Alternative Mode of Procurement</t>
  </si>
  <si>
    <t>Indicator 5: Accumulated No. of Days for On-going Procurement Activities</t>
  </si>
  <si>
    <t>Timeline</t>
  </si>
  <si>
    <t>No. of Procurement Activities</t>
  </si>
  <si>
    <t>%</t>
  </si>
  <si>
    <t>Exceeds 180 days</t>
  </si>
  <si>
    <t>Within 91 to 180 days</t>
  </si>
  <si>
    <t>Within 45 to 90 days</t>
  </si>
  <si>
    <t>Within 0 to 44 days</t>
  </si>
  <si>
    <t>*Validation shall be provided for the PMR so that the PMO can easily select and determined the total count</t>
  </si>
  <si>
    <t>Indicator 6. Distribution of On-going, Awarded, and Failed procurement Activities</t>
  </si>
  <si>
    <t>Status</t>
  </si>
  <si>
    <t>% by No. of Procurement of Activities</t>
  </si>
  <si>
    <t>ABC Amount of Activities</t>
  </si>
  <si>
    <t>% by ABC</t>
  </si>
  <si>
    <t>Contract Cost</t>
  </si>
  <si>
    <t>Contract/ABC</t>
  </si>
  <si>
    <t>Variance</t>
  </si>
  <si>
    <t>Awarded</t>
  </si>
  <si>
    <t>Completed</t>
  </si>
  <si>
    <t>Failed</t>
  </si>
  <si>
    <t>Ongoing</t>
  </si>
  <si>
    <t>Indicator 7a: % of Number of Procurement activities conducted under early procurement</t>
  </si>
  <si>
    <t>Indicator 7b: % of ABC of Procurement activities conducted under early procurement</t>
  </si>
  <si>
    <t>Under EPA</t>
  </si>
  <si>
    <t>Regular Procurement</t>
  </si>
  <si>
    <t>Indicator 8a: Percentage of Number of Awarded Contracts under EPA</t>
  </si>
  <si>
    <t>Indicator 8b: Percentage of Contract Cost of EPA against the total ABC under EPA</t>
  </si>
  <si>
    <t>Amount of ABC Procurement Activities</t>
  </si>
  <si>
    <t>Contract Cost of Procurement Activities</t>
  </si>
  <si>
    <t>Percentage Variance</t>
  </si>
  <si>
    <r>
      <rPr>
        <sz val="11"/>
        <color theme="1"/>
        <rFont val="Calibri"/>
        <family val="2"/>
      </rPr>
      <t xml:space="preserve">Total Contracts </t>
    </r>
    <r>
      <rPr>
        <b/>
        <sz val="11"/>
        <color theme="1"/>
        <rFont val="Calibri"/>
        <family val="2"/>
      </rPr>
      <t>Awarded</t>
    </r>
    <r>
      <rPr>
        <sz val="11"/>
        <color theme="1"/>
        <rFont val="Calibri"/>
        <family val="2"/>
      </rPr>
      <t xml:space="preserve"> under EPA*</t>
    </r>
  </si>
  <si>
    <r>
      <t xml:space="preserve">Total Contracts </t>
    </r>
    <r>
      <rPr>
        <b/>
        <sz val="11"/>
        <color theme="1"/>
        <rFont val="Calibri"/>
        <family val="2"/>
      </rPr>
      <t>Completed</t>
    </r>
    <r>
      <rPr>
        <sz val="11"/>
        <color theme="1"/>
        <rFont val="Calibri"/>
        <family val="2"/>
      </rPr>
      <t xml:space="preserve"> under EPA*</t>
    </r>
  </si>
  <si>
    <r>
      <t xml:space="preserve">Total </t>
    </r>
    <r>
      <rPr>
        <b/>
        <sz val="11"/>
        <color theme="1"/>
        <rFont val="Calibri"/>
        <family val="2"/>
      </rPr>
      <t>Failed</t>
    </r>
    <r>
      <rPr>
        <sz val="11"/>
        <color theme="1"/>
        <rFont val="Calibri"/>
        <family val="2"/>
      </rPr>
      <t xml:space="preserve"> Bid under EPA*</t>
    </r>
  </si>
  <si>
    <r>
      <t xml:space="preserve">Total </t>
    </r>
    <r>
      <rPr>
        <b/>
        <sz val="11"/>
        <color theme="1"/>
        <rFont val="Calibri"/>
        <family val="2"/>
      </rPr>
      <t>Ongoing</t>
    </r>
    <r>
      <rPr>
        <sz val="11"/>
        <color theme="1"/>
        <rFont val="Calibri"/>
        <family val="2"/>
      </rPr>
      <t xml:space="preserve"> Activities under EPA*</t>
    </r>
  </si>
  <si>
    <t>Total Procurement Activities under EPA</t>
  </si>
  <si>
    <t>To compute for the total, a separate sheet may be created of the PMO may simply filter the cells to capture the total number.</t>
  </si>
  <si>
    <t>Indicator 9: Stages where failure of bidding are encountered</t>
  </si>
  <si>
    <t>Amount of ABC</t>
  </si>
  <si>
    <t>Vol. %</t>
  </si>
  <si>
    <t>Amount %</t>
  </si>
  <si>
    <t>Invitation To Bid</t>
  </si>
  <si>
    <t>Pre-bidding Conference</t>
  </si>
  <si>
    <t>Opening of Bids</t>
  </si>
  <si>
    <t>Post-Qualification</t>
  </si>
  <si>
    <t xml:space="preserve">BAC Resolution </t>
  </si>
  <si>
    <t>Award</t>
  </si>
  <si>
    <t>Cancelled</t>
  </si>
  <si>
    <t>TOTAL</t>
  </si>
  <si>
    <t>REMARKS</t>
  </si>
  <si>
    <t>STATUS</t>
  </si>
  <si>
    <t>STAGE OF PROCUREMENT</t>
  </si>
  <si>
    <t>Awarded with issued Notice of Award</t>
  </si>
  <si>
    <t>Government of the Philippines (current year's budget)</t>
  </si>
  <si>
    <t>Government of the Philippines (continuing budget)</t>
  </si>
  <si>
    <t>Ongoing Procurement Process</t>
  </si>
  <si>
    <t>Government of the Philippines (current year's and continuing budget)</t>
  </si>
  <si>
    <t>Failed under Section 32.2.1 (a)</t>
  </si>
  <si>
    <t>Grant by an International Financing Institution</t>
  </si>
  <si>
    <t>Failed under Section 35.1 (a)</t>
  </si>
  <si>
    <t>Loan from an International Financing Institution</t>
  </si>
  <si>
    <t>Failed under Section 35.1 (b)</t>
  </si>
  <si>
    <t>Failed under Section 35.1 (c)</t>
  </si>
  <si>
    <t>Failed under Section 41 (b)</t>
  </si>
  <si>
    <t>Failed under Section 41 (c)</t>
  </si>
  <si>
    <t>Contract was extended</t>
  </si>
  <si>
    <t>Contract was renewed</t>
  </si>
  <si>
    <t>Others, please encode directly on the cell</t>
  </si>
  <si>
    <t>23-C0756</t>
  </si>
  <si>
    <t>23-5446</t>
  </si>
  <si>
    <t>23-3966</t>
  </si>
  <si>
    <t>23-2001</t>
  </si>
  <si>
    <t>24-0075</t>
  </si>
  <si>
    <t>24-0001</t>
  </si>
  <si>
    <t>24-0094</t>
  </si>
  <si>
    <t>24-0080</t>
  </si>
  <si>
    <t>24-0093</t>
  </si>
  <si>
    <t>23-C0918</t>
  </si>
  <si>
    <t>23-4586</t>
  </si>
  <si>
    <t>24-0814</t>
  </si>
  <si>
    <t>24-0815</t>
  </si>
  <si>
    <t>24-0074</t>
  </si>
  <si>
    <t>24-0022</t>
  </si>
  <si>
    <t>24-0096</t>
  </si>
  <si>
    <t>24-0120</t>
  </si>
  <si>
    <t>23-C0759</t>
  </si>
  <si>
    <t>23-4461</t>
  </si>
  <si>
    <t>24-C1014</t>
  </si>
  <si>
    <t>24-0667</t>
  </si>
  <si>
    <t>24-C0967</t>
  </si>
  <si>
    <t>24-C0966</t>
  </si>
  <si>
    <t>24-0818</t>
  </si>
  <si>
    <t>24-C0950</t>
  </si>
  <si>
    <t>24-0125</t>
  </si>
  <si>
    <t>24-0235</t>
  </si>
  <si>
    <t>24-C0952</t>
  </si>
  <si>
    <t>24-0081</t>
  </si>
  <si>
    <t>24-0381</t>
  </si>
  <si>
    <t>24-0118</t>
  </si>
  <si>
    <t>24-0124</t>
  </si>
  <si>
    <t>24-0123</t>
  </si>
  <si>
    <t>24-0719</t>
  </si>
  <si>
    <t>24-C0932</t>
  </si>
  <si>
    <t>24-C0951</t>
  </si>
  <si>
    <t>24-C0972</t>
  </si>
  <si>
    <t>24-0013</t>
  </si>
  <si>
    <t>24-0686</t>
  </si>
  <si>
    <t>24-0071</t>
  </si>
  <si>
    <t>24-0086</t>
  </si>
  <si>
    <t>24-C0939</t>
  </si>
  <si>
    <t>24-C1000</t>
  </si>
  <si>
    <t>24-C0981</t>
  </si>
  <si>
    <t>24-0515</t>
  </si>
  <si>
    <t>24-C0961</t>
  </si>
  <si>
    <t>24-0089</t>
  </si>
  <si>
    <t>24-0543</t>
  </si>
  <si>
    <t>24-0023</t>
  </si>
  <si>
    <t>24-0039</t>
  </si>
  <si>
    <t>24-0127</t>
  </si>
  <si>
    <t>24-0592</t>
  </si>
  <si>
    <t>24-0590</t>
  </si>
  <si>
    <t>24-0593</t>
  </si>
  <si>
    <t>24-C0977</t>
  </si>
  <si>
    <t>24-0588</t>
  </si>
  <si>
    <t>24-0486</t>
  </si>
  <si>
    <t>23-4391</t>
  </si>
  <si>
    <t>24-C0980</t>
  </si>
  <si>
    <t>24-0616</t>
  </si>
  <si>
    <t>24-0680</t>
  </si>
  <si>
    <t>24-0315</t>
  </si>
  <si>
    <t>24-0288</t>
  </si>
  <si>
    <t>24-C0940</t>
  </si>
  <si>
    <t>24-0090</t>
  </si>
  <si>
    <t>24-1029</t>
  </si>
  <si>
    <t>24-1039</t>
  </si>
  <si>
    <t>24-1086</t>
  </si>
  <si>
    <t>24-0648</t>
  </si>
  <si>
    <t>24-C0985</t>
  </si>
  <si>
    <t>24-C0984</t>
  </si>
  <si>
    <t>24-C0989</t>
  </si>
  <si>
    <t>24-C1006</t>
  </si>
  <si>
    <t>24-C0991</t>
  </si>
  <si>
    <t>24-C0987</t>
  </si>
  <si>
    <t>24-C1047</t>
  </si>
  <si>
    <t>24-C1075</t>
  </si>
  <si>
    <t>24-1149</t>
  </si>
  <si>
    <t>24-0867</t>
  </si>
  <si>
    <t>24-1196</t>
  </si>
  <si>
    <t>24-1275</t>
  </si>
  <si>
    <t>24-1177</t>
  </si>
  <si>
    <t>24-1200</t>
  </si>
  <si>
    <t>24-1203</t>
  </si>
  <si>
    <t>24-1192</t>
  </si>
  <si>
    <t>24-1193</t>
  </si>
  <si>
    <t>24-1195</t>
  </si>
  <si>
    <t>24-1194</t>
  </si>
  <si>
    <t>24-1199</t>
  </si>
  <si>
    <t>24-1191</t>
  </si>
  <si>
    <t>24-1175</t>
  </si>
  <si>
    <t>24-1255</t>
  </si>
  <si>
    <t>24-1293</t>
  </si>
  <si>
    <t>24-1264</t>
  </si>
  <si>
    <t>24-1268</t>
  </si>
  <si>
    <t>24-1259</t>
  </si>
  <si>
    <t>24-1256</t>
  </si>
  <si>
    <t>24-1251</t>
  </si>
  <si>
    <t>24-1252</t>
  </si>
  <si>
    <t>24-1281</t>
  </si>
  <si>
    <t>24-1206</t>
  </si>
  <si>
    <t>23-5517</t>
  </si>
  <si>
    <t>24-0062</t>
  </si>
  <si>
    <t>24-0038</t>
  </si>
  <si>
    <t>24-0088</t>
  </si>
  <si>
    <t>24-0645</t>
  </si>
  <si>
    <t>24-C0942</t>
  </si>
  <si>
    <t>24-0869</t>
  </si>
  <si>
    <t>24-0083</t>
  </si>
  <si>
    <t>24-0204</t>
  </si>
  <si>
    <t>24-0082</t>
  </si>
  <si>
    <t>24-C0955</t>
  </si>
  <si>
    <t>24-C0957</t>
  </si>
  <si>
    <t>24-C0971</t>
  </si>
  <si>
    <t>24-C1019</t>
  </si>
  <si>
    <t>24-C1050</t>
  </si>
  <si>
    <t>24-0372</t>
  </si>
  <si>
    <t>24-1318</t>
  </si>
  <si>
    <t>24-1317</t>
  </si>
  <si>
    <t>24-0203</t>
  </si>
  <si>
    <t>24-0266</t>
  </si>
  <si>
    <t>24-0033</t>
  </si>
  <si>
    <t>24-0126</t>
  </si>
  <si>
    <t>24-C1008</t>
  </si>
  <si>
    <t>24-C1029</t>
  </si>
  <si>
    <t>24-0098</t>
  </si>
  <si>
    <t>24-0497</t>
  </si>
  <si>
    <t>24-0040</t>
  </si>
  <si>
    <t>24-C1007</t>
  </si>
  <si>
    <t>24-C0982</t>
  </si>
  <si>
    <t>24-C0956</t>
  </si>
  <si>
    <t>24-C0944</t>
  </si>
  <si>
    <t>24-C1060</t>
  </si>
  <si>
    <t>24-C1009</t>
  </si>
  <si>
    <t>24-C0935</t>
  </si>
  <si>
    <t>24-C0970</t>
  </si>
  <si>
    <t>24-C0969</t>
  </si>
  <si>
    <t>24-0044</t>
  </si>
  <si>
    <t>24-0666</t>
  </si>
  <si>
    <t>24-C0954</t>
  </si>
  <si>
    <t>24-0248</t>
  </si>
  <si>
    <t>24-0169</t>
  </si>
  <si>
    <t>24-C0941</t>
  </si>
  <si>
    <t>24-0458</t>
  </si>
  <si>
    <t>24-C1057</t>
  </si>
  <si>
    <t>24-C0983</t>
  </si>
  <si>
    <t>24-0165</t>
  </si>
  <si>
    <t>24-C0930</t>
  </si>
  <si>
    <t>24-C1053</t>
  </si>
  <si>
    <t>24-C1077</t>
  </si>
  <si>
    <t>24-C1036</t>
  </si>
  <si>
    <t>24-C1001</t>
  </si>
  <si>
    <t>24-1266</t>
  </si>
  <si>
    <t>24-1260</t>
  </si>
  <si>
    <t>24-1263</t>
  </si>
  <si>
    <t>24-1276</t>
  </si>
  <si>
    <t>24-1271</t>
  </si>
  <si>
    <t>24-1250</t>
  </si>
  <si>
    <t>24-1253</t>
  </si>
  <si>
    <t>24-1254</t>
  </si>
  <si>
    <t>24-1283</t>
  </si>
  <si>
    <t>24-1205</t>
  </si>
  <si>
    <t>24-1172</t>
  </si>
  <si>
    <t>24-1202</t>
  </si>
  <si>
    <t>24-1197</t>
  </si>
  <si>
    <t>24-1204</t>
  </si>
  <si>
    <t>24-1180</t>
  </si>
  <si>
    <t>24-1190</t>
  </si>
  <si>
    <t>24-1198</t>
  </si>
  <si>
    <t>24-1233</t>
  </si>
  <si>
    <t>24-1230</t>
  </si>
  <si>
    <t>24-1330</t>
  </si>
  <si>
    <t>24-1569</t>
  </si>
  <si>
    <t>24-1235</t>
  </si>
  <si>
    <t>24-C1024</t>
  </si>
  <si>
    <t>24-1545</t>
  </si>
  <si>
    <t>24-0115</t>
  </si>
  <si>
    <t>24-0875</t>
  </si>
  <si>
    <t>24-0754</t>
  </si>
  <si>
    <t>24-C1115</t>
  </si>
  <si>
    <t>24-0529</t>
  </si>
  <si>
    <t>24-0032</t>
  </si>
  <si>
    <t>24-1301</t>
  </si>
  <si>
    <t>24-1394</t>
  </si>
  <si>
    <t>24-1228</t>
  </si>
  <si>
    <t>24-0706</t>
  </si>
  <si>
    <t>24-C1098</t>
  </si>
  <si>
    <t>24-1170</t>
  </si>
  <si>
    <t>24-C1137</t>
  </si>
  <si>
    <t>24-C0990</t>
  </si>
  <si>
    <t>24-C0996</t>
  </si>
  <si>
    <t>24-1391</t>
  </si>
  <si>
    <t>24-C1127</t>
  </si>
  <si>
    <t>24-C1116</t>
  </si>
  <si>
    <t>24-1555</t>
  </si>
  <si>
    <t>24-C1078</t>
  </si>
  <si>
    <t>24-C1111</t>
  </si>
  <si>
    <t>24-0148</t>
  </si>
  <si>
    <t>24-1346</t>
  </si>
  <si>
    <t>24-1450</t>
  </si>
  <si>
    <t>24-C1117</t>
  </si>
  <si>
    <t>24-1858</t>
  </si>
  <si>
    <t>24-C1035</t>
  </si>
  <si>
    <t>24-1332</t>
  </si>
  <si>
    <t>24-C1092</t>
  </si>
  <si>
    <t>24-1376</t>
  </si>
  <si>
    <t>24-1331</t>
  </si>
  <si>
    <t>24-C1096</t>
  </si>
  <si>
    <t>24-0877</t>
  </si>
  <si>
    <t>24-0073</t>
  </si>
  <si>
    <t>24-0896</t>
  </si>
  <si>
    <t>24-1051</t>
  </si>
  <si>
    <t>24-C1097</t>
  </si>
  <si>
    <t>24-C1063</t>
  </si>
  <si>
    <t>24-C1012</t>
  </si>
  <si>
    <t>24-C1112</t>
  </si>
  <si>
    <t>24-1703</t>
  </si>
  <si>
    <t>24-1669</t>
  </si>
  <si>
    <t>24-C1103</t>
  </si>
  <si>
    <t>24-C1118</t>
  </si>
  <si>
    <t>24-1708</t>
  </si>
  <si>
    <t>24-1309</t>
  </si>
  <si>
    <t>24-C1051</t>
  </si>
  <si>
    <t>24-C1055</t>
  </si>
  <si>
    <t>24-0114</t>
  </si>
  <si>
    <t>24-C1135</t>
  </si>
  <si>
    <t>24-C1109</t>
  </si>
  <si>
    <t>24-C1166</t>
  </si>
  <si>
    <t>24-C1162</t>
  </si>
  <si>
    <t>24-C1145</t>
  </si>
  <si>
    <t>24-1713</t>
  </si>
  <si>
    <t>24-1786</t>
  </si>
  <si>
    <t>24-1234</t>
  </si>
  <si>
    <t>24-0264</t>
  </si>
  <si>
    <t>24-C1099</t>
  </si>
  <si>
    <t>24-0527</t>
  </si>
  <si>
    <t>24-0031</t>
  </si>
  <si>
    <t>24-C1086</t>
  </si>
  <si>
    <t>24-0269</t>
  </si>
  <si>
    <t>24-1756</t>
  </si>
  <si>
    <t>24-1735</t>
  </si>
  <si>
    <t>24-1212</t>
  </si>
  <si>
    <t>24-1798</t>
  </si>
  <si>
    <t>24-1523</t>
  </si>
  <si>
    <t>24-C1108</t>
  </si>
  <si>
    <t>24-C1188</t>
  </si>
  <si>
    <t>24-1617</t>
  </si>
  <si>
    <t>24-1297</t>
  </si>
  <si>
    <t>24-C1131</t>
  </si>
  <si>
    <t>24-1473</t>
  </si>
  <si>
    <t>24-1652</t>
  </si>
  <si>
    <t>24-C1069</t>
  </si>
  <si>
    <t>24-C1182</t>
  </si>
  <si>
    <t>24-1801</t>
  </si>
  <si>
    <t>24-1684</t>
  </si>
  <si>
    <t>24-1686</t>
  </si>
  <si>
    <t>24-C1100</t>
  </si>
  <si>
    <t>24-C1187</t>
  </si>
  <si>
    <t>24-1678</t>
  </si>
  <si>
    <t>24-1661</t>
  </si>
  <si>
    <t>24-C1156</t>
  </si>
  <si>
    <t>24-C1171</t>
  </si>
  <si>
    <t>24-C0988</t>
  </si>
  <si>
    <t>24-C0943</t>
  </si>
  <si>
    <t>24-C0999</t>
  </si>
  <si>
    <t>24-C1022</t>
  </si>
  <si>
    <t>24-1395</t>
  </si>
  <si>
    <t>24-C1020</t>
  </si>
  <si>
    <t>24-C1120</t>
  </si>
  <si>
    <t>24-C1121</t>
  </si>
  <si>
    <t>24-1339</t>
  </si>
  <si>
    <t>24-C0936</t>
  </si>
  <si>
    <t>24-C1331</t>
  </si>
  <si>
    <t>24-C1179</t>
  </si>
  <si>
    <t>24-C1203</t>
  </si>
  <si>
    <t>24-1414</t>
  </si>
  <si>
    <t>24-1417</t>
  </si>
  <si>
    <t>24-1421</t>
  </si>
  <si>
    <t>24-1279</t>
  </si>
  <si>
    <t>24-C1204</t>
  </si>
  <si>
    <t>24-C1146</t>
  </si>
  <si>
    <t>24-1284</t>
  </si>
  <si>
    <t>24-1570</t>
  </si>
  <si>
    <t>24-C1154</t>
  </si>
  <si>
    <t>24-1685</t>
  </si>
  <si>
    <t>24-1614</t>
  </si>
  <si>
    <t>24-C1150</t>
  </si>
  <si>
    <t>24-1682</t>
  </si>
  <si>
    <t>24-1688</t>
  </si>
  <si>
    <t>24-C1200</t>
  </si>
  <si>
    <t>24-C1070</t>
  </si>
  <si>
    <t>24-1429</t>
  </si>
  <si>
    <t>24-1658</t>
  </si>
  <si>
    <t>24-1425</t>
  </si>
  <si>
    <t>24-1419</t>
  </si>
  <si>
    <t>24-1430</t>
  </si>
  <si>
    <t>24-0029</t>
  </si>
  <si>
    <t>24-1618</t>
  </si>
  <si>
    <t>24-1113</t>
  </si>
  <si>
    <t>24-C1085</t>
  </si>
  <si>
    <t>24-1295</t>
  </si>
  <si>
    <t>24-1619</t>
  </si>
  <si>
    <t>24-1296</t>
  </si>
  <si>
    <t>24-0366</t>
  </si>
  <si>
    <t>24-0954</t>
  </si>
  <si>
    <t>24-1799</t>
  </si>
  <si>
    <t>24-1651</t>
  </si>
  <si>
    <t>24-1680</t>
  </si>
  <si>
    <t>24-1409</t>
  </si>
  <si>
    <t>24-1691</t>
  </si>
  <si>
    <t>24-1693</t>
  </si>
  <si>
    <t>24-1547</t>
  </si>
  <si>
    <t>24-C1130</t>
  </si>
  <si>
    <t>24-1090</t>
  </si>
  <si>
    <t>24-1431</t>
  </si>
  <si>
    <t>24-1420</t>
  </si>
  <si>
    <t>24-C1101</t>
  </si>
  <si>
    <t>24-C1122</t>
  </si>
  <si>
    <t>24-1636</t>
  </si>
  <si>
    <t>24-C1147</t>
  </si>
  <si>
    <t>24-C1202</t>
  </si>
  <si>
    <t>24-2322</t>
  </si>
  <si>
    <t>24-1881</t>
  </si>
  <si>
    <t>24-C1174</t>
  </si>
  <si>
    <t>24-C1301</t>
  </si>
  <si>
    <t>24-C1311</t>
  </si>
  <si>
    <t>24-C1309</t>
  </si>
  <si>
    <t>24-2111</t>
  </si>
  <si>
    <t>24-2024</t>
  </si>
  <si>
    <t>24-C1211</t>
  </si>
  <si>
    <t>24-1347</t>
  </si>
  <si>
    <t>24-C1195</t>
  </si>
  <si>
    <t>24-C1163</t>
  </si>
  <si>
    <t>24-1780</t>
  </si>
  <si>
    <t>24-C1282</t>
  </si>
  <si>
    <t>24-1563</t>
  </si>
  <si>
    <t>24-1030</t>
  </si>
  <si>
    <t>24-1541</t>
  </si>
  <si>
    <t>24-0442</t>
  </si>
  <si>
    <t>24-C1178</t>
  </si>
  <si>
    <t>24-0467</t>
  </si>
  <si>
    <t>24-1483</t>
  </si>
  <si>
    <t>24-2195</t>
  </si>
  <si>
    <t>24-1594</t>
  </si>
  <si>
    <t>24-0464</t>
  </si>
  <si>
    <t>24-1677</t>
  </si>
  <si>
    <t>24-1123</t>
  </si>
  <si>
    <t>24-1988</t>
  </si>
  <si>
    <t>24-2147</t>
  </si>
  <si>
    <t>24-1352</t>
  </si>
  <si>
    <t>24-C1207</t>
  </si>
  <si>
    <t>24-C1262</t>
  </si>
  <si>
    <t>24-C1185</t>
  </si>
  <si>
    <t>24-2010</t>
  </si>
  <si>
    <t>24-1575</t>
  </si>
  <si>
    <t>24-1353</t>
  </si>
  <si>
    <t>24-1593</t>
  </si>
  <si>
    <t>24-1871</t>
  </si>
  <si>
    <t>24-2120</t>
  </si>
  <si>
    <t>24-1472</t>
  </si>
  <si>
    <t>24-1278</t>
  </si>
  <si>
    <t>24-1700</t>
  </si>
  <si>
    <t>24-1280</t>
  </si>
  <si>
    <t>24-2093</t>
  </si>
  <si>
    <t>24-0890</t>
  </si>
  <si>
    <t>24-1265</t>
  </si>
  <si>
    <t>24-0516</t>
  </si>
  <si>
    <t>24-1564</t>
  </si>
  <si>
    <t>24-2048</t>
  </si>
  <si>
    <t>24-1565</t>
  </si>
  <si>
    <t>24-1535</t>
  </si>
  <si>
    <t>24-0249</t>
  </si>
  <si>
    <t>24-1436</t>
  </si>
  <si>
    <t>24-1427</t>
  </si>
  <si>
    <t>24-C1339</t>
  </si>
  <si>
    <t>24-C1045</t>
  </si>
  <si>
    <t>24-C0997</t>
  </si>
  <si>
    <t>24-C1002</t>
  </si>
  <si>
    <t>24-C0928</t>
  </si>
  <si>
    <t>24-C1042</t>
  </si>
  <si>
    <t>24-0905</t>
  </si>
  <si>
    <t>24-C1011</t>
  </si>
  <si>
    <t>24-C1095</t>
  </si>
  <si>
    <t>24-C1136</t>
  </si>
  <si>
    <t>24-C1088</t>
  </si>
  <si>
    <t>24-C1076</t>
  </si>
  <si>
    <t>24-0919</t>
  </si>
  <si>
    <t>24-C1143</t>
  </si>
  <si>
    <t>24-1917</t>
  </si>
  <si>
    <t>24-C1271</t>
  </si>
  <si>
    <t>24-C1208</t>
  </si>
  <si>
    <t>24-C1260</t>
  </si>
  <si>
    <t>24-C1209</t>
  </si>
  <si>
    <t>24-1744</t>
  </si>
  <si>
    <t>24-C1297</t>
  </si>
  <si>
    <t>24-C1205</t>
  </si>
  <si>
    <t>24-1926</t>
  </si>
  <si>
    <t>24-1650</t>
  </si>
  <si>
    <t>24-2085</t>
  </si>
  <si>
    <t>24-1915</t>
  </si>
  <si>
    <t>24-C1181</t>
  </si>
  <si>
    <t>24-C1292</t>
  </si>
  <si>
    <t>24-C1199</t>
  </si>
  <si>
    <t>24-1659</t>
  </si>
  <si>
    <t>24-1695</t>
  </si>
  <si>
    <t>24-2134</t>
  </si>
  <si>
    <t>24-C0937</t>
  </si>
  <si>
    <t>24-C1149</t>
  </si>
  <si>
    <t>24-1704</t>
  </si>
  <si>
    <t>24-1980</t>
  </si>
  <si>
    <t>24-1574</t>
  </si>
  <si>
    <t>24-C1153</t>
  </si>
  <si>
    <t>24-C1298</t>
  </si>
  <si>
    <t>24-C1320</t>
  </si>
  <si>
    <t>24-C0968</t>
  </si>
  <si>
    <t>24-2345</t>
  </si>
  <si>
    <t>24-C1304</t>
  </si>
  <si>
    <t>24-2340</t>
  </si>
  <si>
    <t>24-C1214</t>
  </si>
  <si>
    <t>24-2289</t>
  </si>
  <si>
    <t>24-2279</t>
  </si>
  <si>
    <t>24-2286</t>
  </si>
  <si>
    <t>24-1906</t>
  </si>
  <si>
    <t>24-2281</t>
  </si>
  <si>
    <t>24-2288</t>
  </si>
  <si>
    <t>24-0542</t>
  </si>
  <si>
    <t>24-1325</t>
  </si>
  <si>
    <t>24-0853</t>
  </si>
  <si>
    <t>24-2119</t>
  </si>
  <si>
    <t>24-C1119</t>
  </si>
  <si>
    <t>24-C1332</t>
  </si>
  <si>
    <t>24-C1283</t>
  </si>
  <si>
    <t>24-C1286</t>
  </si>
  <si>
    <t>24-C1192</t>
  </si>
  <si>
    <t>24-1932</t>
  </si>
  <si>
    <t>24-1622</t>
  </si>
  <si>
    <t>24-1753</t>
  </si>
  <si>
    <t>24-C1306</t>
  </si>
  <si>
    <t>24-2191</t>
  </si>
  <si>
    <t>24-2194</t>
  </si>
  <si>
    <t>24-2193</t>
  </si>
  <si>
    <t>24-C1105</t>
  </si>
  <si>
    <t>24-C1087</t>
  </si>
  <si>
    <t>24-1262</t>
  </si>
  <si>
    <t>24-1632</t>
  </si>
  <si>
    <t>24-1740</t>
  </si>
  <si>
    <t>24-C1213</t>
  </si>
  <si>
    <t>24-1757</t>
  </si>
  <si>
    <t>24-C1176</t>
  </si>
  <si>
    <t>24-1720</t>
  </si>
  <si>
    <t>24-1898</t>
  </si>
  <si>
    <t>24-C1263</t>
  </si>
  <si>
    <t>24-C1151</t>
  </si>
  <si>
    <t>24-0761</t>
  </si>
  <si>
    <t>24-1921</t>
  </si>
  <si>
    <t>24-C1291</t>
  </si>
  <si>
    <t>24-1867</t>
  </si>
  <si>
    <t>24-C1321</t>
  </si>
  <si>
    <t>24-1715</t>
  </si>
  <si>
    <t>24-1107</t>
  </si>
  <si>
    <t>24-2388</t>
  </si>
  <si>
    <t>24-2220</t>
  </si>
  <si>
    <t>24-2228</t>
  </si>
  <si>
    <t>24-C1275</t>
  </si>
  <si>
    <t>24-1448</t>
  </si>
  <si>
    <t>24-C1330</t>
  </si>
  <si>
    <t>24-2183</t>
  </si>
  <si>
    <t>24-2264</t>
  </si>
  <si>
    <t>24-2282</t>
  </si>
  <si>
    <t>24-2263</t>
  </si>
  <si>
    <t>24-2358</t>
  </si>
  <si>
    <t>24-2328</t>
  </si>
  <si>
    <t>24-2124</t>
  </si>
  <si>
    <t>24-2150</t>
  </si>
  <si>
    <t>24-C1322</t>
  </si>
  <si>
    <t>24-2307</t>
  </si>
  <si>
    <t>24-2180</t>
  </si>
  <si>
    <t>24-2367</t>
  </si>
  <si>
    <t>24-C1072</t>
  </si>
  <si>
    <t>24-1987</t>
  </si>
  <si>
    <t>24-C1302</t>
  </si>
  <si>
    <t>24-2339</t>
  </si>
  <si>
    <t>24-C1300</t>
  </si>
  <si>
    <t>24-C1169</t>
  </si>
  <si>
    <t>24-2271</t>
  </si>
  <si>
    <t>24-C1317</t>
  </si>
  <si>
    <t>24-C1312</t>
  </si>
  <si>
    <t>24-1465</t>
  </si>
  <si>
    <t>24-1322</t>
  </si>
  <si>
    <t>24-0855</t>
  </si>
  <si>
    <t>24-C1064</t>
  </si>
  <si>
    <t>24-C1048</t>
  </si>
  <si>
    <t>24-C0933</t>
  </si>
  <si>
    <t>24-1732</t>
  </si>
  <si>
    <t>24-C1285</t>
  </si>
  <si>
    <t>24-C1296</t>
  </si>
  <si>
    <t>24-2144</t>
  </si>
  <si>
    <t>24-2463</t>
  </si>
  <si>
    <t>24-2466</t>
  </si>
  <si>
    <t>24-2462</t>
  </si>
  <si>
    <t>24-2473</t>
  </si>
  <si>
    <t>24-2467</t>
  </si>
  <si>
    <t>24-2556</t>
  </si>
  <si>
    <t>24-C1168</t>
  </si>
  <si>
    <t>24-C1353</t>
  </si>
  <si>
    <t>24-2525</t>
  </si>
  <si>
    <t>24-2528</t>
  </si>
  <si>
    <t>24-C1326</t>
  </si>
  <si>
    <t>24-2562</t>
  </si>
  <si>
    <t>24-2538</t>
  </si>
  <si>
    <t>24-2363</t>
  </si>
  <si>
    <t>24-2327</t>
  </si>
  <si>
    <t>24-2323</t>
  </si>
  <si>
    <t>24-2324</t>
  </si>
  <si>
    <t>24-2221</t>
  </si>
  <si>
    <t>24-0424</t>
  </si>
  <si>
    <t>24-2564</t>
  </si>
  <si>
    <t>24-2529</t>
  </si>
  <si>
    <t>24-C1258</t>
  </si>
  <si>
    <t>24-2933</t>
  </si>
  <si>
    <t>24-C1374</t>
  </si>
  <si>
    <t>24-C1376</t>
  </si>
  <si>
    <t>24-2547</t>
  </si>
  <si>
    <t>24-C1294</t>
  </si>
  <si>
    <t>No</t>
  </si>
  <si>
    <t>N/A</t>
  </si>
  <si>
    <t>24-C0931</t>
  </si>
  <si>
    <t>24-0133</t>
  </si>
  <si>
    <t>PROVINCE OF DAVAO DE ORO</t>
  </si>
  <si>
    <t xml:space="preserve"> Procurement Monitoring Report as of June/28/2024</t>
  </si>
  <si>
    <t>23-3195</t>
  </si>
  <si>
    <t>23-5452</t>
  </si>
  <si>
    <t>SPAREPARTS</t>
  </si>
  <si>
    <t>PGSO</t>
  </si>
  <si>
    <t>23-C0803
LOT 1</t>
  </si>
  <si>
    <t>23-C0803
LOT 2</t>
  </si>
  <si>
    <t>24-C1106</t>
  </si>
  <si>
    <t>24-C1138</t>
  </si>
  <si>
    <t>24-C1141</t>
  </si>
  <si>
    <t>24-C1152</t>
  </si>
  <si>
    <t>24-C1165</t>
  </si>
  <si>
    <t>24-C1170</t>
  </si>
  <si>
    <t>24-C1184</t>
  </si>
  <si>
    <t>24-C1190</t>
  </si>
  <si>
    <t>24-C1191</t>
  </si>
  <si>
    <t>24-C1193</t>
  </si>
  <si>
    <t>24-C1198</t>
  </si>
  <si>
    <t>24-C1210</t>
  </si>
  <si>
    <t>24-C1215</t>
  </si>
  <si>
    <t>24-C1255</t>
  </si>
  <si>
    <t>24-C1257</t>
  </si>
  <si>
    <t>24-C1259</t>
  </si>
  <si>
    <t>24-C1264</t>
  </si>
  <si>
    <t>24-C1293</t>
  </si>
  <si>
    <t>24-C1295</t>
  </si>
  <si>
    <t>24-C1299</t>
  </si>
  <si>
    <t>24-C1308</t>
  </si>
  <si>
    <t>24-C1315</t>
  </si>
  <si>
    <t>24-C1324</t>
  </si>
  <si>
    <t>24-C1327</t>
  </si>
  <si>
    <t>24-C1333</t>
  </si>
  <si>
    <t>24-C1336</t>
  </si>
  <si>
    <t>24-C1337</t>
  </si>
  <si>
    <t>Partial Delivery</t>
  </si>
  <si>
    <t>24-1540</t>
  </si>
  <si>
    <t>24-0131</t>
  </si>
  <si>
    <r>
      <t>Total</t>
    </r>
    <r>
      <rPr>
        <b/>
        <sz val="16"/>
        <color theme="0"/>
        <rFont val="Verdana"/>
        <family val="2"/>
      </rPr>
      <t>2</t>
    </r>
  </si>
  <si>
    <r>
      <t>MOOE</t>
    </r>
    <r>
      <rPr>
        <b/>
        <sz val="16"/>
        <color theme="0"/>
        <rFont val="Verdana"/>
        <family val="2"/>
      </rPr>
      <t>2</t>
    </r>
  </si>
  <si>
    <t>24-0956</t>
  </si>
  <si>
    <t>24-C1054</t>
  </si>
  <si>
    <t>24-0539</t>
  </si>
  <si>
    <t>23-4647</t>
  </si>
  <si>
    <t>24-0085</t>
  </si>
  <si>
    <t>24-0461</t>
  </si>
  <si>
    <t>24-0560</t>
  </si>
  <si>
    <t>24-0813</t>
  </si>
  <si>
    <t>24-C0946</t>
  </si>
  <si>
    <t>24-0901</t>
  </si>
  <si>
    <t>24-C0995</t>
  </si>
  <si>
    <t>24-0434</t>
  </si>
  <si>
    <t>24-0878</t>
  </si>
  <si>
    <t>24-C1005</t>
  </si>
  <si>
    <t>24-0599</t>
  </si>
  <si>
    <t>24-1294</t>
  </si>
  <si>
    <t>24-1201</t>
  </si>
  <si>
    <t>24-C1083</t>
  </si>
  <si>
    <t>24-1390</t>
  </si>
  <si>
    <t>24-0480</t>
  </si>
  <si>
    <t>24-1246</t>
  </si>
  <si>
    <t>24-1238</t>
  </si>
  <si>
    <t>24-1245</t>
  </si>
  <si>
    <t>24-1247</t>
  </si>
  <si>
    <t>24-0077</t>
  </si>
  <si>
    <t>24-0530</t>
  </si>
  <si>
    <t>24-1303</t>
  </si>
  <si>
    <t>24-1342</t>
  </si>
  <si>
    <t>24-0907</t>
  </si>
  <si>
    <t>24-1451</t>
  </si>
  <si>
    <t>24-C0947</t>
  </si>
  <si>
    <t>24-0924</t>
  </si>
  <si>
    <t>24-1406</t>
  </si>
  <si>
    <t>24-1381</t>
  </si>
  <si>
    <t>24-0676</t>
  </si>
  <si>
    <t>24-1053</t>
  </si>
  <si>
    <t>24-0250</t>
  </si>
  <si>
    <t>24-0781</t>
  </si>
  <si>
    <t>24-0887</t>
  </si>
  <si>
    <t>24-1466</t>
  </si>
  <si>
    <t>24-1454</t>
  </si>
  <si>
    <t>24-1698</t>
  </si>
  <si>
    <t>24-0987</t>
  </si>
  <si>
    <t>24-0997</t>
  </si>
  <si>
    <t>24-C0965</t>
  </si>
  <si>
    <t>23-C0787</t>
  </si>
  <si>
    <t>24-C1074</t>
  </si>
  <si>
    <t>23-5532</t>
  </si>
  <si>
    <t>24-0862</t>
  </si>
  <si>
    <t>24-1538</t>
  </si>
  <si>
    <t>24-1643</t>
  </si>
  <si>
    <t>24-0964</t>
  </si>
  <si>
    <t>24-1476</t>
  </si>
  <si>
    <t>24-1273</t>
  </si>
  <si>
    <t>24-C1073</t>
  </si>
  <si>
    <t>24-1726</t>
  </si>
  <si>
    <t>24-1040</t>
  </si>
  <si>
    <t>24-1122</t>
  </si>
  <si>
    <t>24-1349</t>
  </si>
  <si>
    <t>24-1446</t>
  </si>
  <si>
    <t>24-0771</t>
  </si>
  <si>
    <t>24-1746</t>
  </si>
  <si>
    <t>24-1350</t>
  </si>
  <si>
    <t>24-1948</t>
  </si>
  <si>
    <t>24-0865</t>
  </si>
  <si>
    <t>24-1692</t>
  </si>
  <si>
    <t>24-1581</t>
  </si>
  <si>
    <t>24-2080</t>
  </si>
  <si>
    <t>24-1553</t>
  </si>
  <si>
    <t>24-2705</t>
  </si>
  <si>
    <t>24-C1010</t>
  </si>
  <si>
    <t>24-0651</t>
  </si>
  <si>
    <t>24-C1094</t>
  </si>
  <si>
    <t>24-1348</t>
  </si>
  <si>
    <t>24-C1084</t>
  </si>
  <si>
    <t>24-C1071</t>
  </si>
  <si>
    <t>24-1773</t>
  </si>
  <si>
    <t>24-1334</t>
  </si>
  <si>
    <t>24-1943</t>
  </si>
  <si>
    <t>24-0036</t>
  </si>
  <si>
    <t>24-2076</t>
  </si>
  <si>
    <t>24-1697</t>
  </si>
  <si>
    <t>24-1790</t>
  </si>
  <si>
    <t>24-1567</t>
  </si>
  <si>
    <t>24-1872</t>
  </si>
  <si>
    <t>24-2072</t>
  </si>
  <si>
    <t>24-2353</t>
  </si>
  <si>
    <t>24-0848</t>
  </si>
  <si>
    <t>24-C1066</t>
  </si>
  <si>
    <t>24-0514</t>
  </si>
  <si>
    <t>24-1327</t>
  </si>
  <si>
    <t>24-1960</t>
  </si>
  <si>
    <t>24-2020</t>
  </si>
  <si>
    <t>24-2037</t>
  </si>
  <si>
    <t>24-1847</t>
  </si>
  <si>
    <t>24-1959</t>
  </si>
  <si>
    <t>24-1916</t>
  </si>
  <si>
    <t>24-2351</t>
  </si>
  <si>
    <t>24-2317</t>
  </si>
  <si>
    <t>24-0772</t>
  </si>
  <si>
    <t>24-2274</t>
  </si>
  <si>
    <t>24-C1104</t>
  </si>
  <si>
    <t>24-2273</t>
  </si>
  <si>
    <t>24-2265</t>
  </si>
  <si>
    <t>24-1163</t>
  </si>
  <si>
    <t>24-0585</t>
  </si>
  <si>
    <t>24-0012</t>
  </si>
  <si>
    <t>24-2465</t>
  </si>
  <si>
    <t>24-1433</t>
  </si>
  <si>
    <t>24-C1049</t>
  </si>
  <si>
    <t>24-1324</t>
  </si>
  <si>
    <t>24-2441</t>
  </si>
  <si>
    <t>24-2507</t>
  </si>
  <si>
    <t>24-2505</t>
  </si>
  <si>
    <t>24-2522</t>
  </si>
  <si>
    <t>24-2508</t>
  </si>
  <si>
    <t>24-2570</t>
  </si>
  <si>
    <t>24-2572</t>
  </si>
  <si>
    <t>24-2510</t>
  </si>
  <si>
    <t>24-2545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</si>
  <si>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</si>
  <si>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</si>
  <si>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</si>
  <si>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</si>
  <si>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</si>
  <si>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</si>
  <si>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</si>
  <si>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</si>
  <si>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</si>
  <si>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</si>
  <si>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</si>
  <si>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</si>
  <si>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</si>
  <si>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</si>
  <si>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</si>
  <si>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</si>
  <si>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</si>
  <si>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</si>
  <si>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</si>
  <si>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</si>
  <si>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</si>
  <si>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</si>
  <si>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</si>
  <si>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</si>
  <si>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</si>
  <si>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</si>
  <si>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</si>
  <si>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</si>
  <si>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</si>
  <si>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</si>
  <si>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</si>
  <si>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</si>
  <si>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</si>
  <si>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</si>
  <si>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</si>
  <si>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</si>
  <si>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</si>
  <si>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</si>
  <si>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</si>
  <si>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24-0863</t>
  </si>
  <si>
    <t>24-2025</t>
  </si>
  <si>
    <t>24-1699</t>
  </si>
  <si>
    <t>24-0428</t>
  </si>
  <si>
    <t>For Delivery</t>
  </si>
  <si>
    <t>23-5484</t>
  </si>
  <si>
    <t>24-0466</t>
  </si>
  <si>
    <t>24-1237</t>
  </si>
  <si>
    <t>24-2321</t>
  </si>
  <si>
    <t>24-2192</t>
  </si>
  <si>
    <t>24-1759</t>
  </si>
  <si>
    <t>24-1750</t>
  </si>
  <si>
    <t>24-C1132</t>
  </si>
  <si>
    <t>24-2366</t>
  </si>
  <si>
    <t>24-1240</t>
  </si>
  <si>
    <t>24-1742</t>
  </si>
  <si>
    <t>24-2174</t>
  </si>
  <si>
    <t>24-2589</t>
  </si>
  <si>
    <t>24-2325</t>
  </si>
  <si>
    <t>24-2039</t>
  </si>
  <si>
    <t>24-C1267</t>
  </si>
  <si>
    <t>24-1082</t>
  </si>
  <si>
    <t>24-C1329</t>
  </si>
  <si>
    <t>24-1079</t>
  </si>
  <si>
    <t>24-2475</t>
  </si>
  <si>
    <t>24-C1345</t>
  </si>
  <si>
    <t>24-2502</t>
  </si>
  <si>
    <t>24-2509</t>
  </si>
  <si>
    <t>24-2492</t>
  </si>
  <si>
    <t>24-2390</t>
  </si>
  <si>
    <t>24-2521</t>
  </si>
  <si>
    <t>24-2485</t>
  </si>
  <si>
    <t>24-2610</t>
  </si>
  <si>
    <t>24-2609</t>
  </si>
  <si>
    <t>24-2392</t>
  </si>
  <si>
    <t>24-2623</t>
  </si>
  <si>
    <t>24-2622</t>
  </si>
  <si>
    <t>24-2624</t>
  </si>
  <si>
    <t>24-2626</t>
  </si>
  <si>
    <t>24-2845</t>
  </si>
  <si>
    <t>24-1741</t>
  </si>
  <si>
    <t>24-2162</t>
  </si>
  <si>
    <t>24-2114</t>
  </si>
  <si>
    <t>24-2397</t>
  </si>
  <si>
    <t>24-C1287</t>
  </si>
  <si>
    <t>24-C1082</t>
  </si>
  <si>
    <t>24-1724</t>
  </si>
  <si>
    <t>24-2326</t>
  </si>
  <si>
    <t>24-2283</t>
  </si>
  <si>
    <t>24-2310</t>
  </si>
  <si>
    <t>24-1709</t>
  </si>
  <si>
    <t>24-2364</t>
  </si>
  <si>
    <t>24-2385</t>
  </si>
  <si>
    <t>24-2362</t>
  </si>
  <si>
    <t>24-2371</t>
  </si>
  <si>
    <t>24-2272</t>
  </si>
  <si>
    <t>24-1670</t>
  </si>
  <si>
    <t>24-2519</t>
  </si>
  <si>
    <t>24-2498</t>
  </si>
  <si>
    <t>24-2415</t>
  </si>
  <si>
    <t>24-2548</t>
  </si>
  <si>
    <t>24-2421</t>
  </si>
  <si>
    <t>24-2427</t>
  </si>
  <si>
    <t>24-1529</t>
  </si>
  <si>
    <t>24-2070</t>
  </si>
  <si>
    <t>24-2409</t>
  </si>
  <si>
    <t>24-C1303</t>
  </si>
  <si>
    <t>24-2555</t>
  </si>
  <si>
    <t>24-2584</t>
  </si>
  <si>
    <t>24-1969</t>
  </si>
  <si>
    <t>24-2370</t>
  </si>
  <si>
    <t>24-C1305</t>
  </si>
  <si>
    <t>24-1586</t>
  </si>
  <si>
    <t>24-C1266</t>
  </si>
  <si>
    <t>24-1902</t>
  </si>
  <si>
    <t>24-1919</t>
  </si>
  <si>
    <t>24-2481</t>
  </si>
  <si>
    <t>24-2494</t>
  </si>
  <si>
    <t>24-C1144</t>
  </si>
  <si>
    <t>24-1428</t>
  </si>
  <si>
    <t>24-2535</t>
  </si>
  <si>
    <t>24-1329</t>
  </si>
  <si>
    <t>24-2540</t>
  </si>
  <si>
    <t>24-2532</t>
  </si>
  <si>
    <t>24-2428</t>
  </si>
  <si>
    <t>24-2551</t>
  </si>
  <si>
    <t>24-2539</t>
  </si>
  <si>
    <t>24-2414</t>
  </si>
  <si>
    <t>24-2425</t>
  </si>
  <si>
    <t>24-2423</t>
  </si>
  <si>
    <t>24-2543</t>
  </si>
  <si>
    <t>24-2426</t>
  </si>
  <si>
    <t>24-C1013</t>
  </si>
  <si>
    <t>24-2583</t>
  </si>
  <si>
    <t>24-1242</t>
  </si>
  <si>
    <t>24-2439</t>
  </si>
  <si>
    <t>24-C1265</t>
  </si>
  <si>
    <t>24-1892</t>
  </si>
  <si>
    <t>24-C1307</t>
  </si>
  <si>
    <t>24-C1310</t>
  </si>
  <si>
    <t>24-1884</t>
  </si>
  <si>
    <t>24-2523</t>
  </si>
  <si>
    <t>24-2520</t>
  </si>
  <si>
    <t>24-C1155</t>
  </si>
  <si>
    <t>24-2341</t>
  </si>
  <si>
    <t>24-2365</t>
  </si>
  <si>
    <t>24-C1160</t>
  </si>
  <si>
    <t>24-C1256</t>
  </si>
  <si>
    <t>24-2379</t>
  </si>
  <si>
    <t>24-2275</t>
  </si>
  <si>
    <t>24-C1325</t>
  </si>
  <si>
    <t>24-0870</t>
  </si>
  <si>
    <t>24-1462</t>
  </si>
  <si>
    <t>24-2416</t>
  </si>
  <si>
    <t>24-2607</t>
  </si>
  <si>
    <t>24-3051</t>
  </si>
  <si>
    <t>24-2344</t>
  </si>
  <si>
    <t>24-0876</t>
  </si>
  <si>
    <t>24-0231</t>
  </si>
  <si>
    <t>24-1243</t>
  </si>
  <si>
    <t>24-1568</t>
  </si>
  <si>
    <t>24-1566</t>
  </si>
  <si>
    <t>24-1158</t>
  </si>
  <si>
    <t>24-1979</t>
  </si>
  <si>
    <t>24-C1269</t>
  </si>
  <si>
    <t>24-2946</t>
  </si>
  <si>
    <t>24-1453</t>
  </si>
  <si>
    <t>24-1793</t>
  </si>
  <si>
    <t>24-2530</t>
  </si>
  <si>
    <t>For PO Approval</t>
  </si>
  <si>
    <t>24-2417</t>
  </si>
  <si>
    <t>24-2984</t>
  </si>
  <si>
    <t>24-2868</t>
  </si>
  <si>
    <t>24-2869</t>
  </si>
  <si>
    <t>24-2998</t>
  </si>
  <si>
    <t>24-2730</t>
  </si>
  <si>
    <t>24-2514</t>
  </si>
  <si>
    <t>24-2992</t>
  </si>
  <si>
    <t>24-2419</t>
  </si>
  <si>
    <t>24-2542</t>
  </si>
  <si>
    <t>24-3000</t>
  </si>
  <si>
    <t>24-1883</t>
  </si>
  <si>
    <t>24-2605</t>
  </si>
  <si>
    <t>24-C1372</t>
  </si>
  <si>
    <t>24-2713</t>
  </si>
  <si>
    <t>24-2928</t>
  </si>
  <si>
    <t>24-2319</t>
  </si>
  <si>
    <t>24-1910</t>
  </si>
  <si>
    <t>24-2320</t>
  </si>
  <si>
    <t>24-2064</t>
  </si>
  <si>
    <t>24-2377</t>
  </si>
  <si>
    <t>24-2862</t>
  </si>
  <si>
    <t>24-C1340</t>
  </si>
  <si>
    <t>24-2867</t>
  </si>
  <si>
    <t>24-2672</t>
  </si>
  <si>
    <t>24-2934</t>
  </si>
  <si>
    <t>24-1241</t>
  </si>
  <si>
    <t>23-4953</t>
  </si>
  <si>
    <t>24-2803</t>
  </si>
  <si>
    <t>24-2881</t>
  </si>
  <si>
    <t>24-3381</t>
  </si>
  <si>
    <t>24-2692</t>
  </si>
  <si>
    <t>24-2853</t>
  </si>
  <si>
    <t>24-2681</t>
  </si>
  <si>
    <t>24-2721</t>
  </si>
  <si>
    <t>24-2574</t>
  </si>
  <si>
    <t>24-2674</t>
  </si>
  <si>
    <t>24-2851</t>
  </si>
  <si>
    <t>24-2680</t>
  </si>
  <si>
    <t>24-2361</t>
  </si>
  <si>
    <t>24-2546</t>
  </si>
  <si>
    <t>24-2553</t>
  </si>
  <si>
    <t>24-2486</t>
  </si>
  <si>
    <t>24-2474</t>
  </si>
  <si>
    <t>24-0864</t>
  </si>
  <si>
    <t>24-2219</t>
  </si>
  <si>
    <t>24-2606</t>
  </si>
  <si>
    <t>24-C1313</t>
  </si>
  <si>
    <t>24-2141</t>
  </si>
  <si>
    <t>24-2854</t>
  </si>
  <si>
    <t>24-2855</t>
  </si>
  <si>
    <t>24-3050</t>
  </si>
  <si>
    <t>24-3092</t>
  </si>
  <si>
    <t>24-3049</t>
  </si>
  <si>
    <t xml:space="preserve">24-2308
</t>
  </si>
  <si>
    <t>24-1422</t>
  </si>
  <si>
    <t>24-C1201</t>
  </si>
  <si>
    <t>24-C1274</t>
  </si>
  <si>
    <t>24-1674</t>
  </si>
  <si>
    <t>24-C1290</t>
  </si>
  <si>
    <t>24-2850</t>
  </si>
  <si>
    <t>24-2988</t>
  </si>
  <si>
    <t>24-3020</t>
  </si>
  <si>
    <t>24-2715</t>
  </si>
  <si>
    <t>24-C1363</t>
  </si>
  <si>
    <t>24-2360</t>
  </si>
  <si>
    <t>24-2725</t>
  </si>
  <si>
    <t>24-2678</t>
  </si>
  <si>
    <t>24-2852</t>
  </si>
  <si>
    <t>24-2728</t>
  </si>
  <si>
    <t>24-2732</t>
  </si>
  <si>
    <t>24-2677</t>
  </si>
  <si>
    <t>24-2673</t>
  </si>
  <si>
    <t>24-1267</t>
  </si>
  <si>
    <t>24-1426</t>
  </si>
  <si>
    <t>24-1809</t>
  </si>
  <si>
    <t>24-2190</t>
  </si>
  <si>
    <t>24-1258</t>
  </si>
  <si>
    <t>24-2393</t>
  </si>
  <si>
    <t>24-C1342</t>
  </si>
  <si>
    <t>24-2799</t>
  </si>
  <si>
    <t>24-2036</t>
  </si>
  <si>
    <t>24-1363</t>
  </si>
  <si>
    <t>24-C1347</t>
  </si>
  <si>
    <t>24-2408</t>
  </si>
  <si>
    <t>24-2581</t>
  </si>
  <si>
    <t>24-2767</t>
  </si>
  <si>
    <t>24-2515</t>
  </si>
  <si>
    <t>24-3082</t>
  </si>
  <si>
    <t>24-3215</t>
  </si>
  <si>
    <t>24-2919</t>
  </si>
  <si>
    <t>24-2991</t>
  </si>
  <si>
    <t>24-3073</t>
  </si>
  <si>
    <t>24-C1408</t>
  </si>
  <si>
    <t>24-C1362</t>
  </si>
  <si>
    <t>24-2806</t>
  </si>
  <si>
    <t>24-1165</t>
  </si>
  <si>
    <t>24-3595</t>
  </si>
  <si>
    <t>24-3108</t>
  </si>
  <si>
    <t>24-2878</t>
  </si>
  <si>
    <t>24-C1361</t>
  </si>
  <si>
    <t>24-3057</t>
  </si>
  <si>
    <t>24-3562</t>
  </si>
  <si>
    <t>24-2884</t>
  </si>
  <si>
    <t>24-2793</t>
  </si>
  <si>
    <t>24-2842</t>
  </si>
  <si>
    <t>24-2843</t>
  </si>
  <si>
    <t>24-2813</t>
  </si>
  <si>
    <t>24-2917</t>
  </si>
  <si>
    <t>24-2726</t>
  </si>
  <si>
    <t>24-2513</t>
  </si>
  <si>
    <t>24-2632</t>
  </si>
  <si>
    <t>24-2587</t>
  </si>
  <si>
    <t>24-C1373</t>
  </si>
  <si>
    <t>24-2496</t>
  </si>
  <si>
    <t>24-3676</t>
  </si>
  <si>
    <t>24-2938</t>
  </si>
  <si>
    <t>24-C1161</t>
  </si>
  <si>
    <t>24-2565</t>
  </si>
  <si>
    <t>24-C1272</t>
  </si>
  <si>
    <t>24-2407</t>
  </si>
  <si>
    <t>24-2549</t>
  </si>
  <si>
    <t>24-2512</t>
  </si>
  <si>
    <t>24-2847</t>
  </si>
  <si>
    <t>24-2989</t>
  </si>
  <si>
    <t>24-2493</t>
  </si>
  <si>
    <t>24-3017</t>
  </si>
  <si>
    <t>For NTP</t>
  </si>
  <si>
    <t>24-C1335</t>
  </si>
  <si>
    <t>24-2559</t>
  </si>
  <si>
    <t>24-C1268</t>
  </si>
  <si>
    <t>24-2586</t>
  </si>
  <si>
    <t>24-2560</t>
  </si>
  <si>
    <t>24-2396</t>
  </si>
  <si>
    <t>24-2518</t>
  </si>
  <si>
    <t>24-0101
(REBID)</t>
  </si>
  <si>
    <t>23-4950</t>
  </si>
  <si>
    <t>24-C1279</t>
  </si>
  <si>
    <t>24-C1140</t>
  </si>
  <si>
    <t>23-0340</t>
  </si>
  <si>
    <t>24-0891</t>
  </si>
  <si>
    <t>24-0886</t>
  </si>
  <si>
    <t>24-0339</t>
  </si>
  <si>
    <t>24-2386</t>
  </si>
  <si>
    <t>24-2537</t>
  </si>
  <si>
    <t>24-1333</t>
  </si>
  <si>
    <t>24-2561</t>
  </si>
  <si>
    <t>24-2708</t>
  </si>
  <si>
    <t>24-3002</t>
  </si>
  <si>
    <t>24-3001</t>
  </si>
  <si>
    <t>24-2996</t>
  </si>
  <si>
    <t>24-3025</t>
  </si>
  <si>
    <t>24-3022</t>
  </si>
  <si>
    <t>24-3024</t>
  </si>
  <si>
    <t>24-3023</t>
  </si>
  <si>
    <t>24-2997</t>
  </si>
  <si>
    <t>24-2706</t>
  </si>
  <si>
    <t>24-3085</t>
  </si>
  <si>
    <t>24-3221</t>
  </si>
  <si>
    <t>24-3083</t>
  </si>
  <si>
    <t>ENGR. MICHAEL C. SALARDA
MS. LEONARDA M. NATOR
MS. CARMENCITA VALDEZ
MS. SORAYA P. VERGARA</t>
  </si>
  <si>
    <t>24-1261</t>
  </si>
  <si>
    <t>24-1127</t>
  </si>
  <si>
    <t>24-C1065</t>
  </si>
  <si>
    <t>24-C1102</t>
  </si>
  <si>
    <t>24-2229</t>
  </si>
  <si>
    <t>24-C1139</t>
  </si>
  <si>
    <t>24-C1314</t>
  </si>
  <si>
    <t>24-C1123</t>
  </si>
  <si>
    <t>24-0132</t>
  </si>
  <si>
    <t>24-C1212</t>
  </si>
  <si>
    <t>24-1027</t>
  </si>
  <si>
    <t>24-2499</t>
  </si>
  <si>
    <t>24-2985</t>
  </si>
  <si>
    <t>24-1774</t>
  </si>
  <si>
    <t>24-C1368</t>
  </si>
  <si>
    <t>24-C1400</t>
  </si>
  <si>
    <t>24-1755</t>
  </si>
  <si>
    <t>24-C1417</t>
  </si>
  <si>
    <t>24-C1433</t>
  </si>
  <si>
    <t>24-C1364</t>
  </si>
  <si>
    <t>24-C1481</t>
  </si>
  <si>
    <t>24-C1393</t>
  </si>
  <si>
    <t>24-3037</t>
  </si>
  <si>
    <t>24-3357</t>
  </si>
  <si>
    <t>24-C1465</t>
  </si>
  <si>
    <t>24-2604</t>
  </si>
  <si>
    <t>24-3279</t>
  </si>
  <si>
    <t>24-3368</t>
  </si>
  <si>
    <t>24-C1482</t>
  </si>
  <si>
    <t>24-C1486</t>
  </si>
  <si>
    <t>24-3356</t>
  </si>
  <si>
    <t>24-C1488</t>
  </si>
  <si>
    <t>24-3110</t>
  </si>
  <si>
    <t>24-C1402</t>
  </si>
  <si>
    <t>24-C1440</t>
  </si>
  <si>
    <t>24-C1512</t>
  </si>
  <si>
    <t>24-C1435</t>
  </si>
  <si>
    <t>24-C1437</t>
  </si>
  <si>
    <t>24-C1390</t>
  </si>
  <si>
    <t>24-C1450</t>
  </si>
  <si>
    <t>24-C1396</t>
  </si>
  <si>
    <t>24-C1478</t>
  </si>
  <si>
    <t>24-C1479</t>
  </si>
  <si>
    <t>24-1824</t>
  </si>
  <si>
    <t>24-C1348</t>
  </si>
  <si>
    <t>24-C1438</t>
  </si>
  <si>
    <t>24-2651</t>
  </si>
  <si>
    <t>24-3212</t>
  </si>
  <si>
    <t>24-C1446</t>
  </si>
  <si>
    <t>24-3282</t>
  </si>
  <si>
    <t>24-C1469</t>
  </si>
  <si>
    <t>24-3252</t>
  </si>
  <si>
    <t>24-3220</t>
  </si>
  <si>
    <t>24-3219</t>
  </si>
  <si>
    <t>24-C1413</t>
  </si>
  <si>
    <t>24-C1468</t>
  </si>
  <si>
    <t>24-C1473</t>
  </si>
  <si>
    <t>24-C1453</t>
  </si>
  <si>
    <t>24-C1487</t>
  </si>
  <si>
    <t>24-3339</t>
  </si>
  <si>
    <t>24-3789</t>
  </si>
  <si>
    <t>24-C1542</t>
  </si>
  <si>
    <t>24-1882</t>
  </si>
  <si>
    <t>24-3703</t>
  </si>
  <si>
    <t>24-C1472</t>
  </si>
  <si>
    <t>24-C1451</t>
  </si>
  <si>
    <t>24-2986</t>
  </si>
  <si>
    <t>24-C1422</t>
  </si>
  <si>
    <t>24-C1387</t>
  </si>
  <si>
    <t>24-C1474</t>
  </si>
  <si>
    <t>24-C1530</t>
  </si>
  <si>
    <t>24-C1527</t>
  </si>
  <si>
    <t>24-C1510</t>
  </si>
  <si>
    <t>24-C1492</t>
  </si>
  <si>
    <t>24-C1443</t>
  </si>
  <si>
    <t>24-3207</t>
  </si>
  <si>
    <t>24-2091</t>
  </si>
  <si>
    <t>24-2133</t>
  </si>
  <si>
    <t>24-2517</t>
  </si>
  <si>
    <t>24-2231</t>
  </si>
  <si>
    <t>24-2410</t>
  </si>
  <si>
    <t>24-2729</t>
  </si>
  <si>
    <t>24-2516</t>
  </si>
  <si>
    <t>24-2497</t>
  </si>
  <si>
    <t>24-3018</t>
  </si>
  <si>
    <t>24-2999</t>
  </si>
  <si>
    <t>24-2990</t>
  </si>
  <si>
    <t>24-2849</t>
  </si>
  <si>
    <t>24-2140</t>
  </si>
  <si>
    <t>24-2451</t>
  </si>
  <si>
    <t>24-2731</t>
  </si>
  <si>
    <t>24-2741</t>
  </si>
  <si>
    <t>24-2859</t>
  </si>
  <si>
    <t>24-2978</t>
  </si>
  <si>
    <t>24-2630</t>
  </si>
  <si>
    <t>24-2963</t>
  </si>
  <si>
    <t>24-3076</t>
  </si>
  <si>
    <t>24-3043</t>
  </si>
  <si>
    <t>24-3672</t>
  </si>
  <si>
    <t>24-3077</t>
  </si>
  <si>
    <t>24-3046</t>
  </si>
  <si>
    <t>24-2880</t>
  </si>
  <si>
    <t>24-C1377</t>
  </si>
  <si>
    <t>24-C1381</t>
  </si>
  <si>
    <t>24-2557</t>
  </si>
  <si>
    <t>24-2994</t>
  </si>
  <si>
    <t>24-2563</t>
  </si>
  <si>
    <t>24-2863</t>
  </si>
  <si>
    <t>24-3065</t>
  </si>
  <si>
    <t>24-2993</t>
  </si>
  <si>
    <t>24-3669</t>
  </si>
  <si>
    <t>24-C1526</t>
  </si>
  <si>
    <t>24-3111</t>
  </si>
  <si>
    <t>24-3021</t>
  </si>
  <si>
    <t>24-3371</t>
  </si>
  <si>
    <t>24-C1392</t>
  </si>
  <si>
    <t>24-2977</t>
  </si>
  <si>
    <t>24-2742</t>
  </si>
  <si>
    <t>24-2960</t>
  </si>
  <si>
    <t>24-C1458</t>
  </si>
  <si>
    <t>24-C1460</t>
  </si>
  <si>
    <t>24-2461</t>
  </si>
  <si>
    <t>24-C1471</t>
  </si>
  <si>
    <t>24-C1406</t>
  </si>
  <si>
    <t>24-3638</t>
  </si>
  <si>
    <t>24-C1511</t>
  </si>
  <si>
    <t>24-C1370</t>
  </si>
  <si>
    <t>24-3156</t>
  </si>
  <si>
    <t>24-3445</t>
  </si>
  <si>
    <t>24-3358</t>
  </si>
  <si>
    <t>24-3094</t>
  </si>
  <si>
    <t>24-3134</t>
  </si>
  <si>
    <t>24-3133</t>
  </si>
  <si>
    <t>24-3243</t>
  </si>
  <si>
    <t>24-3317</t>
  </si>
  <si>
    <t>24-2647</t>
  </si>
  <si>
    <t>24-3456</t>
  </si>
  <si>
    <t>24-C1404</t>
  </si>
  <si>
    <t>24-3671</t>
  </si>
  <si>
    <t>24-C1403</t>
  </si>
  <si>
    <t>24-C1523</t>
  </si>
  <si>
    <t>24-3455</t>
  </si>
  <si>
    <t>24-3308</t>
  </si>
  <si>
    <t>24-3310</t>
  </si>
  <si>
    <t>24-3195</t>
  </si>
  <si>
    <t>24-C1431</t>
  </si>
  <si>
    <t>24-2976</t>
  </si>
  <si>
    <t>24-2975</t>
  </si>
  <si>
    <t>24-C1497</t>
  </si>
  <si>
    <t>24-3556</t>
  </si>
  <si>
    <t>24-C1502</t>
  </si>
  <si>
    <t>24-C1496</t>
  </si>
  <si>
    <t>24-2788</t>
  </si>
  <si>
    <t>24-C1439</t>
  </si>
  <si>
    <t>24-2688</t>
  </si>
  <si>
    <t>24-3186</t>
  </si>
  <si>
    <t>24-3281</t>
  </si>
  <si>
    <t>24-3280</t>
  </si>
  <si>
    <t>24-3078</t>
  </si>
  <si>
    <t>24-3063</t>
  </si>
  <si>
    <t>24-2812</t>
  </si>
  <si>
    <t>24-2844</t>
  </si>
  <si>
    <t>24-2810</t>
  </si>
  <si>
    <t>24-2792</t>
  </si>
  <si>
    <t>24-2809</t>
  </si>
  <si>
    <t>24-2811</t>
  </si>
  <si>
    <t>24-2807</t>
  </si>
  <si>
    <t>24-C1485</t>
  </si>
  <si>
    <t>24-C1498</t>
  </si>
  <si>
    <t>24-3184</t>
  </si>
  <si>
    <t>24-3330</t>
  </si>
  <si>
    <t>24-3174</t>
  </si>
  <si>
    <t>24-3327</t>
  </si>
  <si>
    <t>24-2961</t>
  </si>
  <si>
    <t>24-3275</t>
  </si>
  <si>
    <t>24-3277</t>
  </si>
  <si>
    <t>24-3118</t>
  </si>
  <si>
    <t>24-C1429</t>
  </si>
  <si>
    <t>24-C1424</t>
  </si>
  <si>
    <t>24-C1354</t>
  </si>
  <si>
    <t>24-3294</t>
  </si>
  <si>
    <t>24-3295</t>
  </si>
  <si>
    <t>24-3213</t>
  </si>
  <si>
    <t>24-3209</t>
  </si>
  <si>
    <t>24-C1448</t>
  </si>
  <si>
    <t>24-2645</t>
  </si>
  <si>
    <t>24-3346</t>
  </si>
  <si>
    <t>24-3597</t>
  </si>
  <si>
    <t>24-3117</t>
  </si>
  <si>
    <t>24-C1504</t>
  </si>
  <si>
    <t>24-3328</t>
  </si>
  <si>
    <t>24-C1515</t>
  </si>
  <si>
    <t>24-C1490</t>
  </si>
  <si>
    <t>24-3115</t>
  </si>
  <si>
    <t>24-C1459</t>
  </si>
  <si>
    <t>24-C1338</t>
  </si>
  <si>
    <t>24-C1432</t>
  </si>
  <si>
    <t>24-3630</t>
  </si>
  <si>
    <t>24-3639</t>
  </si>
  <si>
    <t>24-C1401</t>
  </si>
  <si>
    <t>24-3536</t>
  </si>
  <si>
    <t>24-C1388</t>
  </si>
  <si>
    <t>24-C1389</t>
  </si>
  <si>
    <t>24-C1415</t>
  </si>
  <si>
    <t>24-C1394</t>
  </si>
  <si>
    <t>24-3651</t>
  </si>
  <si>
    <t>24-1631</t>
  </si>
  <si>
    <t>24-C1483</t>
  </si>
  <si>
    <t>24-3044</t>
  </si>
  <si>
    <t>24-C1457</t>
  </si>
  <si>
    <t>24-3383</t>
  </si>
  <si>
    <t>24-C1462</t>
  </si>
  <si>
    <t>24-3444</t>
  </si>
  <si>
    <t>24-3203</t>
  </si>
  <si>
    <t>24-3206</t>
  </si>
  <si>
    <t>24-3412</t>
  </si>
  <si>
    <t>24-C1493</t>
  </si>
  <si>
    <t>24-3183</t>
  </si>
  <si>
    <t>24-3292</t>
  </si>
  <si>
    <t>24-C1522</t>
  </si>
  <si>
    <t>24-3781</t>
  </si>
  <si>
    <t>24-3786</t>
  </si>
  <si>
    <t>24-3787</t>
  </si>
  <si>
    <t>24-3785</t>
  </si>
  <si>
    <t>24-C1507</t>
  </si>
  <si>
    <t>24-3720</t>
  </si>
  <si>
    <t>24-C1480</t>
  </si>
  <si>
    <t>24-3306</t>
  </si>
  <si>
    <t>24-3744</t>
  </si>
  <si>
    <t>24-3680</t>
  </si>
  <si>
    <t>24-3757</t>
  </si>
  <si>
    <t>24-3677</t>
  </si>
  <si>
    <t>24-3718</t>
  </si>
  <si>
    <t>24-C1509</t>
  </si>
  <si>
    <t>24-3682</t>
  </si>
  <si>
    <t>24-C1539</t>
  </si>
  <si>
    <t>24-3755</t>
  </si>
  <si>
    <t>24-3803</t>
  </si>
  <si>
    <t>24-3656</t>
  </si>
  <si>
    <t>24-2558</t>
  </si>
  <si>
    <t>24-C1395</t>
  </si>
  <si>
    <t>24-3141</t>
  </si>
  <si>
    <t>24-3635</t>
  </si>
  <si>
    <t>24-C1418</t>
  </si>
  <si>
    <t>24-C1513</t>
  </si>
  <si>
    <t>24-3809</t>
  </si>
  <si>
    <t>24-C1425</t>
  </si>
  <si>
    <t>24-C1397</t>
  </si>
  <si>
    <t>24-3631</t>
  </si>
  <si>
    <t>24-C1461</t>
  </si>
  <si>
    <t>24-3493</t>
  </si>
  <si>
    <t>24-C1506</t>
  </si>
  <si>
    <t>24-C1518</t>
  </si>
  <si>
    <t>24-C1470</t>
  </si>
  <si>
    <t>24-2460</t>
  </si>
  <si>
    <t>24-C1467</t>
  </si>
  <si>
    <t>24-2457</t>
  </si>
  <si>
    <t>MELISSA N. SAMENTAR</t>
  </si>
  <si>
    <t>Clerk II- BAC Secretariat</t>
  </si>
  <si>
    <t>APPROVED BY:</t>
  </si>
  <si>
    <t>GOV. DOROTHY P. MONTEJO-GONZAGA</t>
  </si>
  <si>
    <t>Recommending Approval:</t>
  </si>
  <si>
    <t>ROLANDO S. SIMENE, DVM, MRDM</t>
  </si>
  <si>
    <t xml:space="preserve">               Reviewed and Checked by:</t>
  </si>
  <si>
    <t xml:space="preserve">      Head-BAC Secretariat</t>
  </si>
  <si>
    <r>
      <t xml:space="preserve">     </t>
    </r>
    <r>
      <rPr>
        <sz val="22"/>
        <color theme="1"/>
        <rFont val="Verdana"/>
        <family val="2"/>
      </rPr>
      <t xml:space="preserve"> </t>
    </r>
    <r>
      <rPr>
        <b/>
        <sz val="22"/>
        <color theme="1"/>
        <rFont val="Verdana"/>
        <family val="2"/>
      </rPr>
      <t>JENES B. MIÑOZA, MPA</t>
    </r>
  </si>
  <si>
    <r>
      <t>Pre-bid Conf</t>
    </r>
    <r>
      <rPr>
        <b/>
        <sz val="11"/>
        <color theme="0"/>
        <rFont val="Verdana"/>
        <family val="2"/>
      </rPr>
      <t>4</t>
    </r>
  </si>
  <si>
    <r>
      <t>Eligibility Check</t>
    </r>
    <r>
      <rPr>
        <b/>
        <sz val="11"/>
        <color theme="0"/>
        <rFont val="Verdana"/>
        <family val="2"/>
      </rPr>
      <t>5</t>
    </r>
  </si>
  <si>
    <r>
      <t>Sub/ Open of Bids</t>
    </r>
    <r>
      <rPr>
        <b/>
        <sz val="11"/>
        <color theme="0"/>
        <rFont val="Verdana"/>
        <family val="2"/>
      </rPr>
      <t>6</t>
    </r>
  </si>
  <si>
    <r>
      <t>Bid Evaluation</t>
    </r>
    <r>
      <rPr>
        <b/>
        <sz val="11"/>
        <color theme="0"/>
        <rFont val="Verdana"/>
        <family val="2"/>
      </rPr>
      <t>7</t>
    </r>
  </si>
  <si>
    <r>
      <t>Post Qual</t>
    </r>
    <r>
      <rPr>
        <b/>
        <sz val="11"/>
        <color theme="0"/>
        <rFont val="Verdana"/>
        <family val="2"/>
      </rPr>
      <t>8</t>
    </r>
  </si>
  <si>
    <r>
      <t>Sub/Open of Bids</t>
    </r>
    <r>
      <rPr>
        <b/>
        <sz val="11"/>
        <color theme="0"/>
        <rFont val="Verdana"/>
        <family val="2"/>
      </rPr>
      <t>6</t>
    </r>
  </si>
  <si>
    <t>Government of the Philipppiens</t>
  </si>
  <si>
    <r>
      <t>CO</t>
    </r>
    <r>
      <rPr>
        <b/>
        <sz val="15"/>
        <color theme="0"/>
        <rFont val="Verdana"/>
        <family val="2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</si>
</sst>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-* #,##0.00_-;\-* #,##0.00_-;_-* &quot;-&quot;??_-;_-@_-"/>
    <numFmt numFmtId="165" formatCode="[$-3409]mmmm\ dd\,\ yyyy"/>
    <numFmt numFmtId="166" formatCode="[$-3409]dd\-mmm\-yy;@"/>
    <numFmt numFmtId="167" formatCode="dd\-mm\-yyyy"/>
    <numFmt numFmtId="168" formatCode="&quot;SUPPLY AND DELIVERY OF &quot;@&quot;&quot;"/>
  </numFmts>
  <fonts count="88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name val="Calibri"/>
      <family val="2"/>
    </font>
    <font>
      <b/>
      <sz val="10"/>
      <color theme="1"/>
      <name val="Calibri"/>
      <family val="2"/>
    </font>
    <font>
      <i/>
      <sz val="10"/>
      <color theme="1"/>
      <name val="Calibri"/>
      <family val="2"/>
    </font>
    <font>
      <b/>
      <sz val="22"/>
      <color theme="1"/>
      <name val="Calibri"/>
      <family val="2"/>
    </font>
    <font>
      <b/>
      <sz val="16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0"/>
      <name val="Calibri"/>
      <family val="2"/>
    </font>
    <font>
      <b/>
      <sz val="18"/>
      <color theme="1"/>
      <name val="Calibri"/>
      <family val="2"/>
    </font>
    <font>
      <sz val="18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</font>
    <font>
      <i/>
      <sz val="8"/>
      <color theme="1"/>
      <name val="Calibri"/>
      <family val="2"/>
    </font>
    <font>
      <i/>
      <sz val="11"/>
      <color theme="1"/>
      <name val="Calibri"/>
      <family val="2"/>
    </font>
    <font>
      <b/>
      <u/>
      <sz val="16"/>
      <color theme="1"/>
      <name val="Calibri"/>
      <family val="2"/>
    </font>
    <font>
      <sz val="10"/>
      <color theme="0"/>
      <name val="Calibri"/>
      <family val="2"/>
    </font>
    <font>
      <sz val="9"/>
      <color theme="0"/>
      <name val="Calibri"/>
      <family val="2"/>
    </font>
    <font>
      <sz val="22"/>
      <color theme="1"/>
      <name val="Calibri"/>
      <family val="2"/>
    </font>
    <font>
      <sz val="22"/>
      <color theme="0"/>
      <name val="Calibri"/>
      <family val="2"/>
    </font>
    <font>
      <sz val="2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theme="1"/>
      <name val="Calibri"/>
      <family val="2"/>
    </font>
    <font>
      <b/>
      <sz val="18"/>
      <color theme="1"/>
      <name val="Verdana"/>
      <family val="2"/>
    </font>
    <font>
      <b/>
      <sz val="12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b/>
      <sz val="12"/>
      <color theme="0"/>
      <name val="Verdana"/>
      <family val="2"/>
    </font>
    <font>
      <b/>
      <sz val="14"/>
      <name val="Verdan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0"/>
      <color theme="1"/>
      <name val="Calibri"/>
      <family val="2"/>
    </font>
    <font>
      <b/>
      <sz val="48"/>
      <color theme="1"/>
      <name val="Calibri"/>
      <family val="2"/>
    </font>
    <font>
      <b/>
      <i/>
      <sz val="28"/>
      <color theme="1"/>
      <name val="Verdana"/>
      <family val="2"/>
    </font>
    <font>
      <sz val="24"/>
      <color theme="1"/>
      <name val="Verdana"/>
      <family val="2"/>
    </font>
    <font>
      <b/>
      <sz val="24"/>
      <color theme="1"/>
      <name val="Verdana"/>
      <family val="2"/>
    </font>
    <font>
      <sz val="24"/>
      <color theme="0"/>
      <name val="Verdana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rgb="FFFF0000"/>
      <name val="Calibri"/>
      <family val="2"/>
    </font>
    <font>
      <sz val="16"/>
      <color theme="1"/>
      <name val="Calibri"/>
      <family val="2"/>
    </font>
    <font>
      <b/>
      <sz val="18"/>
      <name val="Verdana"/>
      <family val="2"/>
    </font>
    <font>
      <sz val="18"/>
      <color theme="1"/>
      <name val="Verdana"/>
      <family val="2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Verdana"/>
      <family val="2"/>
    </font>
    <font>
      <b/>
      <sz val="16"/>
      <color theme="0"/>
      <name val="Verdana"/>
      <family val="2"/>
    </font>
    <font>
      <sz val="16"/>
      <color theme="1"/>
      <name val="Verdana"/>
      <family val="2"/>
    </font>
    <font>
      <b/>
      <sz val="16"/>
      <color theme="1"/>
      <name val="Verdana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5"/>
      <color theme="1"/>
      <name val="Calibri"/>
      <family val="2"/>
    </font>
    <font>
      <sz val="14"/>
      <color theme="1"/>
      <name val="Calibri"/>
      <family val="2"/>
    </font>
    <font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18"/>
      <color theme="1"/>
      <name val="Calibri"/>
      <family val="2"/>
    </font>
    <font>
      <sz val="18"/>
      <color theme="1"/>
      <name val="Calibri"/>
      <family val="2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b/>
      <sz val="28"/>
      <color theme="1"/>
      <name val="Calibri"/>
      <family val="2"/>
    </font>
    <font>
      <sz val="22"/>
      <color theme="1"/>
      <name val="Verdana"/>
      <family val="2"/>
    </font>
    <font>
      <b/>
      <sz val="22"/>
      <color theme="1"/>
      <name val="Verdana"/>
      <family val="2"/>
    </font>
    <font>
      <b/>
      <sz val="11"/>
      <name val="Verdana"/>
      <family val="2"/>
    </font>
    <font>
      <sz val="11"/>
      <color theme="1"/>
      <name val="Verdana"/>
      <family val="2"/>
    </font>
    <font>
      <b/>
      <sz val="11"/>
      <color theme="0"/>
      <name val="Verdana"/>
      <family val="2"/>
    </font>
    <font>
      <b/>
      <sz val="15"/>
      <color theme="1"/>
      <name val="Calibri"/>
      <family val="2"/>
    </font>
    <font>
      <b/>
      <sz val="15"/>
      <name val="Verdana"/>
      <family val="2"/>
    </font>
    <font>
      <b/>
      <sz val="15"/>
      <color theme="0"/>
      <name val="Verdana"/>
      <family val="2"/>
    </font>
    <font>
      <b/>
      <sz val="15"/>
      <color theme="1"/>
      <name val="Verdana"/>
      <family val="2"/>
    </font>
    <font>
      <sz val="15"/>
      <color theme="1"/>
      <name val="Verdana"/>
      <family val="2"/>
    </font>
    <font>
      <sz val="13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7F7F7F"/>
        <bgColor rgb="FF7F7F7F"/>
      </patternFill>
    </fill>
    <fill>
      <patternFill patternType="solid">
        <fgColor rgb="FFC5E0B3"/>
        <bgColor rgb="FFC5E0B3"/>
      </patternFill>
    </fill>
    <fill>
      <patternFill patternType="solid">
        <fgColor rgb="FFDEEAF6"/>
        <bgColor rgb="FFDEEAF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0" tint="-0.34998626667073579"/>
        <bgColor rgb="FFFF9900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9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double">
        <color indexed="64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double">
        <color indexed="64"/>
      </right>
      <top style="thin">
        <color rgb="FF000000"/>
      </top>
      <bottom/>
      <diagonal/>
    </border>
    <border>
      <left style="double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medium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rgb="FF000000"/>
      </bottom>
      <diagonal/>
    </border>
    <border>
      <left style="double">
        <color indexed="64"/>
      </left>
      <right/>
      <top style="thin">
        <color rgb="FF000000"/>
      </top>
      <bottom/>
      <diagonal/>
    </border>
    <border>
      <left style="double">
        <color indexed="64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auto="1"/>
      </left>
      <right/>
      <top style="thick">
        <color auto="1"/>
      </top>
      <bottom style="thin">
        <color rgb="FF000000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ck">
        <color auto="1"/>
      </right>
      <top style="thin">
        <color rgb="FF000000"/>
      </top>
      <bottom style="thin">
        <color rgb="FF000000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ck">
        <color auto="1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ck">
        <color auto="1"/>
      </right>
      <top style="thin">
        <color rgb="FF000000"/>
      </top>
      <bottom/>
      <diagonal/>
    </border>
    <border>
      <left style="thin">
        <color auto="1"/>
      </left>
      <right style="double">
        <color indexed="64"/>
      </right>
      <top style="double">
        <color auto="1"/>
      </top>
      <bottom style="double">
        <color auto="1"/>
      </bottom>
      <diagonal/>
    </border>
    <border>
      <left style="thick">
        <color rgb="FF000000"/>
      </left>
      <right style="thin">
        <color rgb="FF000000"/>
      </right>
      <top style="double">
        <color auto="1"/>
      </top>
      <bottom style="double">
        <color auto="1"/>
      </bottom>
      <diagonal/>
    </border>
    <border>
      <left style="double">
        <color rgb="FF000000"/>
      </left>
      <right style="thick">
        <color rgb="FF000000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thin">
        <color rgb="FF000000"/>
      </right>
      <top style="double">
        <color auto="1"/>
      </top>
      <bottom style="double">
        <color auto="1"/>
      </bottom>
      <diagonal/>
    </border>
    <border>
      <left style="double">
        <color rgb="FF000000"/>
      </left>
      <right style="double">
        <color indexed="64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32" fillId="0" borderId="0" applyFont="0" applyFill="0" applyBorder="0" applyAlignment="0" applyProtection="0"/>
    <xf numFmtId="164" fontId="45" fillId="0" borderId="0" applyFont="0" applyFill="0" applyBorder="0" applyAlignment="0" applyProtection="0"/>
  </cellStyleXfs>
  <cellXfs count="676">
    <xf numFmtId="0" fontId="0" fillId="0" borderId="0" xfId="0"/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13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10" fontId="18" fillId="2" borderId="6" xfId="0" applyNumberFormat="1" applyFont="1" applyFill="1" applyBorder="1" applyAlignment="1">
      <alignment vertical="center"/>
    </xf>
    <xf numFmtId="43" fontId="21" fillId="0" borderId="0" xfId="0" applyNumberFormat="1" applyFont="1" applyAlignment="1">
      <alignment vertical="center"/>
    </xf>
    <xf numFmtId="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17" fillId="6" borderId="13" xfId="0" applyFont="1" applyFill="1" applyBorder="1" applyAlignment="1">
      <alignment horizontal="center" vertical="center" wrapText="1"/>
    </xf>
    <xf numFmtId="9" fontId="17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10" fontId="24" fillId="4" borderId="6" xfId="0" applyNumberFormat="1" applyFont="1" applyFill="1" applyBorder="1" applyAlignment="1">
      <alignment vertical="center"/>
    </xf>
    <xf numFmtId="0" fontId="21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3" fontId="17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43" fontId="17" fillId="0" borderId="0" xfId="0" applyNumberFormat="1" applyFont="1" applyAlignment="1">
      <alignment horizontal="center" vertical="center" wrapText="1"/>
    </xf>
    <xf numFmtId="0" fontId="18" fillId="4" borderId="6" xfId="0" applyFont="1" applyFill="1" applyBorder="1" applyAlignment="1">
      <alignment vertical="center"/>
    </xf>
    <xf numFmtId="0" fontId="7" fillId="4" borderId="6" xfId="0" applyFont="1" applyFill="1" applyBorder="1" applyAlignment="1">
      <alignment horizontal="left" vertical="center"/>
    </xf>
    <xf numFmtId="0" fontId="7" fillId="4" borderId="6" xfId="0" applyFont="1" applyFill="1" applyBorder="1" applyAlignment="1">
      <alignment vertical="center"/>
    </xf>
    <xf numFmtId="0" fontId="17" fillId="6" borderId="1" xfId="0" applyFont="1" applyFill="1" applyBorder="1" applyAlignment="1">
      <alignment horizontal="center" vertical="center" wrapText="1"/>
    </xf>
    <xf numFmtId="0" fontId="17" fillId="6" borderId="1" xfId="0" quotePrefix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5" fillId="9" borderId="0" xfId="0" applyFont="1" applyFill="1" applyAlignment="1">
      <alignment horizontal="center" vertical="center"/>
    </xf>
    <xf numFmtId="0" fontId="27" fillId="0" borderId="0" xfId="0" applyFont="1"/>
    <xf numFmtId="0" fontId="29" fillId="0" borderId="0" xfId="0" applyFont="1"/>
    <xf numFmtId="0" fontId="7" fillId="0" borderId="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10" fontId="24" fillId="0" borderId="0" xfId="0" applyNumberFormat="1" applyFont="1" applyAlignment="1">
      <alignment vertical="center"/>
    </xf>
    <xf numFmtId="2" fontId="7" fillId="2" borderId="28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7" xfId="0" applyFont="1" applyBorder="1" applyAlignment="1">
      <alignment vertical="center"/>
    </xf>
    <xf numFmtId="0" fontId="9" fillId="2" borderId="33" xfId="0" applyFont="1" applyFill="1" applyBorder="1" applyAlignment="1">
      <alignment horizontal="center" vertical="center" wrapText="1"/>
    </xf>
    <xf numFmtId="2" fontId="7" fillId="2" borderId="34" xfId="0" applyNumberFormat="1" applyFont="1" applyFill="1" applyBorder="1" applyAlignment="1">
      <alignment horizontal="center" vertical="center" wrapText="1"/>
    </xf>
    <xf numFmtId="2" fontId="7" fillId="2" borderId="35" xfId="0" applyNumberFormat="1" applyFont="1" applyFill="1" applyBorder="1" applyAlignment="1">
      <alignment horizontal="center" vertical="center" wrapText="1"/>
    </xf>
    <xf numFmtId="0" fontId="17" fillId="6" borderId="38" xfId="0" applyFont="1" applyFill="1" applyBorder="1" applyAlignment="1">
      <alignment horizontal="center" vertical="center" wrapText="1"/>
    </xf>
    <xf numFmtId="0" fontId="17" fillId="6" borderId="37" xfId="0" quotePrefix="1" applyFont="1" applyFill="1" applyBorder="1" applyAlignment="1">
      <alignment horizontal="center" vertical="center" wrapText="1"/>
    </xf>
    <xf numFmtId="0" fontId="19" fillId="6" borderId="37" xfId="0" applyFont="1" applyFill="1" applyBorder="1" applyAlignment="1">
      <alignment horizontal="center" vertical="center" wrapText="1"/>
    </xf>
    <xf numFmtId="0" fontId="17" fillId="6" borderId="39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7" xfId="0" quotePrefix="1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4" fontId="7" fillId="0" borderId="27" xfId="0" applyNumberFormat="1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3" fontId="7" fillId="0" borderId="27" xfId="0" applyNumberFormat="1" applyFont="1" applyBorder="1" applyAlignment="1">
      <alignment horizontal="center" vertical="center" wrapText="1"/>
    </xf>
    <xf numFmtId="0" fontId="30" fillId="0" borderId="0" xfId="0" applyFont="1"/>
    <xf numFmtId="0" fontId="0" fillId="0" borderId="0" xfId="0" applyProtection="1">
      <protection hidden="1"/>
    </xf>
    <xf numFmtId="0" fontId="13" fillId="0" borderId="0" xfId="0" applyFont="1" applyAlignment="1" applyProtection="1">
      <alignment horizontal="center"/>
      <protection hidden="1"/>
    </xf>
    <xf numFmtId="0" fontId="30" fillId="0" borderId="0" xfId="0" applyFont="1" applyProtection="1">
      <protection hidden="1"/>
    </xf>
    <xf numFmtId="0" fontId="0" fillId="0" borderId="0" xfId="0" applyProtection="1">
      <protection locked="0"/>
    </xf>
    <xf numFmtId="0" fontId="7" fillId="0" borderId="0" xfId="0" applyFont="1" applyProtection="1">
      <protection locked="0"/>
    </xf>
    <xf numFmtId="0" fontId="12" fillId="0" borderId="3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7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9" fillId="0" borderId="0" xfId="0" applyFont="1" applyAlignment="1" applyProtection="1">
      <alignment vertical="center" shrinkToFit="1"/>
      <protection locked="0"/>
    </xf>
    <xf numFmtId="0" fontId="19" fillId="0" borderId="0" xfId="0" applyFont="1" applyAlignment="1" applyProtection="1">
      <alignment vertical="center" shrinkToFit="1"/>
      <protection locked="0"/>
    </xf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wrapText="1"/>
      <protection locked="0"/>
    </xf>
    <xf numFmtId="0" fontId="13" fillId="0" borderId="0" xfId="0" applyFont="1" applyAlignment="1" applyProtection="1">
      <alignment wrapText="1"/>
      <protection locked="0"/>
    </xf>
    <xf numFmtId="0" fontId="27" fillId="0" borderId="0" xfId="0" applyFont="1" applyAlignment="1" applyProtection="1">
      <alignment wrapText="1"/>
      <protection locked="0"/>
    </xf>
    <xf numFmtId="0" fontId="7" fillId="0" borderId="0" xfId="0" applyFont="1" applyAlignment="1" applyProtection="1">
      <alignment horizontal="center" vertical="center"/>
      <protection locked="0" hidden="1"/>
    </xf>
    <xf numFmtId="0" fontId="0" fillId="0" borderId="0" xfId="0" applyProtection="1">
      <protection locked="0" hidden="1"/>
    </xf>
    <xf numFmtId="0" fontId="13" fillId="0" borderId="0" xfId="0" applyFont="1" applyAlignment="1" applyProtection="1">
      <alignment horizontal="center" vertical="center"/>
      <protection locked="0" hidden="1"/>
    </xf>
    <xf numFmtId="0" fontId="27" fillId="0" borderId="0" xfId="0" applyFont="1" applyAlignment="1" applyProtection="1">
      <alignment horizontal="center" vertical="center"/>
      <protection locked="0" hidden="1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 hidden="1"/>
    </xf>
    <xf numFmtId="0" fontId="6" fillId="0" borderId="0" xfId="0" applyFont="1"/>
    <xf numFmtId="0" fontId="7" fillId="0" borderId="6" xfId="0" applyFont="1" applyBorder="1" applyAlignment="1" applyProtection="1">
      <alignment horizontal="left" vertical="center" wrapText="1"/>
      <protection locked="0"/>
    </xf>
    <xf numFmtId="0" fontId="20" fillId="0" borderId="6" xfId="0" applyFont="1" applyBorder="1" applyAlignment="1" applyProtection="1">
      <alignment horizontal="left" vertical="center" wrapText="1"/>
      <protection locked="0"/>
    </xf>
    <xf numFmtId="0" fontId="9" fillId="0" borderId="6" xfId="0" applyFont="1" applyBorder="1" applyAlignment="1" applyProtection="1">
      <alignment vertical="center" shrinkToFit="1"/>
      <protection locked="0"/>
    </xf>
    <xf numFmtId="0" fontId="9" fillId="0" borderId="0" xfId="0" applyFont="1" applyProtection="1">
      <protection hidden="1"/>
    </xf>
    <xf numFmtId="10" fontId="18" fillId="2" borderId="4" xfId="0" applyNumberFormat="1" applyFont="1" applyFill="1" applyBorder="1" applyAlignment="1" applyProtection="1">
      <alignment horizontal="center" vertical="center"/>
      <protection hidden="1"/>
    </xf>
    <xf numFmtId="10" fontId="18" fillId="2" borderId="9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6" fillId="0" borderId="0" xfId="0" applyFont="1" applyProtection="1">
      <protection locked="0"/>
    </xf>
    <xf numFmtId="10" fontId="13" fillId="0" borderId="27" xfId="0" applyNumberFormat="1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2" borderId="43" xfId="0" applyFont="1" applyFill="1" applyBorder="1" applyAlignment="1">
      <alignment horizontal="center" vertical="center" wrapText="1"/>
    </xf>
    <xf numFmtId="9" fontId="17" fillId="0" borderId="43" xfId="0" applyNumberFormat="1" applyFont="1" applyBorder="1" applyAlignment="1">
      <alignment horizontal="center" vertical="center" wrapText="1"/>
    </xf>
    <xf numFmtId="43" fontId="17" fillId="2" borderId="43" xfId="0" applyNumberFormat="1" applyFont="1" applyFill="1" applyBorder="1" applyAlignment="1">
      <alignment horizontal="center" vertical="center" wrapText="1"/>
    </xf>
    <xf numFmtId="9" fontId="17" fillId="0" borderId="44" xfId="0" applyNumberFormat="1" applyFont="1" applyBorder="1" applyAlignment="1">
      <alignment horizontal="center"/>
    </xf>
    <xf numFmtId="0" fontId="19" fillId="0" borderId="6" xfId="0" applyFont="1" applyBorder="1" applyAlignment="1" applyProtection="1">
      <alignment vertical="center"/>
      <protection locked="0"/>
    </xf>
    <xf numFmtId="0" fontId="19" fillId="0" borderId="6" xfId="0" applyFont="1" applyBorder="1" applyAlignment="1" applyProtection="1">
      <alignment horizontal="center" vertical="center"/>
      <protection locked="0" hidden="1"/>
    </xf>
    <xf numFmtId="9" fontId="0" fillId="0" borderId="41" xfId="1" applyFont="1" applyBorder="1" applyAlignment="1">
      <alignment horizontal="center" vertical="center"/>
    </xf>
    <xf numFmtId="9" fontId="9" fillId="0" borderId="43" xfId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7" fillId="3" borderId="44" xfId="0" applyFont="1" applyFill="1" applyBorder="1" applyAlignment="1">
      <alignment horizontal="center" vertical="center" wrapText="1"/>
    </xf>
    <xf numFmtId="0" fontId="17" fillId="3" borderId="43" xfId="0" applyFont="1" applyFill="1" applyBorder="1" applyAlignment="1">
      <alignment horizontal="center" vertical="center" wrapText="1"/>
    </xf>
    <xf numFmtId="0" fontId="0" fillId="3" borderId="45" xfId="0" applyFill="1" applyBorder="1"/>
    <xf numFmtId="0" fontId="0" fillId="3" borderId="27" xfId="0" applyFill="1" applyBorder="1"/>
    <xf numFmtId="2" fontId="17" fillId="6" borderId="37" xfId="0" quotePrefix="1" applyNumberFormat="1" applyFont="1" applyFill="1" applyBorder="1" applyAlignment="1">
      <alignment horizontal="center" vertical="center" wrapText="1"/>
    </xf>
    <xf numFmtId="2" fontId="17" fillId="2" borderId="43" xfId="0" applyNumberFormat="1" applyFont="1" applyFill="1" applyBorder="1" applyAlignment="1">
      <alignment horizontal="center" vertical="center" wrapText="1"/>
    </xf>
    <xf numFmtId="0" fontId="30" fillId="3" borderId="41" xfId="0" applyFont="1" applyFill="1" applyBorder="1"/>
    <xf numFmtId="0" fontId="30" fillId="3" borderId="45" xfId="0" applyFont="1" applyFill="1" applyBorder="1" applyAlignment="1">
      <alignment horizontal="center"/>
    </xf>
    <xf numFmtId="0" fontId="17" fillId="3" borderId="44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8" fillId="9" borderId="0" xfId="0" applyFont="1" applyFill="1" applyAlignment="1">
      <alignment horizontal="center" vertical="center"/>
    </xf>
    <xf numFmtId="0" fontId="29" fillId="0" borderId="0" xfId="0" applyFont="1" applyAlignment="1">
      <alignment vertical="center"/>
    </xf>
    <xf numFmtId="15" fontId="37" fillId="0" borderId="0" xfId="0" applyNumberFormat="1" applyFont="1" applyProtection="1">
      <protection locked="0"/>
    </xf>
    <xf numFmtId="0" fontId="39" fillId="0" borderId="15" xfId="0" applyFont="1" applyBorder="1" applyAlignment="1" applyProtection="1">
      <alignment horizontal="center" vertical="center" wrapText="1"/>
      <protection hidden="1"/>
    </xf>
    <xf numFmtId="0" fontId="39" fillId="0" borderId="17" xfId="0" applyFont="1" applyBorder="1" applyAlignment="1" applyProtection="1">
      <alignment horizontal="center" vertical="center" wrapText="1"/>
      <protection hidden="1"/>
    </xf>
    <xf numFmtId="0" fontId="39" fillId="0" borderId="18" xfId="0" applyFont="1" applyBorder="1" applyAlignment="1" applyProtection="1">
      <alignment horizontal="center" vertical="center" wrapText="1"/>
      <protection hidden="1"/>
    </xf>
    <xf numFmtId="0" fontId="39" fillId="0" borderId="19" xfId="0" applyFont="1" applyBorder="1" applyAlignment="1" applyProtection="1">
      <alignment horizontal="center" vertical="center" wrapText="1"/>
      <protection hidden="1"/>
    </xf>
    <xf numFmtId="0" fontId="41" fillId="0" borderId="0" xfId="0" applyFont="1"/>
    <xf numFmtId="0" fontId="39" fillId="0" borderId="5" xfId="0" applyFont="1" applyBorder="1" applyAlignment="1" applyProtection="1">
      <alignment horizontal="center" vertical="center" wrapText="1"/>
      <protection hidden="1"/>
    </xf>
    <xf numFmtId="0" fontId="39" fillId="0" borderId="25" xfId="0" applyFont="1" applyBorder="1" applyAlignment="1" applyProtection="1">
      <alignment horizontal="center" vertical="center" wrapText="1"/>
      <protection hidden="1"/>
    </xf>
    <xf numFmtId="0" fontId="39" fillId="0" borderId="6" xfId="0" applyFont="1" applyBorder="1" applyAlignment="1" applyProtection="1">
      <alignment horizontal="center" vertical="center" wrapText="1"/>
      <protection hidden="1"/>
    </xf>
    <xf numFmtId="0" fontId="39" fillId="0" borderId="16" xfId="0" applyFont="1" applyBorder="1" applyAlignment="1" applyProtection="1">
      <alignment horizontal="center" vertical="center" wrapText="1"/>
      <protection hidden="1"/>
    </xf>
    <xf numFmtId="0" fontId="29" fillId="0" borderId="0" xfId="0" applyFont="1" applyProtection="1">
      <protection locked="0"/>
    </xf>
    <xf numFmtId="0" fontId="9" fillId="0" borderId="6" xfId="0" applyFont="1" applyBorder="1" applyAlignment="1">
      <alignment vertical="center" wrapText="1"/>
    </xf>
    <xf numFmtId="0" fontId="19" fillId="0" borderId="6" xfId="0" applyFont="1" applyBorder="1" applyAlignment="1">
      <alignment vertical="center" wrapText="1"/>
    </xf>
    <xf numFmtId="43" fontId="30" fillId="3" borderId="45" xfId="0" applyNumberFormat="1" applyFont="1" applyFill="1" applyBorder="1" applyProtection="1">
      <protection hidden="1"/>
    </xf>
    <xf numFmtId="0" fontId="8" fillId="0" borderId="6" xfId="0" applyFont="1" applyBorder="1"/>
    <xf numFmtId="0" fontId="9" fillId="0" borderId="0" xfId="0" applyFont="1" applyAlignment="1">
      <alignment horizontal="left" vertical="center" wrapText="1"/>
    </xf>
    <xf numFmtId="0" fontId="7" fillId="0" borderId="6" xfId="0" applyFont="1" applyBorder="1" applyAlignment="1">
      <alignment vertical="center" wrapText="1"/>
    </xf>
    <xf numFmtId="0" fontId="17" fillId="0" borderId="53" xfId="0" applyFont="1" applyBorder="1" applyAlignment="1">
      <alignment horizontal="centerContinuous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0" fillId="0" borderId="0" xfId="0" applyAlignment="1">
      <alignment horizontal="centerContinuous"/>
    </xf>
    <xf numFmtId="0" fontId="18" fillId="0" borderId="56" xfId="0" applyFont="1" applyBorder="1" applyAlignment="1">
      <alignment horizontal="center" vertical="center" wrapText="1"/>
    </xf>
    <xf numFmtId="0" fontId="7" fillId="0" borderId="56" xfId="0" applyFont="1" applyBorder="1" applyAlignment="1">
      <alignment vertical="center" wrapText="1"/>
    </xf>
    <xf numFmtId="0" fontId="9" fillId="2" borderId="57" xfId="0" applyFont="1" applyFill="1" applyBorder="1" applyAlignment="1">
      <alignment horizontal="center" vertical="center" wrapText="1"/>
    </xf>
    <xf numFmtId="2" fontId="7" fillId="2" borderId="36" xfId="0" applyNumberFormat="1" applyFont="1" applyFill="1" applyBorder="1" applyAlignment="1">
      <alignment horizontal="center" vertical="center" wrapText="1"/>
    </xf>
    <xf numFmtId="2" fontId="7" fillId="2" borderId="58" xfId="0" applyNumberFormat="1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0" borderId="6" xfId="0" applyBorder="1"/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21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vertical="center"/>
    </xf>
    <xf numFmtId="0" fontId="17" fillId="0" borderId="6" xfId="0" applyFont="1" applyBorder="1" applyAlignment="1">
      <alignment horizontal="center" vertical="center"/>
    </xf>
    <xf numFmtId="0" fontId="17" fillId="0" borderId="6" xfId="0" applyFont="1" applyBorder="1" applyAlignment="1">
      <alignment vertical="center"/>
    </xf>
    <xf numFmtId="0" fontId="30" fillId="0" borderId="6" xfId="0" applyFont="1" applyBorder="1"/>
    <xf numFmtId="0" fontId="7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18" fillId="0" borderId="47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Continuous"/>
    </xf>
    <xf numFmtId="0" fontId="9" fillId="2" borderId="62" xfId="0" applyFont="1" applyFill="1" applyBorder="1" applyAlignment="1">
      <alignment horizontal="center" vertical="center" wrapText="1"/>
    </xf>
    <xf numFmtId="2" fontId="7" fillId="2" borderId="62" xfId="0" applyNumberFormat="1" applyFont="1" applyFill="1" applyBorder="1" applyAlignment="1">
      <alignment horizontal="center" vertical="center" wrapText="1"/>
    </xf>
    <xf numFmtId="0" fontId="17" fillId="0" borderId="63" xfId="0" applyFont="1" applyBorder="1" applyAlignment="1">
      <alignment horizontal="centerContinuous" vertical="center" wrapText="1"/>
    </xf>
    <xf numFmtId="0" fontId="0" fillId="0" borderId="64" xfId="0" applyBorder="1" applyAlignment="1">
      <alignment horizontal="centerContinuous"/>
    </xf>
    <xf numFmtId="0" fontId="7" fillId="0" borderId="65" xfId="0" applyFont="1" applyBorder="1" applyAlignment="1">
      <alignment horizontal="center" vertical="center" wrapText="1"/>
    </xf>
    <xf numFmtId="0" fontId="9" fillId="2" borderId="66" xfId="0" applyFont="1" applyFill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/>
    </xf>
    <xf numFmtId="2" fontId="7" fillId="2" borderId="66" xfId="0" applyNumberFormat="1" applyFont="1" applyFill="1" applyBorder="1" applyAlignment="1">
      <alignment horizontal="center" vertical="center" wrapText="1"/>
    </xf>
    <xf numFmtId="0" fontId="7" fillId="0" borderId="67" xfId="0" applyFont="1" applyBorder="1" applyAlignment="1">
      <alignment vertical="center" wrapText="1"/>
    </xf>
    <xf numFmtId="0" fontId="7" fillId="0" borderId="68" xfId="0" applyFont="1" applyBorder="1" applyAlignment="1">
      <alignment horizontal="center" vertical="center"/>
    </xf>
    <xf numFmtId="2" fontId="7" fillId="2" borderId="69" xfId="0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vertical="center"/>
    </xf>
    <xf numFmtId="0" fontId="7" fillId="0" borderId="70" xfId="0" applyFont="1" applyBorder="1" applyAlignment="1">
      <alignment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/>
    </xf>
    <xf numFmtId="0" fontId="7" fillId="0" borderId="32" xfId="0" applyFont="1" applyBorder="1" applyAlignment="1">
      <alignment vertical="center"/>
    </xf>
    <xf numFmtId="0" fontId="7" fillId="0" borderId="32" xfId="0" applyFont="1" applyBorder="1" applyAlignment="1">
      <alignment horizontal="center" vertical="center"/>
    </xf>
    <xf numFmtId="2" fontId="7" fillId="2" borderId="72" xfId="0" applyNumberFormat="1" applyFont="1" applyFill="1" applyBorder="1" applyAlignment="1">
      <alignment horizontal="center" vertical="center" wrapText="1"/>
    </xf>
    <xf numFmtId="2" fontId="7" fillId="2" borderId="74" xfId="0" applyNumberFormat="1" applyFont="1" applyFill="1" applyBorder="1" applyAlignment="1">
      <alignment horizontal="center" vertical="center" wrapText="1"/>
    </xf>
    <xf numFmtId="2" fontId="7" fillId="2" borderId="29" xfId="0" applyNumberFormat="1" applyFont="1" applyFill="1" applyBorder="1" applyAlignment="1">
      <alignment horizontal="center" vertical="center" wrapText="1"/>
    </xf>
    <xf numFmtId="2" fontId="7" fillId="2" borderId="75" xfId="0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 applyProtection="1">
      <alignment horizontal="center" vertical="center"/>
      <protection hidden="1"/>
    </xf>
    <xf numFmtId="0" fontId="44" fillId="0" borderId="76" xfId="0" applyFont="1" applyBorder="1" applyAlignment="1" applyProtection="1">
      <alignment horizontal="right" vertical="center"/>
      <protection hidden="1"/>
    </xf>
    <xf numFmtId="0" fontId="0" fillId="0" borderId="6" xfId="0" applyBorder="1" applyProtection="1">
      <protection locked="0"/>
    </xf>
    <xf numFmtId="0" fontId="9" fillId="0" borderId="14" xfId="0" applyFont="1" applyBorder="1" applyAlignment="1">
      <alignment horizontal="center" vertical="center" wrapText="1"/>
    </xf>
    <xf numFmtId="164" fontId="7" fillId="0" borderId="0" xfId="2" applyFont="1" applyAlignment="1">
      <alignment vertical="center"/>
    </xf>
    <xf numFmtId="0" fontId="47" fillId="0" borderId="0" xfId="0" applyFont="1" applyAlignment="1">
      <alignment horizontal="left" vertical="center"/>
    </xf>
    <xf numFmtId="9" fontId="7" fillId="0" borderId="0" xfId="1" applyFont="1" applyAlignment="1">
      <alignment horizontal="center" vertical="center"/>
    </xf>
    <xf numFmtId="9" fontId="7" fillId="0" borderId="0" xfId="1" applyFont="1" applyAlignment="1">
      <alignment vertical="center"/>
    </xf>
    <xf numFmtId="0" fontId="9" fillId="12" borderId="0" xfId="0" applyFont="1" applyFill="1" applyAlignment="1">
      <alignment horizontal="left" vertical="center"/>
    </xf>
    <xf numFmtId="0" fontId="9" fillId="12" borderId="8" xfId="0" applyFont="1" applyFill="1" applyBorder="1" applyAlignment="1">
      <alignment horizontal="center" vertical="center" wrapText="1"/>
    </xf>
    <xf numFmtId="0" fontId="9" fillId="12" borderId="0" xfId="0" applyFont="1" applyFill="1" applyAlignment="1">
      <alignment horizontal="center" vertical="center" wrapText="1"/>
    </xf>
    <xf numFmtId="164" fontId="9" fillId="12" borderId="0" xfId="0" applyNumberFormat="1" applyFont="1" applyFill="1" applyAlignment="1">
      <alignment vertical="center"/>
    </xf>
    <xf numFmtId="9" fontId="7" fillId="0" borderId="0" xfId="0" applyNumberFormat="1" applyFont="1" applyAlignment="1">
      <alignment horizontal="center" vertical="center" wrapText="1"/>
    </xf>
    <xf numFmtId="9" fontId="30" fillId="12" borderId="0" xfId="0" applyNumberFormat="1" applyFont="1" applyFill="1"/>
    <xf numFmtId="164" fontId="7" fillId="0" borderId="0" xfId="2" applyFont="1" applyAlignment="1">
      <alignment horizontal="center" vertical="center" wrapText="1"/>
    </xf>
    <xf numFmtId="0" fontId="30" fillId="12" borderId="0" xfId="0" applyFont="1" applyFill="1" applyAlignment="1">
      <alignment horizontal="center"/>
    </xf>
    <xf numFmtId="0" fontId="41" fillId="0" borderId="0" xfId="0" applyFont="1" applyAlignment="1" applyProtection="1">
      <alignment vertical="center"/>
      <protection hidden="1"/>
    </xf>
    <xf numFmtId="0" fontId="25" fillId="9" borderId="6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26" fillId="9" borderId="6" xfId="0" applyFont="1" applyFill="1" applyBorder="1" applyAlignment="1" applyProtection="1">
      <alignment horizontal="center" vertical="center"/>
      <protection hidden="1"/>
    </xf>
    <xf numFmtId="165" fontId="14" fillId="9" borderId="6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1" fontId="15" fillId="11" borderId="6" xfId="0" applyNumberFormat="1" applyFont="1" applyFill="1" applyBorder="1" applyAlignment="1" applyProtection="1">
      <alignment vertical="top" wrapText="1"/>
      <protection hidden="1"/>
    </xf>
    <xf numFmtId="0" fontId="36" fillId="0" borderId="6" xfId="0" applyFont="1" applyBorder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164" fontId="30" fillId="12" borderId="0" xfId="2" applyFont="1" applyFill="1"/>
    <xf numFmtId="0" fontId="40" fillId="0" borderId="6" xfId="0" applyFont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locked="0"/>
    </xf>
    <xf numFmtId="0" fontId="28" fillId="9" borderId="0" xfId="0" applyFont="1" applyFill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48" fillId="0" borderId="0" xfId="0" applyFont="1" applyAlignment="1" applyProtection="1">
      <alignment vertical="center"/>
      <protection locked="0"/>
    </xf>
    <xf numFmtId="0" fontId="7" fillId="0" borderId="6" xfId="0" applyFont="1" applyBorder="1" applyAlignment="1" applyProtection="1">
      <alignment horizontal="center" vertical="center"/>
      <protection hidden="1"/>
    </xf>
    <xf numFmtId="0" fontId="9" fillId="0" borderId="6" xfId="0" applyFont="1" applyBorder="1" applyProtection="1">
      <protection hidden="1"/>
    </xf>
    <xf numFmtId="0" fontId="7" fillId="0" borderId="6" xfId="0" applyFont="1" applyBorder="1" applyAlignment="1">
      <alignment wrapText="1"/>
    </xf>
    <xf numFmtId="0" fontId="7" fillId="0" borderId="6" xfId="0" applyFont="1" applyBorder="1"/>
    <xf numFmtId="0" fontId="7" fillId="0" borderId="6" xfId="0" applyFont="1" applyBorder="1" applyAlignment="1">
      <alignment shrinkToFit="1"/>
    </xf>
    <xf numFmtId="0" fontId="20" fillId="0" borderId="6" xfId="0" applyFont="1" applyBorder="1" applyAlignment="1">
      <alignment horizontal="left" vertical="center" wrapText="1"/>
    </xf>
    <xf numFmtId="0" fontId="36" fillId="0" borderId="6" xfId="0" applyFont="1" applyBorder="1"/>
    <xf numFmtId="0" fontId="35" fillId="0" borderId="6" xfId="0" applyFont="1" applyBorder="1"/>
    <xf numFmtId="0" fontId="36" fillId="0" borderId="0" xfId="0" applyFont="1" applyAlignment="1" applyProtection="1">
      <alignment vertical="center"/>
      <protection locked="0" hidden="1"/>
    </xf>
    <xf numFmtId="0" fontId="36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0" fillId="0" borderId="0" xfId="0" applyAlignment="1" applyProtection="1">
      <alignment vertical="center"/>
      <protection locked="0" hidden="1"/>
    </xf>
    <xf numFmtId="0" fontId="33" fillId="0" borderId="0" xfId="0" applyFont="1" applyProtection="1">
      <protection locked="0"/>
    </xf>
    <xf numFmtId="0" fontId="39" fillId="0" borderId="80" xfId="0" applyFont="1" applyBorder="1" applyAlignment="1" applyProtection="1">
      <alignment horizontal="center" vertical="center" wrapText="1"/>
      <protection hidden="1"/>
    </xf>
    <xf numFmtId="0" fontId="43" fillId="0" borderId="81" xfId="0" applyFont="1" applyBorder="1" applyAlignment="1" applyProtection="1">
      <alignment horizontal="centerContinuous" vertical="center" wrapText="1"/>
      <protection hidden="1"/>
    </xf>
    <xf numFmtId="0" fontId="43" fillId="0" borderId="82" xfId="0" applyFont="1" applyBorder="1" applyAlignment="1" applyProtection="1">
      <alignment horizontal="center" vertical="center" wrapText="1"/>
      <protection hidden="1"/>
    </xf>
    <xf numFmtId="0" fontId="39" fillId="0" borderId="82" xfId="0" applyFont="1" applyBorder="1" applyAlignment="1" applyProtection="1">
      <alignment horizontal="center" vertical="center" wrapText="1"/>
      <protection hidden="1"/>
    </xf>
    <xf numFmtId="0" fontId="39" fillId="0" borderId="83" xfId="0" applyFont="1" applyBorder="1" applyAlignment="1" applyProtection="1">
      <alignment horizontal="center" vertical="center" wrapText="1"/>
      <protection hidden="1"/>
    </xf>
    <xf numFmtId="0" fontId="39" fillId="0" borderId="87" xfId="0" applyFont="1" applyBorder="1" applyAlignment="1" applyProtection="1">
      <alignment horizontal="center" vertical="center" wrapText="1"/>
      <protection hidden="1"/>
    </xf>
    <xf numFmtId="0" fontId="39" fillId="0" borderId="88" xfId="0" applyFont="1" applyBorder="1" applyAlignment="1" applyProtection="1">
      <alignment vertical="center" wrapText="1"/>
      <protection hidden="1"/>
    </xf>
    <xf numFmtId="0" fontId="39" fillId="0" borderId="84" xfId="0" applyFont="1" applyBorder="1" applyAlignment="1" applyProtection="1">
      <alignment horizontal="center" vertical="center" wrapText="1"/>
      <protection hidden="1"/>
    </xf>
    <xf numFmtId="0" fontId="39" fillId="0" borderId="89" xfId="0" applyFont="1" applyBorder="1" applyAlignment="1" applyProtection="1">
      <alignment horizontal="center" vertical="top" wrapText="1"/>
      <protection hidden="1"/>
    </xf>
    <xf numFmtId="0" fontId="43" fillId="0" borderId="17" xfId="0" applyFont="1" applyBorder="1" applyAlignment="1" applyProtection="1">
      <alignment horizontal="center" vertical="center" wrapText="1"/>
      <protection hidden="1"/>
    </xf>
    <xf numFmtId="0" fontId="39" fillId="0" borderId="25" xfId="0" applyFont="1" applyBorder="1" applyAlignment="1" applyProtection="1">
      <alignment horizontal="center" vertical="top" wrapText="1"/>
      <protection hidden="1"/>
    </xf>
    <xf numFmtId="0" fontId="0" fillId="0" borderId="90" xfId="0" applyBorder="1" applyProtection="1">
      <protection hidden="1"/>
    </xf>
    <xf numFmtId="0" fontId="34" fillId="0" borderId="90" xfId="0" applyFont="1" applyBorder="1" applyAlignment="1" applyProtection="1">
      <alignment horizontal="center" vertical="center"/>
      <protection hidden="1"/>
    </xf>
    <xf numFmtId="0" fontId="44" fillId="0" borderId="90" xfId="0" applyFont="1" applyBorder="1" applyAlignment="1" applyProtection="1">
      <alignment horizontal="right" vertical="center"/>
      <protection hidden="1"/>
    </xf>
    <xf numFmtId="10" fontId="13" fillId="2" borderId="9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5" fillId="0" borderId="56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9" fontId="5" fillId="0" borderId="13" xfId="0" applyNumberFormat="1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9" fontId="5" fillId="0" borderId="27" xfId="0" applyNumberFormat="1" applyFont="1" applyBorder="1" applyAlignment="1">
      <alignment horizontal="center" vertical="center" wrapText="1"/>
    </xf>
    <xf numFmtId="43" fontId="5" fillId="2" borderId="27" xfId="0" applyNumberFormat="1" applyFont="1" applyFill="1" applyBorder="1" applyAlignment="1">
      <alignment horizontal="center" vertical="center" wrapText="1"/>
    </xf>
    <xf numFmtId="9" fontId="5" fillId="0" borderId="37" xfId="1" applyFont="1" applyBorder="1" applyAlignment="1">
      <alignment horizontal="center" vertical="center"/>
    </xf>
    <xf numFmtId="2" fontId="5" fillId="2" borderId="27" xfId="0" applyNumberFormat="1" applyFont="1" applyFill="1" applyBorder="1" applyAlignment="1">
      <alignment horizontal="center" vertical="center" wrapText="1"/>
    </xf>
    <xf numFmtId="9" fontId="5" fillId="0" borderId="27" xfId="1" applyFont="1" applyBorder="1" applyAlignment="1">
      <alignment horizontal="center" vertical="center"/>
    </xf>
    <xf numFmtId="43" fontId="5" fillId="2" borderId="13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9" fontId="5" fillId="2" borderId="1" xfId="0" applyNumberFormat="1" applyFont="1" applyFill="1" applyBorder="1" applyAlignment="1">
      <alignment horizontal="center" vertical="center" wrapText="1"/>
    </xf>
    <xf numFmtId="0" fontId="5" fillId="10" borderId="44" xfId="0" applyFont="1" applyFill="1" applyBorder="1" applyAlignment="1">
      <alignment horizontal="center" vertical="center" wrapText="1"/>
    </xf>
    <xf numFmtId="4" fontId="5" fillId="7" borderId="44" xfId="0" applyNumberFormat="1" applyFont="1" applyFill="1" applyBorder="1" applyAlignment="1">
      <alignment horizontal="right" vertical="center" wrapText="1"/>
    </xf>
    <xf numFmtId="9" fontId="5" fillId="10" borderId="44" xfId="1" applyFont="1" applyFill="1" applyBorder="1" applyAlignment="1">
      <alignment horizontal="center" vertical="center" wrapText="1"/>
    </xf>
    <xf numFmtId="9" fontId="5" fillId="10" borderId="43" xfId="1" applyFont="1" applyFill="1" applyBorder="1" applyAlignment="1">
      <alignment horizontal="center" vertical="center" wrapText="1"/>
    </xf>
    <xf numFmtId="0" fontId="5" fillId="7" borderId="44" xfId="0" applyFont="1" applyFill="1" applyBorder="1" applyAlignment="1">
      <alignment horizontal="center" vertical="center" wrapText="1"/>
    </xf>
    <xf numFmtId="4" fontId="5" fillId="10" borderId="44" xfId="0" applyNumberFormat="1" applyFont="1" applyFill="1" applyBorder="1" applyAlignment="1">
      <alignment horizontal="right" vertical="center" wrapText="1"/>
    </xf>
    <xf numFmtId="0" fontId="49" fillId="0" borderId="3" xfId="0" applyFont="1" applyBorder="1" applyAlignment="1" applyProtection="1">
      <alignment horizontal="left" vertical="center"/>
      <protection locked="0"/>
    </xf>
    <xf numFmtId="0" fontId="50" fillId="0" borderId="0" xfId="0" applyFont="1" applyProtection="1">
      <protection locked="0"/>
    </xf>
    <xf numFmtId="0" fontId="51" fillId="0" borderId="0" xfId="0" applyFont="1" applyProtection="1">
      <protection locked="0"/>
    </xf>
    <xf numFmtId="0" fontId="50" fillId="0" borderId="0" xfId="0" applyFont="1" applyAlignment="1" applyProtection="1">
      <alignment horizontal="center" vertical="center"/>
      <protection locked="0"/>
    </xf>
    <xf numFmtId="0" fontId="51" fillId="0" borderId="0" xfId="0" applyFont="1" applyAlignment="1" applyProtection="1">
      <alignment horizontal="left"/>
      <protection locked="0"/>
    </xf>
    <xf numFmtId="0" fontId="50" fillId="0" borderId="0" xfId="0" applyFont="1" applyAlignment="1" applyProtection="1">
      <alignment vertical="center"/>
      <protection locked="0"/>
    </xf>
    <xf numFmtId="0" fontId="51" fillId="0" borderId="0" xfId="0" applyFont="1" applyAlignment="1" applyProtection="1">
      <alignment horizontal="center" vertical="center" wrapText="1"/>
      <protection locked="0"/>
    </xf>
    <xf numFmtId="0" fontId="50" fillId="0" borderId="0" xfId="0" applyFont="1" applyAlignment="1" applyProtection="1">
      <alignment wrapText="1"/>
      <protection locked="0"/>
    </xf>
    <xf numFmtId="0" fontId="52" fillId="9" borderId="0" xfId="0" applyFont="1" applyFill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left"/>
      <protection locked="0"/>
    </xf>
    <xf numFmtId="1" fontId="39" fillId="0" borderId="82" xfId="0" applyNumberFormat="1" applyFont="1" applyBorder="1" applyAlignment="1" applyProtection="1">
      <alignment horizontal="center" vertical="center" wrapText="1"/>
      <protection hidden="1"/>
    </xf>
    <xf numFmtId="2" fontId="39" fillId="0" borderId="82" xfId="0" applyNumberFormat="1" applyFont="1" applyBorder="1" applyAlignment="1" applyProtection="1">
      <alignment horizontal="center" vertical="center" wrapText="1"/>
      <protection hidden="1"/>
    </xf>
    <xf numFmtId="0" fontId="34" fillId="0" borderId="76" xfId="0" applyFont="1" applyBorder="1" applyAlignment="1" applyProtection="1">
      <alignment horizontal="center" vertical="center"/>
      <protection hidden="1"/>
    </xf>
    <xf numFmtId="0" fontId="38" fillId="11" borderId="92" xfId="0" applyFont="1" applyFill="1" applyBorder="1" applyAlignment="1">
      <alignment vertical="center"/>
    </xf>
    <xf numFmtId="0" fontId="15" fillId="11" borderId="92" xfId="0" applyFont="1" applyFill="1" applyBorder="1" applyAlignment="1">
      <alignment vertical="top" wrapText="1"/>
    </xf>
    <xf numFmtId="1" fontId="15" fillId="11" borderId="92" xfId="0" applyNumberFormat="1" applyFont="1" applyFill="1" applyBorder="1" applyAlignment="1" applyProtection="1">
      <alignment vertical="top" wrapText="1"/>
      <protection hidden="1"/>
    </xf>
    <xf numFmtId="0" fontId="15" fillId="11" borderId="92" xfId="0" applyFont="1" applyFill="1" applyBorder="1" applyAlignment="1" applyProtection="1">
      <alignment vertical="top" wrapText="1"/>
      <protection hidden="1"/>
    </xf>
    <xf numFmtId="1" fontId="34" fillId="8" borderId="92" xfId="0" applyNumberFormat="1" applyFont="1" applyFill="1" applyBorder="1" applyAlignment="1" applyProtection="1">
      <alignment horizontal="center" vertical="center"/>
      <protection hidden="1"/>
    </xf>
    <xf numFmtId="0" fontId="34" fillId="0" borderId="91" xfId="0" applyFont="1" applyBorder="1" applyAlignment="1" applyProtection="1">
      <alignment horizontal="center" vertical="center" wrapText="1"/>
      <protection locked="0"/>
    </xf>
    <xf numFmtId="0" fontId="34" fillId="0" borderId="91" xfId="0" applyFont="1" applyBorder="1" applyAlignment="1" applyProtection="1">
      <alignment horizontal="center" vertical="center"/>
      <protection locked="0"/>
    </xf>
    <xf numFmtId="0" fontId="34" fillId="0" borderId="91" xfId="0" applyFont="1" applyBorder="1" applyAlignment="1" applyProtection="1">
      <alignment horizontal="left" vertical="center" wrapText="1"/>
      <protection locked="0"/>
    </xf>
    <xf numFmtId="1" fontId="21" fillId="2" borderId="91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91" xfId="0" applyFont="1" applyFill="1" applyBorder="1" applyAlignment="1" applyProtection="1">
      <alignment horizontal="center" vertical="center"/>
      <protection locked="0" hidden="1"/>
    </xf>
    <xf numFmtId="0" fontId="15" fillId="0" borderId="91" xfId="0" applyFont="1" applyBorder="1" applyAlignment="1" applyProtection="1">
      <alignment vertical="top" wrapText="1"/>
      <protection hidden="1"/>
    </xf>
    <xf numFmtId="0" fontId="21" fillId="0" borderId="91" xfId="0" applyFont="1" applyBorder="1" applyAlignment="1" applyProtection="1">
      <alignment horizontal="left" vertical="center" wrapText="1"/>
      <protection locked="0"/>
    </xf>
    <xf numFmtId="1" fontId="34" fillId="8" borderId="91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93" xfId="0" applyFont="1" applyBorder="1" applyAlignment="1" applyProtection="1">
      <alignment horizontal="center" vertical="center"/>
      <protection locked="0"/>
    </xf>
    <xf numFmtId="0" fontId="21" fillId="0" borderId="93" xfId="0" applyFont="1" applyBorder="1" applyAlignment="1" applyProtection="1">
      <alignment horizontal="left" vertical="center" wrapText="1"/>
      <protection locked="0"/>
    </xf>
    <xf numFmtId="1" fontId="21" fillId="2" borderId="93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93" xfId="0" applyFont="1" applyFill="1" applyBorder="1" applyAlignment="1" applyProtection="1">
      <alignment horizontal="center" vertical="center"/>
      <protection locked="0" hidden="1"/>
    </xf>
    <xf numFmtId="0" fontId="15" fillId="0" borderId="93" xfId="0" applyFont="1" applyBorder="1" applyAlignment="1" applyProtection="1">
      <alignment vertical="top" wrapText="1"/>
      <protection hidden="1"/>
    </xf>
    <xf numFmtId="1" fontId="34" fillId="8" borderId="93" xfId="0" applyNumberFormat="1" applyFont="1" applyFill="1" applyBorder="1" applyAlignment="1" applyProtection="1">
      <alignment horizontal="center" vertical="center"/>
      <protection locked="0" hidden="1"/>
    </xf>
    <xf numFmtId="2" fontId="7" fillId="0" borderId="0" xfId="0" applyNumberFormat="1" applyFont="1" applyProtection="1">
      <protection hidden="1"/>
    </xf>
    <xf numFmtId="2" fontId="7" fillId="0" borderId="0" xfId="0" applyNumberFormat="1" applyFont="1" applyAlignment="1" applyProtection="1">
      <alignment horizontal="center"/>
      <protection hidden="1"/>
    </xf>
    <xf numFmtId="2" fontId="0" fillId="0" borderId="0" xfId="0" applyNumberFormat="1" applyProtection="1">
      <protection locked="0"/>
    </xf>
    <xf numFmtId="2" fontId="13" fillId="0" borderId="0" xfId="0" applyNumberFormat="1" applyFont="1" applyProtection="1">
      <protection hidden="1"/>
    </xf>
    <xf numFmtId="2" fontId="13" fillId="0" borderId="0" xfId="0" applyNumberFormat="1" applyFont="1" applyAlignment="1" applyProtection="1">
      <alignment horizontal="center"/>
      <protection hidden="1"/>
    </xf>
    <xf numFmtId="2" fontId="43" fillId="0" borderId="81" xfId="0" applyNumberFormat="1" applyFont="1" applyBorder="1" applyAlignment="1" applyProtection="1">
      <alignment horizontal="centerContinuous" vertical="center" wrapText="1"/>
      <protection hidden="1"/>
    </xf>
    <xf numFmtId="2" fontId="9" fillId="0" borderId="6" xfId="0" applyNumberFormat="1" applyFont="1" applyBorder="1" applyAlignment="1" applyProtection="1">
      <alignment vertical="center"/>
      <protection hidden="1"/>
    </xf>
    <xf numFmtId="2" fontId="9" fillId="0" borderId="6" xfId="0" applyNumberFormat="1" applyFont="1" applyBorder="1" applyAlignment="1" applyProtection="1">
      <alignment horizontal="center" vertical="center"/>
      <protection hidden="1"/>
    </xf>
    <xf numFmtId="2" fontId="19" fillId="0" borderId="6" xfId="0" applyNumberFormat="1" applyFont="1" applyBorder="1" applyAlignment="1" applyProtection="1">
      <alignment vertical="center"/>
      <protection hidden="1"/>
    </xf>
    <xf numFmtId="2" fontId="19" fillId="0" borderId="6" xfId="0" applyNumberFormat="1" applyFont="1" applyBorder="1" applyAlignment="1" applyProtection="1">
      <alignment horizontal="center" vertical="center"/>
      <protection hidden="1"/>
    </xf>
    <xf numFmtId="2" fontId="7" fillId="0" borderId="6" xfId="0" applyNumberFormat="1" applyFont="1" applyBorder="1" applyProtection="1">
      <protection hidden="1"/>
    </xf>
    <xf numFmtId="2" fontId="7" fillId="0" borderId="6" xfId="0" applyNumberFormat="1" applyFont="1" applyBorder="1" applyAlignment="1" applyProtection="1">
      <alignment horizontal="center"/>
      <protection hidden="1"/>
    </xf>
    <xf numFmtId="2" fontId="20" fillId="0" borderId="6" xfId="0" applyNumberFormat="1" applyFont="1" applyBorder="1" applyAlignment="1" applyProtection="1">
      <alignment vertical="center"/>
      <protection hidden="1"/>
    </xf>
    <xf numFmtId="2" fontId="39" fillId="0" borderId="19" xfId="0" applyNumberFormat="1" applyFont="1" applyBorder="1" applyAlignment="1" applyProtection="1">
      <alignment horizontal="center" vertical="center" wrapText="1"/>
      <protection hidden="1"/>
    </xf>
    <xf numFmtId="2" fontId="39" fillId="0" borderId="17" xfId="0" applyNumberFormat="1" applyFont="1" applyBorder="1" applyAlignment="1" applyProtection="1">
      <alignment horizontal="center" vertical="center" wrapText="1"/>
      <protection hidden="1"/>
    </xf>
    <xf numFmtId="2" fontId="15" fillId="11" borderId="92" xfId="0" applyNumberFormat="1" applyFont="1" applyFill="1" applyBorder="1" applyAlignment="1" applyProtection="1">
      <alignment vertical="top" wrapText="1"/>
      <protection hidden="1"/>
    </xf>
    <xf numFmtId="2" fontId="34" fillId="2" borderId="91" xfId="0" applyNumberFormat="1" applyFont="1" applyFill="1" applyBorder="1" applyAlignment="1" applyProtection="1">
      <alignment horizontal="center" vertical="center"/>
      <protection locked="0" hidden="1"/>
    </xf>
    <xf numFmtId="2" fontId="13" fillId="2" borderId="91" xfId="0" applyNumberFormat="1" applyFont="1" applyFill="1" applyBorder="1" applyAlignment="1" applyProtection="1">
      <alignment horizontal="center" vertical="center"/>
      <protection locked="0" hidden="1"/>
    </xf>
    <xf numFmtId="2" fontId="21" fillId="2" borderId="93" xfId="0" applyNumberFormat="1" applyFont="1" applyFill="1" applyBorder="1" applyAlignment="1" applyProtection="1">
      <alignment horizontal="center" vertical="center"/>
      <protection locked="0" hidden="1"/>
    </xf>
    <xf numFmtId="2" fontId="18" fillId="2" borderId="93" xfId="0" applyNumberFormat="1" applyFont="1" applyFill="1" applyBorder="1" applyAlignment="1" applyProtection="1">
      <alignment horizontal="center" vertical="center"/>
      <protection locked="0" hidden="1"/>
    </xf>
    <xf numFmtId="2" fontId="13" fillId="2" borderId="90" xfId="0" applyNumberFormat="1" applyFont="1" applyFill="1" applyBorder="1" applyAlignment="1" applyProtection="1">
      <alignment horizontal="center" vertical="center"/>
      <protection hidden="1"/>
    </xf>
    <xf numFmtId="2" fontId="27" fillId="0" borderId="0" xfId="0" applyNumberFormat="1" applyFont="1" applyProtection="1">
      <protection hidden="1"/>
    </xf>
    <xf numFmtId="2" fontId="27" fillId="0" borderId="0" xfId="0" applyNumberFormat="1" applyFont="1" applyAlignment="1" applyProtection="1">
      <alignment horizontal="center"/>
      <protection hidden="1"/>
    </xf>
    <xf numFmtId="2" fontId="50" fillId="0" borderId="0" xfId="0" applyNumberFormat="1" applyFont="1" applyProtection="1">
      <protection locked="0"/>
    </xf>
    <xf numFmtId="2" fontId="50" fillId="0" borderId="0" xfId="0" applyNumberFormat="1" applyFont="1" applyAlignment="1" applyProtection="1">
      <alignment horizontal="center"/>
      <protection locked="0"/>
    </xf>
    <xf numFmtId="2" fontId="27" fillId="0" borderId="0" xfId="0" applyNumberFormat="1" applyFont="1" applyAlignment="1" applyProtection="1">
      <alignment vertical="center"/>
      <protection locked="0"/>
    </xf>
    <xf numFmtId="2" fontId="27" fillId="0" borderId="0" xfId="0" applyNumberFormat="1" applyFont="1" applyAlignment="1" applyProtection="1">
      <alignment horizontal="center" vertical="center"/>
      <protection locked="0"/>
    </xf>
    <xf numFmtId="2" fontId="11" fillId="0" borderId="0" xfId="0" applyNumberFormat="1" applyFont="1" applyProtection="1">
      <protection locked="0"/>
    </xf>
    <xf numFmtId="2" fontId="11" fillId="0" borderId="0" xfId="0" applyNumberFormat="1" applyFont="1" applyAlignment="1" applyProtection="1">
      <alignment horizontal="center"/>
      <protection locked="0"/>
    </xf>
    <xf numFmtId="2" fontId="0" fillId="0" borderId="0" xfId="0" applyNumberFormat="1" applyProtection="1">
      <protection hidden="1"/>
    </xf>
    <xf numFmtId="2" fontId="7" fillId="0" borderId="0" xfId="0" applyNumberFormat="1" applyFont="1" applyAlignment="1" applyProtection="1">
      <alignment horizontal="center" vertical="center"/>
      <protection hidden="1"/>
    </xf>
    <xf numFmtId="2" fontId="13" fillId="0" borderId="0" xfId="0" applyNumberFormat="1" applyFont="1" applyAlignment="1" applyProtection="1">
      <alignment horizontal="center" vertical="center"/>
      <protection hidden="1"/>
    </xf>
    <xf numFmtId="2" fontId="13" fillId="0" borderId="49" xfId="0" applyNumberFormat="1" applyFont="1" applyBorder="1" applyAlignment="1" applyProtection="1">
      <alignment horizontal="center" vertical="center"/>
      <protection hidden="1"/>
    </xf>
    <xf numFmtId="2" fontId="13" fillId="0" borderId="77" xfId="0" applyNumberFormat="1" applyFont="1" applyBorder="1" applyAlignment="1" applyProtection="1">
      <alignment horizontal="center" vertical="center"/>
      <protection hidden="1"/>
    </xf>
    <xf numFmtId="2" fontId="13" fillId="0" borderId="22" xfId="0" applyNumberFormat="1" applyFont="1" applyBorder="1" applyAlignment="1" applyProtection="1">
      <alignment horizontal="center" vertical="center"/>
      <protection hidden="1"/>
    </xf>
    <xf numFmtId="2" fontId="13" fillId="0" borderId="21" xfId="0" applyNumberFormat="1" applyFont="1" applyBorder="1" applyAlignment="1" applyProtection="1">
      <alignment horizontal="center" vertical="center"/>
      <protection hidden="1"/>
    </xf>
    <xf numFmtId="2" fontId="7" fillId="0" borderId="6" xfId="0" applyNumberFormat="1" applyFont="1" applyBorder="1" applyAlignment="1" applyProtection="1">
      <alignment horizontal="center" vertical="center"/>
      <protection hidden="1"/>
    </xf>
    <xf numFmtId="2" fontId="13" fillId="2" borderId="93" xfId="0" applyNumberFormat="1" applyFont="1" applyFill="1" applyBorder="1" applyAlignment="1" applyProtection="1">
      <alignment horizontal="center" vertical="center"/>
      <protection locked="0" hidden="1"/>
    </xf>
    <xf numFmtId="2" fontId="27" fillId="0" borderId="0" xfId="0" applyNumberFormat="1" applyFont="1" applyAlignment="1" applyProtection="1">
      <alignment horizontal="center" vertical="center"/>
      <protection hidden="1"/>
    </xf>
    <xf numFmtId="2" fontId="50" fillId="0" borderId="0" xfId="0" applyNumberFormat="1" applyFont="1" applyAlignment="1" applyProtection="1">
      <alignment horizontal="center" vertical="center"/>
      <protection locked="0"/>
    </xf>
    <xf numFmtId="2" fontId="27" fillId="0" borderId="0" xfId="0" applyNumberFormat="1" applyFont="1" applyProtection="1">
      <protection locked="0"/>
    </xf>
    <xf numFmtId="0" fontId="36" fillId="0" borderId="6" xfId="0" applyFont="1" applyBorder="1" applyProtection="1">
      <protection hidden="1"/>
    </xf>
    <xf numFmtId="0" fontId="35" fillId="0" borderId="6" xfId="0" applyFont="1" applyBorder="1" applyProtection="1">
      <protection hidden="1"/>
    </xf>
    <xf numFmtId="0" fontId="34" fillId="0" borderId="94" xfId="0" applyFont="1" applyBorder="1" applyAlignment="1" applyProtection="1">
      <alignment horizontal="center" vertical="center" wrapText="1"/>
      <protection hidden="1"/>
    </xf>
    <xf numFmtId="0" fontId="0" fillId="0" borderId="95" xfId="0" applyBorder="1" applyProtection="1">
      <protection hidden="1"/>
    </xf>
    <xf numFmtId="0" fontId="34" fillId="0" borderId="95" xfId="0" applyFont="1" applyBorder="1" applyAlignment="1" applyProtection="1">
      <alignment horizontal="center" vertical="center"/>
      <protection hidden="1"/>
    </xf>
    <xf numFmtId="0" fontId="34" fillId="0" borderId="95" xfId="0" applyFont="1" applyBorder="1" applyAlignment="1" applyProtection="1">
      <alignment horizontal="left" vertical="center" wrapText="1"/>
      <protection hidden="1"/>
    </xf>
    <xf numFmtId="1" fontId="21" fillId="2" borderId="95" xfId="0" applyNumberFormat="1" applyFont="1" applyFill="1" applyBorder="1" applyAlignment="1" applyProtection="1">
      <alignment horizontal="center" vertical="center"/>
      <protection hidden="1"/>
    </xf>
    <xf numFmtId="0" fontId="13" fillId="2" borderId="95" xfId="0" applyFont="1" applyFill="1" applyBorder="1" applyAlignment="1" applyProtection="1">
      <alignment horizontal="center" vertical="center"/>
      <protection hidden="1"/>
    </xf>
    <xf numFmtId="2" fontId="34" fillId="2" borderId="95" xfId="0" applyNumberFormat="1" applyFont="1" applyFill="1" applyBorder="1" applyAlignment="1" applyProtection="1">
      <alignment horizontal="center" vertical="center"/>
      <protection hidden="1"/>
    </xf>
    <xf numFmtId="2" fontId="13" fillId="2" borderId="95" xfId="0" applyNumberFormat="1" applyFont="1" applyFill="1" applyBorder="1" applyAlignment="1" applyProtection="1">
      <alignment horizontal="center" vertical="center"/>
      <protection hidden="1"/>
    </xf>
    <xf numFmtId="2" fontId="13" fillId="0" borderId="0" xfId="0" applyNumberFormat="1" applyFont="1" applyAlignment="1" applyProtection="1">
      <alignment horizontal="center" vertical="center"/>
      <protection locked="0"/>
    </xf>
    <xf numFmtId="2" fontId="13" fillId="0" borderId="0" xfId="0" applyNumberFormat="1" applyFont="1" applyProtection="1">
      <protection locked="0"/>
    </xf>
    <xf numFmtId="0" fontId="34" fillId="0" borderId="6" xfId="0" applyFont="1" applyBorder="1" applyAlignment="1" applyProtection="1">
      <alignment horizontal="center" vertical="center" wrapText="1"/>
      <protection hidden="1"/>
    </xf>
    <xf numFmtId="0" fontId="0" fillId="0" borderId="6" xfId="0" applyBorder="1" applyProtection="1">
      <protection hidden="1"/>
    </xf>
    <xf numFmtId="0" fontId="34" fillId="0" borderId="6" xfId="0" applyFont="1" applyBorder="1" applyAlignment="1" applyProtection="1">
      <alignment horizontal="center" vertical="center"/>
      <protection hidden="1"/>
    </xf>
    <xf numFmtId="0" fontId="34" fillId="0" borderId="6" xfId="0" applyFont="1" applyBorder="1" applyAlignment="1" applyProtection="1">
      <alignment horizontal="left" vertical="center" wrapText="1"/>
      <protection hidden="1"/>
    </xf>
    <xf numFmtId="1" fontId="21" fillId="2" borderId="6" xfId="0" applyNumberFormat="1" applyFont="1" applyFill="1" applyBorder="1" applyAlignment="1" applyProtection="1">
      <alignment horizontal="center" vertical="center"/>
      <protection hidden="1"/>
    </xf>
    <xf numFmtId="0" fontId="13" fillId="2" borderId="6" xfId="0" applyFont="1" applyFill="1" applyBorder="1" applyAlignment="1" applyProtection="1">
      <alignment horizontal="center" vertical="center"/>
      <protection hidden="1"/>
    </xf>
    <xf numFmtId="2" fontId="34" fillId="2" borderId="6" xfId="0" applyNumberFormat="1" applyFont="1" applyFill="1" applyBorder="1" applyAlignment="1" applyProtection="1">
      <alignment horizontal="center" vertical="center"/>
      <protection hidden="1"/>
    </xf>
    <xf numFmtId="2" fontId="13" fillId="2" borderId="6" xfId="0" applyNumberFormat="1" applyFont="1" applyFill="1" applyBorder="1" applyAlignment="1" applyProtection="1">
      <alignment horizontal="center" vertical="center"/>
      <protection hidden="1"/>
    </xf>
    <xf numFmtId="0" fontId="44" fillId="0" borderId="6" xfId="0" applyFont="1" applyBorder="1" applyAlignment="1" applyProtection="1">
      <alignment horizontal="right" vertical="center"/>
      <protection hidden="1"/>
    </xf>
    <xf numFmtId="10" fontId="13" fillId="2" borderId="6" xfId="0" applyNumberFormat="1" applyFont="1" applyFill="1" applyBorder="1" applyAlignment="1" applyProtection="1">
      <alignment horizontal="center" vertical="center"/>
      <protection hidden="1"/>
    </xf>
    <xf numFmtId="1" fontId="21" fillId="2" borderId="91" xfId="0" applyNumberFormat="1" applyFont="1" applyFill="1" applyBorder="1" applyAlignment="1" applyProtection="1">
      <alignment horizontal="center" vertical="center"/>
      <protection hidden="1"/>
    </xf>
    <xf numFmtId="2" fontId="34" fillId="2" borderId="91" xfId="0" applyNumberFormat="1" applyFont="1" applyFill="1" applyBorder="1" applyAlignment="1" applyProtection="1">
      <alignment horizontal="center" vertical="center"/>
      <protection hidden="1"/>
    </xf>
    <xf numFmtId="2" fontId="13" fillId="2" borderId="91" xfId="0" applyNumberFormat="1" applyFont="1" applyFill="1" applyBorder="1" applyAlignment="1" applyProtection="1">
      <alignment horizontal="center" vertical="center"/>
      <protection hidden="1"/>
    </xf>
    <xf numFmtId="0" fontId="21" fillId="9" borderId="97" xfId="0" applyFont="1" applyFill="1" applyBorder="1" applyAlignment="1" applyProtection="1">
      <alignment horizontal="center" vertical="center" wrapText="1"/>
      <protection locked="0"/>
    </xf>
    <xf numFmtId="1" fontId="34" fillId="8" borderId="91" xfId="0" applyNumberFormat="1" applyFont="1" applyFill="1" applyBorder="1" applyAlignment="1" applyProtection="1">
      <alignment horizontal="center" vertical="center"/>
      <protection hidden="1"/>
    </xf>
    <xf numFmtId="166" fontId="21" fillId="0" borderId="92" xfId="0" applyNumberFormat="1" applyFont="1" applyBorder="1" applyAlignment="1" applyProtection="1">
      <alignment horizontal="center" vertical="center"/>
      <protection hidden="1"/>
    </xf>
    <xf numFmtId="0" fontId="21" fillId="0" borderId="91" xfId="0" applyFont="1" applyBorder="1" applyAlignment="1" applyProtection="1">
      <alignment horizontal="center" vertical="center" wrapText="1"/>
      <protection locked="0"/>
    </xf>
    <xf numFmtId="1" fontId="21" fillId="2" borderId="91" xfId="0" applyNumberFormat="1" applyFont="1" applyFill="1" applyBorder="1" applyAlignment="1" applyProtection="1">
      <alignment horizontal="center" vertical="center" wrapText="1"/>
      <protection hidden="1"/>
    </xf>
    <xf numFmtId="2" fontId="21" fillId="2" borderId="91" xfId="0" applyNumberFormat="1" applyFont="1" applyFill="1" applyBorder="1" applyAlignment="1" applyProtection="1">
      <alignment horizontal="center" vertical="center" wrapText="1"/>
      <protection hidden="1"/>
    </xf>
    <xf numFmtId="0" fontId="21" fillId="2" borderId="91" xfId="0" quotePrefix="1" applyFont="1" applyFill="1" applyBorder="1" applyAlignment="1" applyProtection="1">
      <alignment horizontal="center" vertical="center" wrapText="1"/>
      <protection hidden="1"/>
    </xf>
    <xf numFmtId="166" fontId="21" fillId="0" borderId="91" xfId="0" applyNumberFormat="1" applyFont="1" applyBorder="1" applyAlignment="1" applyProtection="1">
      <alignment horizontal="center" vertical="center" wrapText="1"/>
      <protection locked="0" hidden="1"/>
    </xf>
    <xf numFmtId="0" fontId="4" fillId="0" borderId="91" xfId="0" applyFont="1" applyBorder="1" applyAlignment="1" applyProtection="1">
      <alignment horizontal="center" vertical="center" wrapText="1"/>
      <protection locked="0"/>
    </xf>
    <xf numFmtId="0" fontId="21" fillId="0" borderId="91" xfId="0" applyFont="1" applyBorder="1" applyAlignment="1" applyProtection="1">
      <alignment horizontal="center" vertical="center"/>
      <protection locked="0"/>
    </xf>
    <xf numFmtId="2" fontId="18" fillId="2" borderId="91" xfId="0" applyNumberFormat="1" applyFont="1" applyFill="1" applyBorder="1" applyAlignment="1" applyProtection="1">
      <alignment horizontal="center" vertical="center"/>
      <protection hidden="1"/>
    </xf>
    <xf numFmtId="0" fontId="21" fillId="2" borderId="91" xfId="0" quotePrefix="1" applyFont="1" applyFill="1" applyBorder="1" applyAlignment="1" applyProtection="1">
      <alignment horizontal="center" vertical="center"/>
      <protection hidden="1"/>
    </xf>
    <xf numFmtId="166" fontId="21" fillId="0" borderId="91" xfId="0" applyNumberFormat="1" applyFont="1" applyBorder="1" applyAlignment="1" applyProtection="1">
      <alignment horizontal="center" vertical="center"/>
      <protection hidden="1"/>
    </xf>
    <xf numFmtId="2" fontId="18" fillId="2" borderId="91" xfId="0" applyNumberFormat="1" applyFont="1" applyFill="1" applyBorder="1" applyAlignment="1" applyProtection="1">
      <alignment horizontal="center" vertical="center" wrapText="1"/>
      <protection hidden="1"/>
    </xf>
    <xf numFmtId="167" fontId="15" fillId="11" borderId="92" xfId="0" applyNumberFormat="1" applyFont="1" applyFill="1" applyBorder="1" applyAlignment="1" applyProtection="1">
      <alignment vertical="top" wrapText="1"/>
      <protection locked="0"/>
    </xf>
    <xf numFmtId="167" fontId="21" fillId="0" borderId="91" xfId="0" applyNumberFormat="1" applyFont="1" applyBorder="1" applyAlignment="1" applyProtection="1">
      <alignment horizontal="center" vertical="center" wrapText="1"/>
      <protection locked="0"/>
    </xf>
    <xf numFmtId="167" fontId="21" fillId="0" borderId="91" xfId="0" applyNumberFormat="1" applyFont="1" applyBorder="1" applyAlignment="1" applyProtection="1">
      <alignment horizontal="center" vertical="center"/>
      <protection locked="0"/>
    </xf>
    <xf numFmtId="167" fontId="6" fillId="0" borderId="91" xfId="0" applyNumberFormat="1" applyFont="1" applyBorder="1" applyAlignment="1" applyProtection="1">
      <alignment vertical="center" wrapText="1"/>
      <protection locked="0"/>
    </xf>
    <xf numFmtId="0" fontId="38" fillId="11" borderId="92" xfId="0" applyFont="1" applyFill="1" applyBorder="1" applyAlignment="1" applyProtection="1">
      <alignment vertical="center"/>
    </xf>
    <xf numFmtId="0" fontId="15" fillId="11" borderId="92" xfId="0" applyFont="1" applyFill="1" applyBorder="1" applyAlignment="1" applyProtection="1">
      <alignment vertical="top" wrapText="1"/>
    </xf>
    <xf numFmtId="167" fontId="15" fillId="11" borderId="92" xfId="0" applyNumberFormat="1" applyFont="1" applyFill="1" applyBorder="1" applyAlignment="1" applyProtection="1">
      <alignment vertical="top" wrapText="1"/>
    </xf>
    <xf numFmtId="4" fontId="15" fillId="11" borderId="92" xfId="0" applyNumberFormat="1" applyFont="1" applyFill="1" applyBorder="1" applyAlignment="1" applyProtection="1">
      <alignment vertical="top" wrapText="1"/>
      <protection hidden="1"/>
    </xf>
    <xf numFmtId="4" fontId="15" fillId="11" borderId="92" xfId="0" applyNumberFormat="1" applyFont="1" applyFill="1" applyBorder="1" applyAlignment="1" applyProtection="1">
      <alignment vertical="top" wrapText="1"/>
    </xf>
    <xf numFmtId="0" fontId="21" fillId="2" borderId="91" xfId="0" quotePrefix="1" applyNumberFormat="1" applyFont="1" applyFill="1" applyBorder="1" applyAlignment="1" applyProtection="1">
      <alignment horizontal="center" vertical="center"/>
      <protection hidden="1"/>
    </xf>
    <xf numFmtId="3" fontId="15" fillId="11" borderId="92" xfId="0" applyNumberFormat="1" applyFont="1" applyFill="1" applyBorder="1" applyAlignment="1">
      <alignment vertical="top" wrapText="1"/>
    </xf>
    <xf numFmtId="167" fontId="34" fillId="0" borderId="91" xfId="0" applyNumberFormat="1" applyFont="1" applyBorder="1" applyAlignment="1" applyProtection="1">
      <alignment horizontal="center" vertical="center"/>
      <protection locked="0"/>
    </xf>
    <xf numFmtId="3" fontId="15" fillId="13" borderId="92" xfId="0" applyNumberFormat="1" applyFont="1" applyFill="1" applyBorder="1" applyAlignment="1" applyProtection="1">
      <alignment vertical="top" wrapText="1"/>
      <protection locked="0" hidden="1"/>
    </xf>
    <xf numFmtId="0" fontId="13" fillId="2" borderId="91" xfId="0" applyNumberFormat="1" applyFont="1" applyFill="1" applyBorder="1" applyAlignment="1" applyProtection="1">
      <alignment horizontal="center" vertical="center"/>
      <protection hidden="1"/>
    </xf>
    <xf numFmtId="10" fontId="13" fillId="0" borderId="91" xfId="0" applyNumberFormat="1" applyFont="1" applyFill="1" applyBorder="1" applyAlignment="1" applyProtection="1">
      <alignment horizontal="center" vertical="center"/>
      <protection hidden="1"/>
    </xf>
    <xf numFmtId="168" fontId="21" fillId="0" borderId="91" xfId="0" applyNumberFormat="1" applyFont="1" applyBorder="1" applyAlignment="1" applyProtection="1">
      <alignment horizontal="center" vertical="center" wrapText="1"/>
      <protection locked="0"/>
    </xf>
    <xf numFmtId="0" fontId="21" fillId="0" borderId="91" xfId="0" applyNumberFormat="1" applyFont="1" applyBorder="1" applyAlignment="1" applyProtection="1">
      <alignment horizontal="center" vertical="center" wrapText="1"/>
      <protection locked="0"/>
    </xf>
    <xf numFmtId="0" fontId="21" fillId="0" borderId="91" xfId="0" applyNumberFormat="1" applyFont="1" applyBorder="1" applyAlignment="1" applyProtection="1">
      <alignment horizontal="center" vertical="center"/>
      <protection locked="0"/>
    </xf>
    <xf numFmtId="0" fontId="21" fillId="0" borderId="91" xfId="0" applyNumberFormat="1" applyFont="1" applyBorder="1" applyAlignment="1" applyProtection="1">
      <alignment horizontal="left" vertical="center" wrapText="1"/>
      <protection locked="0"/>
    </xf>
    <xf numFmtId="0" fontId="53" fillId="0" borderId="91" xfId="0" applyFont="1" applyBorder="1" applyAlignment="1" applyProtection="1">
      <alignment horizontal="center" vertical="center" wrapText="1"/>
      <protection locked="0"/>
    </xf>
    <xf numFmtId="0" fontId="54" fillId="0" borderId="91" xfId="0" applyNumberFormat="1" applyFont="1" applyBorder="1" applyAlignment="1" applyProtection="1">
      <alignment horizontal="center" vertical="center"/>
      <protection locked="0"/>
    </xf>
    <xf numFmtId="0" fontId="54" fillId="0" borderId="91" xfId="0" applyFont="1" applyBorder="1" applyAlignment="1" applyProtection="1">
      <alignment horizontal="center" vertical="center"/>
      <protection locked="0"/>
    </xf>
    <xf numFmtId="0" fontId="54" fillId="0" borderId="91" xfId="0" applyNumberFormat="1" applyFont="1" applyBorder="1" applyAlignment="1" applyProtection="1">
      <alignment horizontal="left" vertical="center" wrapText="1"/>
      <protection locked="0"/>
    </xf>
    <xf numFmtId="167" fontId="54" fillId="0" borderId="91" xfId="0" applyNumberFormat="1" applyFont="1" applyBorder="1" applyAlignment="1" applyProtection="1">
      <alignment horizontal="center" vertical="center"/>
      <protection locked="0"/>
    </xf>
    <xf numFmtId="1" fontId="54" fillId="2" borderId="91" xfId="0" applyNumberFormat="1" applyFont="1" applyFill="1" applyBorder="1" applyAlignment="1" applyProtection="1">
      <alignment horizontal="center" vertical="center"/>
      <protection hidden="1"/>
    </xf>
    <xf numFmtId="2" fontId="55" fillId="2" borderId="91" xfId="0" applyNumberFormat="1" applyFont="1" applyFill="1" applyBorder="1" applyAlignment="1" applyProtection="1">
      <alignment horizontal="center" vertical="center"/>
      <protection hidden="1"/>
    </xf>
    <xf numFmtId="0" fontId="54" fillId="2" borderId="91" xfId="0" quotePrefix="1" applyNumberFormat="1" applyFont="1" applyFill="1" applyBorder="1" applyAlignment="1" applyProtection="1">
      <alignment horizontal="center" vertical="center"/>
      <protection hidden="1"/>
    </xf>
    <xf numFmtId="166" fontId="54" fillId="0" borderId="91" xfId="0" applyNumberFormat="1" applyFont="1" applyBorder="1" applyAlignment="1" applyProtection="1">
      <alignment horizontal="center" vertical="center"/>
      <protection hidden="1"/>
    </xf>
    <xf numFmtId="0" fontId="4" fillId="0" borderId="91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wrapText="1"/>
      <protection locked="0"/>
    </xf>
    <xf numFmtId="0" fontId="18" fillId="11" borderId="92" xfId="0" applyFont="1" applyFill="1" applyBorder="1" applyAlignment="1" applyProtection="1">
      <alignment vertical="top" wrapText="1"/>
    </xf>
    <xf numFmtId="0" fontId="21" fillId="0" borderId="6" xfId="0" applyFont="1" applyBorder="1" applyAlignment="1" applyProtection="1">
      <alignment vertical="center" wrapText="1"/>
      <protection locked="0"/>
    </xf>
    <xf numFmtId="0" fontId="21" fillId="0" borderId="0" xfId="0" applyFont="1" applyAlignment="1" applyProtection="1">
      <alignment vertical="center" wrapText="1"/>
      <protection locked="0"/>
    </xf>
    <xf numFmtId="0" fontId="21" fillId="0" borderId="6" xfId="0" applyFont="1" applyBorder="1" applyAlignment="1">
      <alignment wrapText="1"/>
    </xf>
    <xf numFmtId="0" fontId="18" fillId="11" borderId="92" xfId="0" applyFont="1" applyFill="1" applyBorder="1" applyAlignment="1">
      <alignment vertical="top" wrapText="1"/>
    </xf>
    <xf numFmtId="0" fontId="21" fillId="0" borderId="90" xfId="0" applyFont="1" applyBorder="1" applyAlignment="1" applyProtection="1">
      <alignment horizontal="center" vertical="center" wrapText="1"/>
      <protection hidden="1"/>
    </xf>
    <xf numFmtId="0" fontId="21" fillId="0" borderId="6" xfId="0" applyFont="1" applyBorder="1" applyAlignment="1" applyProtection="1">
      <alignment horizontal="center" vertical="center" wrapText="1"/>
      <protection hidden="1"/>
    </xf>
    <xf numFmtId="0" fontId="41" fillId="0" borderId="0" xfId="0" applyFont="1" applyAlignment="1" applyProtection="1">
      <alignment wrapText="1"/>
      <protection locked="0"/>
    </xf>
    <xf numFmtId="0" fontId="33" fillId="0" borderId="0" xfId="0" applyFont="1" applyAlignment="1" applyProtection="1">
      <alignment wrapText="1"/>
      <protection locked="0"/>
    </xf>
    <xf numFmtId="167" fontId="56" fillId="0" borderId="91" xfId="0" applyNumberFormat="1" applyFont="1" applyBorder="1" applyAlignment="1" applyProtection="1">
      <alignment horizontal="center" vertical="center"/>
      <protection locked="0"/>
    </xf>
    <xf numFmtId="0" fontId="21" fillId="0" borderId="6" xfId="0" applyFont="1" applyBorder="1" applyAlignment="1" applyProtection="1">
      <alignment horizontal="center" vertical="center" wrapText="1"/>
      <protection locked="0"/>
    </xf>
    <xf numFmtId="0" fontId="21" fillId="0" borderId="6" xfId="0" applyFont="1" applyBorder="1" applyAlignment="1" applyProtection="1">
      <alignment horizontal="left" vertical="center" wrapText="1"/>
      <protection locked="0"/>
    </xf>
    <xf numFmtId="167" fontId="21" fillId="0" borderId="6" xfId="0" applyNumberFormat="1" applyFont="1" applyBorder="1" applyAlignment="1" applyProtection="1">
      <alignment horizontal="center" vertical="center" wrapText="1"/>
      <protection locked="0"/>
    </xf>
    <xf numFmtId="167" fontId="21" fillId="3" borderId="91" xfId="0" applyNumberFormat="1" applyFont="1" applyFill="1" applyBorder="1" applyAlignment="1" applyProtection="1">
      <alignment horizontal="center" vertical="center"/>
      <protection locked="0"/>
    </xf>
    <xf numFmtId="167" fontId="21" fillId="0" borderId="91" xfId="0" applyNumberFormat="1" applyFont="1" applyBorder="1" applyProtection="1"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1" fontId="21" fillId="2" borderId="6" xfId="0" applyNumberFormat="1" applyFont="1" applyFill="1" applyBorder="1" applyAlignment="1" applyProtection="1">
      <alignment horizontal="center" vertical="center" wrapText="1"/>
      <protection hidden="1"/>
    </xf>
    <xf numFmtId="167" fontId="6" fillId="0" borderId="6" xfId="0" applyNumberFormat="1" applyFont="1" applyBorder="1" applyAlignment="1" applyProtection="1">
      <alignment vertical="center" wrapText="1"/>
      <protection locked="0"/>
    </xf>
    <xf numFmtId="2" fontId="21" fillId="2" borderId="6" xfId="0" applyNumberFormat="1" applyFont="1" applyFill="1" applyBorder="1" applyAlignment="1" applyProtection="1">
      <alignment horizontal="center" vertical="center" wrapText="1"/>
      <protection hidden="1"/>
    </xf>
    <xf numFmtId="2" fontId="18" fillId="2" borderId="49" xfId="0" applyNumberFormat="1" applyFont="1" applyFill="1" applyBorder="1" applyAlignment="1" applyProtection="1">
      <alignment horizontal="center" vertical="center" wrapText="1"/>
      <protection hidden="1"/>
    </xf>
    <xf numFmtId="2" fontId="18" fillId="2" borderId="77" xfId="0" applyNumberFormat="1" applyFont="1" applyFill="1" applyBorder="1" applyAlignment="1" applyProtection="1">
      <alignment horizontal="center" vertical="center" wrapText="1"/>
      <protection hidden="1"/>
    </xf>
    <xf numFmtId="0" fontId="21" fillId="9" borderId="76" xfId="0" applyFont="1" applyFill="1" applyBorder="1" applyAlignment="1" applyProtection="1">
      <alignment horizontal="center" vertical="center" wrapText="1" shrinkToFit="1"/>
      <protection locked="0"/>
    </xf>
    <xf numFmtId="0" fontId="21" fillId="2" borderId="6" xfId="0" quotePrefix="1" applyFont="1" applyFill="1" applyBorder="1" applyAlignment="1" applyProtection="1">
      <alignment horizontal="center" vertical="center" wrapText="1"/>
      <protection hidden="1"/>
    </xf>
    <xf numFmtId="166" fontId="21" fillId="0" borderId="6" xfId="0" applyNumberFormat="1" applyFont="1" applyBorder="1" applyAlignment="1" applyProtection="1">
      <alignment horizontal="center" vertical="center" wrapText="1"/>
      <protection locked="0" hidden="1"/>
    </xf>
    <xf numFmtId="167" fontId="3" fillId="0" borderId="91" xfId="0" applyNumberFormat="1" applyFont="1" applyBorder="1" applyAlignment="1" applyProtection="1">
      <alignment vertical="center" wrapText="1"/>
      <protection locked="0"/>
    </xf>
    <xf numFmtId="167" fontId="35" fillId="0" borderId="91" xfId="0" applyNumberFormat="1" applyFont="1" applyBorder="1" applyAlignment="1" applyProtection="1">
      <alignment vertical="center"/>
      <protection locked="0"/>
    </xf>
    <xf numFmtId="0" fontId="15" fillId="0" borderId="91" xfId="0" applyFont="1" applyBorder="1" applyAlignment="1" applyProtection="1">
      <alignment vertical="center" wrapText="1"/>
      <protection hidden="1"/>
    </xf>
    <xf numFmtId="0" fontId="36" fillId="0" borderId="6" xfId="0" applyFont="1" applyBorder="1" applyAlignment="1">
      <alignment vertical="center"/>
    </xf>
    <xf numFmtId="0" fontId="35" fillId="0" borderId="6" xfId="0" applyFont="1" applyBorder="1" applyAlignment="1">
      <alignment vertical="center"/>
    </xf>
    <xf numFmtId="167" fontId="34" fillId="0" borderId="91" xfId="0" applyNumberFormat="1" applyFont="1" applyBorder="1" applyAlignment="1" applyProtection="1">
      <alignment horizontal="center" vertical="center" wrapText="1"/>
      <protection locked="0"/>
    </xf>
    <xf numFmtId="3" fontId="12" fillId="0" borderId="91" xfId="0" applyNumberFormat="1" applyFont="1" applyFill="1" applyBorder="1" applyAlignment="1" applyProtection="1">
      <alignment horizontal="right" vertical="center"/>
      <protection locked="0" hidden="1"/>
    </xf>
    <xf numFmtId="3" fontId="57" fillId="9" borderId="97" xfId="0" applyNumberFormat="1" applyFont="1" applyFill="1" applyBorder="1" applyAlignment="1" applyProtection="1">
      <alignment horizontal="right" vertical="center"/>
      <protection locked="0"/>
    </xf>
    <xf numFmtId="3" fontId="57" fillId="0" borderId="98" xfId="0" applyNumberFormat="1" applyFont="1" applyBorder="1" applyAlignment="1" applyProtection="1">
      <alignment horizontal="right" vertical="center"/>
      <protection locked="0"/>
    </xf>
    <xf numFmtId="3" fontId="15" fillId="0" borderId="91" xfId="0" applyNumberFormat="1" applyFont="1" applyFill="1" applyBorder="1" applyAlignment="1" applyProtection="1">
      <alignment horizontal="right" vertical="center"/>
      <protection locked="0" hidden="1"/>
    </xf>
    <xf numFmtId="3" fontId="16" fillId="9" borderId="98" xfId="0" applyNumberFormat="1" applyFont="1" applyFill="1" applyBorder="1" applyAlignment="1" applyProtection="1">
      <alignment horizontal="right" vertical="center"/>
      <protection locked="0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58" fillId="0" borderId="19" xfId="0" applyFont="1" applyBorder="1" applyAlignment="1" applyProtection="1">
      <alignment horizontal="center" vertical="center" wrapText="1"/>
      <protection hidden="1"/>
    </xf>
    <xf numFmtId="0" fontId="58" fillId="0" borderId="17" xfId="0" applyFont="1" applyBorder="1" applyAlignment="1" applyProtection="1">
      <alignment horizontal="center" vertical="center" wrapText="1"/>
      <protection hidden="1"/>
    </xf>
    <xf numFmtId="4" fontId="15" fillId="8" borderId="91" xfId="0" applyNumberFormat="1" applyFont="1" applyFill="1" applyBorder="1" applyAlignment="1" applyProtection="1">
      <alignment horizontal="right" vertical="center" shrinkToFit="1"/>
      <protection locked="0" hidden="1"/>
    </xf>
    <xf numFmtId="4" fontId="16" fillId="9" borderId="91" xfId="0" applyNumberFormat="1" applyFont="1" applyFill="1" applyBorder="1" applyAlignment="1" applyProtection="1">
      <alignment horizontal="right" vertical="center" shrinkToFit="1"/>
      <protection locked="0"/>
    </xf>
    <xf numFmtId="4" fontId="15" fillId="8" borderId="91" xfId="0" applyNumberFormat="1" applyFont="1" applyFill="1" applyBorder="1" applyAlignment="1" applyProtection="1">
      <alignment horizontal="right" vertical="center"/>
      <protection locked="0" hidden="1"/>
    </xf>
    <xf numFmtId="4" fontId="16" fillId="9" borderId="91" xfId="0" applyNumberFormat="1" applyFont="1" applyFill="1" applyBorder="1" applyAlignment="1" applyProtection="1">
      <alignment horizontal="right" vertical="center"/>
      <protection locked="0"/>
    </xf>
    <xf numFmtId="4" fontId="15" fillId="0" borderId="91" xfId="0" applyNumberFormat="1" applyFont="1" applyFill="1" applyBorder="1" applyAlignment="1" applyProtection="1">
      <alignment horizontal="right" vertical="center"/>
      <protection locked="0" hidden="1"/>
    </xf>
    <xf numFmtId="4" fontId="16" fillId="0" borderId="91" xfId="0" applyNumberFormat="1" applyFont="1" applyFill="1" applyBorder="1" applyAlignment="1" applyProtection="1">
      <alignment horizontal="right" vertical="center"/>
      <protection locked="0"/>
    </xf>
    <xf numFmtId="4" fontId="16" fillId="9" borderId="98" xfId="0" applyNumberFormat="1" applyFont="1" applyFill="1" applyBorder="1" applyAlignment="1" applyProtection="1">
      <alignment horizontal="right" vertical="center"/>
      <protection locked="0"/>
    </xf>
    <xf numFmtId="4" fontId="15" fillId="8" borderId="6" xfId="0" applyNumberFormat="1" applyFont="1" applyFill="1" applyBorder="1" applyAlignment="1" applyProtection="1">
      <alignment horizontal="right" vertical="center" shrinkToFit="1"/>
      <protection locked="0" hidden="1"/>
    </xf>
    <xf numFmtId="4" fontId="16" fillId="9" borderId="6" xfId="0" applyNumberFormat="1" applyFont="1" applyFill="1" applyBorder="1" applyAlignment="1" applyProtection="1">
      <alignment horizontal="right" vertical="center" shrinkToFit="1"/>
      <protection locked="0"/>
    </xf>
    <xf numFmtId="4" fontId="15" fillId="2" borderId="12" xfId="0" applyNumberFormat="1" applyFont="1" applyFill="1" applyBorder="1" applyAlignment="1" applyProtection="1">
      <alignment vertical="center" shrinkToFit="1"/>
      <protection hidden="1"/>
    </xf>
    <xf numFmtId="4" fontId="15" fillId="5" borderId="46" xfId="0" applyNumberFormat="1" applyFont="1" applyFill="1" applyBorder="1" applyAlignment="1" applyProtection="1">
      <alignment vertical="center" shrinkToFit="1"/>
      <protection hidden="1"/>
    </xf>
    <xf numFmtId="4" fontId="15" fillId="5" borderId="24" xfId="0" applyNumberFormat="1" applyFont="1" applyFill="1" applyBorder="1" applyAlignment="1" applyProtection="1">
      <alignment vertical="center" shrinkToFit="1"/>
      <protection hidden="1"/>
    </xf>
    <xf numFmtId="4" fontId="15" fillId="0" borderId="47" xfId="0" applyNumberFormat="1" applyFont="1" applyBorder="1" applyAlignment="1" applyProtection="1">
      <alignment vertical="center" shrinkToFit="1"/>
      <protection hidden="1"/>
    </xf>
    <xf numFmtId="4" fontId="15" fillId="0" borderId="50" xfId="0" applyNumberFormat="1" applyFont="1" applyBorder="1" applyAlignment="1" applyProtection="1">
      <alignment vertical="center" shrinkToFit="1"/>
      <protection hidden="1"/>
    </xf>
    <xf numFmtId="0" fontId="15" fillId="0" borderId="6" xfId="0" applyFont="1" applyBorder="1"/>
    <xf numFmtId="0" fontId="16" fillId="0" borderId="6" xfId="0" applyFont="1" applyBorder="1"/>
    <xf numFmtId="0" fontId="58" fillId="0" borderId="18" xfId="0" applyFont="1" applyBorder="1" applyAlignment="1" applyProtection="1">
      <alignment horizontal="center" vertical="center" wrapText="1"/>
      <protection hidden="1"/>
    </xf>
    <xf numFmtId="4" fontId="15" fillId="8" borderId="90" xfId="0" applyNumberFormat="1" applyFont="1" applyFill="1" applyBorder="1" applyAlignment="1" applyProtection="1">
      <alignment horizontal="right" vertical="center"/>
      <protection hidden="1"/>
    </xf>
    <xf numFmtId="4" fontId="16" fillId="9" borderId="90" xfId="0" applyNumberFormat="1" applyFont="1" applyFill="1" applyBorder="1" applyAlignment="1" applyProtection="1">
      <alignment horizontal="right" vertical="center"/>
      <protection hidden="1"/>
    </xf>
    <xf numFmtId="4" fontId="15" fillId="8" borderId="6" xfId="0" applyNumberFormat="1" applyFont="1" applyFill="1" applyBorder="1" applyAlignment="1" applyProtection="1">
      <alignment horizontal="right" vertical="center"/>
      <protection hidden="1"/>
    </xf>
    <xf numFmtId="4" fontId="16" fillId="9" borderId="6" xfId="0" applyNumberFormat="1" applyFont="1" applyFill="1" applyBorder="1" applyAlignment="1" applyProtection="1">
      <alignment horizontal="right" vertical="center"/>
      <protection hidden="1"/>
    </xf>
    <xf numFmtId="0" fontId="38" fillId="0" borderId="0" xfId="0" applyFont="1" applyAlignment="1" applyProtection="1">
      <alignment horizontal="center" vertical="center"/>
      <protection locked="0"/>
    </xf>
    <xf numFmtId="0" fontId="59" fillId="0" borderId="0" xfId="0" applyFont="1" applyProtection="1">
      <protection locked="0"/>
    </xf>
    <xf numFmtId="0" fontId="60" fillId="0" borderId="0" xfId="0" applyFont="1" applyProtection="1">
      <protection locked="0"/>
    </xf>
    <xf numFmtId="0" fontId="61" fillId="0" borderId="0" xfId="0" applyFont="1" applyProtection="1">
      <protection locked="0"/>
    </xf>
    <xf numFmtId="0" fontId="5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62" fillId="0" borderId="16" xfId="0" applyFont="1" applyBorder="1" applyAlignment="1" applyProtection="1">
      <alignment horizontal="center" vertical="center" wrapText="1"/>
      <protection hidden="1"/>
    </xf>
    <xf numFmtId="0" fontId="62" fillId="0" borderId="19" xfId="0" applyFont="1" applyBorder="1" applyAlignment="1" applyProtection="1">
      <alignment horizontal="center" vertical="center" wrapText="1"/>
      <protection hidden="1"/>
    </xf>
    <xf numFmtId="0" fontId="62" fillId="0" borderId="25" xfId="0" applyFont="1" applyBorder="1" applyAlignment="1" applyProtection="1">
      <alignment horizontal="center" vertical="center" wrapText="1"/>
      <protection hidden="1"/>
    </xf>
    <xf numFmtId="4" fontId="12" fillId="11" borderId="92" xfId="0" applyNumberFormat="1" applyFont="1" applyFill="1" applyBorder="1" applyAlignment="1" applyProtection="1">
      <alignment vertical="top" wrapText="1"/>
    </xf>
    <xf numFmtId="4" fontId="12" fillId="11" borderId="92" xfId="0" applyNumberFormat="1" applyFont="1" applyFill="1" applyBorder="1" applyAlignment="1" applyProtection="1">
      <alignment vertical="top" wrapText="1"/>
      <protection hidden="1"/>
    </xf>
    <xf numFmtId="4" fontId="57" fillId="9" borderId="91" xfId="0" applyNumberFormat="1" applyFont="1" applyFill="1" applyBorder="1" applyAlignment="1" applyProtection="1">
      <alignment horizontal="right" vertical="center" wrapText="1" shrinkToFit="1"/>
      <protection locked="0"/>
    </xf>
    <xf numFmtId="4" fontId="12" fillId="8" borderId="91" xfId="0" applyNumberFormat="1" applyFont="1" applyFill="1" applyBorder="1" applyAlignment="1" applyProtection="1">
      <alignment horizontal="right" vertical="center" shrinkToFit="1"/>
      <protection locked="0" hidden="1"/>
    </xf>
    <xf numFmtId="4" fontId="57" fillId="0" borderId="91" xfId="0" applyNumberFormat="1" applyFont="1" applyBorder="1" applyAlignment="1" applyProtection="1">
      <alignment horizontal="right" vertical="center" shrinkToFit="1"/>
      <protection locked="0"/>
    </xf>
    <xf numFmtId="4" fontId="57" fillId="9" borderId="91" xfId="0" applyNumberFormat="1" applyFont="1" applyFill="1" applyBorder="1" applyAlignment="1" applyProtection="1">
      <alignment horizontal="right" vertical="center"/>
      <protection locked="0"/>
    </xf>
    <xf numFmtId="4" fontId="12" fillId="8" borderId="91" xfId="0" applyNumberFormat="1" applyFont="1" applyFill="1" applyBorder="1" applyAlignment="1" applyProtection="1">
      <alignment horizontal="right" vertical="center"/>
      <protection locked="0" hidden="1"/>
    </xf>
    <xf numFmtId="4" fontId="57" fillId="0" borderId="91" xfId="0" applyNumberFormat="1" applyFont="1" applyBorder="1" applyAlignment="1" applyProtection="1">
      <alignment horizontal="right" vertical="center"/>
      <protection locked="0"/>
    </xf>
    <xf numFmtId="4" fontId="57" fillId="0" borderId="91" xfId="0" applyNumberFormat="1" applyFont="1" applyFill="1" applyBorder="1" applyAlignment="1" applyProtection="1">
      <alignment horizontal="right" vertical="center"/>
      <protection locked="0"/>
    </xf>
    <xf numFmtId="4" fontId="57" fillId="0" borderId="98" xfId="0" applyNumberFormat="1" applyFont="1" applyBorder="1" applyAlignment="1" applyProtection="1">
      <alignment horizontal="right" vertical="center"/>
      <protection locked="0"/>
    </xf>
    <xf numFmtId="4" fontId="57" fillId="9" borderId="97" xfId="0" applyNumberFormat="1" applyFont="1" applyFill="1" applyBorder="1" applyAlignment="1" applyProtection="1">
      <alignment horizontal="right" vertical="center"/>
      <protection locked="0"/>
    </xf>
    <xf numFmtId="4" fontId="57" fillId="9" borderId="6" xfId="0" applyNumberFormat="1" applyFont="1" applyFill="1" applyBorder="1" applyAlignment="1" applyProtection="1">
      <alignment horizontal="right" vertical="center"/>
      <protection locked="0"/>
    </xf>
    <xf numFmtId="4" fontId="12" fillId="8" borderId="6" xfId="0" applyNumberFormat="1" applyFont="1" applyFill="1" applyBorder="1" applyAlignment="1" applyProtection="1">
      <alignment horizontal="right" vertical="center" shrinkToFit="1"/>
      <protection locked="0" hidden="1"/>
    </xf>
    <xf numFmtId="4" fontId="57" fillId="0" borderId="6" xfId="0" applyNumberFormat="1" applyFont="1" applyBorder="1" applyAlignment="1" applyProtection="1">
      <alignment horizontal="right" vertical="center" shrinkToFit="1"/>
      <protection locked="0"/>
    </xf>
    <xf numFmtId="4" fontId="12" fillId="2" borderId="12" xfId="0" applyNumberFormat="1" applyFont="1" applyFill="1" applyBorder="1" applyAlignment="1" applyProtection="1">
      <alignment vertical="center" shrinkToFit="1"/>
      <protection hidden="1"/>
    </xf>
    <xf numFmtId="4" fontId="12" fillId="5" borderId="12" xfId="0" applyNumberFormat="1" applyFont="1" applyFill="1" applyBorder="1" applyAlignment="1" applyProtection="1">
      <alignment vertical="center" shrinkToFit="1"/>
      <protection hidden="1"/>
    </xf>
    <xf numFmtId="4" fontId="12" fillId="5" borderId="78" xfId="0" applyNumberFormat="1" applyFont="1" applyFill="1" applyBorder="1" applyAlignment="1" applyProtection="1">
      <alignment vertical="center" shrinkToFit="1"/>
      <protection hidden="1"/>
    </xf>
    <xf numFmtId="4" fontId="12" fillId="5" borderId="48" xfId="0" applyNumberFormat="1" applyFont="1" applyFill="1" applyBorder="1" applyAlignment="1" applyProtection="1">
      <alignment vertical="center" shrinkToFit="1"/>
      <protection hidden="1"/>
    </xf>
    <xf numFmtId="4" fontId="12" fillId="2" borderId="23" xfId="0" applyNumberFormat="1" applyFont="1" applyFill="1" applyBorder="1" applyAlignment="1" applyProtection="1">
      <alignment horizontal="right" vertical="center" shrinkToFit="1"/>
      <protection hidden="1"/>
    </xf>
    <xf numFmtId="4" fontId="12" fillId="0" borderId="51" xfId="0" applyNumberFormat="1" applyFont="1" applyBorder="1" applyAlignment="1" applyProtection="1">
      <alignment vertical="center" shrinkToFit="1"/>
      <protection hidden="1"/>
    </xf>
    <xf numFmtId="4" fontId="12" fillId="0" borderId="50" xfId="0" applyNumberFormat="1" applyFont="1" applyBorder="1" applyAlignment="1" applyProtection="1">
      <alignment vertical="center" shrinkToFit="1"/>
      <protection hidden="1"/>
    </xf>
    <xf numFmtId="4" fontId="12" fillId="0" borderId="52" xfId="0" applyNumberFormat="1" applyFont="1" applyBorder="1" applyAlignment="1" applyProtection="1">
      <alignment vertical="center" shrinkToFit="1"/>
      <protection hidden="1"/>
    </xf>
    <xf numFmtId="0" fontId="57" fillId="0" borderId="6" xfId="0" applyFont="1" applyBorder="1"/>
    <xf numFmtId="0" fontId="12" fillId="0" borderId="6" xfId="0" applyFont="1" applyBorder="1"/>
    <xf numFmtId="3" fontId="12" fillId="11" borderId="92" xfId="0" applyNumberFormat="1" applyFont="1" applyFill="1" applyBorder="1" applyAlignment="1">
      <alignment vertical="top" wrapText="1"/>
    </xf>
    <xf numFmtId="3" fontId="12" fillId="13" borderId="92" xfId="0" applyNumberFormat="1" applyFont="1" applyFill="1" applyBorder="1" applyAlignment="1" applyProtection="1">
      <alignment vertical="top" wrapText="1"/>
      <protection locked="0" hidden="1"/>
    </xf>
    <xf numFmtId="4" fontId="57" fillId="9" borderId="90" xfId="0" applyNumberFormat="1" applyFont="1" applyFill="1" applyBorder="1" applyAlignment="1" applyProtection="1">
      <alignment horizontal="right" vertical="center"/>
      <protection hidden="1"/>
    </xf>
    <xf numFmtId="4" fontId="12" fillId="8" borderId="90" xfId="0" applyNumberFormat="1" applyFont="1" applyFill="1" applyBorder="1" applyAlignment="1" applyProtection="1">
      <alignment horizontal="right" vertical="center"/>
      <protection hidden="1"/>
    </xf>
    <xf numFmtId="4" fontId="57" fillId="0" borderId="90" xfId="0" applyNumberFormat="1" applyFont="1" applyBorder="1" applyAlignment="1" applyProtection="1">
      <alignment horizontal="right" vertical="center"/>
      <protection hidden="1"/>
    </xf>
    <xf numFmtId="4" fontId="57" fillId="9" borderId="6" xfId="0" applyNumberFormat="1" applyFont="1" applyFill="1" applyBorder="1" applyAlignment="1" applyProtection="1">
      <alignment horizontal="right" vertical="center"/>
      <protection hidden="1"/>
    </xf>
    <xf numFmtId="4" fontId="12" fillId="8" borderId="6" xfId="0" applyNumberFormat="1" applyFont="1" applyFill="1" applyBorder="1" applyAlignment="1" applyProtection="1">
      <alignment horizontal="right" vertical="center"/>
      <protection hidden="1"/>
    </xf>
    <xf numFmtId="4" fontId="57" fillId="0" borderId="6" xfId="0" applyNumberFormat="1" applyFont="1" applyBorder="1" applyAlignment="1" applyProtection="1">
      <alignment horizontal="right" vertical="center"/>
      <protection hidden="1"/>
    </xf>
    <xf numFmtId="0" fontId="64" fillId="0" borderId="0" xfId="0" applyFont="1" applyAlignment="1" applyProtection="1">
      <alignment horizontal="center" vertical="center"/>
      <protection locked="0"/>
    </xf>
    <xf numFmtId="49" fontId="65" fillId="0" borderId="0" xfId="0" applyNumberFormat="1" applyFont="1" applyAlignment="1" applyProtection="1">
      <alignment horizontal="left"/>
      <protection locked="0"/>
    </xf>
    <xf numFmtId="0" fontId="64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7" fillId="0" borderId="0" xfId="0" applyFont="1" applyProtection="1">
      <protection locked="0"/>
    </xf>
    <xf numFmtId="4" fontId="15" fillId="0" borderId="91" xfId="0" applyNumberFormat="1" applyFont="1" applyFill="1" applyBorder="1" applyAlignment="1" applyProtection="1">
      <alignment vertical="center" wrapText="1"/>
      <protection locked="0" hidden="1"/>
    </xf>
    <xf numFmtId="4" fontId="12" fillId="0" borderId="91" xfId="0" applyNumberFormat="1" applyFont="1" applyFill="1" applyBorder="1" applyAlignment="1" applyProtection="1">
      <alignment vertical="center" wrapText="1"/>
      <protection locked="0" hidden="1"/>
    </xf>
    <xf numFmtId="4" fontId="12" fillId="0" borderId="91" xfId="0" applyNumberFormat="1" applyFont="1" applyFill="1" applyBorder="1" applyAlignment="1" applyProtection="1">
      <alignment horizontal="right" vertical="center"/>
      <protection locked="0" hidden="1"/>
    </xf>
    <xf numFmtId="0" fontId="36" fillId="0" borderId="0" xfId="0" applyFont="1" applyAlignment="1" applyProtection="1">
      <alignment vertical="center"/>
      <protection locked="0"/>
    </xf>
    <xf numFmtId="0" fontId="35" fillId="0" borderId="0" xfId="0" applyFont="1" applyAlignment="1" applyProtection="1">
      <alignment vertical="center"/>
      <protection locked="0"/>
    </xf>
    <xf numFmtId="4" fontId="57" fillId="9" borderId="93" xfId="0" applyNumberFormat="1" applyFont="1" applyFill="1" applyBorder="1" applyAlignment="1" applyProtection="1">
      <alignment horizontal="right" vertical="center"/>
      <protection locked="0"/>
    </xf>
    <xf numFmtId="4" fontId="57" fillId="0" borderId="93" xfId="0" applyNumberFormat="1" applyFont="1" applyBorder="1" applyAlignment="1" applyProtection="1">
      <alignment horizontal="right" vertical="center"/>
      <protection locked="0"/>
    </xf>
    <xf numFmtId="4" fontId="57" fillId="9" borderId="98" xfId="0" applyNumberFormat="1" applyFont="1" applyFill="1" applyBorder="1" applyAlignment="1" applyProtection="1">
      <alignment horizontal="right" vertical="center"/>
      <protection locked="0"/>
    </xf>
    <xf numFmtId="4" fontId="12" fillId="0" borderId="91" xfId="0" applyNumberFormat="1" applyFont="1" applyFill="1" applyBorder="1" applyAlignment="1" applyProtection="1">
      <alignment horizontal="right" vertical="center" wrapText="1"/>
      <protection locked="0" hidden="1"/>
    </xf>
    <xf numFmtId="4" fontId="12" fillId="0" borderId="93" xfId="0" applyNumberFormat="1" applyFont="1" applyFill="1" applyBorder="1" applyAlignment="1" applyProtection="1">
      <alignment horizontal="right" vertical="center" wrapText="1"/>
      <protection locked="0" hidden="1"/>
    </xf>
    <xf numFmtId="43" fontId="68" fillId="0" borderId="91" xfId="0" applyNumberFormat="1" applyFont="1" applyBorder="1" applyAlignment="1" applyProtection="1">
      <alignment horizontal="right" vertical="center"/>
      <protection locked="0"/>
    </xf>
    <xf numFmtId="4" fontId="68" fillId="0" borderId="91" xfId="0" applyNumberFormat="1" applyFont="1" applyBorder="1" applyAlignment="1" applyProtection="1">
      <alignment horizontal="right" vertical="center"/>
      <protection locked="0"/>
    </xf>
    <xf numFmtId="0" fontId="69" fillId="0" borderId="91" xfId="0" applyFont="1" applyBorder="1" applyAlignment="1" applyProtection="1">
      <alignment horizontal="center" vertical="center" wrapText="1"/>
      <protection locked="0"/>
    </xf>
    <xf numFmtId="0" fontId="69" fillId="0" borderId="91" xfId="0" applyFont="1" applyBorder="1" applyAlignment="1" applyProtection="1">
      <alignment horizontal="center" vertical="center"/>
      <protection locked="0"/>
    </xf>
    <xf numFmtId="1" fontId="70" fillId="2" borderId="91" xfId="0" applyNumberFormat="1" applyFont="1" applyFill="1" applyBorder="1" applyAlignment="1" applyProtection="1">
      <alignment horizontal="center" vertical="center"/>
      <protection hidden="1"/>
    </xf>
    <xf numFmtId="0" fontId="71" fillId="2" borderId="91" xfId="0" applyNumberFormat="1" applyFont="1" applyFill="1" applyBorder="1" applyAlignment="1" applyProtection="1">
      <alignment horizontal="center" vertical="center"/>
      <protection hidden="1"/>
    </xf>
    <xf numFmtId="2" fontId="69" fillId="2" borderId="91" xfId="0" applyNumberFormat="1" applyFont="1" applyFill="1" applyBorder="1" applyAlignment="1" applyProtection="1">
      <alignment horizontal="center" vertical="center"/>
      <protection hidden="1"/>
    </xf>
    <xf numFmtId="2" fontId="71" fillId="2" borderId="91" xfId="0" applyNumberFormat="1" applyFont="1" applyFill="1" applyBorder="1" applyAlignment="1" applyProtection="1">
      <alignment horizontal="center" vertical="center"/>
      <protection hidden="1"/>
    </xf>
    <xf numFmtId="167" fontId="69" fillId="0" borderId="91" xfId="0" applyNumberFormat="1" applyFont="1" applyBorder="1" applyAlignment="1" applyProtection="1">
      <alignment horizontal="center" vertical="center"/>
      <protection locked="0"/>
    </xf>
    <xf numFmtId="3" fontId="72" fillId="0" borderId="91" xfId="0" applyNumberFormat="1" applyFont="1" applyFill="1" applyBorder="1" applyAlignment="1" applyProtection="1">
      <alignment horizontal="right" vertical="center"/>
      <protection locked="0" hidden="1"/>
    </xf>
    <xf numFmtId="3" fontId="73" fillId="9" borderId="98" xfId="0" applyNumberFormat="1" applyFont="1" applyFill="1" applyBorder="1" applyAlignment="1" applyProtection="1">
      <alignment horizontal="right" vertical="center"/>
      <protection locked="0"/>
    </xf>
    <xf numFmtId="3" fontId="74" fillId="9" borderId="97" xfId="0" applyNumberFormat="1" applyFont="1" applyFill="1" applyBorder="1" applyAlignment="1" applyProtection="1">
      <alignment horizontal="right" vertical="center"/>
      <protection locked="0"/>
    </xf>
    <xf numFmtId="3" fontId="75" fillId="0" borderId="91" xfId="0" applyNumberFormat="1" applyFont="1" applyFill="1" applyBorder="1" applyAlignment="1" applyProtection="1">
      <alignment horizontal="right" vertical="center"/>
      <protection locked="0" hidden="1"/>
    </xf>
    <xf numFmtId="3" fontId="74" fillId="0" borderId="98" xfId="0" applyNumberFormat="1" applyFont="1" applyBorder="1" applyAlignment="1" applyProtection="1">
      <alignment horizontal="right" vertical="center"/>
      <protection locked="0"/>
    </xf>
    <xf numFmtId="10" fontId="71" fillId="0" borderId="91" xfId="0" applyNumberFormat="1" applyFont="1" applyFill="1" applyBorder="1" applyAlignment="1" applyProtection="1">
      <alignment horizontal="center" vertical="center"/>
      <protection hidden="1"/>
    </xf>
    <xf numFmtId="1" fontId="69" fillId="8" borderId="91" xfId="0" applyNumberFormat="1" applyFont="1" applyFill="1" applyBorder="1" applyAlignment="1" applyProtection="1">
      <alignment horizontal="center" vertical="center"/>
      <protection hidden="1"/>
    </xf>
    <xf numFmtId="4" fontId="34" fillId="0" borderId="91" xfId="0" applyNumberFormat="1" applyFont="1" applyBorder="1" applyAlignment="1" applyProtection="1">
      <alignment horizontal="center" vertical="center" wrapText="1"/>
      <protection locked="0"/>
    </xf>
    <xf numFmtId="167" fontId="69" fillId="0" borderId="91" xfId="0" applyNumberFormat="1" applyFont="1" applyBorder="1" applyAlignment="1" applyProtection="1">
      <alignment horizontal="left" vertical="center" wrapText="1"/>
      <protection locked="0"/>
    </xf>
    <xf numFmtId="4" fontId="73" fillId="9" borderId="98" xfId="0" applyNumberFormat="1" applyFont="1" applyFill="1" applyBorder="1" applyAlignment="1" applyProtection="1">
      <alignment horizontal="right" vertical="center"/>
      <protection locked="0"/>
    </xf>
    <xf numFmtId="4" fontId="74" fillId="0" borderId="98" xfId="0" applyNumberFormat="1" applyFont="1" applyBorder="1" applyAlignment="1" applyProtection="1">
      <alignment horizontal="right" vertical="center"/>
      <protection locked="0"/>
    </xf>
    <xf numFmtId="4" fontId="74" fillId="9" borderId="97" xfId="0" applyNumberFormat="1" applyFont="1" applyFill="1" applyBorder="1" applyAlignment="1" applyProtection="1">
      <alignment horizontal="right" vertical="center"/>
      <protection locked="0"/>
    </xf>
    <xf numFmtId="4" fontId="75" fillId="0" borderId="91" xfId="0" applyNumberFormat="1" applyFont="1" applyFill="1" applyBorder="1" applyAlignment="1" applyProtection="1">
      <alignment horizontal="right" vertical="center"/>
      <protection locked="0" hidden="1"/>
    </xf>
    <xf numFmtId="0" fontId="0" fillId="0" borderId="0" xfId="0"/>
    <xf numFmtId="167" fontId="35" fillId="0" borderId="91" xfId="0" applyNumberFormat="1" applyFont="1" applyFill="1" applyBorder="1" applyAlignment="1" applyProtection="1">
      <alignment vertical="center"/>
      <protection locked="0"/>
    </xf>
    <xf numFmtId="167" fontId="33" fillId="0" borderId="91" xfId="0" applyNumberFormat="1" applyFont="1" applyBorder="1" applyAlignment="1" applyProtection="1">
      <alignment vertical="center" wrapText="1"/>
      <protection locked="0"/>
    </xf>
    <xf numFmtId="0" fontId="27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protection locked="0"/>
    </xf>
    <xf numFmtId="0" fontId="76" fillId="0" borderId="0" xfId="0" applyFont="1" applyProtection="1">
      <protection locked="0"/>
    </xf>
    <xf numFmtId="0" fontId="78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79" fillId="0" borderId="81" xfId="0" applyFont="1" applyBorder="1" applyAlignment="1" applyProtection="1">
      <alignment horizontal="centerContinuous" vertical="center" wrapText="1"/>
      <protection hidden="1"/>
    </xf>
    <xf numFmtId="0" fontId="79" fillId="0" borderId="82" xfId="0" applyFont="1" applyBorder="1" applyAlignment="1" applyProtection="1">
      <alignment horizontal="center" vertical="center" wrapText="1"/>
      <protection hidden="1"/>
    </xf>
    <xf numFmtId="0" fontId="79" fillId="0" borderId="83" xfId="0" applyFont="1" applyBorder="1" applyAlignment="1" applyProtection="1">
      <alignment horizontal="center" vertical="center" wrapText="1"/>
      <protection hidden="1"/>
    </xf>
    <xf numFmtId="167" fontId="17" fillId="11" borderId="92" xfId="0" applyNumberFormat="1" applyFont="1" applyFill="1" applyBorder="1" applyAlignment="1" applyProtection="1">
      <alignment vertical="top" wrapText="1"/>
    </xf>
    <xf numFmtId="167" fontId="4" fillId="0" borderId="91" xfId="0" applyNumberFormat="1" applyFont="1" applyBorder="1" applyAlignment="1" applyProtection="1">
      <alignment horizontal="center" vertical="center" wrapText="1"/>
      <protection locked="0"/>
    </xf>
    <xf numFmtId="167" fontId="4" fillId="0" borderId="91" xfId="0" applyNumberFormat="1" applyFont="1" applyBorder="1" applyAlignment="1" applyProtection="1">
      <alignment horizontal="center" vertical="center"/>
      <protection locked="0"/>
    </xf>
    <xf numFmtId="167" fontId="4" fillId="0" borderId="6" xfId="0" applyNumberFormat="1" applyFont="1" applyBorder="1" applyAlignment="1" applyProtection="1">
      <alignment horizontal="center" vertical="center" wrapText="1"/>
      <protection locked="0"/>
    </xf>
    <xf numFmtId="0" fontId="17" fillId="0" borderId="6" xfId="0" applyFont="1" applyBorder="1" applyAlignment="1" applyProtection="1">
      <alignment horizontal="center" vertical="center"/>
      <protection locked="0"/>
    </xf>
    <xf numFmtId="0" fontId="17" fillId="0" borderId="6" xfId="0" applyFont="1" applyBorder="1" applyAlignment="1" applyProtection="1">
      <alignment horizontal="center" vertical="center"/>
      <protection hidden="1"/>
    </xf>
    <xf numFmtId="0" fontId="4" fillId="0" borderId="6" xfId="0" applyFont="1" applyBorder="1"/>
    <xf numFmtId="0" fontId="79" fillId="0" borderId="17" xfId="0" applyFont="1" applyBorder="1" applyAlignment="1" applyProtection="1">
      <alignment horizontal="center" vertical="center" wrapText="1"/>
      <protection hidden="1"/>
    </xf>
    <xf numFmtId="167" fontId="17" fillId="11" borderId="92" xfId="0" applyNumberFormat="1" applyFont="1" applyFill="1" applyBorder="1" applyAlignment="1" applyProtection="1">
      <alignment vertical="top" wrapText="1"/>
      <protection locked="0"/>
    </xf>
    <xf numFmtId="167" fontId="4" fillId="3" borderId="91" xfId="0" applyNumberFormat="1" applyFont="1" applyFill="1" applyBorder="1" applyAlignment="1" applyProtection="1">
      <alignment horizontal="center" vertical="center"/>
      <protection locked="0"/>
    </xf>
    <xf numFmtId="0" fontId="4" fillId="0" borderId="96" xfId="0" applyFont="1" applyBorder="1" applyAlignment="1" applyProtection="1">
      <alignment horizontal="center" vertical="center"/>
      <protection hidden="1"/>
    </xf>
    <xf numFmtId="0" fontId="4" fillId="0" borderId="90" xfId="0" applyFont="1" applyBorder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80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79" fillId="0" borderId="25" xfId="0" applyFont="1" applyBorder="1" applyAlignment="1" applyProtection="1">
      <alignment horizontal="center" vertical="center" wrapText="1"/>
    </xf>
    <xf numFmtId="0" fontId="79" fillId="0" borderId="26" xfId="0" applyFont="1" applyBorder="1" applyAlignment="1" applyProtection="1">
      <alignment horizontal="center" vertical="center" wrapText="1"/>
    </xf>
    <xf numFmtId="0" fontId="79" fillId="0" borderId="2" xfId="0" applyFont="1" applyBorder="1" applyAlignment="1" applyProtection="1">
      <alignment horizontal="center" vertical="center" wrapText="1"/>
    </xf>
    <xf numFmtId="0" fontId="79" fillId="0" borderId="79" xfId="0" applyFont="1" applyBorder="1" applyAlignment="1" applyProtection="1">
      <alignment horizontal="center" vertical="center" wrapText="1"/>
    </xf>
    <xf numFmtId="167" fontId="4" fillId="0" borderId="91" xfId="0" applyNumberFormat="1" applyFont="1" applyBorder="1" applyAlignment="1" applyProtection="1">
      <alignment vertical="center" wrapText="1"/>
      <protection locked="0"/>
    </xf>
    <xf numFmtId="167" fontId="4" fillId="0" borderId="6" xfId="0" applyNumberFormat="1" applyFont="1" applyBorder="1" applyAlignment="1" applyProtection="1">
      <alignment vertical="center" wrapText="1"/>
      <protection locked="0"/>
    </xf>
    <xf numFmtId="0" fontId="4" fillId="0" borderId="6" xfId="0" applyFont="1" applyBorder="1" applyAlignment="1" applyProtection="1">
      <alignment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4" fontId="4" fillId="0" borderId="0" xfId="0" applyNumberFormat="1" applyFont="1" applyAlignment="1" applyProtection="1">
      <alignment horizontal="center" vertical="center"/>
      <protection locked="0"/>
    </xf>
    <xf numFmtId="0" fontId="4" fillId="0" borderId="6" xfId="0" applyFont="1" applyBorder="1" applyAlignment="1">
      <alignment horizontal="center" vertical="center"/>
    </xf>
    <xf numFmtId="0" fontId="79" fillId="0" borderId="25" xfId="0" applyFont="1" applyBorder="1" applyAlignment="1" applyProtection="1">
      <alignment horizontal="center" vertical="center" wrapText="1"/>
      <protection hidden="1"/>
    </xf>
    <xf numFmtId="0" fontId="79" fillId="0" borderId="16" xfId="0" applyFont="1" applyBorder="1" applyAlignment="1" applyProtection="1">
      <alignment horizontal="center" vertical="center" wrapText="1"/>
      <protection hidden="1"/>
    </xf>
    <xf numFmtId="0" fontId="79" fillId="0" borderId="18" xfId="0" applyFont="1" applyBorder="1" applyAlignment="1" applyProtection="1">
      <alignment horizontal="center" vertical="center" wrapText="1"/>
      <protection hidden="1"/>
    </xf>
    <xf numFmtId="167" fontId="17" fillId="11" borderId="92" xfId="0" applyNumberFormat="1" applyFont="1" applyFill="1" applyBorder="1" applyAlignment="1">
      <alignment vertical="top" wrapText="1"/>
    </xf>
    <xf numFmtId="49" fontId="80" fillId="0" borderId="0" xfId="0" applyNumberFormat="1" applyFont="1" applyAlignment="1" applyProtection="1">
      <alignment horizontal="center" vertical="center"/>
      <protection locked="0"/>
    </xf>
    <xf numFmtId="0" fontId="80" fillId="0" borderId="0" xfId="0" applyFont="1" applyAlignment="1" applyProtection="1">
      <alignment horizontal="center" vertical="center"/>
      <protection locked="0"/>
    </xf>
    <xf numFmtId="49" fontId="4" fillId="0" borderId="0" xfId="0" applyNumberFormat="1" applyFont="1" applyAlignment="1" applyProtection="1">
      <alignment horizontal="center" vertical="center" wrapText="1"/>
      <protection locked="0"/>
    </xf>
    <xf numFmtId="49" fontId="80" fillId="0" borderId="0" xfId="0" applyNumberFormat="1" applyFont="1" applyAlignment="1" applyProtection="1">
      <alignment horizontal="center" vertical="center" wrapText="1"/>
      <protection locked="0"/>
    </xf>
    <xf numFmtId="0" fontId="34" fillId="9" borderId="91" xfId="0" applyFont="1" applyFill="1" applyBorder="1" applyAlignment="1" applyProtection="1">
      <alignment horizontal="center" vertical="center" wrapText="1" shrinkToFit="1"/>
      <protection locked="0"/>
    </xf>
    <xf numFmtId="167" fontId="7" fillId="0" borderId="91" xfId="0" applyNumberFormat="1" applyFont="1" applyBorder="1" applyAlignment="1" applyProtection="1">
      <alignment horizontal="center" vertical="center"/>
      <protection locked="0"/>
    </xf>
    <xf numFmtId="167" fontId="20" fillId="0" borderId="91" xfId="0" applyNumberFormat="1" applyFont="1" applyBorder="1" applyAlignment="1" applyProtection="1">
      <alignment horizontal="center" vertical="center" wrapText="1"/>
      <protection locked="0"/>
    </xf>
    <xf numFmtId="167" fontId="1" fillId="0" borderId="91" xfId="0" applyNumberFormat="1" applyFont="1" applyBorder="1" applyAlignment="1" applyProtection="1">
      <alignment vertical="center" wrapText="1"/>
      <protection locked="0"/>
    </xf>
    <xf numFmtId="168" fontId="7" fillId="0" borderId="0" xfId="0" applyNumberFormat="1" applyFont="1" applyAlignment="1" applyProtection="1">
      <alignment horizontal="center" vertical="center" wrapText="1"/>
      <protection locked="0"/>
    </xf>
    <xf numFmtId="168" fontId="31" fillId="0" borderId="3" xfId="0" applyNumberFormat="1" applyFont="1" applyBorder="1" applyAlignment="1" applyProtection="1">
      <alignment horizontal="center" vertical="center" wrapText="1"/>
      <protection locked="0"/>
    </xf>
    <xf numFmtId="168" fontId="13" fillId="0" borderId="0" xfId="0" applyNumberFormat="1" applyFont="1" applyAlignment="1" applyProtection="1">
      <alignment horizontal="center" vertical="center" wrapText="1"/>
      <protection locked="0"/>
    </xf>
    <xf numFmtId="168" fontId="39" fillId="0" borderId="80" xfId="0" applyNumberFormat="1" applyFont="1" applyBorder="1" applyAlignment="1" applyProtection="1">
      <alignment horizontal="center" vertical="center" wrapText="1"/>
      <protection hidden="1"/>
    </xf>
    <xf numFmtId="168" fontId="43" fillId="0" borderId="82" xfId="0" applyNumberFormat="1" applyFont="1" applyBorder="1" applyAlignment="1" applyProtection="1">
      <alignment horizontal="center" vertical="center" wrapText="1"/>
      <protection hidden="1"/>
    </xf>
    <xf numFmtId="168" fontId="15" fillId="11" borderId="92" xfId="0" applyNumberFormat="1" applyFont="1" applyFill="1" applyBorder="1" applyAlignment="1" applyProtection="1">
      <alignment horizontal="center" vertical="center" wrapText="1"/>
    </xf>
    <xf numFmtId="168" fontId="21" fillId="0" borderId="6" xfId="0" applyNumberFormat="1" applyFont="1" applyBorder="1" applyAlignment="1" applyProtection="1">
      <alignment horizontal="center" vertical="center" wrapText="1"/>
      <protection locked="0"/>
    </xf>
    <xf numFmtId="168" fontId="9" fillId="0" borderId="6" xfId="0" applyNumberFormat="1" applyFont="1" applyBorder="1" applyAlignment="1" applyProtection="1">
      <alignment horizontal="center" vertical="center" wrapText="1"/>
      <protection locked="0"/>
    </xf>
    <xf numFmtId="168" fontId="9" fillId="0" borderId="0" xfId="0" applyNumberFormat="1" applyFont="1" applyAlignment="1" applyProtection="1">
      <alignment horizontal="center" vertical="center" wrapText="1"/>
      <protection locked="0"/>
    </xf>
    <xf numFmtId="168" fontId="19" fillId="0" borderId="0" xfId="0" applyNumberFormat="1" applyFont="1" applyAlignment="1" applyProtection="1">
      <alignment horizontal="center" vertical="center" wrapText="1"/>
      <protection locked="0"/>
    </xf>
    <xf numFmtId="168" fontId="7" fillId="0" borderId="6" xfId="0" applyNumberFormat="1" applyFont="1" applyBorder="1" applyAlignment="1">
      <alignment horizontal="center" vertical="center" wrapText="1"/>
    </xf>
    <xf numFmtId="168" fontId="43" fillId="0" borderId="16" xfId="0" applyNumberFormat="1" applyFont="1" applyBorder="1" applyAlignment="1" applyProtection="1">
      <alignment horizontal="center" vertical="center" wrapText="1"/>
      <protection hidden="1"/>
    </xf>
    <xf numFmtId="168" fontId="15" fillId="11" borderId="92" xfId="0" applyNumberFormat="1" applyFont="1" applyFill="1" applyBorder="1" applyAlignment="1">
      <alignment horizontal="center" vertical="center" wrapText="1"/>
    </xf>
    <xf numFmtId="168" fontId="34" fillId="0" borderId="91" xfId="0" applyNumberFormat="1" applyFont="1" applyBorder="1" applyAlignment="1" applyProtection="1">
      <alignment horizontal="center" vertical="center" wrapText="1"/>
      <protection locked="0"/>
    </xf>
    <xf numFmtId="168" fontId="34" fillId="0" borderId="95" xfId="0" applyNumberFormat="1" applyFont="1" applyBorder="1" applyAlignment="1" applyProtection="1">
      <alignment horizontal="center" vertical="center" wrapText="1"/>
      <protection hidden="1"/>
    </xf>
    <xf numFmtId="168" fontId="34" fillId="0" borderId="6" xfId="0" applyNumberFormat="1" applyFont="1" applyBorder="1" applyAlignment="1" applyProtection="1">
      <alignment horizontal="center" vertical="center" wrapText="1"/>
      <protection hidden="1"/>
    </xf>
    <xf numFmtId="168" fontId="27" fillId="0" borderId="0" xfId="0" applyNumberFormat="1" applyFont="1" applyAlignment="1" applyProtection="1">
      <alignment horizontal="center" vertical="center" wrapText="1"/>
      <protection locked="0"/>
    </xf>
    <xf numFmtId="168" fontId="50" fillId="0" borderId="0" xfId="0" applyNumberFormat="1" applyFont="1" applyAlignment="1" applyProtection="1">
      <alignment horizontal="center" vertical="center" wrapText="1"/>
      <protection locked="0"/>
    </xf>
    <xf numFmtId="168" fontId="0" fillId="0" borderId="0" xfId="0" applyNumberFormat="1" applyAlignment="1" applyProtection="1">
      <alignment horizontal="center" vertical="center"/>
      <protection locked="0"/>
    </xf>
    <xf numFmtId="0" fontId="35" fillId="0" borderId="93" xfId="0" applyFont="1" applyFill="1" applyBorder="1" applyAlignment="1" applyProtection="1">
      <alignment horizontal="center" vertical="center" wrapText="1"/>
      <protection locked="0"/>
    </xf>
    <xf numFmtId="0" fontId="68" fillId="0" borderId="0" xfId="0" applyFont="1" applyAlignment="1" applyProtection="1">
      <alignment horizontal="center" vertical="center"/>
      <protection locked="0"/>
    </xf>
    <xf numFmtId="0" fontId="82" fillId="0" borderId="0" xfId="0" applyFont="1" applyAlignment="1" applyProtection="1">
      <alignment horizontal="center" vertical="center"/>
      <protection locked="0"/>
    </xf>
    <xf numFmtId="0" fontId="83" fillId="0" borderId="16" xfId="0" applyFont="1" applyBorder="1" applyAlignment="1" applyProtection="1">
      <alignment horizontal="center" vertical="center" wrapText="1"/>
      <protection hidden="1"/>
    </xf>
    <xf numFmtId="4" fontId="82" fillId="11" borderId="92" xfId="0" applyNumberFormat="1" applyFont="1" applyFill="1" applyBorder="1" applyAlignment="1" applyProtection="1">
      <alignment vertical="top" wrapText="1"/>
    </xf>
    <xf numFmtId="4" fontId="68" fillId="0" borderId="91" xfId="0" applyNumberFormat="1" applyFont="1" applyBorder="1" applyAlignment="1" applyProtection="1">
      <alignment horizontal="right" vertical="center" shrinkToFit="1"/>
      <protection locked="0"/>
    </xf>
    <xf numFmtId="4" fontId="68" fillId="0" borderId="6" xfId="0" applyNumberFormat="1" applyFont="1" applyBorder="1" applyAlignment="1" applyProtection="1">
      <alignment horizontal="right" vertical="center" shrinkToFit="1"/>
      <protection locked="0"/>
    </xf>
    <xf numFmtId="4" fontId="82" fillId="5" borderId="5" xfId="0" applyNumberFormat="1" applyFont="1" applyFill="1" applyBorder="1" applyAlignment="1" applyProtection="1">
      <alignment vertical="center" shrinkToFit="1"/>
      <protection hidden="1"/>
    </xf>
    <xf numFmtId="4" fontId="82" fillId="2" borderId="23" xfId="0" applyNumberFormat="1" applyFont="1" applyFill="1" applyBorder="1" applyAlignment="1" applyProtection="1">
      <alignment horizontal="right" vertical="center" shrinkToFit="1"/>
      <protection hidden="1"/>
    </xf>
    <xf numFmtId="4" fontId="68" fillId="0" borderId="6" xfId="0" applyNumberFormat="1" applyFont="1" applyBorder="1" applyAlignment="1" applyProtection="1">
      <alignment horizontal="center" vertical="center" shrinkToFit="1"/>
      <protection hidden="1"/>
    </xf>
    <xf numFmtId="0" fontId="68" fillId="0" borderId="6" xfId="0" applyFont="1" applyBorder="1" applyAlignment="1">
      <alignment horizontal="center" vertical="center"/>
    </xf>
    <xf numFmtId="3" fontId="82" fillId="11" borderId="92" xfId="0" applyNumberFormat="1" applyFont="1" applyFill="1" applyBorder="1" applyAlignment="1">
      <alignment vertical="top" wrapText="1"/>
    </xf>
    <xf numFmtId="4" fontId="68" fillId="0" borderId="93" xfId="0" applyNumberFormat="1" applyFont="1" applyBorder="1" applyAlignment="1" applyProtection="1">
      <alignment horizontal="right" vertical="center"/>
      <protection locked="0"/>
    </xf>
    <xf numFmtId="3" fontId="68" fillId="0" borderId="91" xfId="0" applyNumberFormat="1" applyFont="1" applyBorder="1" applyAlignment="1" applyProtection="1">
      <alignment horizontal="right" vertical="center"/>
      <protection locked="0"/>
    </xf>
    <xf numFmtId="4" fontId="68" fillId="0" borderId="6" xfId="0" applyNumberFormat="1" applyFont="1" applyBorder="1" applyAlignment="1" applyProtection="1">
      <alignment horizontal="right" vertical="center"/>
      <protection hidden="1"/>
    </xf>
    <xf numFmtId="49" fontId="85" fillId="0" borderId="0" xfId="0" applyNumberFormat="1" applyFont="1" applyAlignment="1" applyProtection="1">
      <alignment horizontal="center" vertical="center"/>
      <protection locked="0"/>
    </xf>
    <xf numFmtId="0" fontId="86" fillId="0" borderId="0" xfId="0" applyFont="1" applyAlignment="1" applyProtection="1">
      <alignment horizontal="center" vertical="center"/>
      <protection locked="0"/>
    </xf>
    <xf numFmtId="0" fontId="68" fillId="0" borderId="0" xfId="0" applyFont="1" applyProtection="1">
      <protection locked="0"/>
    </xf>
    <xf numFmtId="4" fontId="13" fillId="0" borderId="91" xfId="0" applyNumberFormat="1" applyFont="1" applyFill="1" applyBorder="1" applyAlignment="1" applyProtection="1">
      <alignment horizontal="right" vertical="center"/>
      <protection locked="0" hidden="1"/>
    </xf>
    <xf numFmtId="4" fontId="87" fillId="0" borderId="91" xfId="0" applyNumberFormat="1" applyFont="1" applyBorder="1" applyAlignment="1" applyProtection="1">
      <alignment horizontal="right" vertical="center" wrapText="1"/>
      <protection locked="0"/>
    </xf>
    <xf numFmtId="0" fontId="34" fillId="0" borderId="91" xfId="0" applyNumberFormat="1" applyFont="1" applyBorder="1" applyAlignment="1" applyProtection="1">
      <alignment horizontal="center" vertical="center" wrapText="1"/>
      <protection locked="0"/>
    </xf>
    <xf numFmtId="0" fontId="58" fillId="0" borderId="85" xfId="0" applyFont="1" applyBorder="1" applyAlignment="1" applyProtection="1">
      <alignment horizontal="center" vertical="center" wrapText="1"/>
      <protection hidden="1"/>
    </xf>
    <xf numFmtId="0" fontId="58" fillId="0" borderId="85" xfId="0" applyFont="1" applyBorder="1" applyProtection="1">
      <protection hidden="1"/>
    </xf>
    <xf numFmtId="0" fontId="58" fillId="0" borderId="86" xfId="0" applyFont="1" applyBorder="1" applyProtection="1">
      <protection hidden="1"/>
    </xf>
    <xf numFmtId="0" fontId="62" fillId="0" borderId="85" xfId="0" applyFont="1" applyBorder="1" applyAlignment="1" applyProtection="1">
      <alignment horizontal="center" vertical="center" wrapText="1"/>
      <protection hidden="1"/>
    </xf>
    <xf numFmtId="0" fontId="62" fillId="0" borderId="85" xfId="0" applyFont="1" applyBorder="1" applyProtection="1">
      <protection hidden="1"/>
    </xf>
    <xf numFmtId="0" fontId="62" fillId="0" borderId="86" xfId="0" applyFont="1" applyBorder="1" applyProtection="1">
      <protection hidden="1"/>
    </xf>
    <xf numFmtId="0" fontId="79" fillId="0" borderId="88" xfId="0" applyFont="1" applyBorder="1" applyAlignment="1" applyProtection="1">
      <alignment horizontal="center" vertical="center" wrapText="1"/>
      <protection hidden="1"/>
    </xf>
    <xf numFmtId="0" fontId="79" fillId="0" borderId="85" xfId="0" applyFont="1" applyBorder="1" applyProtection="1">
      <protection hidden="1"/>
    </xf>
    <xf numFmtId="0" fontId="18" fillId="4" borderId="6" xfId="0" applyFont="1" applyFill="1" applyBorder="1" applyAlignment="1">
      <alignment horizontal="left" vertical="center"/>
    </xf>
    <xf numFmtId="0" fontId="8" fillId="0" borderId="6" xfId="0" applyFont="1" applyBorder="1"/>
    <xf numFmtId="0" fontId="9" fillId="0" borderId="0" xfId="0" applyFont="1" applyAlignment="1">
      <alignment horizontal="center" vertical="center"/>
    </xf>
    <xf numFmtId="0" fontId="0" fillId="0" borderId="0" xfId="0"/>
    <xf numFmtId="0" fontId="17" fillId="0" borderId="8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9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8" fillId="4" borderId="6" xfId="0" applyFont="1" applyFill="1" applyBorder="1" applyAlignment="1">
      <alignment vertical="center"/>
    </xf>
    <xf numFmtId="4" fontId="21" fillId="0" borderId="90" xfId="0" applyNumberFormat="1" applyFont="1" applyBorder="1" applyAlignment="1" applyProtection="1">
      <alignment horizontal="right" vertical="center"/>
      <protection hidden="1"/>
    </xf>
    <xf numFmtId="4" fontId="21" fillId="0" borderId="91" xfId="0" applyNumberFormat="1" applyFont="1" applyBorder="1" applyAlignment="1" applyProtection="1">
      <alignment horizontal="right" vertical="center"/>
      <protection locked="0"/>
    </xf>
    <xf numFmtId="4" fontId="34" fillId="0" borderId="91" xfId="0" applyNumberFormat="1" applyFont="1" applyBorder="1" applyAlignment="1" applyProtection="1">
      <alignment horizontal="right" vertical="center"/>
      <protection locked="0"/>
    </xf>
  </cellXfs>
  <cellStyles count="3">
    <cellStyle name="Comma" xfId="2" builtinId="3"/>
    <cellStyle name="Normal" xfId="0" builtinId="0"/>
    <cellStyle name="Percent" xfId="1" builtinId="5"/>
  </cellStyles>
  <dxfs count="320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4" formatCode="_-* #,##0.00_-;\-* #,##0.00_-;_-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4" formatCode="_-* #,##0.00_-;\-* #,##0.00_-;_-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4" formatCode="_-* #,##0.00_-;\-* #,##0.00_-;_-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/>
      </font>
      <fill>
        <patternFill patternType="solid">
          <fgColor indexed="64"/>
          <bgColor rgb="FFFFFF00"/>
        </patternFill>
      </fill>
    </dxf>
    <dxf>
      <font>
        <b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double">
          <color indexed="64"/>
        </left>
        <right style="thin">
          <color auto="1"/>
        </right>
        <top style="double">
          <color auto="1"/>
        </top>
        <bottom style="double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rgb="FF000000"/>
        </right>
        <top style="double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rgb="FF000000"/>
        </right>
        <top style="double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rgb="FF000000"/>
        </right>
        <top style="double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rgb="FF000000"/>
        </right>
        <top style="double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double">
          <color rgb="FF000000"/>
        </left>
        <right style="double">
          <color indexed="64"/>
        </right>
        <top style="double">
          <color auto="1"/>
        </top>
        <bottom style="double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double">
          <color rgb="FF000000"/>
        </left>
        <right style="double">
          <color indexed="64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ck">
          <color auto="1"/>
        </left>
        <right style="thin">
          <color rgb="FF000000"/>
        </right>
        <top style="double">
          <color auto="1"/>
        </top>
        <bottom style="double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ck">
          <color auto="1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double">
          <color rgb="FF000000"/>
        </left>
        <right style="thick">
          <color rgb="FF000000"/>
        </right>
        <top style="double">
          <color auto="1"/>
        </top>
        <bottom style="double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double">
          <color rgb="FF000000"/>
        </left>
        <right style="thick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ck">
          <color rgb="FF000000"/>
        </left>
        <right style="thin">
          <color rgb="FF000000"/>
        </right>
        <top style="double">
          <color auto="1"/>
        </top>
        <bottom style="double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ck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/>
        <top style="double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double">
          <color indexed="64"/>
        </right>
        <top style="double">
          <color auto="1"/>
        </top>
        <bottom style="double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general" vertical="center" textRotation="0" wrapText="1" indent="0" justifyLastLine="0" shrinkToFit="0" readingOrder="0"/>
      <border diagonalUp="0" diagonalDown="0">
        <left/>
        <right style="double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double">
          <color auto="1"/>
        </top>
      </border>
    </dxf>
    <dxf>
      <border outline="0">
        <left style="thin">
          <color indexed="64"/>
        </left>
        <right style="double">
          <color indexed="64"/>
        </right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35" formatCode="_(* #,##0.00_);_(* \(#,##0.00\);_(* &quot;-&quot;??_);_(@_)"/>
      <fill>
        <patternFill patternType="solid">
          <fgColor rgb="FFFFFF00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1" formatCode="0"/>
      <fill>
        <patternFill patternType="solid">
          <fgColor rgb="FFFFFF00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7" formatCode="dd\-mm\-yyyy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7" formatCode="dd\-mm\-yyyy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fill>
        <patternFill patternType="solid">
          <fgColor theme="0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7" formatCode="dd\-mm\-yyyy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fill>
        <patternFill patternType="solid">
          <fgColor theme="0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7" formatCode="dd\-mm\-yyyy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0" formatCode="General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0" formatCode="General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fill>
        <patternFill patternType="solid">
          <fgColor theme="0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7" formatCode="dd\-mm\-yyyy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fill>
        <patternFill patternType="solid">
          <fgColor theme="0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7" formatCode="dd\-mm\-yyyy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7" formatCode="dd\-mm\-yyyy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" formatCode="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" formatCode="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fill>
        <patternFill patternType="solid">
          <fgColor theme="0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7" formatCode="dd\-mm\-yyyy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fill>
        <patternFill patternType="solid">
          <fgColor theme="0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7" formatCode="dd\-mm\-yyyy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168" formatCode="&quot;SUPPLY AND DELIVERY OF &quot;@&quot;&quot;"/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numFmt numFmtId="168" formatCode="&quot;SUPPLY AND DELIVERY OF &quot;@&quot;&quot;"/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border>
        <top style="thick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border outline="0"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none"/>
      </font>
      <fill>
        <patternFill patternType="solid">
          <fgColor rgb="FFFF9900"/>
          <bgColor theme="0" tint="-0.34998626667073579"/>
        </patternFill>
      </fill>
      <alignment horizontal="general" vertical="top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ck">
          <color auto="1"/>
        </top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6" formatCode="[$-3409]dd\-mmm\-yy;@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ck">
          <color auto="1"/>
        </top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6" formatCode="[$-3409]dd\-mmm\-yy;@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auto="1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0" formatCode="General"/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general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0" formatCode="General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4" formatCode="#,##0.00"/>
      <alignment horizontal="right" vertical="center" textRotation="0" wrapText="0" indent="0" justifyLastLine="0" shrinkToFit="1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4" formatCode="#,##0.00"/>
      <alignment horizontal="right" vertical="center" textRotation="0" wrapText="0" indent="0" justifyLastLine="0" shrinkToFit="1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4" formatCode="#,##0.00"/>
      <fill>
        <patternFill patternType="solid">
          <fgColor rgb="FFFFFF00"/>
          <bgColor theme="0"/>
        </patternFill>
      </fill>
      <alignment horizontal="right" vertical="center" textRotation="0" wrapText="0" indent="0" justifyLastLine="0" shrinkToFit="1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none"/>
      </font>
      <numFmt numFmtId="4" formatCode="#,##0.00"/>
      <fill>
        <patternFill patternType="solid">
          <fgColor rgb="FFFFFF00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1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1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4" formatCode="#,##0.00"/>
      <fill>
        <patternFill patternType="solid">
          <fgColor rgb="FFFFFF00"/>
          <bgColor theme="0"/>
        </patternFill>
      </fill>
      <alignment horizontal="right" vertical="center" textRotation="0" wrapText="0" indent="0" justifyLastLine="0" shrinkToFit="1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none"/>
      </font>
      <numFmt numFmtId="4" formatCode="#,##0.00"/>
      <fill>
        <patternFill patternType="solid">
          <fgColor rgb="FFFFFF00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/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2" formatCode="0.0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border diagonalUp="0" diagonalDown="0" outline="0">
        <left/>
        <right/>
        <top/>
        <bottom style="thick">
          <color auto="1"/>
        </bottom>
      </border>
      <protection locked="1" hidden="1"/>
    </dxf>
    <dxf>
      <numFmt numFmtId="167" formatCode="dd\-mm\-yyyy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" formatCode="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" formatCode="0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67" formatCode="dd\-mm\-yyyy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0" formatCode="General"/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border diagonalUp="0" diagonalDown="0" outline="0">
        <left/>
        <right/>
        <top/>
        <bottom style="thick">
          <color auto="1"/>
        </bottom>
      </border>
      <protection locked="1" hidden="1"/>
    </dxf>
    <dxf>
      <numFmt numFmtId="168" formatCode="&quot;SUPPLY AND DELIVERY OF &quot;@&quot;&quot;"/>
      <alignment horizontal="center" vertical="center" textRotation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rgb="FF000000"/>
        </right>
        <top/>
        <bottom style="thick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medium">
          <color indexed="64"/>
        </vertical>
        <horizontal style="thin">
          <color indexed="64"/>
        </horizontal>
      </border>
      <protection locked="0" hidden="0"/>
    </dxf>
    <dxf>
      <border>
        <top style="thick">
          <color auto="1"/>
        </top>
      </border>
    </dxf>
    <dxf>
      <protection locked="1" hidden="1"/>
    </dxf>
    <dxf>
      <border outline="0">
        <left style="medium">
          <color indexed="64"/>
        </left>
        <right style="medium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scheme val="none"/>
      </font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/>
      </border>
      <protection locked="1" hidden="1"/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none"/>
      </fill>
    </dxf>
    <dxf>
      <font>
        <b/>
        <i val="0"/>
        <color theme="8" tint="-0.499984740745262"/>
      </font>
      <fill>
        <patternFill patternType="none">
          <bgColor auto="1"/>
        </patternFill>
      </fill>
    </dxf>
    <dxf>
      <font>
        <b/>
        <i val="0"/>
        <color rgb="FF00206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strike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theme="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3" defaultTableStyle="Table Style 1">
    <tableStyle name="Invisible" pivot="0" table="0" count="0"/>
    <tableStyle name="Table Style 1" pivot="0" count="2">
      <tableStyleElement type="wholeTable" dxfId="319"/>
      <tableStyleElement type="headerRow" dxfId="318"/>
    </tableStyle>
    <tableStyle name="Tool 1-Processing-style" pivot="0" count="4">
      <tableStyleElement type="headerRow" dxfId="317"/>
      <tableStyleElement type="totalRow" dxfId="316"/>
      <tableStyleElement type="firstRowStripe" dxfId="315"/>
      <tableStyleElement type="secondRowStripe" dxfId="314"/>
    </tableStyle>
    <tableStyle name="Tool 1-Processing-style 2" pivot="0" count="4">
      <tableStyleElement type="headerRow" dxfId="313"/>
      <tableStyleElement type="totalRow" dxfId="312"/>
      <tableStyleElement type="firstRowStripe" dxfId="311"/>
      <tableStyleElement type="secondRowStripe" dxfId="310"/>
    </tableStyle>
    <tableStyle name="Tool 2_Graphics-style" pivot="0" count="3">
      <tableStyleElement type="headerRow" dxfId="309"/>
      <tableStyleElement type="firstRowStripe" dxfId="308"/>
      <tableStyleElement type="secondRowStripe" dxfId="307"/>
    </tableStyle>
    <tableStyle name="Tool 2_Graphics-style 2" pivot="0" count="3">
      <tableStyleElement type="headerRow" dxfId="306"/>
      <tableStyleElement type="firstRowStripe" dxfId="305"/>
      <tableStyleElement type="secondRowStripe" dxfId="304"/>
    </tableStyle>
    <tableStyle name="Tool 2_Graphics-style 3" pivot="0" count="3">
      <tableStyleElement type="headerRow" dxfId="303"/>
      <tableStyleElement type="firstRowStripe" dxfId="302"/>
      <tableStyleElement type="secondRowStripe" dxfId="301"/>
    </tableStyle>
    <tableStyle name="Tool 2_Graphics-style 4" pivot="0" count="3">
      <tableStyleElement type="headerRow" dxfId="300"/>
      <tableStyleElement type="firstRowStripe" dxfId="299"/>
      <tableStyleElement type="secondRowStripe" dxfId="298"/>
    </tableStyle>
    <tableStyle name="Tool 2_Graphics-style 5" pivot="0" count="3">
      <tableStyleElement type="headerRow" dxfId="297"/>
      <tableStyleElement type="firstRowStripe" dxfId="296"/>
      <tableStyleElement type="secondRowStripe" dxfId="295"/>
    </tableStyle>
    <tableStyle name="Tool 2_Graphics-style 6" pivot="0" count="3">
      <tableStyleElement type="headerRow" dxfId="294"/>
      <tableStyleElement type="firstRowStripe" dxfId="293"/>
      <tableStyleElement type="secondRowStripe" dxfId="292"/>
    </tableStyle>
    <tableStyle name="Tool 2_Graphics-style 7" pivot="0" count="4">
      <tableStyleElement type="headerRow" dxfId="291"/>
      <tableStyleElement type="totalRow" dxfId="290"/>
      <tableStyleElement type="firstRowStripe" dxfId="289"/>
      <tableStyleElement type="secondRowStripe" dxfId="288"/>
    </tableStyle>
    <tableStyle name="Tool 2_Graphics-style 8" pivot="0" count="3">
      <tableStyleElement type="headerRow" dxfId="287"/>
      <tableStyleElement type="firstRowStripe" dxfId="286"/>
      <tableStyleElement type="secondRowStripe" dxfId="285"/>
    </tableStyle>
    <tableStyle name="Tool 2_Graphics-style 9" pivot="0" count="3">
      <tableStyleElement type="headerRow" dxfId="284"/>
      <tableStyleElement type="firstRowStripe" dxfId="283"/>
      <tableStyleElement type="secondRowStripe" dxfId="282"/>
    </tableStyle>
  </tableStyles>
  <colors>
    <mruColors>
      <color rgb="FF16AF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customschemas.google.com/relationships/workbookmetadata" Target="metadata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GOBAC-817\Downloads\JAN-JUN-2024-GPPB-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MR%202024/JAN-JUN-2024-GPPB-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DELIVERY."/>
      <sheetName val="Sheet6"/>
      <sheetName val="PO"/>
      <sheetName val="SERVED"/>
      <sheetName val="CHARGES"/>
      <sheetName val="Validation Menu"/>
      <sheetName val="Tool 1-Processing"/>
    </sheetNames>
    <sheetDataSet>
      <sheetData sheetId="0">
        <row r="1">
          <cell r="A1" t="str">
            <v>COMPLETED PROCUREMENT ACTIVITIES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/>
          </cell>
          <cell r="I1">
            <v>0</v>
          </cell>
          <cell r="J1">
            <v>0</v>
          </cell>
          <cell r="K1">
            <v>0</v>
          </cell>
          <cell r="L1" t="str">
            <v/>
          </cell>
          <cell r="M1">
            <v>0</v>
          </cell>
          <cell r="N1">
            <v>0</v>
          </cell>
          <cell r="O1">
            <v>0</v>
          </cell>
          <cell r="P1" t="str">
            <v/>
          </cell>
          <cell r="Q1" t="str">
            <v/>
          </cell>
          <cell r="R1" t="str">
            <v/>
          </cell>
          <cell r="S1">
            <v>0</v>
          </cell>
          <cell r="T1">
            <v>0</v>
          </cell>
          <cell r="U1">
            <v>0</v>
          </cell>
          <cell r="V1" t="str">
            <v/>
          </cell>
          <cell r="W1" t="str">
            <v/>
          </cell>
          <cell r="X1">
            <v>0</v>
          </cell>
          <cell r="Y1">
            <v>0</v>
          </cell>
          <cell r="Z1">
            <v>0</v>
          </cell>
          <cell r="AA1" t="str">
            <v/>
          </cell>
          <cell r="AB1">
            <v>0</v>
          </cell>
          <cell r="AC1">
            <v>0</v>
          </cell>
          <cell r="AD1" t="str">
            <v/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 t="str">
            <v/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 t="str">
            <v>Actual Procurement Activities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 t="str">
            <v>ABC (PhP)</v>
          </cell>
          <cell r="AB2">
            <v>0</v>
          </cell>
          <cell r="AC2">
            <v>0</v>
          </cell>
          <cell r="AD2" t="str">
            <v>Contract Cost (PhP)</v>
          </cell>
          <cell r="AE2">
            <v>0</v>
          </cell>
          <cell r="AF2">
            <v>0</v>
          </cell>
          <cell r="AG2">
            <v>0</v>
          </cell>
          <cell r="AH2" t="str">
            <v>Date of Receipt of Invitation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</row>
        <row r="3">
          <cell r="A3" t="str">
            <v>Code
(PAP)</v>
          </cell>
          <cell r="B3" t="str">
            <v>Procurement Project</v>
          </cell>
          <cell r="C3" t="str">
            <v>PMO/End-User</v>
          </cell>
          <cell r="D3" t="str">
            <v>Is this an Early Procurement Activity?</v>
          </cell>
          <cell r="E3" t="str">
            <v>Mode of Procurement</v>
          </cell>
          <cell r="F3" t="str">
            <v>Pre-Proc Conference</v>
          </cell>
          <cell r="G3" t="str">
            <v>Ads/Post of IB</v>
          </cell>
          <cell r="H3" t="str">
            <v>Ave. No. of Days to Commence Procurement 
(Pre-Proc to Posting of IB) (i.3)</v>
          </cell>
          <cell r="I3" t="str">
            <v>Pre-bid Conf</v>
          </cell>
          <cell r="J3" t="str">
            <v>Eligibility Check</v>
          </cell>
          <cell r="K3" t="str">
            <v>Sub/Open of Bids</v>
          </cell>
          <cell r="L3" t="str">
            <v>Average No. of Days to open bid proposals 
(Posting of IB to Opening of Bids) (i.4)</v>
          </cell>
          <cell r="M3" t="str">
            <v>Bid Evaluation</v>
          </cell>
          <cell r="N3" t="str">
            <v>Post Qual</v>
          </cell>
          <cell r="O3" t="str">
            <v>Date of BAC Resolution Recommending Award</v>
          </cell>
          <cell r="P3" t="str">
            <v xml:space="preserve">Accumulated Days in Evaluation of Bids 
(Opening of Bids to Post Qua) </v>
          </cell>
          <cell r="Q3" t="str">
            <v>Average Number of Days to Recommend Award
(Opening of Bids to Recommend Award) (i.5)</v>
          </cell>
          <cell r="R3" t="str">
            <v xml:space="preserve"> Average Number of Days to Conclude Procurement 
 (IB to BAC Reso) (i.6)</v>
          </cell>
          <cell r="S3" t="str">
            <v>Notice of Award</v>
          </cell>
          <cell r="T3" t="str">
            <v>Contract Signing</v>
          </cell>
          <cell r="U3" t="str">
            <v>Notice to Proceed</v>
          </cell>
          <cell r="V3" t="str">
            <v>Average Number of Days to Issue Notice to Proceed
(NOA to NTP) (i.7)</v>
          </cell>
          <cell r="W3" t="str">
            <v>Average
Days from (Posting of IB to NTP) (i.8)</v>
          </cell>
          <cell r="X3" t="str">
            <v>Delivery/ Completion</v>
          </cell>
          <cell r="Y3" t="str">
            <v>Inspection &amp; Acceptance</v>
          </cell>
          <cell r="Z3" t="str">
            <v>Source of Funds</v>
          </cell>
          <cell r="AA3" t="str">
            <v xml:space="preserve">Total </v>
          </cell>
          <cell r="AB3" t="str">
            <v>MOOE</v>
          </cell>
          <cell r="AC3" t="str">
            <v>CO</v>
          </cell>
          <cell r="AD3" t="str">
            <v>Total2</v>
          </cell>
          <cell r="AE3" t="str">
            <v>MOOE2</v>
          </cell>
          <cell r="AF3" t="str">
            <v>CO3</v>
          </cell>
          <cell r="AG3" t="str">
            <v>List of Invited Observers</v>
          </cell>
          <cell r="AH3" t="str">
            <v>Pre-bid Conf4</v>
          </cell>
          <cell r="AI3" t="str">
            <v>Eligibility Check5</v>
          </cell>
          <cell r="AJ3" t="str">
            <v>Sub/ Open of Bids6</v>
          </cell>
          <cell r="AK3" t="str">
            <v>Bid Evaluation7</v>
          </cell>
          <cell r="AL3" t="str">
            <v>Post Qual8</v>
          </cell>
          <cell r="AM3" t="str">
            <v>Delivery/
Completion/
Acceptance
(If applicable)</v>
          </cell>
          <cell r="AN3" t="str">
            <v>Remarks
(Explaining changes from the APP)</v>
          </cell>
          <cell r="AO3" t="str">
            <v>Column1</v>
          </cell>
        </row>
        <row r="4">
          <cell r="A4" t="str">
            <v>23-C0756</v>
          </cell>
          <cell r="B4" t="str">
            <v>COMPUTER SUPPLIES</v>
          </cell>
          <cell r="C4" t="str">
            <v>PGSO</v>
          </cell>
          <cell r="D4" t="str">
            <v>No</v>
          </cell>
          <cell r="E4" t="str">
            <v>NP-53.1 Two Failed Biddings</v>
          </cell>
          <cell r="F4">
            <v>45237</v>
          </cell>
          <cell r="G4">
            <v>45281</v>
          </cell>
          <cell r="H4">
            <v>44</v>
          </cell>
          <cell r="I4" t="str">
            <v>N/A</v>
          </cell>
          <cell r="J4">
            <v>45314</v>
          </cell>
          <cell r="K4">
            <v>45314</v>
          </cell>
          <cell r="L4">
            <v>33</v>
          </cell>
          <cell r="M4" t="str">
            <v>N/A</v>
          </cell>
          <cell r="N4" t="str">
            <v>N/A</v>
          </cell>
          <cell r="O4">
            <v>45315</v>
          </cell>
          <cell r="P4" t="str">
            <v/>
          </cell>
          <cell r="Q4" t="str">
            <v/>
          </cell>
          <cell r="R4" t="str">
            <v/>
          </cell>
          <cell r="S4">
            <v>45316</v>
          </cell>
          <cell r="T4">
            <v>45329</v>
          </cell>
          <cell r="U4">
            <v>45348</v>
          </cell>
          <cell r="V4" t="str">
            <v/>
          </cell>
          <cell r="W4" t="str">
            <v/>
          </cell>
          <cell r="X4">
            <v>45432</v>
          </cell>
          <cell r="Y4">
            <v>45432</v>
          </cell>
          <cell r="Z4">
            <v>0</v>
          </cell>
          <cell r="AA4">
            <v>369476.76</v>
          </cell>
          <cell r="AB4">
            <v>0</v>
          </cell>
          <cell r="AC4">
            <v>369476.76</v>
          </cell>
          <cell r="AD4">
            <v>361670</v>
          </cell>
          <cell r="AE4">
            <v>0</v>
          </cell>
          <cell r="AF4">
            <v>361670</v>
          </cell>
          <cell r="AG4" t="str">
            <v>ENGR. MICHAEL C. SALARDA
MS. LEONARDA M. LATOR
MS. CARMENCITA VALDEZ
MS. SORAYA P. VERGARA</v>
          </cell>
          <cell r="AH4" t="str">
            <v>N/A</v>
          </cell>
          <cell r="AI4" t="str">
            <v>N/A</v>
          </cell>
          <cell r="AJ4" t="str">
            <v>N/A</v>
          </cell>
          <cell r="AK4" t="str">
            <v>N/A</v>
          </cell>
          <cell r="AL4" t="str">
            <v>N/A</v>
          </cell>
          <cell r="AM4" t="str">
            <v>N/A</v>
          </cell>
          <cell r="AN4">
            <v>0</v>
          </cell>
          <cell r="AO4" t="b">
            <v>0</v>
          </cell>
        </row>
        <row r="5">
          <cell r="A5" t="str">
            <v>23-4647</v>
          </cell>
          <cell r="B5" t="str">
            <v>TANDEM REMOTE WEATHER STATION</v>
          </cell>
          <cell r="C5" t="str">
            <v>PDRRMO</v>
          </cell>
          <cell r="D5" t="str">
            <v>No</v>
          </cell>
          <cell r="E5" t="str">
            <v>Competitive Bidding</v>
          </cell>
          <cell r="F5" t="str">
            <v>N/A</v>
          </cell>
          <cell r="G5">
            <v>45243</v>
          </cell>
          <cell r="H5">
            <v>0</v>
          </cell>
          <cell r="I5">
            <v>45251</v>
          </cell>
          <cell r="J5">
            <v>45265</v>
          </cell>
          <cell r="K5">
            <v>45265</v>
          </cell>
          <cell r="L5">
            <v>0</v>
          </cell>
          <cell r="M5">
            <v>45265</v>
          </cell>
          <cell r="N5">
            <v>45278</v>
          </cell>
          <cell r="O5">
            <v>45302</v>
          </cell>
          <cell r="P5">
            <v>0</v>
          </cell>
          <cell r="Q5">
            <v>0</v>
          </cell>
          <cell r="R5">
            <v>0</v>
          </cell>
          <cell r="S5">
            <v>45303</v>
          </cell>
          <cell r="T5">
            <v>45328</v>
          </cell>
          <cell r="U5">
            <v>45328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1965565.38</v>
          </cell>
          <cell r="AB5">
            <v>0</v>
          </cell>
          <cell r="AC5">
            <v>1965565.38</v>
          </cell>
          <cell r="AD5">
            <v>1899000</v>
          </cell>
          <cell r="AE5">
            <v>0</v>
          </cell>
          <cell r="AF5">
            <v>1899000</v>
          </cell>
          <cell r="AG5" t="str">
            <v>ENGR. MICHAEL C. SALARDA
MS. LEONARDA M. LATOR
MS. CARMENCITA VALDEZ
MS. SORAYA P. VERGARA</v>
          </cell>
          <cell r="AH5">
            <v>45250</v>
          </cell>
          <cell r="AI5">
            <v>45261</v>
          </cell>
          <cell r="AJ5">
            <v>45261</v>
          </cell>
          <cell r="AK5">
            <v>45261</v>
          </cell>
          <cell r="AL5" t="str">
            <v>N/A</v>
          </cell>
          <cell r="AM5" t="str">
            <v>N/A</v>
          </cell>
          <cell r="AN5">
            <v>0</v>
          </cell>
          <cell r="AO5" t="b">
            <v>0</v>
          </cell>
        </row>
        <row r="6">
          <cell r="A6" t="str">
            <v>23-5446</v>
          </cell>
          <cell r="B6" t="str">
            <v>SPAREPARTS</v>
          </cell>
          <cell r="C6" t="str">
            <v>PDRRMO</v>
          </cell>
          <cell r="D6" t="str">
            <v>No</v>
          </cell>
          <cell r="E6" t="str">
            <v>Shopping 52.1(a) - Unforeseen Contingency</v>
          </cell>
          <cell r="F6">
            <v>45265</v>
          </cell>
          <cell r="G6">
            <v>45272</v>
          </cell>
          <cell r="H6">
            <v>0</v>
          </cell>
          <cell r="I6" t="str">
            <v>N/A</v>
          </cell>
          <cell r="J6">
            <v>45300</v>
          </cell>
          <cell r="K6">
            <v>45300</v>
          </cell>
          <cell r="L6">
            <v>0</v>
          </cell>
          <cell r="M6" t="str">
            <v>N/A</v>
          </cell>
          <cell r="N6" t="str">
            <v>N/A</v>
          </cell>
          <cell r="O6">
            <v>45302</v>
          </cell>
          <cell r="P6">
            <v>0</v>
          </cell>
          <cell r="Q6">
            <v>0</v>
          </cell>
          <cell r="R6">
            <v>0</v>
          </cell>
          <cell r="S6" t="str">
            <v>N/A</v>
          </cell>
          <cell r="T6">
            <v>45328</v>
          </cell>
          <cell r="U6">
            <v>45335</v>
          </cell>
          <cell r="V6">
            <v>0</v>
          </cell>
          <cell r="W6">
            <v>0</v>
          </cell>
          <cell r="X6">
            <v>45335</v>
          </cell>
          <cell r="Y6">
            <v>45335</v>
          </cell>
          <cell r="Z6">
            <v>0</v>
          </cell>
          <cell r="AA6">
            <v>38750</v>
          </cell>
          <cell r="AB6">
            <v>0</v>
          </cell>
          <cell r="AC6">
            <v>38750</v>
          </cell>
          <cell r="AD6">
            <v>38750</v>
          </cell>
          <cell r="AE6">
            <v>0</v>
          </cell>
          <cell r="AF6">
            <v>38750</v>
          </cell>
          <cell r="AG6" t="str">
            <v>ENGR. MICHAEL C. SALARDA
MS. LEONARDA M. LATOR
MS. CARMENCITA VALDEZ
MS. SORAYA P. VERGARA</v>
          </cell>
          <cell r="AH6" t="str">
            <v>N/A</v>
          </cell>
          <cell r="AI6" t="str">
            <v>N/A</v>
          </cell>
          <cell r="AJ6" t="str">
            <v>N/A</v>
          </cell>
          <cell r="AK6" t="str">
            <v>N/A</v>
          </cell>
          <cell r="AL6" t="str">
            <v>N/A</v>
          </cell>
          <cell r="AM6" t="str">
            <v>N/A</v>
          </cell>
          <cell r="AN6">
            <v>0</v>
          </cell>
          <cell r="AO6" t="b">
            <v>0</v>
          </cell>
        </row>
        <row r="7">
          <cell r="A7" t="str">
            <v xml:space="preserve"> 23-5452</v>
          </cell>
          <cell r="B7" t="str">
            <v>SPAREPARTS</v>
          </cell>
          <cell r="C7" t="str">
            <v>PGSO</v>
          </cell>
          <cell r="D7" t="str">
            <v>No</v>
          </cell>
          <cell r="E7" t="str">
            <v>Shopping 52.1(a) - Unforeseen Contingency</v>
          </cell>
          <cell r="F7">
            <v>45265</v>
          </cell>
          <cell r="G7">
            <v>45272</v>
          </cell>
          <cell r="H7">
            <v>7</v>
          </cell>
          <cell r="I7" t="str">
            <v>N/A</v>
          </cell>
          <cell r="J7">
            <v>45300</v>
          </cell>
          <cell r="K7">
            <v>45300</v>
          </cell>
          <cell r="L7">
            <v>28</v>
          </cell>
          <cell r="M7" t="str">
            <v>N/A</v>
          </cell>
          <cell r="N7" t="str">
            <v>N/A</v>
          </cell>
          <cell r="O7">
            <v>45302</v>
          </cell>
          <cell r="P7" t="str">
            <v/>
          </cell>
          <cell r="Q7" t="str">
            <v/>
          </cell>
          <cell r="R7" t="str">
            <v/>
          </cell>
          <cell r="S7" t="str">
            <v>N/A</v>
          </cell>
          <cell r="T7">
            <v>45328</v>
          </cell>
          <cell r="U7">
            <v>45335</v>
          </cell>
          <cell r="V7" t="str">
            <v/>
          </cell>
          <cell r="W7" t="str">
            <v/>
          </cell>
          <cell r="X7">
            <v>0</v>
          </cell>
          <cell r="Y7">
            <v>0</v>
          </cell>
          <cell r="Z7">
            <v>0</v>
          </cell>
          <cell r="AA7">
            <v>92800</v>
          </cell>
          <cell r="AB7">
            <v>0</v>
          </cell>
          <cell r="AC7">
            <v>92800</v>
          </cell>
          <cell r="AD7">
            <v>92800</v>
          </cell>
          <cell r="AE7">
            <v>0</v>
          </cell>
          <cell r="AF7">
            <v>92800</v>
          </cell>
          <cell r="AG7" t="str">
            <v>ENGR. MICHAEL C. SALARDA
MS. LEONARDA M. LATOR
MS. CARMENCITA VALDEZ
MS. SORAYA P. VERGARA</v>
          </cell>
          <cell r="AH7" t="str">
            <v>N/A</v>
          </cell>
          <cell r="AI7" t="str">
            <v>N/A</v>
          </cell>
          <cell r="AJ7" t="str">
            <v>N/A</v>
          </cell>
          <cell r="AK7" t="str">
            <v>N/A</v>
          </cell>
          <cell r="AL7" t="str">
            <v>N/A</v>
          </cell>
          <cell r="AM7" t="str">
            <v>N/A</v>
          </cell>
          <cell r="AN7">
            <v>0</v>
          </cell>
          <cell r="AO7" t="b">
            <v>0</v>
          </cell>
        </row>
        <row r="8">
          <cell r="A8" t="str">
            <v>23-3966</v>
          </cell>
          <cell r="B8" t="str">
            <v>1 LOT CONSTRUCTION OF CENTER ISLAND WITH SOLAR LIGHTS AT BRGY. POBLACION, COMPOSTELA (180 In.m. Center Island with 12 units of Solar light</v>
          </cell>
          <cell r="C8" t="str">
            <v>PEO</v>
          </cell>
          <cell r="D8" t="str">
            <v>No</v>
          </cell>
          <cell r="E8" t="str">
            <v>Competitive Bidding</v>
          </cell>
          <cell r="F8">
            <v>45188</v>
          </cell>
          <cell r="G8">
            <v>45215</v>
          </cell>
          <cell r="H8" t="str">
            <v/>
          </cell>
          <cell r="I8">
            <v>45237</v>
          </cell>
          <cell r="J8">
            <v>45245</v>
          </cell>
          <cell r="K8">
            <v>45245</v>
          </cell>
          <cell r="L8" t="str">
            <v/>
          </cell>
          <cell r="M8">
            <v>45245</v>
          </cell>
          <cell r="N8">
            <v>45295</v>
          </cell>
          <cell r="O8">
            <v>45302</v>
          </cell>
          <cell r="P8" t="str">
            <v/>
          </cell>
          <cell r="Q8" t="str">
            <v/>
          </cell>
          <cell r="R8" t="str">
            <v/>
          </cell>
          <cell r="S8">
            <v>45306</v>
          </cell>
          <cell r="T8">
            <v>45306</v>
          </cell>
          <cell r="U8">
            <v>45310</v>
          </cell>
          <cell r="V8" t="str">
            <v/>
          </cell>
          <cell r="W8" t="str">
            <v/>
          </cell>
          <cell r="X8" t="str">
            <v>N/A</v>
          </cell>
          <cell r="Y8" t="str">
            <v>N/A</v>
          </cell>
          <cell r="Z8">
            <v>0</v>
          </cell>
          <cell r="AA8">
            <v>2876333.74</v>
          </cell>
          <cell r="AB8">
            <v>0</v>
          </cell>
          <cell r="AC8">
            <v>2876333.74</v>
          </cell>
          <cell r="AD8">
            <v>2871777.81</v>
          </cell>
          <cell r="AE8">
            <v>0</v>
          </cell>
          <cell r="AF8">
            <v>2871777.81</v>
          </cell>
          <cell r="AG8" t="str">
            <v>ENGR. MICHAEL C. SALARDA
MS. LEONARDA M. LATOR
MS. CARMENCITA VALDEZ
MS. SORAYA P. VERGARA</v>
          </cell>
          <cell r="AH8">
            <v>45236</v>
          </cell>
          <cell r="AI8">
            <v>45240</v>
          </cell>
          <cell r="AJ8">
            <v>45240</v>
          </cell>
          <cell r="AK8">
            <v>45240</v>
          </cell>
          <cell r="AL8" t="str">
            <v>N/A</v>
          </cell>
          <cell r="AM8" t="str">
            <v>N/A</v>
          </cell>
          <cell r="AN8">
            <v>0</v>
          </cell>
          <cell r="AO8" t="str">
            <v/>
          </cell>
        </row>
        <row r="9">
          <cell r="A9" t="str">
            <v>23-2001</v>
          </cell>
          <cell r="B9" t="str">
            <v>IMPROVEMENT OF DAVAO DE ORO PROVINCIAL HOSPITAL, PANTUKAN (Completion of Material Recovery Facility)</v>
          </cell>
          <cell r="C9" t="str">
            <v>PEO</v>
          </cell>
          <cell r="D9" t="str">
            <v>No</v>
          </cell>
          <cell r="E9" t="str">
            <v>Competitive Bidding</v>
          </cell>
          <cell r="F9">
            <v>45020</v>
          </cell>
          <cell r="G9">
            <v>45251</v>
          </cell>
          <cell r="H9">
            <v>231</v>
          </cell>
          <cell r="I9">
            <v>45259</v>
          </cell>
          <cell r="J9">
            <v>45272</v>
          </cell>
          <cell r="K9">
            <v>45272</v>
          </cell>
          <cell r="L9">
            <v>21</v>
          </cell>
          <cell r="M9">
            <v>45272</v>
          </cell>
          <cell r="N9">
            <v>45295</v>
          </cell>
          <cell r="O9">
            <v>45302</v>
          </cell>
          <cell r="P9">
            <v>23</v>
          </cell>
          <cell r="Q9" t="str">
            <v/>
          </cell>
          <cell r="R9" t="str">
            <v/>
          </cell>
          <cell r="S9">
            <v>45306</v>
          </cell>
          <cell r="T9">
            <v>45309</v>
          </cell>
          <cell r="U9">
            <v>45310</v>
          </cell>
          <cell r="V9" t="str">
            <v/>
          </cell>
          <cell r="W9" t="str">
            <v/>
          </cell>
          <cell r="X9" t="str">
            <v>N/A</v>
          </cell>
          <cell r="Y9" t="str">
            <v>N/A</v>
          </cell>
          <cell r="Z9">
            <v>0</v>
          </cell>
          <cell r="AA9">
            <v>2299236.0499999998</v>
          </cell>
          <cell r="AB9">
            <v>0</v>
          </cell>
          <cell r="AC9">
            <v>0</v>
          </cell>
          <cell r="AD9">
            <v>2278330.67</v>
          </cell>
          <cell r="AE9">
            <v>0</v>
          </cell>
          <cell r="AF9">
            <v>2278330.67</v>
          </cell>
          <cell r="AG9" t="str">
            <v>ENGR. MICHAEL C. SALARDA
MS. LEONARDA M. LATOR
MS. CARMENCITA VALDEZ
MS. SORAYA P. VERGARA</v>
          </cell>
          <cell r="AH9">
            <v>45250</v>
          </cell>
          <cell r="AI9">
            <v>45637</v>
          </cell>
          <cell r="AJ9">
            <v>45637</v>
          </cell>
          <cell r="AK9">
            <v>45637</v>
          </cell>
          <cell r="AL9" t="str">
            <v>N/A</v>
          </cell>
          <cell r="AM9" t="str">
            <v>N/A</v>
          </cell>
          <cell r="AN9">
            <v>0</v>
          </cell>
          <cell r="AO9" t="b">
            <v>0</v>
          </cell>
        </row>
        <row r="10">
          <cell r="A10" t="str">
            <v>24-0075</v>
          </cell>
          <cell r="B10" t="str">
            <v>OFFICE EQUIPMENT</v>
          </cell>
          <cell r="C10" t="str">
            <v>PACCO</v>
          </cell>
          <cell r="D10" t="str">
            <v>No</v>
          </cell>
          <cell r="E10" t="str">
            <v>NP-53.9 - Small Value Procurement</v>
          </cell>
          <cell r="F10" t="str">
            <v>N/A</v>
          </cell>
          <cell r="G10">
            <v>45318</v>
          </cell>
          <cell r="H10" t="str">
            <v/>
          </cell>
          <cell r="I10" t="str">
            <v>N/A</v>
          </cell>
          <cell r="J10">
            <v>45322</v>
          </cell>
          <cell r="K10">
            <v>45322</v>
          </cell>
          <cell r="L10" t="str">
            <v/>
          </cell>
          <cell r="M10" t="str">
            <v>N/A</v>
          </cell>
          <cell r="N10" t="str">
            <v>N/A</v>
          </cell>
          <cell r="O10">
            <v>45328</v>
          </cell>
          <cell r="P10" t="str">
            <v/>
          </cell>
          <cell r="Q10" t="str">
            <v/>
          </cell>
          <cell r="R10" t="str">
            <v/>
          </cell>
          <cell r="S10" t="str">
            <v>N/A</v>
          </cell>
          <cell r="T10">
            <v>45336</v>
          </cell>
          <cell r="U10">
            <v>45341</v>
          </cell>
          <cell r="V10" t="str">
            <v/>
          </cell>
          <cell r="W10" t="str">
            <v/>
          </cell>
          <cell r="X10">
            <v>45357</v>
          </cell>
          <cell r="Y10">
            <v>45357</v>
          </cell>
          <cell r="Z10">
            <v>0</v>
          </cell>
          <cell r="AA10">
            <v>7800</v>
          </cell>
          <cell r="AB10">
            <v>7800</v>
          </cell>
          <cell r="AC10">
            <v>0</v>
          </cell>
          <cell r="AD10">
            <v>7800</v>
          </cell>
          <cell r="AE10">
            <v>7800</v>
          </cell>
          <cell r="AF10">
            <v>0</v>
          </cell>
          <cell r="AG10" t="str">
            <v>ENGR. MICHAEL C. SALARDA
MS. LEONARDA M. LATOR
MS. CARMENCITA VALDEZ
MS. SORAYA P. VERGARA</v>
          </cell>
          <cell r="AH10" t="str">
            <v>N/A</v>
          </cell>
          <cell r="AI10" t="str">
            <v>N/A</v>
          </cell>
          <cell r="AJ10" t="str">
            <v>N/A</v>
          </cell>
          <cell r="AK10" t="str">
            <v>N/A</v>
          </cell>
          <cell r="AL10" t="str">
            <v>N/A</v>
          </cell>
          <cell r="AM10" t="str">
            <v>N/A</v>
          </cell>
          <cell r="AN10">
            <v>0</v>
          </cell>
          <cell r="AO10" t="str">
            <v/>
          </cell>
        </row>
        <row r="11">
          <cell r="A11" t="str">
            <v>24-0001</v>
          </cell>
          <cell r="B11" t="str">
            <v>FOOD/CATERING SERVICES</v>
          </cell>
          <cell r="C11" t="str">
            <v>PGO-BAC</v>
          </cell>
          <cell r="D11" t="str">
            <v>No</v>
          </cell>
          <cell r="E11" t="str">
            <v>NP-53.9 - Small Value Procurement</v>
          </cell>
          <cell r="F11" t="str">
            <v>N/A</v>
          </cell>
          <cell r="G11">
            <v>45318</v>
          </cell>
          <cell r="H11" t="str">
            <v/>
          </cell>
          <cell r="I11" t="str">
            <v>N/A</v>
          </cell>
          <cell r="J11">
            <v>45322</v>
          </cell>
          <cell r="K11">
            <v>45322</v>
          </cell>
          <cell r="L11" t="str">
            <v/>
          </cell>
          <cell r="M11" t="str">
            <v>N/A</v>
          </cell>
          <cell r="N11" t="str">
            <v>N/A</v>
          </cell>
          <cell r="O11">
            <v>45328</v>
          </cell>
          <cell r="P11" t="str">
            <v/>
          </cell>
          <cell r="Q11" t="str">
            <v/>
          </cell>
          <cell r="R11" t="str">
            <v/>
          </cell>
          <cell r="S11">
            <v>45334</v>
          </cell>
          <cell r="T11">
            <v>45335</v>
          </cell>
          <cell r="U11">
            <v>45341</v>
          </cell>
          <cell r="V11" t="str">
            <v/>
          </cell>
          <cell r="W11" t="str">
            <v/>
          </cell>
          <cell r="X11">
            <v>45426</v>
          </cell>
          <cell r="Y11">
            <v>45426</v>
          </cell>
          <cell r="Z11">
            <v>0</v>
          </cell>
          <cell r="AA11">
            <v>74520</v>
          </cell>
          <cell r="AB11">
            <v>74520</v>
          </cell>
          <cell r="AC11">
            <v>0</v>
          </cell>
          <cell r="AD11">
            <v>72900</v>
          </cell>
          <cell r="AE11">
            <v>72900</v>
          </cell>
          <cell r="AF11">
            <v>0</v>
          </cell>
          <cell r="AG11" t="str">
            <v>ENGR. MICHAEL C. SALARDA
MS. LEONARDA M. LATOR
MS. CARMENCITA VALDEZ
MS. SORAYA P. VERGARA</v>
          </cell>
          <cell r="AH11" t="str">
            <v>N/A</v>
          </cell>
          <cell r="AI11" t="str">
            <v>N/A</v>
          </cell>
          <cell r="AJ11" t="str">
            <v>N/A</v>
          </cell>
          <cell r="AK11" t="str">
            <v>N/A</v>
          </cell>
          <cell r="AL11" t="str">
            <v>N/A</v>
          </cell>
          <cell r="AM11" t="str">
            <v>N/A</v>
          </cell>
          <cell r="AN11">
            <v>0</v>
          </cell>
          <cell r="AO11" t="str">
            <v/>
          </cell>
        </row>
        <row r="12">
          <cell r="A12" t="str">
            <v>24-0094</v>
          </cell>
          <cell r="B12" t="str">
            <v>OTHER SUPPLIES</v>
          </cell>
          <cell r="C12" t="str">
            <v>PGO</v>
          </cell>
          <cell r="D12" t="str">
            <v>No</v>
          </cell>
          <cell r="E12" t="str">
            <v>NP-53.9 - Small Value Procurement</v>
          </cell>
          <cell r="F12" t="str">
            <v>N/A</v>
          </cell>
          <cell r="G12">
            <v>45318</v>
          </cell>
          <cell r="H12" t="str">
            <v/>
          </cell>
          <cell r="I12" t="str">
            <v>N/A</v>
          </cell>
          <cell r="J12">
            <v>45322</v>
          </cell>
          <cell r="K12">
            <v>45322</v>
          </cell>
          <cell r="L12" t="str">
            <v/>
          </cell>
          <cell r="M12" t="str">
            <v>N/A</v>
          </cell>
          <cell r="N12" t="str">
            <v>N/A</v>
          </cell>
          <cell r="O12">
            <v>45328</v>
          </cell>
          <cell r="P12" t="str">
            <v/>
          </cell>
          <cell r="Q12" t="str">
            <v/>
          </cell>
          <cell r="R12" t="str">
            <v/>
          </cell>
          <cell r="S12" t="str">
            <v>N/A</v>
          </cell>
          <cell r="T12">
            <v>45335</v>
          </cell>
          <cell r="U12">
            <v>45341</v>
          </cell>
          <cell r="V12" t="str">
            <v/>
          </cell>
          <cell r="W12" t="str">
            <v/>
          </cell>
          <cell r="X12">
            <v>45354</v>
          </cell>
          <cell r="Y12">
            <v>45354</v>
          </cell>
          <cell r="Z12">
            <v>0</v>
          </cell>
          <cell r="AA12">
            <v>6600</v>
          </cell>
          <cell r="AB12">
            <v>6600</v>
          </cell>
          <cell r="AC12">
            <v>0</v>
          </cell>
          <cell r="AD12">
            <v>6600</v>
          </cell>
          <cell r="AE12">
            <v>6600</v>
          </cell>
          <cell r="AF12">
            <v>0</v>
          </cell>
          <cell r="AG12" t="str">
            <v>ENGR. MICHAEL C. SALARDA
MS. LEONARDA M. LATOR
MS. CARMENCITA VALDEZ
MS. SORAYA P. VERGARA</v>
          </cell>
          <cell r="AH12" t="str">
            <v>N/A</v>
          </cell>
          <cell r="AI12" t="str">
            <v>N/A</v>
          </cell>
          <cell r="AJ12" t="str">
            <v>N/A</v>
          </cell>
          <cell r="AK12" t="str">
            <v>N/A</v>
          </cell>
          <cell r="AL12" t="str">
            <v>N/A</v>
          </cell>
          <cell r="AM12" t="str">
            <v>N/A</v>
          </cell>
          <cell r="AN12">
            <v>0</v>
          </cell>
          <cell r="AO12" t="str">
            <v/>
          </cell>
        </row>
        <row r="13">
          <cell r="A13" t="str">
            <v>24-0080</v>
          </cell>
          <cell r="B13" t="str">
            <v>OTHER SUPPLIES</v>
          </cell>
          <cell r="C13" t="str">
            <v>PACCO</v>
          </cell>
          <cell r="D13" t="str">
            <v>No</v>
          </cell>
          <cell r="E13" t="str">
            <v>NP-53.9 - Small Value Procurement</v>
          </cell>
          <cell r="F13" t="str">
            <v>N/A</v>
          </cell>
          <cell r="G13">
            <v>45318</v>
          </cell>
          <cell r="H13" t="str">
            <v/>
          </cell>
          <cell r="I13" t="str">
            <v>N/A</v>
          </cell>
          <cell r="J13">
            <v>45322</v>
          </cell>
          <cell r="K13">
            <v>45322</v>
          </cell>
          <cell r="L13" t="str">
            <v/>
          </cell>
          <cell r="M13" t="str">
            <v>N/A</v>
          </cell>
          <cell r="N13" t="str">
            <v>N/A</v>
          </cell>
          <cell r="O13">
            <v>45328</v>
          </cell>
          <cell r="P13">
            <v>0</v>
          </cell>
          <cell r="Q13">
            <v>0</v>
          </cell>
          <cell r="R13">
            <v>0</v>
          </cell>
          <cell r="S13">
            <v>45334</v>
          </cell>
          <cell r="T13">
            <v>45335</v>
          </cell>
          <cell r="U13">
            <v>45341</v>
          </cell>
          <cell r="V13">
            <v>0</v>
          </cell>
          <cell r="W13">
            <v>0</v>
          </cell>
          <cell r="X13">
            <v>45370</v>
          </cell>
          <cell r="Y13">
            <v>0</v>
          </cell>
          <cell r="Z13">
            <v>0</v>
          </cell>
          <cell r="AA13">
            <v>109800</v>
          </cell>
          <cell r="AB13">
            <v>109800</v>
          </cell>
          <cell r="AC13">
            <v>0</v>
          </cell>
          <cell r="AD13">
            <v>109800</v>
          </cell>
          <cell r="AE13">
            <v>109800</v>
          </cell>
          <cell r="AF13">
            <v>0</v>
          </cell>
          <cell r="AG13" t="str">
            <v>ENGR. MICHAEL C. SALARDA
MS. LEONARDA M. LATOR
MS. CARMENCITA VALDEZ
MS. SORAYA P. VERGARA</v>
          </cell>
          <cell r="AH13" t="str">
            <v>N/A</v>
          </cell>
          <cell r="AI13" t="str">
            <v>N/A</v>
          </cell>
          <cell r="AJ13" t="str">
            <v>N/A</v>
          </cell>
          <cell r="AK13" t="str">
            <v>N/A</v>
          </cell>
          <cell r="AL13" t="str">
            <v>N/A</v>
          </cell>
          <cell r="AM13" t="str">
            <v>N/A</v>
          </cell>
          <cell r="AN13">
            <v>0</v>
          </cell>
          <cell r="AO13">
            <v>0</v>
          </cell>
        </row>
        <row r="14">
          <cell r="A14" t="str">
            <v>24-0093</v>
          </cell>
          <cell r="B14" t="str">
            <v>FOOD SUPPLIES</v>
          </cell>
          <cell r="C14" t="str">
            <v>PGO</v>
          </cell>
          <cell r="D14" t="str">
            <v>No</v>
          </cell>
          <cell r="E14" t="str">
            <v>NP-53.9 - Small Value Procurement</v>
          </cell>
          <cell r="F14">
            <v>45314</v>
          </cell>
          <cell r="G14">
            <v>45316</v>
          </cell>
          <cell r="H14">
            <v>0</v>
          </cell>
          <cell r="I14" t="str">
            <v>N/A</v>
          </cell>
          <cell r="J14">
            <v>45322</v>
          </cell>
          <cell r="K14">
            <v>45322</v>
          </cell>
          <cell r="L14" t="str">
            <v/>
          </cell>
          <cell r="M14" t="str">
            <v>N/A</v>
          </cell>
          <cell r="N14" t="str">
            <v>N/A</v>
          </cell>
          <cell r="O14">
            <v>45328</v>
          </cell>
          <cell r="P14">
            <v>0</v>
          </cell>
          <cell r="Q14">
            <v>0</v>
          </cell>
          <cell r="R14">
            <v>0</v>
          </cell>
          <cell r="S14">
            <v>45334</v>
          </cell>
          <cell r="T14">
            <v>45334</v>
          </cell>
          <cell r="U14">
            <v>45337</v>
          </cell>
          <cell r="V14">
            <v>0</v>
          </cell>
          <cell r="W14">
            <v>0</v>
          </cell>
          <cell r="X14">
            <v>45338</v>
          </cell>
          <cell r="Y14">
            <v>0</v>
          </cell>
          <cell r="Z14">
            <v>0</v>
          </cell>
          <cell r="AA14">
            <v>451825</v>
          </cell>
          <cell r="AB14">
            <v>451825</v>
          </cell>
          <cell r="AC14">
            <v>0</v>
          </cell>
          <cell r="AD14">
            <v>418500</v>
          </cell>
          <cell r="AE14">
            <v>418500</v>
          </cell>
          <cell r="AF14">
            <v>0</v>
          </cell>
          <cell r="AG14" t="str">
            <v>ENGR. MICHAEL C. SALARDA
MS. LEONARDA M. LATOR
MS. CARMENCITA VALDEZ
MS. SORAYA P. VERGARA</v>
          </cell>
          <cell r="AH14" t="str">
            <v>N/A</v>
          </cell>
          <cell r="AI14" t="str">
            <v>N/A</v>
          </cell>
          <cell r="AJ14" t="str">
            <v>N/A</v>
          </cell>
          <cell r="AK14" t="str">
            <v>N/A</v>
          </cell>
          <cell r="AL14" t="str">
            <v>N/A</v>
          </cell>
          <cell r="AM14" t="str">
            <v>N/A</v>
          </cell>
          <cell r="AN14">
            <v>0</v>
          </cell>
          <cell r="AO14">
            <v>0</v>
          </cell>
        </row>
        <row r="15">
          <cell r="A15" t="str">
            <v>23-C0918</v>
          </cell>
          <cell r="B15" t="str">
            <v>STRETCHER BED FOR THE USE OF DDOPH-MARAGUSAN</v>
          </cell>
          <cell r="C15" t="str">
            <v>PEEMO</v>
          </cell>
          <cell r="D15" t="str">
            <v>No</v>
          </cell>
          <cell r="E15" t="str">
            <v>Competitive Bidding</v>
          </cell>
          <cell r="F15" t="str">
            <v>N/A</v>
          </cell>
          <cell r="G15">
            <v>45299</v>
          </cell>
          <cell r="H15" t="str">
            <v/>
          </cell>
          <cell r="I15" t="str">
            <v>N/A</v>
          </cell>
          <cell r="J15">
            <v>45313</v>
          </cell>
          <cell r="K15">
            <v>45313</v>
          </cell>
          <cell r="L15" t="str">
            <v/>
          </cell>
          <cell r="M15">
            <v>45313</v>
          </cell>
          <cell r="N15">
            <v>45315</v>
          </cell>
          <cell r="O15">
            <v>45328</v>
          </cell>
          <cell r="P15" t="str">
            <v/>
          </cell>
          <cell r="Q15" t="str">
            <v/>
          </cell>
          <cell r="R15" t="str">
            <v/>
          </cell>
          <cell r="S15">
            <v>45330</v>
          </cell>
          <cell r="T15">
            <v>45343</v>
          </cell>
          <cell r="U15">
            <v>0</v>
          </cell>
          <cell r="V15" t="str">
            <v/>
          </cell>
          <cell r="W15" t="str">
            <v/>
          </cell>
          <cell r="X15">
            <v>0</v>
          </cell>
          <cell r="Y15">
            <v>0</v>
          </cell>
          <cell r="Z15">
            <v>0</v>
          </cell>
          <cell r="AA15">
            <v>360000</v>
          </cell>
          <cell r="AB15">
            <v>0</v>
          </cell>
          <cell r="AC15">
            <v>360000</v>
          </cell>
          <cell r="AD15">
            <v>244668</v>
          </cell>
          <cell r="AE15">
            <v>0</v>
          </cell>
          <cell r="AF15">
            <v>244668</v>
          </cell>
          <cell r="AG15" t="str">
            <v>ENGR. MICHAEL C. SALARDA
MS. LEONARDA M. LATOR
MS. CARMENCITA VALDEZ
MS. SORAYA P. VERGARA</v>
          </cell>
          <cell r="AH15" t="str">
            <v>N/A</v>
          </cell>
          <cell r="AI15">
            <v>45293</v>
          </cell>
          <cell r="AJ15">
            <v>45293</v>
          </cell>
          <cell r="AK15">
            <v>45293</v>
          </cell>
          <cell r="AL15" t="str">
            <v>N/A</v>
          </cell>
          <cell r="AM15" t="str">
            <v>N/A</v>
          </cell>
          <cell r="AN15">
            <v>0</v>
          </cell>
          <cell r="AO15" t="str">
            <v/>
          </cell>
        </row>
        <row r="16">
          <cell r="A16" t="str">
            <v>23-3195</v>
          </cell>
          <cell r="B16" t="str">
            <v>IMPROVEMENT OF DAVAO DE ORO PROVINCIAL HOSPITAL, MONTEVISTA (Construction of Emergency Room Extension &amp; Canopy</v>
          </cell>
          <cell r="C16" t="str">
            <v>PEO</v>
          </cell>
          <cell r="D16" t="str">
            <v>No</v>
          </cell>
          <cell r="E16" t="str">
            <v>Competitive Bidding</v>
          </cell>
          <cell r="F16">
            <v>45582</v>
          </cell>
          <cell r="G16">
            <v>45630</v>
          </cell>
          <cell r="H16" t="str">
            <v/>
          </cell>
          <cell r="I16">
            <v>45272</v>
          </cell>
          <cell r="J16">
            <v>45300</v>
          </cell>
          <cell r="K16">
            <v>45300</v>
          </cell>
          <cell r="L16" t="str">
            <v/>
          </cell>
          <cell r="M16">
            <v>45300</v>
          </cell>
          <cell r="N16">
            <v>45317</v>
          </cell>
          <cell r="O16">
            <v>45330</v>
          </cell>
          <cell r="P16">
            <v>0</v>
          </cell>
          <cell r="Q16">
            <v>0</v>
          </cell>
          <cell r="R16">
            <v>0</v>
          </cell>
          <cell r="S16">
            <v>45335</v>
          </cell>
          <cell r="T16">
            <v>45337</v>
          </cell>
          <cell r="U16">
            <v>45341</v>
          </cell>
          <cell r="V16" t="str">
            <v/>
          </cell>
          <cell r="W16" t="str">
            <v/>
          </cell>
          <cell r="X16" t="str">
            <v>N/A</v>
          </cell>
          <cell r="Y16" t="str">
            <v>N/A</v>
          </cell>
          <cell r="Z16">
            <v>0</v>
          </cell>
          <cell r="AA16">
            <v>2876379.83</v>
          </cell>
          <cell r="AB16">
            <v>0</v>
          </cell>
          <cell r="AC16">
            <v>2876379.83</v>
          </cell>
          <cell r="AD16">
            <v>2857143.84</v>
          </cell>
          <cell r="AE16">
            <v>0</v>
          </cell>
          <cell r="AF16">
            <v>2857143.84</v>
          </cell>
          <cell r="AG16" t="str">
            <v>ENGR. MICHAEL C. SALARDA
MS. LEONARDA M. LATOR
MS. CARMENCITA VALDEZ
MS. SORAYA P. VERGARA</v>
          </cell>
          <cell r="AH16">
            <v>45271</v>
          </cell>
          <cell r="AI16">
            <v>45293</v>
          </cell>
          <cell r="AJ16">
            <v>45293</v>
          </cell>
          <cell r="AK16">
            <v>45293</v>
          </cell>
          <cell r="AL16" t="str">
            <v>N/A</v>
          </cell>
          <cell r="AM16" t="str">
            <v>N/A</v>
          </cell>
          <cell r="AN16">
            <v>0</v>
          </cell>
          <cell r="AO16" t="str">
            <v/>
          </cell>
        </row>
        <row r="17">
          <cell r="A17" t="str">
            <v>23-4586</v>
          </cell>
          <cell r="B17" t="str">
            <v>COMPLETION OF MULTI-PURPOSE BUILDING (PGSO)</v>
          </cell>
          <cell r="C17" t="str">
            <v>PEO</v>
          </cell>
          <cell r="D17" t="str">
            <v>No</v>
          </cell>
          <cell r="E17" t="str">
            <v>Competitive Bidding</v>
          </cell>
          <cell r="F17">
            <v>45245</v>
          </cell>
          <cell r="G17">
            <v>45630</v>
          </cell>
          <cell r="H17" t="str">
            <v/>
          </cell>
          <cell r="I17">
            <v>45272</v>
          </cell>
          <cell r="J17">
            <v>45300</v>
          </cell>
          <cell r="K17">
            <v>45300</v>
          </cell>
          <cell r="L17" t="str">
            <v/>
          </cell>
          <cell r="M17">
            <v>45300</v>
          </cell>
          <cell r="N17">
            <v>45317</v>
          </cell>
          <cell r="O17">
            <v>45330</v>
          </cell>
          <cell r="P17" t="str">
            <v/>
          </cell>
          <cell r="Q17" t="str">
            <v/>
          </cell>
          <cell r="R17" t="str">
            <v/>
          </cell>
          <cell r="S17">
            <v>45335</v>
          </cell>
          <cell r="T17">
            <v>45337</v>
          </cell>
          <cell r="U17">
            <v>45341</v>
          </cell>
          <cell r="V17" t="str">
            <v/>
          </cell>
          <cell r="W17" t="str">
            <v/>
          </cell>
          <cell r="X17" t="str">
            <v>N/A</v>
          </cell>
          <cell r="Y17" t="str">
            <v>N/A</v>
          </cell>
          <cell r="Z17">
            <v>0</v>
          </cell>
          <cell r="AA17">
            <v>6428465.3899999997</v>
          </cell>
          <cell r="AB17">
            <v>0</v>
          </cell>
          <cell r="AC17">
            <v>6428465.3899999997</v>
          </cell>
          <cell r="AD17">
            <v>6399080.0700000003</v>
          </cell>
          <cell r="AE17">
            <v>0</v>
          </cell>
          <cell r="AF17">
            <v>6399080.0700000003</v>
          </cell>
          <cell r="AG17" t="str">
            <v>ENGR. MICHAEL C. SALARDA
MS. LEONARDA M. LATOR
MS. CARMENCITA VALDEZ
MS. SORAYA P. VERGARA</v>
          </cell>
          <cell r="AH17">
            <v>45271</v>
          </cell>
          <cell r="AI17">
            <v>45293</v>
          </cell>
          <cell r="AJ17">
            <v>45293</v>
          </cell>
          <cell r="AK17">
            <v>45293</v>
          </cell>
          <cell r="AL17" t="str">
            <v>N/A</v>
          </cell>
          <cell r="AM17" t="str">
            <v>N/A</v>
          </cell>
          <cell r="AN17">
            <v>0</v>
          </cell>
          <cell r="AO17" t="str">
            <v/>
          </cell>
        </row>
        <row r="18">
          <cell r="A18" t="str">
            <v>24-0814</v>
          </cell>
          <cell r="B18" t="str">
            <v>RICE (WELL MILLED - 50KG/SACK)</v>
          </cell>
          <cell r="C18" t="str">
            <v>PDRRMO</v>
          </cell>
          <cell r="D18" t="str">
            <v>No</v>
          </cell>
          <cell r="E18" t="str">
            <v>NP-53.2 Emergency Cases</v>
          </cell>
          <cell r="F18">
            <v>45322</v>
          </cell>
          <cell r="G18">
            <v>45324</v>
          </cell>
          <cell r="H18" t="str">
            <v/>
          </cell>
          <cell r="I18" t="str">
            <v>N/A</v>
          </cell>
          <cell r="J18">
            <v>45328</v>
          </cell>
          <cell r="K18">
            <v>45328</v>
          </cell>
          <cell r="L18" t="str">
            <v/>
          </cell>
          <cell r="M18" t="str">
            <v>N/A</v>
          </cell>
          <cell r="N18" t="str">
            <v>N/A</v>
          </cell>
          <cell r="O18">
            <v>45328</v>
          </cell>
          <cell r="P18" t="str">
            <v/>
          </cell>
          <cell r="Q18" t="str">
            <v/>
          </cell>
          <cell r="R18" t="str">
            <v/>
          </cell>
          <cell r="S18">
            <v>45328</v>
          </cell>
          <cell r="T18">
            <v>45328</v>
          </cell>
          <cell r="U18">
            <v>45328</v>
          </cell>
          <cell r="V18" t="str">
            <v/>
          </cell>
          <cell r="W18" t="str">
            <v/>
          </cell>
          <cell r="X18">
            <v>45332</v>
          </cell>
          <cell r="Y18">
            <v>0</v>
          </cell>
          <cell r="Z18">
            <v>0</v>
          </cell>
          <cell r="AA18">
            <v>5016000</v>
          </cell>
          <cell r="AB18">
            <v>0</v>
          </cell>
          <cell r="AC18">
            <v>5016000</v>
          </cell>
          <cell r="AD18">
            <v>5016000</v>
          </cell>
          <cell r="AE18">
            <v>0</v>
          </cell>
          <cell r="AF18">
            <v>5016000</v>
          </cell>
          <cell r="AG18" t="str">
            <v>ENGR. MICHAEL C. SALARDA
MS. LEONARDA M. LATOR
MS. CARMENCITA VALDEZ
MS. SORAYA P. VERGARA</v>
          </cell>
          <cell r="AH18" t="str">
            <v>N/A</v>
          </cell>
          <cell r="AI18" t="str">
            <v>N/A</v>
          </cell>
          <cell r="AJ18" t="str">
            <v>N/A</v>
          </cell>
          <cell r="AK18" t="str">
            <v>N/A</v>
          </cell>
          <cell r="AL18" t="str">
            <v>N/A</v>
          </cell>
          <cell r="AM18" t="str">
            <v>N/A</v>
          </cell>
          <cell r="AN18">
            <v>0</v>
          </cell>
          <cell r="AO18" t="str">
            <v/>
          </cell>
        </row>
        <row r="19">
          <cell r="A19" t="str">
            <v>24-0815</v>
          </cell>
          <cell r="B19" t="str">
            <v>RICE (WELL MILLED - 50KG/SACK)</v>
          </cell>
          <cell r="C19" t="str">
            <v>PDRRMO</v>
          </cell>
          <cell r="D19" t="str">
            <v>No</v>
          </cell>
          <cell r="E19" t="str">
            <v>NP-53.2 Emergency Cases</v>
          </cell>
          <cell r="F19" t="str">
            <v>N/A</v>
          </cell>
          <cell r="G19">
            <v>45322</v>
          </cell>
          <cell r="H19">
            <v>0</v>
          </cell>
          <cell r="I19" t="str">
            <v>N/A</v>
          </cell>
          <cell r="J19">
            <v>45322</v>
          </cell>
          <cell r="K19">
            <v>45322</v>
          </cell>
          <cell r="L19">
            <v>0</v>
          </cell>
          <cell r="M19" t="str">
            <v>N/A</v>
          </cell>
          <cell r="N19" t="str">
            <v>N/A</v>
          </cell>
          <cell r="O19">
            <v>45323</v>
          </cell>
          <cell r="P19">
            <v>0</v>
          </cell>
          <cell r="Q19">
            <v>0</v>
          </cell>
          <cell r="R19">
            <v>0</v>
          </cell>
          <cell r="S19">
            <v>45323</v>
          </cell>
          <cell r="T19">
            <v>45323</v>
          </cell>
          <cell r="U19">
            <v>45323</v>
          </cell>
          <cell r="V19">
            <v>0</v>
          </cell>
          <cell r="W19">
            <v>0</v>
          </cell>
          <cell r="X19">
            <v>45326</v>
          </cell>
          <cell r="Y19">
            <v>0</v>
          </cell>
          <cell r="Z19">
            <v>0</v>
          </cell>
          <cell r="AA19">
            <v>1749000</v>
          </cell>
          <cell r="AB19">
            <v>0</v>
          </cell>
          <cell r="AC19">
            <v>1749000</v>
          </cell>
          <cell r="AD19">
            <v>1749000</v>
          </cell>
          <cell r="AE19">
            <v>0</v>
          </cell>
          <cell r="AF19">
            <v>1749000</v>
          </cell>
          <cell r="AG19" t="str">
            <v>ENGR. MICHAEL C. SALARDA
MS. LEONARDA M. LATOR
MS. CARMENCITA VALDEZ
MS. SORAYA P. VERGARA</v>
          </cell>
          <cell r="AH19" t="str">
            <v>N/A</v>
          </cell>
          <cell r="AI19" t="str">
            <v>N/A</v>
          </cell>
          <cell r="AJ19" t="str">
            <v>N/A</v>
          </cell>
          <cell r="AK19" t="str">
            <v>N/A</v>
          </cell>
          <cell r="AL19" t="str">
            <v>N/A</v>
          </cell>
          <cell r="AM19" t="str">
            <v>N/A</v>
          </cell>
          <cell r="AN19">
            <v>0</v>
          </cell>
          <cell r="AO19">
            <v>0</v>
          </cell>
        </row>
        <row r="20">
          <cell r="A20" t="str">
            <v>24-0074</v>
          </cell>
          <cell r="B20" t="str">
            <v>JANITORIAL SUPPLIES/HOUSEKEEPING</v>
          </cell>
          <cell r="C20" t="str">
            <v>PACCO</v>
          </cell>
          <cell r="D20" t="str">
            <v>No</v>
          </cell>
          <cell r="E20" t="str">
            <v>NP-53.9 - Small Value Procurement</v>
          </cell>
          <cell r="F20" t="str">
            <v>N/A</v>
          </cell>
          <cell r="G20">
            <v>45318</v>
          </cell>
          <cell r="H20" t="str">
            <v/>
          </cell>
          <cell r="I20" t="str">
            <v>N/A</v>
          </cell>
          <cell r="J20">
            <v>45322</v>
          </cell>
          <cell r="K20">
            <v>45322</v>
          </cell>
          <cell r="L20" t="str">
            <v/>
          </cell>
          <cell r="M20" t="str">
            <v>N/A</v>
          </cell>
          <cell r="N20" t="str">
            <v>N/A</v>
          </cell>
          <cell r="O20">
            <v>45328</v>
          </cell>
          <cell r="P20" t="str">
            <v/>
          </cell>
          <cell r="Q20" t="str">
            <v/>
          </cell>
          <cell r="R20" t="str">
            <v/>
          </cell>
          <cell r="S20">
            <v>45330</v>
          </cell>
          <cell r="T20">
            <v>45336</v>
          </cell>
          <cell r="U20">
            <v>45341</v>
          </cell>
          <cell r="V20" t="str">
            <v/>
          </cell>
          <cell r="W20" t="str">
            <v/>
          </cell>
          <cell r="X20">
            <v>45345</v>
          </cell>
          <cell r="Y20">
            <v>0</v>
          </cell>
          <cell r="Z20">
            <v>0</v>
          </cell>
          <cell r="AA20">
            <v>16920</v>
          </cell>
          <cell r="AB20">
            <v>16920</v>
          </cell>
          <cell r="AC20">
            <v>0</v>
          </cell>
          <cell r="AD20">
            <v>16450</v>
          </cell>
          <cell r="AE20">
            <v>16450</v>
          </cell>
          <cell r="AF20">
            <v>0</v>
          </cell>
          <cell r="AG20" t="str">
            <v>ENGR. MICHAEL C. SALARDA
MS. LEONARDA M. LATOR
MS. CARMENCITA VALDEZ
MS. SORAYA P. VERGARA</v>
          </cell>
          <cell r="AH20" t="str">
            <v>N/A</v>
          </cell>
          <cell r="AI20" t="str">
            <v>N/A</v>
          </cell>
          <cell r="AJ20" t="str">
            <v>N/A</v>
          </cell>
          <cell r="AK20" t="str">
            <v>N/A</v>
          </cell>
          <cell r="AL20" t="str">
            <v>N/A</v>
          </cell>
          <cell r="AM20" t="str">
            <v>N/A</v>
          </cell>
          <cell r="AN20">
            <v>0</v>
          </cell>
          <cell r="AO20" t="str">
            <v/>
          </cell>
        </row>
        <row r="21">
          <cell r="A21" t="str">
            <v>24-0022</v>
          </cell>
          <cell r="B21" t="str">
            <v>JANITORIAL SUPPLIES/HOUSEKEEPING</v>
          </cell>
          <cell r="C21" t="str">
            <v>PTO</v>
          </cell>
          <cell r="D21" t="str">
            <v>No</v>
          </cell>
          <cell r="E21" t="str">
            <v>NP-53.9 - Small Value Procurement</v>
          </cell>
          <cell r="F21" t="str">
            <v>N/A</v>
          </cell>
          <cell r="G21">
            <v>45318</v>
          </cell>
          <cell r="H21" t="str">
            <v/>
          </cell>
          <cell r="I21" t="str">
            <v>N/A</v>
          </cell>
          <cell r="J21">
            <v>45322</v>
          </cell>
          <cell r="K21">
            <v>45322</v>
          </cell>
          <cell r="L21" t="str">
            <v/>
          </cell>
          <cell r="M21" t="str">
            <v>N/A</v>
          </cell>
          <cell r="N21" t="str">
            <v>N/A</v>
          </cell>
          <cell r="O21">
            <v>45328</v>
          </cell>
          <cell r="P21" t="str">
            <v/>
          </cell>
          <cell r="Q21" t="str">
            <v/>
          </cell>
          <cell r="R21" t="str">
            <v/>
          </cell>
          <cell r="S21">
            <v>45330</v>
          </cell>
          <cell r="T21">
            <v>45341</v>
          </cell>
          <cell r="U21">
            <v>45341</v>
          </cell>
          <cell r="V21" t="str">
            <v/>
          </cell>
          <cell r="W21" t="str">
            <v/>
          </cell>
          <cell r="X21">
            <v>45350</v>
          </cell>
          <cell r="Y21">
            <v>0</v>
          </cell>
          <cell r="Z21">
            <v>0</v>
          </cell>
          <cell r="AA21">
            <v>27088</v>
          </cell>
          <cell r="AB21">
            <v>27088</v>
          </cell>
          <cell r="AC21">
            <v>0</v>
          </cell>
          <cell r="AD21">
            <v>26508</v>
          </cell>
          <cell r="AE21">
            <v>26508</v>
          </cell>
          <cell r="AF21">
            <v>0</v>
          </cell>
          <cell r="AG21" t="str">
            <v>ENGR. MICHAEL C. SALARDA
MS. LEONARDA M. LATOR
MS. CARMENCITA VALDEZ
MS. SORAYA P. VERGARA</v>
          </cell>
          <cell r="AH21" t="str">
            <v>N/A</v>
          </cell>
          <cell r="AI21" t="str">
            <v>N/A</v>
          </cell>
          <cell r="AJ21" t="str">
            <v>N/A</v>
          </cell>
          <cell r="AK21" t="str">
            <v>N/A</v>
          </cell>
          <cell r="AL21" t="str">
            <v>N/A</v>
          </cell>
          <cell r="AM21" t="str">
            <v>N/A</v>
          </cell>
          <cell r="AN21">
            <v>0</v>
          </cell>
          <cell r="AO21" t="str">
            <v/>
          </cell>
        </row>
        <row r="22">
          <cell r="A22" t="str">
            <v>24-0096</v>
          </cell>
          <cell r="B22" t="str">
            <v>JANITORIAL SUPPLIES/HOUSEKEEPING</v>
          </cell>
          <cell r="C22" t="str">
            <v>PGO</v>
          </cell>
          <cell r="D22" t="str">
            <v>No</v>
          </cell>
          <cell r="E22" t="str">
            <v>NP-53.9 - Small Value Procurement</v>
          </cell>
          <cell r="F22" t="str">
            <v>N/A</v>
          </cell>
          <cell r="G22">
            <v>45318</v>
          </cell>
          <cell r="H22" t="str">
            <v/>
          </cell>
          <cell r="I22" t="str">
            <v>N/A</v>
          </cell>
          <cell r="J22">
            <v>45322</v>
          </cell>
          <cell r="K22">
            <v>45322</v>
          </cell>
          <cell r="L22" t="str">
            <v/>
          </cell>
          <cell r="M22" t="str">
            <v>N/A</v>
          </cell>
          <cell r="N22" t="str">
            <v>N/A</v>
          </cell>
          <cell r="O22">
            <v>45328</v>
          </cell>
          <cell r="P22" t="str">
            <v/>
          </cell>
          <cell r="Q22" t="str">
            <v/>
          </cell>
          <cell r="R22" t="str">
            <v/>
          </cell>
          <cell r="S22">
            <v>45330</v>
          </cell>
          <cell r="T22">
            <v>45335</v>
          </cell>
          <cell r="U22">
            <v>45341</v>
          </cell>
          <cell r="V22" t="str">
            <v/>
          </cell>
          <cell r="W22" t="str">
            <v/>
          </cell>
          <cell r="X22">
            <v>45345</v>
          </cell>
          <cell r="Y22">
            <v>0</v>
          </cell>
          <cell r="Z22">
            <v>0</v>
          </cell>
          <cell r="AA22">
            <v>3393</v>
          </cell>
          <cell r="AB22">
            <v>3393</v>
          </cell>
          <cell r="AC22">
            <v>0</v>
          </cell>
          <cell r="AD22">
            <v>3291</v>
          </cell>
          <cell r="AE22">
            <v>3291</v>
          </cell>
          <cell r="AF22">
            <v>0</v>
          </cell>
          <cell r="AG22" t="str">
            <v>ENGR. MICHAEL C. SALARDA
MS. LEONARDA M. LATOR
MS. CARMENCITA VALDEZ
MS. SORAYA P. VERGARA</v>
          </cell>
          <cell r="AH22" t="str">
            <v>N/A</v>
          </cell>
          <cell r="AI22" t="str">
            <v>N/A</v>
          </cell>
          <cell r="AJ22" t="str">
            <v>N/A</v>
          </cell>
          <cell r="AK22" t="str">
            <v>N/A</v>
          </cell>
          <cell r="AL22" t="str">
            <v>N/A</v>
          </cell>
          <cell r="AM22" t="str">
            <v>N/A</v>
          </cell>
          <cell r="AN22">
            <v>0</v>
          </cell>
          <cell r="AO22" t="str">
            <v/>
          </cell>
        </row>
        <row r="23">
          <cell r="A23" t="str">
            <v>24-0120</v>
          </cell>
          <cell r="B23" t="str">
            <v>JANITORIAL SUPPLIES/HOUSEKEEPING</v>
          </cell>
          <cell r="C23" t="str">
            <v>COA</v>
          </cell>
          <cell r="D23" t="str">
            <v>No</v>
          </cell>
          <cell r="E23" t="str">
            <v>NP-53.9 - Small Value Procurement</v>
          </cell>
          <cell r="F23" t="str">
            <v>N/A</v>
          </cell>
          <cell r="G23">
            <v>45318</v>
          </cell>
          <cell r="H23" t="str">
            <v/>
          </cell>
          <cell r="I23" t="str">
            <v>N/A</v>
          </cell>
          <cell r="J23">
            <v>45322</v>
          </cell>
          <cell r="K23">
            <v>45322</v>
          </cell>
          <cell r="L23" t="str">
            <v/>
          </cell>
          <cell r="M23" t="str">
            <v>N/A</v>
          </cell>
          <cell r="N23" t="str">
            <v>N/A</v>
          </cell>
          <cell r="O23">
            <v>45328</v>
          </cell>
          <cell r="P23" t="str">
            <v/>
          </cell>
          <cell r="Q23" t="str">
            <v/>
          </cell>
          <cell r="R23" t="str">
            <v/>
          </cell>
          <cell r="S23">
            <v>45335</v>
          </cell>
          <cell r="T23">
            <v>45336</v>
          </cell>
          <cell r="U23">
            <v>45341</v>
          </cell>
          <cell r="V23" t="str">
            <v/>
          </cell>
          <cell r="W23" t="str">
            <v/>
          </cell>
          <cell r="X23">
            <v>45350</v>
          </cell>
          <cell r="Y23">
            <v>0</v>
          </cell>
          <cell r="Z23">
            <v>0</v>
          </cell>
          <cell r="AA23">
            <v>29538</v>
          </cell>
          <cell r="AB23">
            <v>29538</v>
          </cell>
          <cell r="AC23">
            <v>0</v>
          </cell>
          <cell r="AD23">
            <v>29034</v>
          </cell>
          <cell r="AE23">
            <v>29034</v>
          </cell>
          <cell r="AF23">
            <v>0</v>
          </cell>
          <cell r="AG23" t="str">
            <v>ENGR. MICHAEL C. SALARDA
MS. LEONARDA M. LATOR
MS. CARMENCITA VALDEZ
MS. SORAYA P. VERGARA</v>
          </cell>
          <cell r="AH23" t="str">
            <v>N/A</v>
          </cell>
          <cell r="AI23" t="str">
            <v>N/A</v>
          </cell>
          <cell r="AJ23" t="str">
            <v>N/A</v>
          </cell>
          <cell r="AK23" t="str">
            <v>N/A</v>
          </cell>
          <cell r="AL23" t="str">
            <v>N/A</v>
          </cell>
          <cell r="AM23" t="str">
            <v>N/A</v>
          </cell>
          <cell r="AN23">
            <v>0</v>
          </cell>
          <cell r="AO23" t="str">
            <v/>
          </cell>
        </row>
        <row r="24">
          <cell r="A24" t="str">
            <v>23-C0759</v>
          </cell>
          <cell r="B24" t="str">
            <v>VARIOUS CONSTRUCTION SUPPLY</v>
          </cell>
          <cell r="C24" t="str">
            <v>PGSO</v>
          </cell>
          <cell r="D24" t="str">
            <v>No</v>
          </cell>
          <cell r="E24" t="str">
            <v>Competitive Bidding</v>
          </cell>
          <cell r="F24" t="str">
            <v>N/A</v>
          </cell>
          <cell r="G24">
            <v>45271</v>
          </cell>
          <cell r="H24" t="str">
            <v/>
          </cell>
          <cell r="I24">
            <v>45279</v>
          </cell>
          <cell r="J24">
            <v>45300</v>
          </cell>
          <cell r="K24">
            <v>45300</v>
          </cell>
          <cell r="L24" t="str">
            <v/>
          </cell>
          <cell r="M24">
            <v>45300</v>
          </cell>
          <cell r="N24">
            <v>45310</v>
          </cell>
          <cell r="O24">
            <v>45328</v>
          </cell>
          <cell r="P24" t="str">
            <v/>
          </cell>
          <cell r="Q24" t="str">
            <v/>
          </cell>
          <cell r="R24" t="str">
            <v/>
          </cell>
          <cell r="S24">
            <v>45336</v>
          </cell>
          <cell r="T24">
            <v>45336</v>
          </cell>
          <cell r="U24">
            <v>45345</v>
          </cell>
          <cell r="V24" t="str">
            <v/>
          </cell>
          <cell r="W24" t="str">
            <v/>
          </cell>
          <cell r="X24">
            <v>0</v>
          </cell>
          <cell r="Y24">
            <v>0</v>
          </cell>
          <cell r="Z24">
            <v>0</v>
          </cell>
          <cell r="AA24">
            <v>1606988.6</v>
          </cell>
          <cell r="AB24">
            <v>0</v>
          </cell>
          <cell r="AC24">
            <v>1606988.6</v>
          </cell>
          <cell r="AD24">
            <v>1605527</v>
          </cell>
          <cell r="AE24">
            <v>0</v>
          </cell>
          <cell r="AF24">
            <v>1605527</v>
          </cell>
          <cell r="AG24" t="str">
            <v>ENGR. MICHAEL C. SALARDA
MS. LEONARDA M. LATOR
MS. CARMENCITA VALDEZ
MS. SORAYA P. VERGARA</v>
          </cell>
          <cell r="AH24">
            <v>45278</v>
          </cell>
          <cell r="AI24">
            <v>45293</v>
          </cell>
          <cell r="AJ24">
            <v>45293</v>
          </cell>
          <cell r="AK24">
            <v>45293</v>
          </cell>
          <cell r="AL24">
            <v>45293</v>
          </cell>
          <cell r="AM24" t="str">
            <v>N/A</v>
          </cell>
          <cell r="AN24">
            <v>0</v>
          </cell>
          <cell r="AO24" t="str">
            <v/>
          </cell>
        </row>
        <row r="25">
          <cell r="A25" t="str">
            <v>23-4461</v>
          </cell>
          <cell r="B25" t="str">
            <v xml:space="preserve">JOB ORDER (LABOR &amp; MATERIALS) </v>
          </cell>
          <cell r="C25" t="str">
            <v>PDRRMO</v>
          </cell>
          <cell r="D25" t="str">
            <v>No</v>
          </cell>
          <cell r="E25" t="str">
            <v>NP-53.1 Two Failed Biddings</v>
          </cell>
          <cell r="F25" t="str">
            <v>N/A</v>
          </cell>
          <cell r="G25">
            <v>45316</v>
          </cell>
          <cell r="H25" t="str">
            <v/>
          </cell>
          <cell r="I25" t="str">
            <v>N/A</v>
          </cell>
          <cell r="J25">
            <v>45330</v>
          </cell>
          <cell r="K25">
            <v>45330</v>
          </cell>
          <cell r="L25" t="str">
            <v/>
          </cell>
          <cell r="M25" t="str">
            <v>N/A</v>
          </cell>
          <cell r="N25" t="str">
            <v>N/A</v>
          </cell>
          <cell r="O25">
            <v>45330</v>
          </cell>
          <cell r="P25" t="str">
            <v/>
          </cell>
          <cell r="Q25" t="str">
            <v/>
          </cell>
          <cell r="R25" t="str">
            <v/>
          </cell>
          <cell r="S25">
            <v>45337</v>
          </cell>
          <cell r="T25">
            <v>45348</v>
          </cell>
          <cell r="U25">
            <v>45351</v>
          </cell>
          <cell r="V25" t="str">
            <v/>
          </cell>
          <cell r="W25" t="str">
            <v/>
          </cell>
          <cell r="X25">
            <v>0</v>
          </cell>
          <cell r="Y25">
            <v>0</v>
          </cell>
          <cell r="Z25">
            <v>0</v>
          </cell>
          <cell r="AA25">
            <v>217926.65</v>
          </cell>
          <cell r="AB25">
            <v>0</v>
          </cell>
          <cell r="AC25">
            <v>217926.65</v>
          </cell>
          <cell r="AD25">
            <v>217925.5</v>
          </cell>
          <cell r="AE25">
            <v>0</v>
          </cell>
          <cell r="AF25">
            <v>217925.5</v>
          </cell>
          <cell r="AG25" t="str">
            <v>ENGR. MICHAEL C. SALARDA
MS. LEONARDA M. LATOR
MS. CARMENCITA VALDEZ
MS. SORAYA P. VERGARA</v>
          </cell>
          <cell r="AH25" t="str">
            <v>N/A</v>
          </cell>
          <cell r="AI25" t="str">
            <v>N/A</v>
          </cell>
          <cell r="AJ25" t="str">
            <v>N/A</v>
          </cell>
          <cell r="AK25" t="str">
            <v>N/A</v>
          </cell>
          <cell r="AL25" t="str">
            <v>N/A</v>
          </cell>
          <cell r="AM25" t="str">
            <v>N/A</v>
          </cell>
          <cell r="AN25">
            <v>0</v>
          </cell>
          <cell r="AO25" t="str">
            <v/>
          </cell>
        </row>
        <row r="26">
          <cell r="A26" t="str">
            <v>24-C1014</v>
          </cell>
          <cell r="B26" t="str">
            <v>HYGIENE KITS</v>
          </cell>
          <cell r="C26" t="str">
            <v>PDRRMO</v>
          </cell>
          <cell r="D26" t="str">
            <v>No</v>
          </cell>
          <cell r="E26" t="str">
            <v>NP-53.2 Emergency Cases</v>
          </cell>
          <cell r="F26">
            <v>45328</v>
          </cell>
          <cell r="G26">
            <v>45329</v>
          </cell>
          <cell r="H26" t="str">
            <v/>
          </cell>
          <cell r="I26" t="str">
            <v>N/A</v>
          </cell>
          <cell r="J26">
            <v>45330</v>
          </cell>
          <cell r="K26">
            <v>45330</v>
          </cell>
          <cell r="L26" t="str">
            <v/>
          </cell>
          <cell r="M26" t="str">
            <v>N/A</v>
          </cell>
          <cell r="N26" t="str">
            <v>N/A</v>
          </cell>
          <cell r="O26">
            <v>45330</v>
          </cell>
          <cell r="P26" t="str">
            <v/>
          </cell>
          <cell r="Q26" t="str">
            <v/>
          </cell>
          <cell r="R26" t="str">
            <v/>
          </cell>
          <cell r="S26">
            <v>45330</v>
          </cell>
          <cell r="T26">
            <v>45330</v>
          </cell>
          <cell r="U26">
            <v>45330</v>
          </cell>
          <cell r="V26" t="str">
            <v/>
          </cell>
          <cell r="W26" t="str">
            <v/>
          </cell>
          <cell r="X26">
            <v>45332</v>
          </cell>
          <cell r="Y26">
            <v>0</v>
          </cell>
          <cell r="Z26">
            <v>0</v>
          </cell>
          <cell r="AA26">
            <v>950625</v>
          </cell>
          <cell r="AB26">
            <v>0</v>
          </cell>
          <cell r="AC26">
            <v>950625</v>
          </cell>
          <cell r="AD26">
            <v>929452.5</v>
          </cell>
          <cell r="AE26">
            <v>0</v>
          </cell>
          <cell r="AF26">
            <v>929452.5</v>
          </cell>
          <cell r="AG26" t="str">
            <v>ENGR. MICHAEL C. SALARDA
MS. LEONARDA M. LATOR
MS. CARMENCITA VALDEZ
MS. SORAYA P. VERGARA</v>
          </cell>
          <cell r="AH26" t="str">
            <v>N/A</v>
          </cell>
          <cell r="AI26" t="str">
            <v>N/A</v>
          </cell>
          <cell r="AJ26" t="str">
            <v>N/A</v>
          </cell>
          <cell r="AK26" t="str">
            <v>N/A</v>
          </cell>
          <cell r="AL26" t="str">
            <v>N/A</v>
          </cell>
          <cell r="AM26" t="str">
            <v>N/A</v>
          </cell>
          <cell r="AN26">
            <v>0</v>
          </cell>
          <cell r="AO26" t="str">
            <v/>
          </cell>
        </row>
        <row r="27">
          <cell r="A27" t="str">
            <v>24-0956</v>
          </cell>
          <cell r="B27" t="str">
            <v>PACKED MEALS</v>
          </cell>
          <cell r="C27" t="str">
            <v>PDRRMO</v>
          </cell>
          <cell r="D27" t="str">
            <v>No</v>
          </cell>
          <cell r="E27" t="str">
            <v>NP-53.2 Emergency Cases</v>
          </cell>
          <cell r="F27" t="str">
            <v>N/A</v>
          </cell>
          <cell r="G27">
            <v>45329</v>
          </cell>
          <cell r="H27" t="str">
            <v/>
          </cell>
          <cell r="I27" t="str">
            <v>N/A</v>
          </cell>
          <cell r="J27">
            <v>45330</v>
          </cell>
          <cell r="K27">
            <v>45330</v>
          </cell>
          <cell r="L27" t="str">
            <v/>
          </cell>
          <cell r="M27" t="str">
            <v>N/A</v>
          </cell>
          <cell r="N27" t="str">
            <v>N/A</v>
          </cell>
          <cell r="O27">
            <v>45330</v>
          </cell>
          <cell r="P27" t="str">
            <v/>
          </cell>
          <cell r="Q27" t="str">
            <v/>
          </cell>
          <cell r="R27" t="str">
            <v/>
          </cell>
          <cell r="S27">
            <v>45330</v>
          </cell>
          <cell r="T27">
            <v>45330</v>
          </cell>
          <cell r="U27">
            <v>45330</v>
          </cell>
          <cell r="V27" t="str">
            <v/>
          </cell>
          <cell r="W27" t="str">
            <v/>
          </cell>
          <cell r="X27">
            <v>0</v>
          </cell>
          <cell r="Y27">
            <v>0</v>
          </cell>
          <cell r="Z27">
            <v>0</v>
          </cell>
          <cell r="AA27">
            <v>595000</v>
          </cell>
          <cell r="AB27">
            <v>0</v>
          </cell>
          <cell r="AC27">
            <v>595000</v>
          </cell>
          <cell r="AD27">
            <v>595000</v>
          </cell>
          <cell r="AE27">
            <v>0</v>
          </cell>
          <cell r="AF27">
            <v>595000</v>
          </cell>
          <cell r="AG27" t="str">
            <v>ENGR. MICHAEL C. SALARDA
MS. LEONARDA M. LATOR
MS. CARMENCITA VALDEZ
MS. SORAYA P. VERGARA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>
            <v>0</v>
          </cell>
          <cell r="AO27" t="str">
            <v/>
          </cell>
        </row>
        <row r="28">
          <cell r="A28" t="str">
            <v>24-0667</v>
          </cell>
          <cell r="B28" t="str">
            <v>PACKED MEALS</v>
          </cell>
          <cell r="C28" t="str">
            <v>PDRRMO</v>
          </cell>
          <cell r="D28" t="str">
            <v>No</v>
          </cell>
          <cell r="E28" t="str">
            <v>NP-53.2 Emergency Cases</v>
          </cell>
          <cell r="F28" t="str">
            <v>N/A</v>
          </cell>
          <cell r="G28">
            <v>45322</v>
          </cell>
          <cell r="H28">
            <v>0</v>
          </cell>
          <cell r="I28" t="str">
            <v>N/A</v>
          </cell>
          <cell r="J28">
            <v>45322</v>
          </cell>
          <cell r="K28">
            <v>45322</v>
          </cell>
          <cell r="L28">
            <v>0</v>
          </cell>
          <cell r="M28" t="str">
            <v>N/A</v>
          </cell>
          <cell r="N28" t="str">
            <v>N/A</v>
          </cell>
          <cell r="O28">
            <v>45323</v>
          </cell>
          <cell r="P28">
            <v>0</v>
          </cell>
          <cell r="Q28">
            <v>0</v>
          </cell>
          <cell r="R28">
            <v>0</v>
          </cell>
          <cell r="S28">
            <v>45323</v>
          </cell>
          <cell r="T28">
            <v>45323</v>
          </cell>
          <cell r="U28">
            <v>45323</v>
          </cell>
          <cell r="V28">
            <v>0</v>
          </cell>
          <cell r="W28">
            <v>0</v>
          </cell>
          <cell r="X28">
            <v>45378</v>
          </cell>
          <cell r="Y28">
            <v>0</v>
          </cell>
          <cell r="Z28">
            <v>0</v>
          </cell>
          <cell r="AA28">
            <v>595000</v>
          </cell>
          <cell r="AB28">
            <v>0</v>
          </cell>
          <cell r="AC28">
            <v>595000</v>
          </cell>
          <cell r="AD28">
            <v>595000</v>
          </cell>
          <cell r="AE28">
            <v>0</v>
          </cell>
          <cell r="AF28">
            <v>595000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A29" t="str">
            <v>24-C0967</v>
          </cell>
          <cell r="B29" t="str">
            <v>FOOD SUPPLIES-DRY GOODS</v>
          </cell>
          <cell r="C29" t="str">
            <v>PDRRMO</v>
          </cell>
          <cell r="D29" t="str">
            <v>No</v>
          </cell>
          <cell r="E29" t="str">
            <v>NP-53.2 Emergency Cases</v>
          </cell>
          <cell r="F29" t="str">
            <v>N/A</v>
          </cell>
          <cell r="G29">
            <v>45322</v>
          </cell>
          <cell r="H29">
            <v>0</v>
          </cell>
          <cell r="I29" t="str">
            <v>N/A</v>
          </cell>
          <cell r="J29">
            <v>45322</v>
          </cell>
          <cell r="K29">
            <v>45322</v>
          </cell>
          <cell r="L29">
            <v>0</v>
          </cell>
          <cell r="M29" t="str">
            <v>N/A</v>
          </cell>
          <cell r="N29" t="str">
            <v>N/A</v>
          </cell>
          <cell r="O29">
            <v>45323</v>
          </cell>
          <cell r="P29">
            <v>0</v>
          </cell>
          <cell r="Q29">
            <v>0</v>
          </cell>
          <cell r="R29">
            <v>0</v>
          </cell>
          <cell r="S29">
            <v>45323</v>
          </cell>
          <cell r="T29">
            <v>45323</v>
          </cell>
          <cell r="U29">
            <v>45323</v>
          </cell>
          <cell r="V29">
            <v>0</v>
          </cell>
          <cell r="W29">
            <v>0</v>
          </cell>
          <cell r="X29">
            <v>45323</v>
          </cell>
          <cell r="Y29">
            <v>0</v>
          </cell>
          <cell r="Z29">
            <v>0</v>
          </cell>
          <cell r="AA29">
            <v>3098368</v>
          </cell>
          <cell r="AB29">
            <v>0</v>
          </cell>
          <cell r="AC29">
            <v>3098368</v>
          </cell>
          <cell r="AD29">
            <v>3070984</v>
          </cell>
          <cell r="AE29">
            <v>0</v>
          </cell>
          <cell r="AF29">
            <v>3070984</v>
          </cell>
          <cell r="AG29" t="str">
            <v>ENGR. MICHAEL C. SALARDA
MS. LEONARDA M. LATOR
MS. CARMENCITA VALDEZ
MS. SORAYA P. VERGARA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>
            <v>0</v>
          </cell>
          <cell r="AO29">
            <v>0</v>
          </cell>
        </row>
        <row r="30">
          <cell r="A30" t="str">
            <v>24-C0966</v>
          </cell>
          <cell r="B30" t="str">
            <v>FOOD SUPPLIES - DRY GOODS</v>
          </cell>
          <cell r="C30" t="str">
            <v>PDRRMO</v>
          </cell>
          <cell r="D30">
            <v>0</v>
          </cell>
          <cell r="E30" t="str">
            <v>NP-53.2 Emergency Cases</v>
          </cell>
          <cell r="F30" t="str">
            <v>N/A</v>
          </cell>
          <cell r="G30">
            <v>45322</v>
          </cell>
          <cell r="H30" t="str">
            <v/>
          </cell>
          <cell r="I30" t="str">
            <v>N/A</v>
          </cell>
          <cell r="J30">
            <v>45323</v>
          </cell>
          <cell r="K30">
            <v>45323</v>
          </cell>
          <cell r="L30" t="str">
            <v/>
          </cell>
          <cell r="M30" t="str">
            <v>N/A</v>
          </cell>
          <cell r="N30" t="str">
            <v>N/A</v>
          </cell>
          <cell r="O30">
            <v>45323</v>
          </cell>
          <cell r="P30" t="str">
            <v/>
          </cell>
          <cell r="Q30" t="str">
            <v/>
          </cell>
          <cell r="R30" t="str">
            <v/>
          </cell>
          <cell r="S30">
            <v>45323</v>
          </cell>
          <cell r="T30">
            <v>0</v>
          </cell>
          <cell r="U30">
            <v>0</v>
          </cell>
          <cell r="V30" t="str">
            <v/>
          </cell>
          <cell r="W30" t="str">
            <v/>
          </cell>
          <cell r="X30">
            <v>45325</v>
          </cell>
          <cell r="Y30">
            <v>0</v>
          </cell>
          <cell r="Z30">
            <v>0</v>
          </cell>
          <cell r="AA30">
            <v>1161888</v>
          </cell>
          <cell r="AB30">
            <v>0</v>
          </cell>
          <cell r="AC30">
            <v>1161888</v>
          </cell>
          <cell r="AD30">
            <v>1151619</v>
          </cell>
          <cell r="AE30">
            <v>0</v>
          </cell>
          <cell r="AF30">
            <v>1151619</v>
          </cell>
          <cell r="AG30" t="str">
            <v>ENGR. MICHAEL C. SALARDA
MS. LEONARDA M. LATOR
MS. CARMENCITA VALDEZ
MS. SORAYA P. VERGARA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>
            <v>0</v>
          </cell>
          <cell r="AO30" t="str">
            <v/>
          </cell>
        </row>
        <row r="31">
          <cell r="A31" t="str">
            <v>24-0818</v>
          </cell>
          <cell r="B31" t="str">
            <v>FOOD SUPPLIES</v>
          </cell>
          <cell r="C31" t="str">
            <v>PDRRMO</v>
          </cell>
          <cell r="D31" t="str">
            <v>No</v>
          </cell>
          <cell r="E31" t="str">
            <v>NP-53.2 Emergency Cases</v>
          </cell>
          <cell r="F31">
            <v>45328</v>
          </cell>
          <cell r="G31">
            <v>45329</v>
          </cell>
          <cell r="H31" t="str">
            <v/>
          </cell>
          <cell r="I31" t="str">
            <v>N/A</v>
          </cell>
          <cell r="J31">
            <v>45330</v>
          </cell>
          <cell r="K31">
            <v>45330</v>
          </cell>
          <cell r="L31" t="str">
            <v/>
          </cell>
          <cell r="M31" t="str">
            <v>N/A</v>
          </cell>
          <cell r="N31" t="str">
            <v>N/A</v>
          </cell>
          <cell r="O31">
            <v>45330</v>
          </cell>
          <cell r="P31" t="str">
            <v/>
          </cell>
          <cell r="Q31" t="str">
            <v/>
          </cell>
          <cell r="R31" t="str">
            <v/>
          </cell>
          <cell r="S31">
            <v>45331</v>
          </cell>
          <cell r="T31">
            <v>45334</v>
          </cell>
          <cell r="U31">
            <v>45334</v>
          </cell>
          <cell r="V31" t="str">
            <v/>
          </cell>
          <cell r="W31" t="str">
            <v/>
          </cell>
          <cell r="X31">
            <v>45335</v>
          </cell>
          <cell r="Y31">
            <v>0</v>
          </cell>
          <cell r="Z31">
            <v>0</v>
          </cell>
          <cell r="AA31">
            <v>415690</v>
          </cell>
          <cell r="AB31">
            <v>0</v>
          </cell>
          <cell r="AC31">
            <v>415690</v>
          </cell>
          <cell r="AD31">
            <v>413670</v>
          </cell>
          <cell r="AE31">
            <v>0</v>
          </cell>
          <cell r="AF31">
            <v>413670</v>
          </cell>
          <cell r="AG31" t="str">
            <v>ENGR. MICHAEL C. SALARDA
MS. LEONARDA M. LATOR
MS. CARMENCITA VALDEZ
MS. SORAYA P. VERGARA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>
            <v>0</v>
          </cell>
          <cell r="AO31" t="str">
            <v/>
          </cell>
        </row>
        <row r="32">
          <cell r="A32" t="str">
            <v>24-C0950</v>
          </cell>
          <cell r="B32" t="str">
            <v>JANITORIAL SUPPLIES/HOUSEKEEPING</v>
          </cell>
          <cell r="C32" t="str">
            <v>PIAO</v>
          </cell>
          <cell r="D32" t="str">
            <v>No</v>
          </cell>
          <cell r="E32" t="str">
            <v>NP-53.9 - Small Value Procurement</v>
          </cell>
          <cell r="F32" t="str">
            <v>N/A</v>
          </cell>
          <cell r="G32">
            <v>45324</v>
          </cell>
          <cell r="H32" t="str">
            <v/>
          </cell>
          <cell r="I32" t="str">
            <v>N/A</v>
          </cell>
          <cell r="J32">
            <v>45335</v>
          </cell>
          <cell r="K32">
            <v>45335</v>
          </cell>
          <cell r="L32" t="str">
            <v/>
          </cell>
          <cell r="M32" t="str">
            <v>N/A</v>
          </cell>
          <cell r="N32" t="str">
            <v>N/A</v>
          </cell>
          <cell r="O32">
            <v>45336</v>
          </cell>
          <cell r="P32" t="str">
            <v/>
          </cell>
          <cell r="Q32" t="str">
            <v/>
          </cell>
          <cell r="R32" t="str">
            <v/>
          </cell>
          <cell r="S32" t="str">
            <v>N/A</v>
          </cell>
          <cell r="T32">
            <v>45343</v>
          </cell>
          <cell r="U32">
            <v>45344</v>
          </cell>
          <cell r="V32" t="str">
            <v/>
          </cell>
          <cell r="W32" t="str">
            <v/>
          </cell>
          <cell r="X32">
            <v>45349</v>
          </cell>
          <cell r="Y32">
            <v>0</v>
          </cell>
          <cell r="Z32">
            <v>0</v>
          </cell>
          <cell r="AA32">
            <v>8474</v>
          </cell>
          <cell r="AB32">
            <v>0</v>
          </cell>
          <cell r="AC32">
            <v>8474</v>
          </cell>
          <cell r="AD32">
            <v>8368</v>
          </cell>
          <cell r="AE32">
            <v>0</v>
          </cell>
          <cell r="AF32">
            <v>8368</v>
          </cell>
          <cell r="AG32" t="str">
            <v>ENGR. MICHAEL C. SALARDA
MS. LEONARDA M. LATOR
MS. CARMENCITA VALDEZ
MS. SORAYA P. VERGARA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>
            <v>0</v>
          </cell>
          <cell r="AO32" t="str">
            <v/>
          </cell>
        </row>
        <row r="33">
          <cell r="A33" t="str">
            <v>24-0125</v>
          </cell>
          <cell r="B33" t="str">
            <v>SPAREPARTS (LIGHT VEHICLES)</v>
          </cell>
          <cell r="C33" t="str">
            <v>COA</v>
          </cell>
          <cell r="D33" t="str">
            <v>No</v>
          </cell>
          <cell r="E33" t="str">
            <v>NP-53.9 - Small Value Procurement</v>
          </cell>
          <cell r="F33" t="str">
            <v>N/A</v>
          </cell>
          <cell r="G33">
            <v>45318</v>
          </cell>
          <cell r="H33" t="str">
            <v/>
          </cell>
          <cell r="I33" t="str">
            <v>N/A</v>
          </cell>
          <cell r="J33">
            <v>45335</v>
          </cell>
          <cell r="K33">
            <v>45335</v>
          </cell>
          <cell r="L33" t="str">
            <v/>
          </cell>
          <cell r="M33" t="str">
            <v>N/A</v>
          </cell>
          <cell r="N33" t="str">
            <v>N/A</v>
          </cell>
          <cell r="O33">
            <v>45336</v>
          </cell>
          <cell r="P33" t="str">
            <v/>
          </cell>
          <cell r="Q33" t="str">
            <v/>
          </cell>
          <cell r="R33" t="str">
            <v/>
          </cell>
          <cell r="S33">
            <v>45338</v>
          </cell>
          <cell r="T33">
            <v>45348</v>
          </cell>
          <cell r="U33">
            <v>45351</v>
          </cell>
          <cell r="V33" t="str">
            <v/>
          </cell>
          <cell r="W33" t="str">
            <v/>
          </cell>
          <cell r="X33">
            <v>45357</v>
          </cell>
          <cell r="Y33">
            <v>0</v>
          </cell>
          <cell r="Z33">
            <v>0</v>
          </cell>
          <cell r="AA33">
            <v>53400</v>
          </cell>
          <cell r="AB33">
            <v>0</v>
          </cell>
          <cell r="AC33">
            <v>53400</v>
          </cell>
          <cell r="AD33">
            <v>52000</v>
          </cell>
          <cell r="AE33">
            <v>0</v>
          </cell>
          <cell r="AF33">
            <v>52000</v>
          </cell>
          <cell r="AG33" t="str">
            <v>ENGR. MICHAEL C. SALARDA
MS. LEONARDA M. LATOR
MS. CARMENCITA VALDEZ
MS. SORAYA P. VERGARA</v>
          </cell>
          <cell r="AH33" t="str">
            <v>N/A</v>
          </cell>
          <cell r="AI33" t="str">
            <v>N/A</v>
          </cell>
          <cell r="AJ33" t="str">
            <v>N/A</v>
          </cell>
          <cell r="AK33" t="str">
            <v>N/A</v>
          </cell>
          <cell r="AL33" t="str">
            <v>N/A</v>
          </cell>
          <cell r="AM33" t="str">
            <v>N/A</v>
          </cell>
          <cell r="AN33">
            <v>0</v>
          </cell>
          <cell r="AO33" t="str">
            <v/>
          </cell>
        </row>
        <row r="34">
          <cell r="A34" t="str">
            <v>24-0235</v>
          </cell>
          <cell r="B34" t="str">
            <v>COMPUTER SUPPLIES/SPAREPARTS</v>
          </cell>
          <cell r="C34" t="str">
            <v>PACCO</v>
          </cell>
          <cell r="D34" t="str">
            <v>No</v>
          </cell>
          <cell r="E34" t="str">
            <v>NP-53.9 - Small Value Procurement</v>
          </cell>
          <cell r="F34" t="str">
            <v>N/A</v>
          </cell>
          <cell r="G34">
            <v>45324</v>
          </cell>
          <cell r="H34" t="str">
            <v/>
          </cell>
          <cell r="I34" t="str">
            <v>N/A</v>
          </cell>
          <cell r="J34">
            <v>45335</v>
          </cell>
          <cell r="K34">
            <v>45335</v>
          </cell>
          <cell r="L34" t="str">
            <v/>
          </cell>
          <cell r="M34" t="str">
            <v>N/A</v>
          </cell>
          <cell r="N34" t="str">
            <v>N/A</v>
          </cell>
          <cell r="O34">
            <v>45336</v>
          </cell>
          <cell r="P34" t="str">
            <v/>
          </cell>
          <cell r="Q34" t="str">
            <v/>
          </cell>
          <cell r="R34" t="str">
            <v/>
          </cell>
          <cell r="S34">
            <v>45336</v>
          </cell>
          <cell r="T34">
            <v>45343</v>
          </cell>
          <cell r="U34">
            <v>45344</v>
          </cell>
          <cell r="V34" t="str">
            <v/>
          </cell>
          <cell r="W34" t="str">
            <v/>
          </cell>
          <cell r="X34">
            <v>45422</v>
          </cell>
          <cell r="Y34">
            <v>0</v>
          </cell>
          <cell r="Z34">
            <v>0</v>
          </cell>
          <cell r="AA34">
            <v>81446</v>
          </cell>
          <cell r="AB34">
            <v>0</v>
          </cell>
          <cell r="AC34">
            <v>81446</v>
          </cell>
          <cell r="AD34">
            <v>81134</v>
          </cell>
          <cell r="AE34">
            <v>0</v>
          </cell>
          <cell r="AF34">
            <v>81134</v>
          </cell>
          <cell r="AG34" t="str">
            <v>ENGR. MICHAEL C. SALARDA
MS. LEONARDA M. LATOR
MS. CARMENCITA VALDEZ
MS. SORAYA P. VERGARA</v>
          </cell>
          <cell r="AH34" t="str">
            <v>N/A</v>
          </cell>
          <cell r="AI34" t="str">
            <v>N/A</v>
          </cell>
          <cell r="AJ34" t="str">
            <v>N/A</v>
          </cell>
          <cell r="AK34" t="str">
            <v>N/A</v>
          </cell>
          <cell r="AL34" t="str">
            <v>N/A</v>
          </cell>
          <cell r="AM34" t="str">
            <v>N/A</v>
          </cell>
          <cell r="AN34">
            <v>0</v>
          </cell>
          <cell r="AO34" t="str">
            <v/>
          </cell>
        </row>
        <row r="35">
          <cell r="A35" t="str">
            <v>24-C0952</v>
          </cell>
          <cell r="B35" t="str">
            <v>CONSTRUCTION SUPPLIES</v>
          </cell>
          <cell r="C35" t="str">
            <v>PEO-GA</v>
          </cell>
          <cell r="D35" t="str">
            <v>No</v>
          </cell>
          <cell r="E35" t="str">
            <v>NP-53.9 - Small Value Procurement</v>
          </cell>
          <cell r="F35" t="str">
            <v>N/A</v>
          </cell>
          <cell r="G35">
            <v>45324</v>
          </cell>
          <cell r="H35" t="str">
            <v/>
          </cell>
          <cell r="I35" t="str">
            <v>N/A</v>
          </cell>
          <cell r="J35">
            <v>45335</v>
          </cell>
          <cell r="K35">
            <v>45335</v>
          </cell>
          <cell r="L35" t="str">
            <v/>
          </cell>
          <cell r="M35" t="str">
            <v>N/A</v>
          </cell>
          <cell r="N35" t="str">
            <v>N/A</v>
          </cell>
          <cell r="O35">
            <v>45336</v>
          </cell>
          <cell r="P35" t="str">
            <v/>
          </cell>
          <cell r="Q35" t="str">
            <v/>
          </cell>
          <cell r="R35" t="str">
            <v/>
          </cell>
          <cell r="S35">
            <v>45338</v>
          </cell>
          <cell r="T35">
            <v>45344</v>
          </cell>
          <cell r="U35">
            <v>45348</v>
          </cell>
          <cell r="V35" t="str">
            <v/>
          </cell>
          <cell r="W35" t="str">
            <v/>
          </cell>
          <cell r="X35">
            <v>45351</v>
          </cell>
          <cell r="Y35">
            <v>0</v>
          </cell>
          <cell r="Z35">
            <v>0</v>
          </cell>
          <cell r="AA35">
            <v>107319</v>
          </cell>
          <cell r="AB35">
            <v>0</v>
          </cell>
          <cell r="AC35">
            <v>107319</v>
          </cell>
          <cell r="AD35">
            <v>104940</v>
          </cell>
          <cell r="AE35">
            <v>0</v>
          </cell>
          <cell r="AF35">
            <v>104940</v>
          </cell>
          <cell r="AG35" t="str">
            <v>ENGR. MICHAEL C. SALARDA
MS. LEONARDA M. LATOR
MS. CARMENCITA VALDEZ
MS. SORAYA P. VERGARA</v>
          </cell>
          <cell r="AH35" t="str">
            <v>N/A</v>
          </cell>
          <cell r="AI35" t="str">
            <v>N/A</v>
          </cell>
          <cell r="AJ35" t="str">
            <v>N/A</v>
          </cell>
          <cell r="AK35" t="str">
            <v>N/A</v>
          </cell>
          <cell r="AL35" t="str">
            <v>N/A</v>
          </cell>
          <cell r="AM35" t="str">
            <v>N/A</v>
          </cell>
          <cell r="AN35">
            <v>0</v>
          </cell>
          <cell r="AO35" t="str">
            <v/>
          </cell>
        </row>
        <row r="36">
          <cell r="A36" t="str">
            <v>24-0081</v>
          </cell>
          <cell r="B36" t="str">
            <v>JANITORIAL SUPPLIES/HOUSEKEEPING</v>
          </cell>
          <cell r="C36" t="str">
            <v>PBO</v>
          </cell>
          <cell r="D36" t="str">
            <v>No</v>
          </cell>
          <cell r="E36" t="str">
            <v>NP-53.9 - Small Value Procurement</v>
          </cell>
          <cell r="F36" t="str">
            <v>N/A</v>
          </cell>
          <cell r="G36">
            <v>45324</v>
          </cell>
          <cell r="H36" t="str">
            <v/>
          </cell>
          <cell r="I36" t="str">
            <v>N/A</v>
          </cell>
          <cell r="J36">
            <v>45335</v>
          </cell>
          <cell r="K36">
            <v>45335</v>
          </cell>
          <cell r="L36" t="str">
            <v/>
          </cell>
          <cell r="M36" t="str">
            <v>N/A</v>
          </cell>
          <cell r="N36" t="str">
            <v>N/A</v>
          </cell>
          <cell r="O36">
            <v>45336</v>
          </cell>
          <cell r="P36" t="str">
            <v/>
          </cell>
          <cell r="Q36" t="str">
            <v/>
          </cell>
          <cell r="R36" t="str">
            <v/>
          </cell>
          <cell r="S36" t="str">
            <v>N/A</v>
          </cell>
          <cell r="T36">
            <v>45343</v>
          </cell>
          <cell r="U36">
            <v>45344</v>
          </cell>
          <cell r="V36" t="str">
            <v/>
          </cell>
          <cell r="W36" t="str">
            <v/>
          </cell>
          <cell r="X36">
            <v>45345</v>
          </cell>
          <cell r="Y36">
            <v>0</v>
          </cell>
          <cell r="Z36">
            <v>0</v>
          </cell>
          <cell r="AA36">
            <v>5209</v>
          </cell>
          <cell r="AB36">
            <v>0</v>
          </cell>
          <cell r="AC36">
            <v>5209</v>
          </cell>
          <cell r="AD36">
            <v>5050</v>
          </cell>
          <cell r="AE36">
            <v>0</v>
          </cell>
          <cell r="AF36">
            <v>5050</v>
          </cell>
          <cell r="AG36" t="str">
            <v>ENGR. MICHAEL C. SALARDA
MS. LEONARDA M. LATOR
MS. CARMENCITA VALDEZ
MS. SORAYA P. VERGARA</v>
          </cell>
          <cell r="AH36" t="str">
            <v>N/A</v>
          </cell>
          <cell r="AI36" t="str">
            <v>N/A</v>
          </cell>
          <cell r="AJ36" t="str">
            <v>N/A</v>
          </cell>
          <cell r="AK36" t="str">
            <v>N/A</v>
          </cell>
          <cell r="AL36" t="str">
            <v>N/A</v>
          </cell>
          <cell r="AM36" t="str">
            <v>N/A</v>
          </cell>
          <cell r="AN36">
            <v>0</v>
          </cell>
          <cell r="AO36" t="str">
            <v/>
          </cell>
        </row>
        <row r="37">
          <cell r="A37" t="str">
            <v>24-0381</v>
          </cell>
          <cell r="B37" t="str">
            <v>JANITORIAL SUPPLIES/HOUSEKEEPING</v>
          </cell>
          <cell r="C37" t="str">
            <v>PEO-GA</v>
          </cell>
          <cell r="D37" t="str">
            <v>No</v>
          </cell>
          <cell r="E37" t="str">
            <v>NP-53.9 - Small Value Procurement</v>
          </cell>
          <cell r="F37" t="str">
            <v>N/A</v>
          </cell>
          <cell r="G37">
            <v>45324</v>
          </cell>
          <cell r="H37" t="str">
            <v/>
          </cell>
          <cell r="I37" t="str">
            <v>N/A</v>
          </cell>
          <cell r="J37">
            <v>45335</v>
          </cell>
          <cell r="K37">
            <v>45335</v>
          </cell>
          <cell r="L37" t="str">
            <v/>
          </cell>
          <cell r="M37" t="str">
            <v>N/A</v>
          </cell>
          <cell r="N37" t="str">
            <v>N/A</v>
          </cell>
          <cell r="O37">
            <v>45336</v>
          </cell>
          <cell r="P37" t="str">
            <v/>
          </cell>
          <cell r="Q37" t="str">
            <v/>
          </cell>
          <cell r="R37" t="str">
            <v/>
          </cell>
          <cell r="S37" t="str">
            <v>N/A</v>
          </cell>
          <cell r="T37">
            <v>45344</v>
          </cell>
          <cell r="U37">
            <v>45351</v>
          </cell>
          <cell r="V37" t="str">
            <v/>
          </cell>
          <cell r="W37" t="str">
            <v/>
          </cell>
          <cell r="X37">
            <v>45362</v>
          </cell>
          <cell r="Y37">
            <v>0</v>
          </cell>
          <cell r="Z37">
            <v>0</v>
          </cell>
          <cell r="AA37">
            <v>33458</v>
          </cell>
          <cell r="AB37">
            <v>0</v>
          </cell>
          <cell r="AC37">
            <v>33458</v>
          </cell>
          <cell r="AD37">
            <v>32542</v>
          </cell>
          <cell r="AE37">
            <v>0</v>
          </cell>
          <cell r="AF37">
            <v>32542</v>
          </cell>
          <cell r="AG37" t="str">
            <v>ENGR. MICHAEL C. SALARDA
MS. LEONARDA M. LATOR
MS. CARMENCITA VALDEZ
MS. SORAYA P. VERGARA</v>
          </cell>
          <cell r="AH37" t="str">
            <v>N/A</v>
          </cell>
          <cell r="AI37" t="str">
            <v>N/A</v>
          </cell>
          <cell r="AJ37" t="str">
            <v>N/A</v>
          </cell>
          <cell r="AK37" t="str">
            <v>N/A</v>
          </cell>
          <cell r="AL37" t="str">
            <v>N/A</v>
          </cell>
          <cell r="AM37" t="str">
            <v>N/A</v>
          </cell>
          <cell r="AN37">
            <v>0</v>
          </cell>
          <cell r="AO37" t="str">
            <v/>
          </cell>
        </row>
        <row r="38">
          <cell r="A38" t="str">
            <v>24-0118</v>
          </cell>
          <cell r="B38" t="str">
            <v>FUEL, OIL, AND LUBRICANTS</v>
          </cell>
          <cell r="C38" t="str">
            <v>COA</v>
          </cell>
          <cell r="D38" t="str">
            <v>No</v>
          </cell>
          <cell r="E38" t="str">
            <v>NP-53.9 - Small Value Procurement</v>
          </cell>
          <cell r="F38" t="str">
            <v>N/A</v>
          </cell>
          <cell r="G38">
            <v>45318</v>
          </cell>
          <cell r="H38" t="str">
            <v/>
          </cell>
          <cell r="I38" t="str">
            <v>N/A</v>
          </cell>
          <cell r="J38">
            <v>45335</v>
          </cell>
          <cell r="K38">
            <v>45335</v>
          </cell>
          <cell r="L38" t="str">
            <v/>
          </cell>
          <cell r="M38" t="str">
            <v>N/A</v>
          </cell>
          <cell r="N38" t="str">
            <v>N/A</v>
          </cell>
          <cell r="O38">
            <v>45336</v>
          </cell>
          <cell r="P38" t="str">
            <v/>
          </cell>
          <cell r="Q38" t="str">
            <v/>
          </cell>
          <cell r="R38" t="str">
            <v/>
          </cell>
          <cell r="S38" t="str">
            <v>N/A</v>
          </cell>
          <cell r="T38">
            <v>45348</v>
          </cell>
          <cell r="U38">
            <v>45348</v>
          </cell>
          <cell r="V38" t="str">
            <v/>
          </cell>
          <cell r="W38" t="str">
            <v/>
          </cell>
          <cell r="X38">
            <v>45362</v>
          </cell>
          <cell r="Y38">
            <v>0</v>
          </cell>
          <cell r="Z38">
            <v>0</v>
          </cell>
          <cell r="AA38">
            <v>29976</v>
          </cell>
          <cell r="AB38">
            <v>0</v>
          </cell>
          <cell r="AC38">
            <v>29976</v>
          </cell>
          <cell r="AD38">
            <v>29880</v>
          </cell>
          <cell r="AE38">
            <v>0</v>
          </cell>
          <cell r="AF38">
            <v>29880</v>
          </cell>
          <cell r="AG38" t="str">
            <v>ENGR. MICHAEL C. SALARDA
MS. LEONARDA M. LATOR
MS. CARMENCITA VALDEZ
MS. SORAYA P. VERGARA</v>
          </cell>
          <cell r="AH38" t="str">
            <v>N/A</v>
          </cell>
          <cell r="AI38" t="str">
            <v>N/A</v>
          </cell>
          <cell r="AJ38" t="str">
            <v>N/A</v>
          </cell>
          <cell r="AK38" t="str">
            <v>N/A</v>
          </cell>
          <cell r="AL38" t="str">
            <v>N/A</v>
          </cell>
          <cell r="AM38" t="str">
            <v>N/A</v>
          </cell>
          <cell r="AN38">
            <v>0</v>
          </cell>
          <cell r="AO38" t="str">
            <v/>
          </cell>
        </row>
        <row r="39">
          <cell r="A39" t="str">
            <v>24-0124</v>
          </cell>
          <cell r="B39" t="str">
            <v>SPAREPARTS (LIGHT VEHICLES)</v>
          </cell>
          <cell r="C39" t="str">
            <v>COA</v>
          </cell>
          <cell r="D39" t="str">
            <v>No</v>
          </cell>
          <cell r="E39" t="str">
            <v>NP-53.9 - Small Value Procurement</v>
          </cell>
          <cell r="F39" t="str">
            <v>N/A</v>
          </cell>
          <cell r="G39">
            <v>45318</v>
          </cell>
          <cell r="H39" t="str">
            <v/>
          </cell>
          <cell r="I39" t="str">
            <v>N/A</v>
          </cell>
          <cell r="J39">
            <v>45335</v>
          </cell>
          <cell r="K39">
            <v>45335</v>
          </cell>
          <cell r="L39" t="str">
            <v/>
          </cell>
          <cell r="M39" t="str">
            <v>N/A</v>
          </cell>
          <cell r="N39" t="str">
            <v>N/A</v>
          </cell>
          <cell r="O39">
            <v>45336</v>
          </cell>
          <cell r="P39" t="str">
            <v/>
          </cell>
          <cell r="Q39" t="str">
            <v/>
          </cell>
          <cell r="R39" t="str">
            <v/>
          </cell>
          <cell r="S39">
            <v>45337</v>
          </cell>
          <cell r="T39">
            <v>45343</v>
          </cell>
          <cell r="U39">
            <v>45344</v>
          </cell>
          <cell r="V39" t="str">
            <v/>
          </cell>
          <cell r="W39" t="str">
            <v/>
          </cell>
          <cell r="X39">
            <v>45348</v>
          </cell>
          <cell r="Y39">
            <v>0</v>
          </cell>
          <cell r="Z39">
            <v>0</v>
          </cell>
          <cell r="AA39">
            <v>57216</v>
          </cell>
          <cell r="AB39">
            <v>0</v>
          </cell>
          <cell r="AC39">
            <v>57216</v>
          </cell>
          <cell r="AD39">
            <v>57216</v>
          </cell>
          <cell r="AE39">
            <v>0</v>
          </cell>
          <cell r="AF39">
            <v>57216</v>
          </cell>
          <cell r="AG39" t="str">
            <v>ENGR. MICHAEL C. SALARDA
MS. LEONARDA M. LATOR
MS. CARMENCITA VALDEZ
MS. SORAYA P. VERGARA</v>
          </cell>
          <cell r="AH39" t="str">
            <v>N/A</v>
          </cell>
          <cell r="AI39" t="str">
            <v>N/A</v>
          </cell>
          <cell r="AJ39" t="str">
            <v>N/A</v>
          </cell>
          <cell r="AK39" t="str">
            <v>N/A</v>
          </cell>
          <cell r="AL39" t="str">
            <v>N/A</v>
          </cell>
          <cell r="AM39" t="str">
            <v>N/A</v>
          </cell>
          <cell r="AN39">
            <v>0</v>
          </cell>
          <cell r="AO39" t="str">
            <v/>
          </cell>
        </row>
        <row r="40">
          <cell r="A40" t="str">
            <v>24-0123</v>
          </cell>
          <cell r="B40" t="str">
            <v>SPAREPARTS (HEAVY EQUIPMENT)</v>
          </cell>
          <cell r="C40" t="str">
            <v>COA</v>
          </cell>
          <cell r="D40" t="str">
            <v>No</v>
          </cell>
          <cell r="E40" t="str">
            <v>NP-53.9 - Small Value Procurement</v>
          </cell>
          <cell r="F40" t="str">
            <v>N/A</v>
          </cell>
          <cell r="G40">
            <v>45318</v>
          </cell>
          <cell r="H40" t="str">
            <v/>
          </cell>
          <cell r="I40" t="str">
            <v>N/A</v>
          </cell>
          <cell r="J40">
            <v>45335</v>
          </cell>
          <cell r="K40">
            <v>45335</v>
          </cell>
          <cell r="L40" t="str">
            <v/>
          </cell>
          <cell r="M40" t="str">
            <v>N/A</v>
          </cell>
          <cell r="N40" t="str">
            <v>N/A</v>
          </cell>
          <cell r="O40">
            <v>45336</v>
          </cell>
          <cell r="P40" t="str">
            <v/>
          </cell>
          <cell r="Q40" t="str">
            <v/>
          </cell>
          <cell r="R40" t="str">
            <v/>
          </cell>
          <cell r="S40" t="str">
            <v>N/A</v>
          </cell>
          <cell r="T40">
            <v>45342</v>
          </cell>
          <cell r="U40">
            <v>45344</v>
          </cell>
          <cell r="V40" t="str">
            <v/>
          </cell>
          <cell r="W40" t="str">
            <v/>
          </cell>
          <cell r="X40">
            <v>45348</v>
          </cell>
          <cell r="Y40">
            <v>0</v>
          </cell>
          <cell r="Z40">
            <v>0</v>
          </cell>
          <cell r="AA40">
            <v>27225</v>
          </cell>
          <cell r="AB40">
            <v>0</v>
          </cell>
          <cell r="AC40">
            <v>27225</v>
          </cell>
          <cell r="AD40">
            <v>26910</v>
          </cell>
          <cell r="AE40">
            <v>0</v>
          </cell>
          <cell r="AF40">
            <v>26910</v>
          </cell>
          <cell r="AG40" t="str">
            <v>ENGR. MICHAEL C. SALARDA
MS. LEONARDA M. LATOR
MS. CARMENCITA VALDEZ
MS. SORAYA P. VERGARA</v>
          </cell>
          <cell r="AH40" t="str">
            <v>N/A</v>
          </cell>
          <cell r="AI40" t="str">
            <v>N/A</v>
          </cell>
          <cell r="AJ40" t="str">
            <v>N/A</v>
          </cell>
          <cell r="AK40" t="str">
            <v>N/A</v>
          </cell>
          <cell r="AL40" t="str">
            <v>N/A</v>
          </cell>
          <cell r="AM40" t="str">
            <v>N/A</v>
          </cell>
          <cell r="AN40">
            <v>0</v>
          </cell>
          <cell r="AO40" t="str">
            <v/>
          </cell>
        </row>
        <row r="41">
          <cell r="A41" t="str">
            <v>24-C0931</v>
          </cell>
          <cell r="B41" t="str">
            <v>PRINTERS</v>
          </cell>
          <cell r="C41" t="str">
            <v>PHO</v>
          </cell>
          <cell r="D41" t="str">
            <v>No</v>
          </cell>
          <cell r="E41" t="str">
            <v>NP-53.9 - Small Value Procurement</v>
          </cell>
          <cell r="F41" t="str">
            <v>N/A</v>
          </cell>
          <cell r="G41">
            <v>45318</v>
          </cell>
          <cell r="H41" t="str">
            <v/>
          </cell>
          <cell r="I41" t="str">
            <v>N/A</v>
          </cell>
          <cell r="J41">
            <v>45335</v>
          </cell>
          <cell r="K41">
            <v>45335</v>
          </cell>
          <cell r="L41" t="str">
            <v/>
          </cell>
          <cell r="M41" t="str">
            <v>N/A</v>
          </cell>
          <cell r="N41" t="str">
            <v>N/A</v>
          </cell>
          <cell r="O41">
            <v>45336</v>
          </cell>
          <cell r="P41" t="str">
            <v/>
          </cell>
          <cell r="Q41" t="str">
            <v/>
          </cell>
          <cell r="R41" t="str">
            <v/>
          </cell>
          <cell r="S41">
            <v>45338</v>
          </cell>
          <cell r="T41">
            <v>45344</v>
          </cell>
          <cell r="U41">
            <v>45348</v>
          </cell>
          <cell r="V41" t="str">
            <v/>
          </cell>
          <cell r="W41" t="str">
            <v/>
          </cell>
          <cell r="X41">
            <v>45386</v>
          </cell>
          <cell r="Y41">
            <v>0</v>
          </cell>
          <cell r="Z41">
            <v>0</v>
          </cell>
          <cell r="AA41">
            <v>58000</v>
          </cell>
          <cell r="AB41">
            <v>0</v>
          </cell>
          <cell r="AC41">
            <v>58000</v>
          </cell>
          <cell r="AD41">
            <v>58000</v>
          </cell>
          <cell r="AE41">
            <v>0</v>
          </cell>
          <cell r="AF41">
            <v>58000</v>
          </cell>
          <cell r="AG41" t="str">
            <v>ENGR. MICHAEL C. SALARDA
MS. LEONARDA M. LATOR
MS. CARMENCITA VALDEZ
MS. SORAYA P. VERGARA</v>
          </cell>
          <cell r="AH41" t="str">
            <v>N/A</v>
          </cell>
          <cell r="AI41" t="str">
            <v>N/A</v>
          </cell>
          <cell r="AJ41" t="str">
            <v>N/A</v>
          </cell>
          <cell r="AK41" t="str">
            <v>N/A</v>
          </cell>
          <cell r="AL41" t="str">
            <v>N/A</v>
          </cell>
          <cell r="AM41" t="str">
            <v>N/A</v>
          </cell>
          <cell r="AN41">
            <v>0</v>
          </cell>
          <cell r="AO41" t="str">
            <v/>
          </cell>
        </row>
        <row r="42">
          <cell r="A42" t="str">
            <v>24-0133</v>
          </cell>
          <cell r="B42" t="str">
            <v>FOOD/CATERING SERVICES</v>
          </cell>
          <cell r="C42" t="str">
            <v>PAO-ADMIN</v>
          </cell>
          <cell r="D42" t="str">
            <v>No</v>
          </cell>
          <cell r="E42" t="str">
            <v>NP-53.9 - Small Value Procurement</v>
          </cell>
          <cell r="F42">
            <v>45314</v>
          </cell>
          <cell r="G42">
            <v>45318</v>
          </cell>
          <cell r="H42" t="str">
            <v/>
          </cell>
          <cell r="I42" t="str">
            <v>N/A</v>
          </cell>
          <cell r="J42">
            <v>45335</v>
          </cell>
          <cell r="K42">
            <v>45335</v>
          </cell>
          <cell r="L42" t="str">
            <v/>
          </cell>
          <cell r="M42" t="str">
            <v>N/A</v>
          </cell>
          <cell r="N42" t="str">
            <v>N/A</v>
          </cell>
          <cell r="O42">
            <v>45336</v>
          </cell>
          <cell r="P42" t="str">
            <v/>
          </cell>
          <cell r="Q42" t="str">
            <v/>
          </cell>
          <cell r="R42" t="str">
            <v/>
          </cell>
          <cell r="S42">
            <v>45338</v>
          </cell>
          <cell r="T42">
            <v>45341</v>
          </cell>
          <cell r="U42">
            <v>45344</v>
          </cell>
          <cell r="V42" t="str">
            <v/>
          </cell>
          <cell r="W42" t="str">
            <v/>
          </cell>
          <cell r="X42">
            <v>0</v>
          </cell>
          <cell r="Y42">
            <v>0</v>
          </cell>
          <cell r="Z42">
            <v>0</v>
          </cell>
          <cell r="AA42">
            <v>70000</v>
          </cell>
          <cell r="AB42">
            <v>0</v>
          </cell>
          <cell r="AC42">
            <v>70000</v>
          </cell>
          <cell r="AD42">
            <v>68000</v>
          </cell>
          <cell r="AE42">
            <v>0</v>
          </cell>
          <cell r="AF42">
            <v>68000</v>
          </cell>
          <cell r="AG42" t="str">
            <v>ENGR. MICHAEL C. SALARDA
MS. LEONARDA M. LATOR
MS. CARMENCITA VALDEZ
MS. SORAYA P. VERGARA</v>
          </cell>
          <cell r="AH42" t="str">
            <v>N/A</v>
          </cell>
          <cell r="AI42" t="str">
            <v>N/A</v>
          </cell>
          <cell r="AJ42" t="str">
            <v>N/A</v>
          </cell>
          <cell r="AK42" t="str">
            <v>N/A</v>
          </cell>
          <cell r="AL42" t="str">
            <v>N/A</v>
          </cell>
          <cell r="AM42" t="str">
            <v>N/A</v>
          </cell>
          <cell r="AN42">
            <v>0</v>
          </cell>
          <cell r="AO42" t="str">
            <v/>
          </cell>
        </row>
        <row r="43">
          <cell r="A43" t="str">
            <v>24-0719</v>
          </cell>
          <cell r="B43" t="str">
            <v>SPAREPARTS (LIGHT VEHICLES)</v>
          </cell>
          <cell r="C43" t="str">
            <v>PDRRMO</v>
          </cell>
          <cell r="D43" t="str">
            <v>No</v>
          </cell>
          <cell r="E43" t="str">
            <v>Shopping 52.1(a) - Unforeseen Contingency</v>
          </cell>
          <cell r="F43">
            <v>45322</v>
          </cell>
          <cell r="G43">
            <v>45324</v>
          </cell>
          <cell r="H43" t="str">
            <v/>
          </cell>
          <cell r="I43" t="str">
            <v>N/A</v>
          </cell>
          <cell r="J43">
            <v>45335</v>
          </cell>
          <cell r="K43">
            <v>45335</v>
          </cell>
          <cell r="L43" t="str">
            <v/>
          </cell>
          <cell r="M43" t="str">
            <v>N/A</v>
          </cell>
          <cell r="N43" t="str">
            <v>N/A</v>
          </cell>
          <cell r="O43">
            <v>45336</v>
          </cell>
          <cell r="P43" t="str">
            <v/>
          </cell>
          <cell r="Q43" t="str">
            <v/>
          </cell>
          <cell r="R43" t="str">
            <v/>
          </cell>
          <cell r="S43" t="str">
            <v>N/A</v>
          </cell>
          <cell r="T43">
            <v>45343</v>
          </cell>
          <cell r="U43">
            <v>45344</v>
          </cell>
          <cell r="V43" t="str">
            <v/>
          </cell>
          <cell r="W43" t="str">
            <v/>
          </cell>
          <cell r="X43">
            <v>45344</v>
          </cell>
          <cell r="Y43">
            <v>0</v>
          </cell>
          <cell r="Z43">
            <v>0</v>
          </cell>
          <cell r="AA43">
            <v>52000</v>
          </cell>
          <cell r="AB43">
            <v>0</v>
          </cell>
          <cell r="AC43">
            <v>52000</v>
          </cell>
          <cell r="AD43">
            <v>52000</v>
          </cell>
          <cell r="AE43">
            <v>0</v>
          </cell>
          <cell r="AF43">
            <v>52000</v>
          </cell>
          <cell r="AG43" t="str">
            <v>ENGR. MICHAEL C. SALARDA
MS. LEONARDA M. LATOR
MS. CARMENCITA VALDEZ
MS. SORAYA P. VERGARA</v>
          </cell>
          <cell r="AH43" t="str">
            <v>N/A</v>
          </cell>
          <cell r="AI43" t="str">
            <v>N/A</v>
          </cell>
          <cell r="AJ43" t="str">
            <v>N/A</v>
          </cell>
          <cell r="AK43" t="str">
            <v>N/A</v>
          </cell>
          <cell r="AL43" t="str">
            <v>N/A</v>
          </cell>
          <cell r="AM43" t="str">
            <v>N/A</v>
          </cell>
          <cell r="AN43">
            <v>0</v>
          </cell>
          <cell r="AO43" t="str">
            <v/>
          </cell>
        </row>
        <row r="44">
          <cell r="A44" t="str">
            <v>23-C0803
LOT 2</v>
          </cell>
          <cell r="B44" t="str">
            <v>MEALS AND SNACKS</v>
          </cell>
          <cell r="C44" t="str">
            <v>PAGRO</v>
          </cell>
          <cell r="D44" t="str">
            <v>No</v>
          </cell>
          <cell r="E44" t="str">
            <v>Competitive Bidding</v>
          </cell>
          <cell r="F44">
            <v>45603</v>
          </cell>
          <cell r="G44">
            <v>45299</v>
          </cell>
          <cell r="H44" t="str">
            <v/>
          </cell>
          <cell r="I44">
            <v>45314</v>
          </cell>
          <cell r="J44">
            <v>45328</v>
          </cell>
          <cell r="K44">
            <v>45328</v>
          </cell>
          <cell r="L44" t="str">
            <v/>
          </cell>
          <cell r="M44">
            <v>45328</v>
          </cell>
          <cell r="N44">
            <v>45334</v>
          </cell>
          <cell r="O44">
            <v>45336</v>
          </cell>
          <cell r="P44" t="str">
            <v/>
          </cell>
          <cell r="Q44" t="str">
            <v/>
          </cell>
          <cell r="R44" t="str">
            <v/>
          </cell>
          <cell r="S44">
            <v>45338</v>
          </cell>
          <cell r="T44">
            <v>45351</v>
          </cell>
          <cell r="U44">
            <v>45351</v>
          </cell>
          <cell r="V44" t="str">
            <v/>
          </cell>
          <cell r="W44" t="str">
            <v/>
          </cell>
          <cell r="X44">
            <v>0</v>
          </cell>
          <cell r="Y44">
            <v>0</v>
          </cell>
          <cell r="Z44">
            <v>0</v>
          </cell>
          <cell r="AA44">
            <v>663460</v>
          </cell>
          <cell r="AB44">
            <v>0</v>
          </cell>
          <cell r="AC44">
            <v>663460</v>
          </cell>
          <cell r="AD44">
            <v>631095</v>
          </cell>
          <cell r="AE44">
            <v>0</v>
          </cell>
          <cell r="AF44">
            <v>631095</v>
          </cell>
          <cell r="AG44" t="str">
            <v>ENGR. MICHAEL C. SALARDA
MS. LEONARDA M. LATOR
MS. CARMENCITA VALDEZ
MS. SORAYA P. VERGARA</v>
          </cell>
          <cell r="AH44">
            <v>45313</v>
          </cell>
          <cell r="AI44">
            <v>45324</v>
          </cell>
          <cell r="AJ44">
            <v>45324</v>
          </cell>
          <cell r="AK44">
            <v>45324</v>
          </cell>
          <cell r="AL44" t="str">
            <v>N/A</v>
          </cell>
          <cell r="AM44" t="str">
            <v>N/A</v>
          </cell>
          <cell r="AN44">
            <v>0</v>
          </cell>
          <cell r="AO44" t="str">
            <v/>
          </cell>
        </row>
        <row r="45">
          <cell r="A45" t="str">
            <v>24-C0932</v>
          </cell>
          <cell r="B45" t="str">
            <v xml:space="preserve"> CONSTRUCTION MATERIALS</v>
          </cell>
          <cell r="C45" t="str">
            <v>PEO</v>
          </cell>
          <cell r="D45" t="str">
            <v>No</v>
          </cell>
          <cell r="E45" t="str">
            <v>Competitive Bidding</v>
          </cell>
          <cell r="F45" t="str">
            <v>N/A</v>
          </cell>
          <cell r="G45">
            <v>45320</v>
          </cell>
          <cell r="H45" t="str">
            <v/>
          </cell>
          <cell r="I45" t="str">
            <v>N/A</v>
          </cell>
          <cell r="J45">
            <v>45328</v>
          </cell>
          <cell r="K45">
            <v>45328</v>
          </cell>
          <cell r="L45" t="str">
            <v/>
          </cell>
          <cell r="M45">
            <v>45328</v>
          </cell>
          <cell r="N45">
            <v>45334</v>
          </cell>
          <cell r="O45">
            <v>45336</v>
          </cell>
          <cell r="P45" t="str">
            <v/>
          </cell>
          <cell r="Q45" t="str">
            <v/>
          </cell>
          <cell r="R45" t="str">
            <v/>
          </cell>
          <cell r="S45">
            <v>45337</v>
          </cell>
          <cell r="T45">
            <v>45369</v>
          </cell>
          <cell r="U45">
            <v>45375</v>
          </cell>
          <cell r="V45" t="str">
            <v/>
          </cell>
          <cell r="W45" t="str">
            <v/>
          </cell>
          <cell r="X45">
            <v>45393</v>
          </cell>
          <cell r="Y45">
            <v>0</v>
          </cell>
          <cell r="Z45">
            <v>0</v>
          </cell>
          <cell r="AA45">
            <v>638625.04</v>
          </cell>
          <cell r="AB45">
            <v>0</v>
          </cell>
          <cell r="AC45">
            <v>638625.04</v>
          </cell>
          <cell r="AD45">
            <v>635746.1</v>
          </cell>
          <cell r="AE45">
            <v>0</v>
          </cell>
          <cell r="AF45">
            <v>635746.1</v>
          </cell>
          <cell r="AG45" t="str">
            <v>ENGR. MICHAEL C. SALARDA
MS. LEONARDA M. LATOR
MS. CARMENCITA VALDEZ
MS. SORAYA P. VERGARA</v>
          </cell>
          <cell r="AH45" t="str">
            <v>N/A</v>
          </cell>
          <cell r="AI45">
            <v>45324</v>
          </cell>
          <cell r="AJ45">
            <v>45324</v>
          </cell>
          <cell r="AK45">
            <v>45324</v>
          </cell>
          <cell r="AL45" t="str">
            <v>N/A</v>
          </cell>
          <cell r="AM45" t="str">
            <v>N/A</v>
          </cell>
          <cell r="AN45">
            <v>0</v>
          </cell>
          <cell r="AO45" t="str">
            <v/>
          </cell>
        </row>
        <row r="46">
          <cell r="A46" t="str">
            <v>24-C0951</v>
          </cell>
          <cell r="B46" t="str">
            <v>OFFICE SUPPLIES</v>
          </cell>
          <cell r="C46" t="str">
            <v>PIAO</v>
          </cell>
          <cell r="D46" t="str">
            <v>No</v>
          </cell>
          <cell r="E46" t="str">
            <v>Shopping 52.1(b) - Regular Office Supplies and Equipment no available in PS</v>
          </cell>
          <cell r="F46" t="str">
            <v>N/A</v>
          </cell>
          <cell r="G46">
            <v>45324</v>
          </cell>
          <cell r="H46" t="str">
            <v/>
          </cell>
          <cell r="I46" t="str">
            <v>N/A</v>
          </cell>
          <cell r="J46">
            <v>45335</v>
          </cell>
          <cell r="K46">
            <v>45335</v>
          </cell>
          <cell r="L46" t="str">
            <v/>
          </cell>
          <cell r="M46" t="str">
            <v>N/A</v>
          </cell>
          <cell r="N46" t="str">
            <v>N/A</v>
          </cell>
          <cell r="O46">
            <v>45336</v>
          </cell>
          <cell r="P46" t="str">
            <v/>
          </cell>
          <cell r="Q46" t="str">
            <v/>
          </cell>
          <cell r="R46" t="str">
            <v/>
          </cell>
          <cell r="S46" t="str">
            <v>N/A</v>
          </cell>
          <cell r="T46">
            <v>45343</v>
          </cell>
          <cell r="U46">
            <v>45344</v>
          </cell>
          <cell r="V46" t="str">
            <v/>
          </cell>
          <cell r="W46" t="str">
            <v/>
          </cell>
          <cell r="X46">
            <v>45352</v>
          </cell>
          <cell r="Y46">
            <v>0</v>
          </cell>
          <cell r="Z46">
            <v>0</v>
          </cell>
          <cell r="AA46">
            <v>18122</v>
          </cell>
          <cell r="AB46">
            <v>0</v>
          </cell>
          <cell r="AC46">
            <v>18122</v>
          </cell>
          <cell r="AD46">
            <v>17857</v>
          </cell>
          <cell r="AE46">
            <v>0</v>
          </cell>
          <cell r="AF46">
            <v>17857</v>
          </cell>
          <cell r="AG46" t="str">
            <v>ENGR. MICHAEL C. SALARDA
MS. LEONARDA M. LATOR
MS. CARMENCITA VALDEZ
MS. SORAYA P. VERGARA</v>
          </cell>
          <cell r="AH46" t="str">
            <v>N/A</v>
          </cell>
          <cell r="AI46" t="str">
            <v>N/A</v>
          </cell>
          <cell r="AJ46" t="str">
            <v>N/A</v>
          </cell>
          <cell r="AK46" t="str">
            <v>N/A</v>
          </cell>
          <cell r="AL46" t="str">
            <v>N/A</v>
          </cell>
          <cell r="AM46" t="str">
            <v>N/A</v>
          </cell>
          <cell r="AN46">
            <v>0</v>
          </cell>
          <cell r="AO46" t="str">
            <v/>
          </cell>
        </row>
        <row r="47">
          <cell r="A47" t="str">
            <v>24-C0972</v>
          </cell>
          <cell r="B47" t="str">
            <v>OFFICE SUPPLIES</v>
          </cell>
          <cell r="C47" t="str">
            <v>PACCO</v>
          </cell>
          <cell r="D47" t="str">
            <v>No</v>
          </cell>
          <cell r="E47" t="str">
            <v>Shopping 52.1(b) - Regular Office Supplies and Equipment no available in PS</v>
          </cell>
          <cell r="F47" t="str">
            <v>N/A</v>
          </cell>
          <cell r="G47">
            <v>45324</v>
          </cell>
          <cell r="H47" t="str">
            <v/>
          </cell>
          <cell r="I47" t="str">
            <v>N/A</v>
          </cell>
          <cell r="J47">
            <v>45335</v>
          </cell>
          <cell r="K47">
            <v>45335</v>
          </cell>
          <cell r="L47" t="str">
            <v/>
          </cell>
          <cell r="M47" t="str">
            <v>N/A</v>
          </cell>
          <cell r="N47" t="str">
            <v>N/A</v>
          </cell>
          <cell r="O47">
            <v>45336</v>
          </cell>
          <cell r="P47" t="str">
            <v/>
          </cell>
          <cell r="Q47" t="str">
            <v/>
          </cell>
          <cell r="R47" t="str">
            <v/>
          </cell>
          <cell r="S47">
            <v>45338</v>
          </cell>
          <cell r="T47">
            <v>45342</v>
          </cell>
          <cell r="U47">
            <v>45344</v>
          </cell>
          <cell r="V47" t="str">
            <v/>
          </cell>
          <cell r="W47" t="str">
            <v/>
          </cell>
          <cell r="X47">
            <v>45351</v>
          </cell>
          <cell r="Y47">
            <v>0</v>
          </cell>
          <cell r="Z47">
            <v>0</v>
          </cell>
          <cell r="AA47">
            <v>134377</v>
          </cell>
          <cell r="AB47">
            <v>0</v>
          </cell>
          <cell r="AC47">
            <v>134377</v>
          </cell>
          <cell r="AD47">
            <v>130772</v>
          </cell>
          <cell r="AE47">
            <v>0</v>
          </cell>
          <cell r="AF47">
            <v>130772</v>
          </cell>
          <cell r="AG47" t="str">
            <v>ENGR. MICHAEL C. SALARDA
MS. LEONARDA M. LATOR
MS. CARMENCITA VALDEZ
MS. SORAYA P. VERGARA</v>
          </cell>
          <cell r="AH47" t="str">
            <v>N/A</v>
          </cell>
          <cell r="AI47" t="str">
            <v>N/A</v>
          </cell>
          <cell r="AJ47" t="str">
            <v>N/A</v>
          </cell>
          <cell r="AK47" t="str">
            <v>N/A</v>
          </cell>
          <cell r="AL47" t="str">
            <v>N/A</v>
          </cell>
          <cell r="AM47" t="str">
            <v>N/A</v>
          </cell>
          <cell r="AN47">
            <v>0</v>
          </cell>
          <cell r="AO47" t="str">
            <v/>
          </cell>
        </row>
        <row r="48">
          <cell r="A48" t="str">
            <v>24-0013</v>
          </cell>
          <cell r="B48" t="str">
            <v>SUPPLY AND DELIVERY OF ARC MEGA TENT</v>
          </cell>
          <cell r="C48" t="str">
            <v>PGO</v>
          </cell>
          <cell r="D48" t="str">
            <v>No</v>
          </cell>
          <cell r="E48" t="str">
            <v>Competitive Bidding</v>
          </cell>
          <cell r="F48" t="str">
            <v>N/A</v>
          </cell>
          <cell r="G48">
            <v>45315</v>
          </cell>
          <cell r="H48" t="str">
            <v/>
          </cell>
          <cell r="I48">
            <v>45322</v>
          </cell>
          <cell r="J48">
            <v>45335</v>
          </cell>
          <cell r="K48">
            <v>45335</v>
          </cell>
          <cell r="L48" t="str">
            <v/>
          </cell>
          <cell r="M48">
            <v>45335</v>
          </cell>
          <cell r="N48">
            <v>45338</v>
          </cell>
          <cell r="O48">
            <v>45344</v>
          </cell>
          <cell r="P48" t="str">
            <v/>
          </cell>
          <cell r="Q48" t="str">
            <v/>
          </cell>
          <cell r="R48" t="str">
            <v/>
          </cell>
          <cell r="S48">
            <v>45349</v>
          </cell>
          <cell r="T48">
            <v>45352</v>
          </cell>
          <cell r="U48">
            <v>45355</v>
          </cell>
          <cell r="V48" t="str">
            <v/>
          </cell>
          <cell r="W48" t="str">
            <v/>
          </cell>
          <cell r="X48">
            <v>45376</v>
          </cell>
          <cell r="Y48">
            <v>0</v>
          </cell>
          <cell r="Z48">
            <v>0</v>
          </cell>
          <cell r="AA48">
            <v>5000000</v>
          </cell>
          <cell r="AB48">
            <v>0</v>
          </cell>
          <cell r="AC48">
            <v>5000000</v>
          </cell>
          <cell r="AD48">
            <v>4998500</v>
          </cell>
          <cell r="AE48">
            <v>0</v>
          </cell>
          <cell r="AF48">
            <v>4998500</v>
          </cell>
          <cell r="AG48" t="str">
            <v>ENGR. MICHAEL C. SALARDA
MS. LEONARDA M. LATOR
MS. CARMENCITA VALDEZ
MS. SORAYA P. VERGARA</v>
          </cell>
          <cell r="AH48">
            <v>45316</v>
          </cell>
          <cell r="AI48">
            <v>45334</v>
          </cell>
          <cell r="AJ48">
            <v>45334</v>
          </cell>
          <cell r="AK48">
            <v>45334</v>
          </cell>
          <cell r="AL48" t="str">
            <v>N/A</v>
          </cell>
          <cell r="AM48" t="str">
            <v>N/A</v>
          </cell>
          <cell r="AN48">
            <v>0</v>
          </cell>
          <cell r="AO48" t="str">
            <v/>
          </cell>
        </row>
        <row r="49">
          <cell r="A49" t="str">
            <v>24-0686</v>
          </cell>
          <cell r="B49" t="str">
            <v>SUPPLY AND DELIVERY OF WARNING DEVICES/SIGNAGES</v>
          </cell>
          <cell r="C49" t="str">
            <v>PDRRMO</v>
          </cell>
          <cell r="D49" t="str">
            <v>No</v>
          </cell>
          <cell r="E49" t="str">
            <v>Competitive Bidding</v>
          </cell>
          <cell r="F49" t="str">
            <v>N/A</v>
          </cell>
          <cell r="G49">
            <v>45324</v>
          </cell>
          <cell r="H49" t="str">
            <v/>
          </cell>
          <cell r="I49" t="str">
            <v>N/A</v>
          </cell>
          <cell r="J49">
            <v>45335</v>
          </cell>
          <cell r="K49">
            <v>45335</v>
          </cell>
          <cell r="L49" t="str">
            <v/>
          </cell>
          <cell r="M49">
            <v>45335</v>
          </cell>
          <cell r="N49">
            <v>45338</v>
          </cell>
          <cell r="O49">
            <v>45344</v>
          </cell>
          <cell r="P49" t="str">
            <v/>
          </cell>
          <cell r="Q49" t="str">
            <v/>
          </cell>
          <cell r="R49" t="str">
            <v/>
          </cell>
          <cell r="S49">
            <v>45352</v>
          </cell>
          <cell r="T49">
            <v>45355</v>
          </cell>
          <cell r="U49">
            <v>45357</v>
          </cell>
          <cell r="V49" t="str">
            <v/>
          </cell>
          <cell r="W49" t="str">
            <v/>
          </cell>
          <cell r="X49">
            <v>45449</v>
          </cell>
          <cell r="Y49">
            <v>0</v>
          </cell>
          <cell r="Z49">
            <v>0</v>
          </cell>
          <cell r="AA49">
            <v>985600</v>
          </cell>
          <cell r="AB49">
            <v>0</v>
          </cell>
          <cell r="AC49">
            <v>985600</v>
          </cell>
          <cell r="AD49">
            <v>776000</v>
          </cell>
          <cell r="AE49">
            <v>0</v>
          </cell>
          <cell r="AF49">
            <v>776000</v>
          </cell>
          <cell r="AG49" t="str">
            <v>ENGR. MICHAEL C. SALARDA
MS. LEONARDA M. LATOR
MS. CARMENCITA VALDEZ
MS. SORAYA P. VERGARA</v>
          </cell>
          <cell r="AH49" t="str">
            <v>N/A</v>
          </cell>
          <cell r="AI49">
            <v>45334</v>
          </cell>
          <cell r="AJ49">
            <v>45334</v>
          </cell>
          <cell r="AK49">
            <v>45334</v>
          </cell>
          <cell r="AL49" t="str">
            <v>N/A</v>
          </cell>
          <cell r="AM49" t="str">
            <v>N/A</v>
          </cell>
          <cell r="AN49">
            <v>0</v>
          </cell>
          <cell r="AO49" t="str">
            <v/>
          </cell>
        </row>
        <row r="50">
          <cell r="A50" t="str">
            <v>24-0071</v>
          </cell>
          <cell r="B50" t="str">
            <v>OFFICE SUPPLIES</v>
          </cell>
          <cell r="C50" t="str">
            <v>PGO</v>
          </cell>
          <cell r="D50" t="str">
            <v>No</v>
          </cell>
          <cell r="E50" t="str">
            <v>Shopping 52.1(b) - Regular Office Supplies and Equipment no available in PS</v>
          </cell>
          <cell r="F50" t="str">
            <v>N/A</v>
          </cell>
          <cell r="G50">
            <v>45331</v>
          </cell>
          <cell r="H50" t="str">
            <v/>
          </cell>
          <cell r="I50" t="str">
            <v>N/A</v>
          </cell>
          <cell r="J50">
            <v>45342</v>
          </cell>
          <cell r="K50">
            <v>45342</v>
          </cell>
          <cell r="L50" t="str">
            <v/>
          </cell>
          <cell r="M50" t="str">
            <v>N/A</v>
          </cell>
          <cell r="N50" t="str">
            <v>N/A</v>
          </cell>
          <cell r="O50">
            <v>45344</v>
          </cell>
          <cell r="P50" t="str">
            <v/>
          </cell>
          <cell r="Q50" t="str">
            <v/>
          </cell>
          <cell r="R50" t="str">
            <v/>
          </cell>
          <cell r="S50">
            <v>45350</v>
          </cell>
          <cell r="T50">
            <v>45352</v>
          </cell>
          <cell r="U50">
            <v>45356</v>
          </cell>
          <cell r="V50" t="str">
            <v/>
          </cell>
          <cell r="W50" t="str">
            <v/>
          </cell>
          <cell r="X50">
            <v>45366</v>
          </cell>
          <cell r="Y50">
            <v>0</v>
          </cell>
          <cell r="Z50">
            <v>0</v>
          </cell>
          <cell r="AA50">
            <v>149415</v>
          </cell>
          <cell r="AB50">
            <v>149415</v>
          </cell>
          <cell r="AC50">
            <v>0</v>
          </cell>
          <cell r="AD50">
            <v>146985</v>
          </cell>
          <cell r="AE50">
            <v>146985</v>
          </cell>
          <cell r="AF50">
            <v>0</v>
          </cell>
          <cell r="AG50" t="str">
            <v>ENGR. MICHAEL C. SALARDA
MS. LEONARDA M. LATOR
MS. CARMENCITA VALDEZ
MS. SORAYA P. VERGARA</v>
          </cell>
          <cell r="AH50" t="str">
            <v>N/A</v>
          </cell>
          <cell r="AI50" t="str">
            <v>N/A</v>
          </cell>
          <cell r="AJ50" t="str">
            <v>N/A</v>
          </cell>
          <cell r="AK50" t="str">
            <v>N/A</v>
          </cell>
          <cell r="AL50" t="str">
            <v>N/A</v>
          </cell>
          <cell r="AM50" t="str">
            <v>N/A</v>
          </cell>
          <cell r="AN50">
            <v>0</v>
          </cell>
          <cell r="AO50" t="str">
            <v/>
          </cell>
        </row>
        <row r="51">
          <cell r="A51" t="str">
            <v>24-0085</v>
          </cell>
          <cell r="B51" t="str">
            <v>MEMO PADS</v>
          </cell>
          <cell r="C51" t="str">
            <v>PBO</v>
          </cell>
          <cell r="D51" t="str">
            <v>No</v>
          </cell>
          <cell r="E51" t="str">
            <v>Shopping 52.1(b) - Regular Office Supplies and Equipment no available in PS</v>
          </cell>
          <cell r="F51" t="str">
            <v>N/A</v>
          </cell>
          <cell r="G51">
            <v>45324</v>
          </cell>
          <cell r="H51" t="str">
            <v/>
          </cell>
          <cell r="I51" t="str">
            <v>N/A</v>
          </cell>
          <cell r="J51">
            <v>45342</v>
          </cell>
          <cell r="K51">
            <v>45342</v>
          </cell>
          <cell r="L51" t="str">
            <v/>
          </cell>
          <cell r="M51" t="str">
            <v>N/A</v>
          </cell>
          <cell r="N51" t="str">
            <v>N/A</v>
          </cell>
          <cell r="O51">
            <v>45344</v>
          </cell>
          <cell r="P51" t="str">
            <v/>
          </cell>
          <cell r="Q51" t="str">
            <v/>
          </cell>
          <cell r="R51" t="str">
            <v/>
          </cell>
          <cell r="S51" t="str">
            <v>N/A</v>
          </cell>
          <cell r="T51">
            <v>45351</v>
          </cell>
          <cell r="U51">
            <v>45352</v>
          </cell>
          <cell r="V51" t="str">
            <v/>
          </cell>
          <cell r="W51" t="str">
            <v/>
          </cell>
          <cell r="X51">
            <v>0</v>
          </cell>
          <cell r="Y51">
            <v>0</v>
          </cell>
          <cell r="Z51">
            <v>0</v>
          </cell>
          <cell r="AA51">
            <v>5000</v>
          </cell>
          <cell r="AB51">
            <v>5000</v>
          </cell>
          <cell r="AC51">
            <v>0</v>
          </cell>
          <cell r="AD51">
            <v>5000</v>
          </cell>
          <cell r="AE51">
            <v>5000</v>
          </cell>
          <cell r="AF51">
            <v>0</v>
          </cell>
          <cell r="AG51" t="str">
            <v>ENGR. MICHAEL C. SALARDA
MS. LEONARDA M. LATOR
MS. CARMENCITA VALDEZ
MS. SORAYA P. VERGARA</v>
          </cell>
          <cell r="AH51" t="str">
            <v>N/A</v>
          </cell>
          <cell r="AI51" t="str">
            <v>N/A</v>
          </cell>
          <cell r="AJ51" t="str">
            <v>N/A</v>
          </cell>
          <cell r="AK51" t="str">
            <v>N/A</v>
          </cell>
          <cell r="AL51" t="str">
            <v>N/A</v>
          </cell>
          <cell r="AM51" t="str">
            <v>N/A</v>
          </cell>
          <cell r="AN51">
            <v>0</v>
          </cell>
          <cell r="AO51" t="str">
            <v/>
          </cell>
        </row>
        <row r="52">
          <cell r="A52" t="str">
            <v>24-0086</v>
          </cell>
          <cell r="B52" t="str">
            <v>INK</v>
          </cell>
          <cell r="C52" t="str">
            <v>PBO</v>
          </cell>
          <cell r="D52" t="str">
            <v>No</v>
          </cell>
          <cell r="E52" t="str">
            <v>Shopping 52.1(b) - Regular Office Supplies and Equipment no available in PS</v>
          </cell>
          <cell r="F52" t="str">
            <v>N/A</v>
          </cell>
          <cell r="G52">
            <v>45335</v>
          </cell>
          <cell r="H52" t="str">
            <v/>
          </cell>
          <cell r="I52" t="str">
            <v>N/A</v>
          </cell>
          <cell r="J52">
            <v>45342</v>
          </cell>
          <cell r="K52">
            <v>45342</v>
          </cell>
          <cell r="L52" t="str">
            <v/>
          </cell>
          <cell r="M52" t="str">
            <v>N/A</v>
          </cell>
          <cell r="N52" t="str">
            <v>N/A</v>
          </cell>
          <cell r="O52">
            <v>45344</v>
          </cell>
          <cell r="P52" t="str">
            <v/>
          </cell>
          <cell r="Q52" t="str">
            <v/>
          </cell>
          <cell r="R52" t="str">
            <v/>
          </cell>
          <cell r="S52" t="str">
            <v>N/A</v>
          </cell>
          <cell r="T52">
            <v>45351</v>
          </cell>
          <cell r="U52">
            <v>45352</v>
          </cell>
          <cell r="V52" t="str">
            <v/>
          </cell>
          <cell r="W52" t="str">
            <v/>
          </cell>
          <cell r="X52">
            <v>45362</v>
          </cell>
          <cell r="Y52">
            <v>0</v>
          </cell>
          <cell r="Z52">
            <v>0</v>
          </cell>
          <cell r="AA52">
            <v>7233</v>
          </cell>
          <cell r="AB52">
            <v>7233</v>
          </cell>
          <cell r="AC52">
            <v>0</v>
          </cell>
          <cell r="AD52">
            <v>7140</v>
          </cell>
          <cell r="AE52">
            <v>7140</v>
          </cell>
          <cell r="AF52">
            <v>0</v>
          </cell>
          <cell r="AG52" t="str">
            <v>ENGR. MICHAEL C. SALARDA
MS. LEONARDA M. LATOR
MS. CARMENCITA VALDEZ
MS. SORAYA P. VERGARA</v>
          </cell>
          <cell r="AH52" t="str">
            <v>N/A</v>
          </cell>
          <cell r="AI52" t="str">
            <v>N/A</v>
          </cell>
          <cell r="AJ52" t="str">
            <v>N/A</v>
          </cell>
          <cell r="AK52" t="str">
            <v>N/A</v>
          </cell>
          <cell r="AL52" t="str">
            <v>N/A</v>
          </cell>
          <cell r="AM52" t="str">
            <v>N/A</v>
          </cell>
          <cell r="AN52">
            <v>0</v>
          </cell>
          <cell r="AO52" t="str">
            <v/>
          </cell>
        </row>
        <row r="53">
          <cell r="A53" t="str">
            <v>24-C0939</v>
          </cell>
          <cell r="B53" t="str">
            <v>OFFICE SUPPLIES</v>
          </cell>
          <cell r="C53" t="str">
            <v>PBO</v>
          </cell>
          <cell r="D53" t="str">
            <v>No</v>
          </cell>
          <cell r="E53" t="str">
            <v>Shopping 52.1(b) - Regular Office Supplies and Equipment no available in PS</v>
          </cell>
          <cell r="F53" t="str">
            <v>N/A</v>
          </cell>
          <cell r="G53">
            <v>45331</v>
          </cell>
          <cell r="H53" t="str">
            <v/>
          </cell>
          <cell r="I53" t="str">
            <v>N/A</v>
          </cell>
          <cell r="J53">
            <v>45342</v>
          </cell>
          <cell r="K53">
            <v>45342</v>
          </cell>
          <cell r="L53" t="str">
            <v/>
          </cell>
          <cell r="M53" t="str">
            <v>N/A</v>
          </cell>
          <cell r="N53" t="str">
            <v>N/A</v>
          </cell>
          <cell r="O53">
            <v>45344</v>
          </cell>
          <cell r="P53" t="str">
            <v/>
          </cell>
          <cell r="Q53" t="str">
            <v/>
          </cell>
          <cell r="R53" t="str">
            <v/>
          </cell>
          <cell r="S53">
            <v>45348</v>
          </cell>
          <cell r="T53">
            <v>45351</v>
          </cell>
          <cell r="U53">
            <v>45352</v>
          </cell>
          <cell r="V53" t="str">
            <v/>
          </cell>
          <cell r="W53" t="str">
            <v/>
          </cell>
          <cell r="X53">
            <v>45362</v>
          </cell>
          <cell r="Y53">
            <v>0</v>
          </cell>
          <cell r="Z53">
            <v>0</v>
          </cell>
          <cell r="AA53">
            <v>64722</v>
          </cell>
          <cell r="AB53">
            <v>64722</v>
          </cell>
          <cell r="AC53">
            <v>0</v>
          </cell>
          <cell r="AD53">
            <v>62181</v>
          </cell>
          <cell r="AE53">
            <v>62181</v>
          </cell>
          <cell r="AF53">
            <v>0</v>
          </cell>
          <cell r="AG53" t="str">
            <v>ENGR. MICHAEL C. SALARDA
MS. LEONARDA M. LATOR
MS. CARMENCITA VALDEZ
MS. SORAYA P. VERGARA</v>
          </cell>
          <cell r="AH53" t="str">
            <v>N/A</v>
          </cell>
          <cell r="AI53" t="str">
            <v>N/A</v>
          </cell>
          <cell r="AJ53" t="str">
            <v>N/A</v>
          </cell>
          <cell r="AK53" t="str">
            <v>N/A</v>
          </cell>
          <cell r="AL53" t="str">
            <v>N/A</v>
          </cell>
          <cell r="AM53" t="str">
            <v>N/A</v>
          </cell>
          <cell r="AN53">
            <v>0</v>
          </cell>
          <cell r="AO53" t="str">
            <v/>
          </cell>
        </row>
        <row r="54">
          <cell r="A54" t="str">
            <v>24-C1000</v>
          </cell>
          <cell r="B54" t="str">
            <v>OFFICE SUPPLIES</v>
          </cell>
          <cell r="C54" t="str">
            <v>PGSO</v>
          </cell>
          <cell r="D54" t="str">
            <v>No</v>
          </cell>
          <cell r="E54" t="str">
            <v>Shopping 52.1(b) - Regular Office Supplies and Equipment no available in PS</v>
          </cell>
          <cell r="F54" t="str">
            <v>N/A</v>
          </cell>
          <cell r="G54">
            <v>45337</v>
          </cell>
          <cell r="H54" t="str">
            <v/>
          </cell>
          <cell r="I54" t="str">
            <v>N/A</v>
          </cell>
          <cell r="J54">
            <v>45342</v>
          </cell>
          <cell r="K54">
            <v>45342</v>
          </cell>
          <cell r="L54" t="str">
            <v/>
          </cell>
          <cell r="M54" t="str">
            <v>N/A</v>
          </cell>
          <cell r="N54" t="str">
            <v>N/A</v>
          </cell>
          <cell r="O54">
            <v>45344</v>
          </cell>
          <cell r="P54" t="str">
            <v/>
          </cell>
          <cell r="Q54" t="str">
            <v/>
          </cell>
          <cell r="R54" t="str">
            <v/>
          </cell>
          <cell r="S54">
            <v>45348</v>
          </cell>
          <cell r="T54">
            <v>45356</v>
          </cell>
          <cell r="U54">
            <v>45357</v>
          </cell>
          <cell r="V54" t="str">
            <v/>
          </cell>
          <cell r="W54" t="str">
            <v/>
          </cell>
          <cell r="X54">
            <v>45364</v>
          </cell>
          <cell r="Y54">
            <v>0</v>
          </cell>
          <cell r="Z54">
            <v>0</v>
          </cell>
          <cell r="AA54">
            <v>56591</v>
          </cell>
          <cell r="AB54">
            <v>56591</v>
          </cell>
          <cell r="AC54">
            <v>0</v>
          </cell>
          <cell r="AD54">
            <v>55825</v>
          </cell>
          <cell r="AE54">
            <v>55825</v>
          </cell>
          <cell r="AF54">
            <v>0</v>
          </cell>
          <cell r="AG54" t="str">
            <v>ENGR. MICHAEL C. SALARDA
MS. LEONARDA M. LATOR
MS. CARMENCITA VALDEZ
MS. SORAYA P. VERGARA</v>
          </cell>
          <cell r="AH54" t="str">
            <v>N/A</v>
          </cell>
          <cell r="AI54" t="str">
            <v>N/A</v>
          </cell>
          <cell r="AJ54" t="str">
            <v>N/A</v>
          </cell>
          <cell r="AK54" t="str">
            <v>N/A</v>
          </cell>
          <cell r="AL54" t="str">
            <v>N/A</v>
          </cell>
          <cell r="AM54" t="str">
            <v>N/A</v>
          </cell>
          <cell r="AN54">
            <v>0</v>
          </cell>
          <cell r="AO54" t="str">
            <v/>
          </cell>
        </row>
        <row r="55">
          <cell r="A55" t="str">
            <v>24-C0981</v>
          </cell>
          <cell r="B55" t="str">
            <v>FOOD/CATERING SERVICES</v>
          </cell>
          <cell r="C55" t="str">
            <v>PSWDO</v>
          </cell>
          <cell r="D55" t="str">
            <v>No</v>
          </cell>
          <cell r="E55" t="str">
            <v>NP-53.9 - Small Value Procurement</v>
          </cell>
          <cell r="F55" t="str">
            <v>N/A</v>
          </cell>
          <cell r="G55">
            <v>45331</v>
          </cell>
          <cell r="H55" t="str">
            <v/>
          </cell>
          <cell r="I55" t="str">
            <v>N/A</v>
          </cell>
          <cell r="J55">
            <v>45342</v>
          </cell>
          <cell r="K55">
            <v>45342</v>
          </cell>
          <cell r="L55" t="str">
            <v/>
          </cell>
          <cell r="M55" t="str">
            <v>N/A</v>
          </cell>
          <cell r="N55" t="str">
            <v>N/A</v>
          </cell>
          <cell r="O55">
            <v>45344</v>
          </cell>
          <cell r="P55" t="str">
            <v/>
          </cell>
          <cell r="Q55" t="str">
            <v/>
          </cell>
          <cell r="R55" t="str">
            <v/>
          </cell>
          <cell r="S55">
            <v>45351</v>
          </cell>
          <cell r="T55">
            <v>45351</v>
          </cell>
          <cell r="U55">
            <v>45356</v>
          </cell>
          <cell r="V55" t="str">
            <v/>
          </cell>
          <cell r="W55" t="str">
            <v/>
          </cell>
          <cell r="X55">
            <v>45363</v>
          </cell>
          <cell r="Y55">
            <v>0</v>
          </cell>
          <cell r="Z55">
            <v>0</v>
          </cell>
          <cell r="AA55">
            <v>303740</v>
          </cell>
          <cell r="AB55">
            <v>303740</v>
          </cell>
          <cell r="AC55">
            <v>0</v>
          </cell>
          <cell r="AD55">
            <v>301062</v>
          </cell>
          <cell r="AE55">
            <v>301062</v>
          </cell>
          <cell r="AF55">
            <v>0</v>
          </cell>
          <cell r="AG55" t="str">
            <v>ENGR. MICHAEL C. SALARDA
MS. LEONARDA M. LATOR
MS. CARMENCITA VALDEZ
MS. SORAYA P. VERGARA</v>
          </cell>
          <cell r="AH55" t="str">
            <v>N/A</v>
          </cell>
          <cell r="AI55" t="str">
            <v>N/A</v>
          </cell>
          <cell r="AJ55" t="str">
            <v>N/A</v>
          </cell>
          <cell r="AK55" t="str">
            <v>N/A</v>
          </cell>
          <cell r="AL55" t="str">
            <v>N/A</v>
          </cell>
          <cell r="AM55" t="str">
            <v>N/A</v>
          </cell>
          <cell r="AN55">
            <v>0</v>
          </cell>
          <cell r="AO55" t="str">
            <v/>
          </cell>
        </row>
        <row r="56">
          <cell r="A56" t="str">
            <v>24-0515</v>
          </cell>
          <cell r="B56" t="str">
            <v>FOOD/CATERING SERVICES</v>
          </cell>
          <cell r="C56" t="str">
            <v>PAO-ADMIN</v>
          </cell>
          <cell r="D56" t="str">
            <v>No</v>
          </cell>
          <cell r="E56" t="str">
            <v>NP-53.9 - Small Value Procurement</v>
          </cell>
          <cell r="F56" t="str">
            <v>N/A</v>
          </cell>
          <cell r="G56">
            <v>45331</v>
          </cell>
          <cell r="H56" t="str">
            <v/>
          </cell>
          <cell r="I56" t="str">
            <v>N/A</v>
          </cell>
          <cell r="J56">
            <v>45342</v>
          </cell>
          <cell r="K56">
            <v>45342</v>
          </cell>
          <cell r="L56" t="str">
            <v/>
          </cell>
          <cell r="M56" t="str">
            <v>N/A</v>
          </cell>
          <cell r="N56" t="str">
            <v>N/A</v>
          </cell>
          <cell r="O56">
            <v>45344</v>
          </cell>
          <cell r="P56" t="str">
            <v/>
          </cell>
          <cell r="Q56" t="str">
            <v/>
          </cell>
          <cell r="R56" t="str">
            <v/>
          </cell>
          <cell r="S56">
            <v>45348</v>
          </cell>
          <cell r="T56">
            <v>45352</v>
          </cell>
          <cell r="U56">
            <v>45356</v>
          </cell>
          <cell r="V56" t="str">
            <v/>
          </cell>
          <cell r="W56" t="str">
            <v/>
          </cell>
          <cell r="X56">
            <v>0</v>
          </cell>
          <cell r="Y56">
            <v>0</v>
          </cell>
          <cell r="Z56">
            <v>0</v>
          </cell>
          <cell r="AA56">
            <v>149940</v>
          </cell>
          <cell r="AB56">
            <v>149940</v>
          </cell>
          <cell r="AC56">
            <v>0</v>
          </cell>
          <cell r="AD56">
            <v>147792</v>
          </cell>
          <cell r="AE56">
            <v>147792</v>
          </cell>
          <cell r="AF56">
            <v>0</v>
          </cell>
          <cell r="AG56" t="str">
            <v>ENGR. MICHAEL C. SALARDA
MS. LEONARDA M. LATOR
MS. CARMENCITA VALDEZ
MS. SORAYA P. VERGARA</v>
          </cell>
          <cell r="AH56" t="str">
            <v>N/A</v>
          </cell>
          <cell r="AI56" t="str">
            <v>N/A</v>
          </cell>
          <cell r="AJ56" t="str">
            <v>N/A</v>
          </cell>
          <cell r="AK56" t="str">
            <v>N/A</v>
          </cell>
          <cell r="AL56" t="str">
            <v>N/A</v>
          </cell>
          <cell r="AM56" t="str">
            <v>N/A</v>
          </cell>
          <cell r="AN56">
            <v>0</v>
          </cell>
          <cell r="AO56" t="str">
            <v/>
          </cell>
        </row>
        <row r="57">
          <cell r="A57" t="str">
            <v>24-C0961</v>
          </cell>
          <cell r="B57" t="str">
            <v>FOOD/CATERING SERVICES</v>
          </cell>
          <cell r="C57" t="str">
            <v>PAO-ADMIN</v>
          </cell>
          <cell r="D57" t="str">
            <v>No</v>
          </cell>
          <cell r="E57" t="str">
            <v>NP-53.9 - Small Value Procurement</v>
          </cell>
          <cell r="F57" t="str">
            <v>N/A</v>
          </cell>
          <cell r="G57">
            <v>45337</v>
          </cell>
          <cell r="H57" t="str">
            <v/>
          </cell>
          <cell r="I57" t="str">
            <v>N/A</v>
          </cell>
          <cell r="J57">
            <v>45342</v>
          </cell>
          <cell r="K57">
            <v>45342</v>
          </cell>
          <cell r="L57" t="str">
            <v/>
          </cell>
          <cell r="M57" t="str">
            <v>N/A</v>
          </cell>
          <cell r="N57" t="str">
            <v>N/A</v>
          </cell>
          <cell r="O57">
            <v>45344</v>
          </cell>
          <cell r="P57" t="str">
            <v/>
          </cell>
          <cell r="Q57" t="str">
            <v/>
          </cell>
          <cell r="R57" t="str">
            <v/>
          </cell>
          <cell r="S57">
            <v>45348</v>
          </cell>
          <cell r="T57">
            <v>45351</v>
          </cell>
          <cell r="U57">
            <v>45356</v>
          </cell>
          <cell r="V57" t="str">
            <v/>
          </cell>
          <cell r="W57" t="str">
            <v/>
          </cell>
          <cell r="X57">
            <v>45358</v>
          </cell>
          <cell r="Y57">
            <v>0</v>
          </cell>
          <cell r="Z57">
            <v>0</v>
          </cell>
          <cell r="AA57">
            <v>79970</v>
          </cell>
          <cell r="AB57">
            <v>79970</v>
          </cell>
          <cell r="AC57">
            <v>0</v>
          </cell>
          <cell r="AD57">
            <v>78630</v>
          </cell>
          <cell r="AE57">
            <v>78630</v>
          </cell>
          <cell r="AF57">
            <v>0</v>
          </cell>
          <cell r="AG57" t="str">
            <v>ENGR. MICHAEL C. SALARDA
MS. LEONARDA M. LATOR
MS. CARMENCITA VALDEZ
MS. SORAYA P. VERGARA</v>
          </cell>
          <cell r="AH57" t="str">
            <v>N/A</v>
          </cell>
          <cell r="AI57" t="str">
            <v>N/A</v>
          </cell>
          <cell r="AJ57" t="str">
            <v>N/A</v>
          </cell>
          <cell r="AK57" t="str">
            <v>N/A</v>
          </cell>
          <cell r="AL57" t="str">
            <v>N/A</v>
          </cell>
          <cell r="AM57" t="str">
            <v>N/A</v>
          </cell>
          <cell r="AN57">
            <v>0</v>
          </cell>
          <cell r="AO57" t="str">
            <v/>
          </cell>
        </row>
        <row r="58">
          <cell r="A58" t="str">
            <v>24-0089</v>
          </cell>
          <cell r="B58" t="str">
            <v>PRINTED FORMS</v>
          </cell>
          <cell r="C58" t="str">
            <v>PAO-ADMIN</v>
          </cell>
          <cell r="D58" t="str">
            <v>No</v>
          </cell>
          <cell r="E58" t="str">
            <v>NP-53.9 - Small Value Procurement</v>
          </cell>
          <cell r="F58" t="str">
            <v>N/A</v>
          </cell>
          <cell r="G58">
            <v>45324</v>
          </cell>
          <cell r="H58" t="str">
            <v/>
          </cell>
          <cell r="I58" t="str">
            <v>N/A</v>
          </cell>
          <cell r="J58">
            <v>45342</v>
          </cell>
          <cell r="K58">
            <v>45342</v>
          </cell>
          <cell r="L58" t="str">
            <v/>
          </cell>
          <cell r="M58" t="str">
            <v>N/A</v>
          </cell>
          <cell r="N58" t="str">
            <v>N/A</v>
          </cell>
          <cell r="O58">
            <v>45344</v>
          </cell>
          <cell r="P58" t="str">
            <v/>
          </cell>
          <cell r="Q58" t="str">
            <v/>
          </cell>
          <cell r="R58" t="str">
            <v/>
          </cell>
          <cell r="S58">
            <v>45351</v>
          </cell>
          <cell r="T58">
            <v>45351</v>
          </cell>
          <cell r="U58">
            <v>45352</v>
          </cell>
          <cell r="V58" t="str">
            <v/>
          </cell>
          <cell r="W58" t="str">
            <v/>
          </cell>
          <cell r="X58">
            <v>45411</v>
          </cell>
          <cell r="Y58">
            <v>0</v>
          </cell>
          <cell r="Z58">
            <v>0</v>
          </cell>
          <cell r="AA58">
            <v>25000</v>
          </cell>
          <cell r="AB58">
            <v>25000</v>
          </cell>
          <cell r="AC58">
            <v>0</v>
          </cell>
          <cell r="AD58">
            <v>25000</v>
          </cell>
          <cell r="AE58">
            <v>25000</v>
          </cell>
          <cell r="AF58">
            <v>0</v>
          </cell>
          <cell r="AG58" t="str">
            <v>ENGR. MICHAEL C. SALARDA
MS. LEONARDA M. LATOR
MS. CARMENCITA VALDEZ
MS. SORAYA P. VERGARA</v>
          </cell>
          <cell r="AH58" t="str">
            <v>N/A</v>
          </cell>
          <cell r="AI58" t="str">
            <v>N/A</v>
          </cell>
          <cell r="AJ58" t="str">
            <v>N/A</v>
          </cell>
          <cell r="AK58" t="str">
            <v>N/A</v>
          </cell>
          <cell r="AL58" t="str">
            <v>N/A</v>
          </cell>
          <cell r="AM58" t="str">
            <v>N/A</v>
          </cell>
          <cell r="AN58">
            <v>0</v>
          </cell>
          <cell r="AO58" t="str">
            <v/>
          </cell>
        </row>
        <row r="59">
          <cell r="A59" t="str">
            <v>24-0461</v>
          </cell>
          <cell r="B59" t="str">
            <v>PRINTING</v>
          </cell>
          <cell r="C59" t="str">
            <v>PEO</v>
          </cell>
          <cell r="D59" t="str">
            <v>No</v>
          </cell>
          <cell r="E59" t="str">
            <v>NP-53.9 - Small Value Procurement</v>
          </cell>
          <cell r="F59">
            <v>45330</v>
          </cell>
          <cell r="G59">
            <v>45335</v>
          </cell>
          <cell r="H59" t="str">
            <v/>
          </cell>
          <cell r="I59" t="str">
            <v>N/A</v>
          </cell>
          <cell r="J59">
            <v>45342</v>
          </cell>
          <cell r="K59">
            <v>45342</v>
          </cell>
          <cell r="L59" t="str">
            <v/>
          </cell>
          <cell r="M59" t="str">
            <v>N/A</v>
          </cell>
          <cell r="N59" t="str">
            <v>N/A</v>
          </cell>
          <cell r="O59">
            <v>45344</v>
          </cell>
          <cell r="P59" t="str">
            <v/>
          </cell>
          <cell r="Q59" t="str">
            <v/>
          </cell>
          <cell r="R59" t="str">
            <v/>
          </cell>
          <cell r="S59" t="str">
            <v>N/A</v>
          </cell>
          <cell r="T59">
            <v>45355</v>
          </cell>
          <cell r="U59">
            <v>45357</v>
          </cell>
          <cell r="V59" t="str">
            <v/>
          </cell>
          <cell r="W59" t="str">
            <v/>
          </cell>
          <cell r="X59">
            <v>0</v>
          </cell>
          <cell r="Y59">
            <v>0</v>
          </cell>
          <cell r="Z59">
            <v>0</v>
          </cell>
          <cell r="AA59">
            <v>1792</v>
          </cell>
          <cell r="AB59">
            <v>1792</v>
          </cell>
          <cell r="AC59">
            <v>0</v>
          </cell>
          <cell r="AD59">
            <v>1792</v>
          </cell>
          <cell r="AE59">
            <v>1792</v>
          </cell>
          <cell r="AF59">
            <v>0</v>
          </cell>
          <cell r="AG59" t="str">
            <v>ENGR. MICHAEL C. SALARDA
MS. LEONARDA M. LATOR
MS. CARMENCITA VALDEZ
MS. SORAYA P. VERGARA</v>
          </cell>
          <cell r="AH59" t="str">
            <v>N/A</v>
          </cell>
          <cell r="AI59" t="str">
            <v>N/A</v>
          </cell>
          <cell r="AJ59" t="str">
            <v>N/A</v>
          </cell>
          <cell r="AK59" t="str">
            <v>N/A</v>
          </cell>
          <cell r="AL59" t="str">
            <v>N/A</v>
          </cell>
          <cell r="AM59" t="str">
            <v>N/A</v>
          </cell>
          <cell r="AN59">
            <v>0</v>
          </cell>
          <cell r="AO59" t="str">
            <v/>
          </cell>
        </row>
        <row r="60">
          <cell r="A60" t="str">
            <v>24-0543</v>
          </cell>
          <cell r="B60" t="str">
            <v>PRINTING</v>
          </cell>
          <cell r="C60" t="str">
            <v>PAO-ADMIN</v>
          </cell>
          <cell r="D60" t="str">
            <v>No</v>
          </cell>
          <cell r="E60" t="str">
            <v>NP-53.9 - Small Value Procurement</v>
          </cell>
          <cell r="F60" t="str">
            <v>N/A</v>
          </cell>
          <cell r="G60">
            <v>45335</v>
          </cell>
          <cell r="H60" t="str">
            <v/>
          </cell>
          <cell r="I60" t="str">
            <v>N/A</v>
          </cell>
          <cell r="J60">
            <v>45342</v>
          </cell>
          <cell r="K60">
            <v>45342</v>
          </cell>
          <cell r="L60" t="str">
            <v/>
          </cell>
          <cell r="M60" t="str">
            <v>N/A</v>
          </cell>
          <cell r="N60" t="str">
            <v>N/A</v>
          </cell>
          <cell r="O60">
            <v>45344</v>
          </cell>
          <cell r="P60" t="str">
            <v/>
          </cell>
          <cell r="Q60" t="str">
            <v/>
          </cell>
          <cell r="R60" t="str">
            <v/>
          </cell>
          <cell r="S60" t="str">
            <v>N/A</v>
          </cell>
          <cell r="T60">
            <v>45351</v>
          </cell>
          <cell r="U60">
            <v>45356</v>
          </cell>
          <cell r="V60" t="str">
            <v/>
          </cell>
          <cell r="W60" t="str">
            <v/>
          </cell>
          <cell r="X60">
            <v>0</v>
          </cell>
          <cell r="Y60">
            <v>0</v>
          </cell>
          <cell r="Z60">
            <v>0</v>
          </cell>
          <cell r="AA60">
            <v>9996</v>
          </cell>
          <cell r="AB60">
            <v>9996</v>
          </cell>
          <cell r="AC60">
            <v>0</v>
          </cell>
          <cell r="AD60">
            <v>9996</v>
          </cell>
          <cell r="AE60">
            <v>9996</v>
          </cell>
          <cell r="AF60">
            <v>0</v>
          </cell>
          <cell r="AG60" t="str">
            <v>ENGR. MICHAEL C. SALARDA
MS. LEONARDA M. LATOR
MS. CARMENCITA VALDEZ
MS. SORAYA P. VERGARA</v>
          </cell>
          <cell r="AH60" t="str">
            <v>N/A</v>
          </cell>
          <cell r="AI60" t="str">
            <v>N/A</v>
          </cell>
          <cell r="AJ60" t="str">
            <v>N/A</v>
          </cell>
          <cell r="AK60" t="str">
            <v>N/A</v>
          </cell>
          <cell r="AL60" t="str">
            <v>N/A</v>
          </cell>
          <cell r="AM60" t="str">
            <v>N/A</v>
          </cell>
          <cell r="AN60">
            <v>0</v>
          </cell>
          <cell r="AO60" t="str">
            <v/>
          </cell>
        </row>
        <row r="61">
          <cell r="A61" t="str">
            <v>24-0023</v>
          </cell>
          <cell r="B61" t="str">
            <v>GARMENTS</v>
          </cell>
          <cell r="C61" t="str">
            <v>PTO</v>
          </cell>
          <cell r="D61" t="str">
            <v>No</v>
          </cell>
          <cell r="E61" t="str">
            <v>NP-53.9 - Small Value Procurement</v>
          </cell>
          <cell r="F61" t="str">
            <v>N/A</v>
          </cell>
          <cell r="G61">
            <v>45335</v>
          </cell>
          <cell r="H61" t="str">
            <v/>
          </cell>
          <cell r="I61" t="str">
            <v>N/A</v>
          </cell>
          <cell r="J61">
            <v>45342</v>
          </cell>
          <cell r="K61">
            <v>45342</v>
          </cell>
          <cell r="L61" t="str">
            <v/>
          </cell>
          <cell r="M61" t="str">
            <v>N/A</v>
          </cell>
          <cell r="N61" t="str">
            <v>N/A</v>
          </cell>
          <cell r="O61">
            <v>45344</v>
          </cell>
          <cell r="P61" t="str">
            <v/>
          </cell>
          <cell r="Q61" t="str">
            <v/>
          </cell>
          <cell r="R61" t="str">
            <v/>
          </cell>
          <cell r="S61" t="str">
            <v>N/A</v>
          </cell>
          <cell r="T61">
            <v>45351</v>
          </cell>
          <cell r="U61">
            <v>45352</v>
          </cell>
          <cell r="V61" t="str">
            <v/>
          </cell>
          <cell r="W61" t="str">
            <v/>
          </cell>
          <cell r="X61">
            <v>45383</v>
          </cell>
          <cell r="Y61">
            <v>0</v>
          </cell>
          <cell r="Z61">
            <v>0</v>
          </cell>
          <cell r="AA61">
            <v>20000</v>
          </cell>
          <cell r="AB61">
            <v>20000</v>
          </cell>
          <cell r="AC61">
            <v>0</v>
          </cell>
          <cell r="AD61">
            <v>20000</v>
          </cell>
          <cell r="AE61">
            <v>20000</v>
          </cell>
          <cell r="AF61">
            <v>0</v>
          </cell>
          <cell r="AG61" t="str">
            <v>ENGR. MICHAEL C. SALARDA
MS. LEONARDA M. LATOR
MS. CARMENCITA VALDEZ
MS. SORAYA P. VERGARA</v>
          </cell>
          <cell r="AH61" t="str">
            <v>N/A</v>
          </cell>
          <cell r="AI61" t="str">
            <v>N/A</v>
          </cell>
          <cell r="AJ61" t="str">
            <v>N/A</v>
          </cell>
          <cell r="AK61" t="str">
            <v>N/A</v>
          </cell>
          <cell r="AL61" t="str">
            <v>N/A</v>
          </cell>
          <cell r="AM61" t="str">
            <v>N/A</v>
          </cell>
          <cell r="AN61">
            <v>0</v>
          </cell>
          <cell r="AO61" t="str">
            <v/>
          </cell>
        </row>
        <row r="62">
          <cell r="A62" t="str">
            <v>24-0039</v>
          </cell>
          <cell r="B62" t="str">
            <v>PRINTING</v>
          </cell>
          <cell r="C62" t="str">
            <v>SEF</v>
          </cell>
          <cell r="D62" t="str">
            <v>No</v>
          </cell>
          <cell r="E62" t="str">
            <v>NP-53.9 - Small Value Procurement</v>
          </cell>
          <cell r="F62">
            <v>45322</v>
          </cell>
          <cell r="G62">
            <v>45324</v>
          </cell>
          <cell r="H62" t="str">
            <v/>
          </cell>
          <cell r="I62" t="str">
            <v>N/A</v>
          </cell>
          <cell r="J62">
            <v>45342</v>
          </cell>
          <cell r="K62">
            <v>45342</v>
          </cell>
          <cell r="L62" t="str">
            <v/>
          </cell>
          <cell r="M62" t="str">
            <v>N/A</v>
          </cell>
          <cell r="N62" t="str">
            <v>N/A</v>
          </cell>
          <cell r="O62">
            <v>45344</v>
          </cell>
          <cell r="P62" t="str">
            <v/>
          </cell>
          <cell r="Q62" t="str">
            <v/>
          </cell>
          <cell r="R62" t="str">
            <v/>
          </cell>
          <cell r="S62" t="str">
            <v>N/A</v>
          </cell>
          <cell r="T62">
            <v>45355</v>
          </cell>
          <cell r="U62">
            <v>45357</v>
          </cell>
          <cell r="V62" t="str">
            <v/>
          </cell>
          <cell r="W62" t="str">
            <v/>
          </cell>
          <cell r="X62">
            <v>45434</v>
          </cell>
          <cell r="Y62">
            <v>0</v>
          </cell>
          <cell r="Z62">
            <v>0</v>
          </cell>
          <cell r="AA62">
            <v>1792</v>
          </cell>
          <cell r="AB62">
            <v>1792</v>
          </cell>
          <cell r="AC62">
            <v>0</v>
          </cell>
          <cell r="AD62">
            <v>1664</v>
          </cell>
          <cell r="AE62">
            <v>1664</v>
          </cell>
          <cell r="AF62">
            <v>0</v>
          </cell>
          <cell r="AG62" t="str">
            <v>ENGR. MICHAEL C. SALARDA
MS. LEONARDA M. LATOR
MS. CARMENCITA VALDEZ
MS. SORAYA P. VERGARA</v>
          </cell>
          <cell r="AH62" t="str">
            <v>N/A</v>
          </cell>
          <cell r="AI62" t="str">
            <v>N/A</v>
          </cell>
          <cell r="AJ62" t="str">
            <v>N/A</v>
          </cell>
          <cell r="AK62" t="str">
            <v>N/A</v>
          </cell>
          <cell r="AL62" t="str">
            <v>N/A</v>
          </cell>
          <cell r="AM62" t="str">
            <v>N/A</v>
          </cell>
          <cell r="AN62">
            <v>0</v>
          </cell>
          <cell r="AO62" t="str">
            <v/>
          </cell>
        </row>
        <row r="63">
          <cell r="A63" t="str">
            <v>24-0127</v>
          </cell>
          <cell r="B63" t="str">
            <v>PRINTING</v>
          </cell>
          <cell r="C63" t="str">
            <v>SEF</v>
          </cell>
          <cell r="D63" t="str">
            <v>No</v>
          </cell>
          <cell r="E63" t="str">
            <v>NP-53.9 - Small Value Procurement</v>
          </cell>
          <cell r="F63">
            <v>45322</v>
          </cell>
          <cell r="G63">
            <v>45324</v>
          </cell>
          <cell r="H63" t="str">
            <v/>
          </cell>
          <cell r="I63" t="str">
            <v>N/A</v>
          </cell>
          <cell r="J63">
            <v>45342</v>
          </cell>
          <cell r="K63">
            <v>45342</v>
          </cell>
          <cell r="L63" t="str">
            <v/>
          </cell>
          <cell r="M63" t="str">
            <v>N/A</v>
          </cell>
          <cell r="N63" t="str">
            <v>N/A</v>
          </cell>
          <cell r="O63">
            <v>45344</v>
          </cell>
          <cell r="P63" t="str">
            <v/>
          </cell>
          <cell r="Q63" t="str">
            <v/>
          </cell>
          <cell r="R63" t="str">
            <v/>
          </cell>
          <cell r="S63" t="str">
            <v>N/A</v>
          </cell>
          <cell r="T63">
            <v>45355</v>
          </cell>
          <cell r="U63">
            <v>45357</v>
          </cell>
          <cell r="V63" t="str">
            <v/>
          </cell>
          <cell r="W63" t="str">
            <v/>
          </cell>
          <cell r="X63">
            <v>45434</v>
          </cell>
          <cell r="Y63">
            <v>0</v>
          </cell>
          <cell r="Z63">
            <v>0</v>
          </cell>
          <cell r="AA63">
            <v>1792</v>
          </cell>
          <cell r="AB63">
            <v>1792</v>
          </cell>
          <cell r="AC63">
            <v>0</v>
          </cell>
          <cell r="AD63">
            <v>1664</v>
          </cell>
          <cell r="AE63">
            <v>1664</v>
          </cell>
          <cell r="AF63">
            <v>0</v>
          </cell>
          <cell r="AG63" t="str">
            <v>ENGR. MICHAEL C. SALARDA
MS. LEONARDA M. LATOR
MS. CARMENCITA VALDEZ
MS. SORAYA P. VERGARA</v>
          </cell>
          <cell r="AH63" t="str">
            <v>N/A</v>
          </cell>
          <cell r="AI63" t="str">
            <v>N/A</v>
          </cell>
          <cell r="AJ63" t="str">
            <v>N/A</v>
          </cell>
          <cell r="AK63" t="str">
            <v>N/A</v>
          </cell>
          <cell r="AL63" t="str">
            <v>N/A</v>
          </cell>
          <cell r="AM63" t="str">
            <v>N/A</v>
          </cell>
          <cell r="AN63">
            <v>0</v>
          </cell>
          <cell r="AO63" t="str">
            <v/>
          </cell>
        </row>
        <row r="64">
          <cell r="A64" t="str">
            <v>24-0592</v>
          </cell>
          <cell r="B64" t="str">
            <v>PRINTING</v>
          </cell>
          <cell r="C64" t="str">
            <v>PGO</v>
          </cell>
          <cell r="D64" t="str">
            <v>No</v>
          </cell>
          <cell r="E64" t="str">
            <v>NP-53.9 - Small Value Procurement</v>
          </cell>
          <cell r="F64" t="str">
            <v>N/A</v>
          </cell>
          <cell r="G64">
            <v>45324</v>
          </cell>
          <cell r="H64" t="str">
            <v/>
          </cell>
          <cell r="I64" t="str">
            <v>N/A</v>
          </cell>
          <cell r="J64">
            <v>45342</v>
          </cell>
          <cell r="K64">
            <v>45342</v>
          </cell>
          <cell r="L64" t="str">
            <v/>
          </cell>
          <cell r="M64" t="str">
            <v>N/A</v>
          </cell>
          <cell r="N64" t="str">
            <v>N/A</v>
          </cell>
          <cell r="O64">
            <v>45344</v>
          </cell>
          <cell r="P64" t="str">
            <v/>
          </cell>
          <cell r="Q64" t="str">
            <v/>
          </cell>
          <cell r="R64" t="str">
            <v/>
          </cell>
          <cell r="S64" t="str">
            <v>N/A</v>
          </cell>
          <cell r="T64">
            <v>45350</v>
          </cell>
          <cell r="U64">
            <v>45351</v>
          </cell>
          <cell r="V64" t="str">
            <v/>
          </cell>
          <cell r="W64" t="str">
            <v/>
          </cell>
          <cell r="X64">
            <v>0</v>
          </cell>
          <cell r="Y64">
            <v>0</v>
          </cell>
          <cell r="Z64">
            <v>0</v>
          </cell>
          <cell r="AA64">
            <v>40852</v>
          </cell>
          <cell r="AB64">
            <v>40852</v>
          </cell>
          <cell r="AC64">
            <v>0</v>
          </cell>
          <cell r="AD64">
            <v>40852</v>
          </cell>
          <cell r="AE64">
            <v>40852</v>
          </cell>
          <cell r="AF64">
            <v>0</v>
          </cell>
          <cell r="AG64" t="str">
            <v>ENGR. MICHAEL C. SALARDA
MS. LEONARDA M. LATOR
MS. CARMENCITA VALDEZ
MS. SORAYA P. VERGARA</v>
          </cell>
          <cell r="AH64" t="str">
            <v>N/A</v>
          </cell>
          <cell r="AI64" t="str">
            <v>N/A</v>
          </cell>
          <cell r="AJ64" t="str">
            <v>N/A</v>
          </cell>
          <cell r="AK64" t="str">
            <v>N/A</v>
          </cell>
          <cell r="AL64" t="str">
            <v>N/A</v>
          </cell>
          <cell r="AM64" t="str">
            <v>N/A</v>
          </cell>
          <cell r="AN64">
            <v>0</v>
          </cell>
          <cell r="AO64" t="str">
            <v/>
          </cell>
        </row>
        <row r="65">
          <cell r="A65" t="str">
            <v>24-0590</v>
          </cell>
          <cell r="B65" t="str">
            <v>UNIFORM SUPPLIES</v>
          </cell>
          <cell r="C65" t="str">
            <v>PGO</v>
          </cell>
          <cell r="D65" t="str">
            <v>No</v>
          </cell>
          <cell r="E65" t="str">
            <v>NP-53.9 - Small Value Procurement</v>
          </cell>
          <cell r="F65" t="str">
            <v>N/A</v>
          </cell>
          <cell r="G65">
            <v>45331</v>
          </cell>
          <cell r="H65" t="str">
            <v/>
          </cell>
          <cell r="I65" t="str">
            <v>N/A</v>
          </cell>
          <cell r="J65">
            <v>45342</v>
          </cell>
          <cell r="K65">
            <v>45342</v>
          </cell>
          <cell r="L65" t="str">
            <v/>
          </cell>
          <cell r="M65" t="str">
            <v>N/A</v>
          </cell>
          <cell r="N65" t="str">
            <v>N/A</v>
          </cell>
          <cell r="O65">
            <v>45344</v>
          </cell>
          <cell r="P65" t="str">
            <v/>
          </cell>
          <cell r="Q65" t="str">
            <v/>
          </cell>
          <cell r="R65" t="str">
            <v/>
          </cell>
          <cell r="S65" t="str">
            <v>N/A</v>
          </cell>
          <cell r="T65">
            <v>45350</v>
          </cell>
          <cell r="U65">
            <v>45351</v>
          </cell>
          <cell r="V65" t="str">
            <v/>
          </cell>
          <cell r="W65" t="str">
            <v/>
          </cell>
          <cell r="X65">
            <v>45357</v>
          </cell>
          <cell r="Y65">
            <v>0</v>
          </cell>
          <cell r="Z65">
            <v>0</v>
          </cell>
          <cell r="AA65">
            <v>38250</v>
          </cell>
          <cell r="AB65">
            <v>38250</v>
          </cell>
          <cell r="AC65">
            <v>0</v>
          </cell>
          <cell r="AD65">
            <v>38250</v>
          </cell>
          <cell r="AE65">
            <v>38250</v>
          </cell>
          <cell r="AF65">
            <v>0</v>
          </cell>
          <cell r="AG65" t="str">
            <v>ENGR. MICHAEL C. SALARDA
MS. LEONARDA M. LATOR
MS. CARMENCITA VALDEZ
MS. SORAYA P. VERGARA</v>
          </cell>
          <cell r="AH65" t="str">
            <v>N/A</v>
          </cell>
          <cell r="AI65" t="str">
            <v>N/A</v>
          </cell>
          <cell r="AJ65" t="str">
            <v>N/A</v>
          </cell>
          <cell r="AK65" t="str">
            <v>N/A</v>
          </cell>
          <cell r="AL65" t="str">
            <v>N/A</v>
          </cell>
          <cell r="AM65" t="str">
            <v>N/A</v>
          </cell>
          <cell r="AN65">
            <v>0</v>
          </cell>
          <cell r="AO65" t="str">
            <v/>
          </cell>
        </row>
        <row r="66">
          <cell r="A66" t="str">
            <v>24-0593</v>
          </cell>
          <cell r="B66" t="str">
            <v>ACCESSORIES &amp; DECORATION</v>
          </cell>
          <cell r="C66" t="str">
            <v>PGO</v>
          </cell>
          <cell r="D66" t="str">
            <v>No</v>
          </cell>
          <cell r="E66" t="str">
            <v>NP-53.9 - Small Value Procurement</v>
          </cell>
          <cell r="F66" t="str">
            <v>N/A</v>
          </cell>
          <cell r="G66">
            <v>45331</v>
          </cell>
          <cell r="H66" t="str">
            <v/>
          </cell>
          <cell r="I66" t="str">
            <v>N/A</v>
          </cell>
          <cell r="J66">
            <v>45342</v>
          </cell>
          <cell r="K66">
            <v>45342</v>
          </cell>
          <cell r="L66" t="str">
            <v/>
          </cell>
          <cell r="M66" t="str">
            <v>N/A</v>
          </cell>
          <cell r="N66" t="str">
            <v>N/A</v>
          </cell>
          <cell r="O66">
            <v>45344</v>
          </cell>
          <cell r="P66" t="str">
            <v/>
          </cell>
          <cell r="Q66" t="str">
            <v/>
          </cell>
          <cell r="R66" t="str">
            <v/>
          </cell>
          <cell r="S66" t="str">
            <v>N/A</v>
          </cell>
          <cell r="T66">
            <v>45350</v>
          </cell>
          <cell r="U66">
            <v>45351</v>
          </cell>
          <cell r="V66" t="str">
            <v/>
          </cell>
          <cell r="W66" t="str">
            <v/>
          </cell>
          <cell r="X66">
            <v>45357</v>
          </cell>
          <cell r="Y66">
            <v>0</v>
          </cell>
          <cell r="Z66">
            <v>0</v>
          </cell>
          <cell r="AA66">
            <v>1500</v>
          </cell>
          <cell r="AB66">
            <v>1500</v>
          </cell>
          <cell r="AC66">
            <v>0</v>
          </cell>
          <cell r="AD66">
            <v>1500</v>
          </cell>
          <cell r="AE66">
            <v>1500</v>
          </cell>
          <cell r="AF66">
            <v>0</v>
          </cell>
          <cell r="AG66" t="str">
            <v>ENGR. MICHAEL C. SALARDA
MS. LEONARDA M. LATOR
MS. CARMENCITA VALDEZ
MS. SORAYA P. VERGARA</v>
          </cell>
          <cell r="AH66" t="str">
            <v>N/A</v>
          </cell>
          <cell r="AI66" t="str">
            <v>N/A</v>
          </cell>
          <cell r="AJ66" t="str">
            <v>N/A</v>
          </cell>
          <cell r="AK66" t="str">
            <v>N/A</v>
          </cell>
          <cell r="AL66" t="str">
            <v>N/A</v>
          </cell>
          <cell r="AM66" t="str">
            <v>N/A</v>
          </cell>
          <cell r="AN66">
            <v>0</v>
          </cell>
          <cell r="AO66" t="str">
            <v/>
          </cell>
        </row>
        <row r="67">
          <cell r="A67" t="str">
            <v>24-C0977</v>
          </cell>
          <cell r="B67" t="str">
            <v>PLAQUE/TROPHIES/MEDAL</v>
          </cell>
          <cell r="C67" t="str">
            <v>PHRMDO</v>
          </cell>
          <cell r="D67" t="str">
            <v>No</v>
          </cell>
          <cell r="E67" t="str">
            <v>NP-53.9 - Small Value Procurement</v>
          </cell>
          <cell r="F67">
            <v>45322</v>
          </cell>
          <cell r="G67">
            <v>45324</v>
          </cell>
          <cell r="H67" t="str">
            <v/>
          </cell>
          <cell r="I67" t="str">
            <v>N/A</v>
          </cell>
          <cell r="J67">
            <v>45342</v>
          </cell>
          <cell r="K67">
            <v>45342</v>
          </cell>
          <cell r="L67" t="str">
            <v/>
          </cell>
          <cell r="M67" t="str">
            <v>N/A</v>
          </cell>
          <cell r="N67" t="str">
            <v>N/A</v>
          </cell>
          <cell r="O67">
            <v>45344</v>
          </cell>
          <cell r="P67" t="str">
            <v/>
          </cell>
          <cell r="Q67" t="str">
            <v/>
          </cell>
          <cell r="R67" t="str">
            <v/>
          </cell>
          <cell r="S67" t="str">
            <v>N/A</v>
          </cell>
          <cell r="T67">
            <v>45350</v>
          </cell>
          <cell r="U67">
            <v>45351</v>
          </cell>
          <cell r="V67" t="str">
            <v/>
          </cell>
          <cell r="W67" t="str">
            <v/>
          </cell>
          <cell r="X67">
            <v>45357</v>
          </cell>
          <cell r="Y67">
            <v>0</v>
          </cell>
          <cell r="Z67">
            <v>0</v>
          </cell>
          <cell r="AA67">
            <v>38200</v>
          </cell>
          <cell r="AB67">
            <v>38200</v>
          </cell>
          <cell r="AC67">
            <v>0</v>
          </cell>
          <cell r="AD67">
            <v>38200</v>
          </cell>
          <cell r="AE67">
            <v>38200</v>
          </cell>
          <cell r="AF67">
            <v>0</v>
          </cell>
          <cell r="AG67" t="str">
            <v>ENGR. MICHAEL C. SALARDA
MS. LEONARDA M. LATOR
MS. CARMENCITA VALDEZ
MS. SORAYA P. VERGARA</v>
          </cell>
          <cell r="AH67" t="str">
            <v>N/A</v>
          </cell>
          <cell r="AI67" t="str">
            <v>N/A</v>
          </cell>
          <cell r="AJ67" t="str">
            <v>N/A</v>
          </cell>
          <cell r="AK67" t="str">
            <v>N/A</v>
          </cell>
          <cell r="AL67" t="str">
            <v>N/A</v>
          </cell>
          <cell r="AM67" t="str">
            <v>N/A</v>
          </cell>
          <cell r="AN67">
            <v>0</v>
          </cell>
          <cell r="AO67" t="str">
            <v/>
          </cell>
        </row>
        <row r="68">
          <cell r="A68" t="str">
            <v>24-0588</v>
          </cell>
          <cell r="B68" t="str">
            <v>OFFICE SUPPLIES</v>
          </cell>
          <cell r="C68" t="str">
            <v>PHRMDO</v>
          </cell>
          <cell r="D68" t="str">
            <v>No</v>
          </cell>
          <cell r="E68" t="str">
            <v>NP-53.9 - Small Value Procurement</v>
          </cell>
          <cell r="F68" t="str">
            <v>N/A</v>
          </cell>
          <cell r="G68">
            <v>45331</v>
          </cell>
          <cell r="H68" t="str">
            <v/>
          </cell>
          <cell r="I68" t="str">
            <v>N/A</v>
          </cell>
          <cell r="J68">
            <v>45342</v>
          </cell>
          <cell r="K68">
            <v>45342</v>
          </cell>
          <cell r="L68" t="str">
            <v/>
          </cell>
          <cell r="M68" t="str">
            <v>N/A</v>
          </cell>
          <cell r="N68" t="str">
            <v>N/A</v>
          </cell>
          <cell r="O68">
            <v>45344</v>
          </cell>
          <cell r="P68" t="str">
            <v/>
          </cell>
          <cell r="Q68" t="str">
            <v/>
          </cell>
          <cell r="R68" t="str">
            <v/>
          </cell>
          <cell r="S68" t="str">
            <v>N/A</v>
          </cell>
          <cell r="T68">
            <v>45350</v>
          </cell>
          <cell r="U68">
            <v>45351</v>
          </cell>
          <cell r="V68" t="str">
            <v/>
          </cell>
          <cell r="W68" t="str">
            <v/>
          </cell>
          <cell r="X68">
            <v>45357</v>
          </cell>
          <cell r="Y68">
            <v>0</v>
          </cell>
          <cell r="Z68">
            <v>0</v>
          </cell>
          <cell r="AA68">
            <v>1830</v>
          </cell>
          <cell r="AB68">
            <v>1830</v>
          </cell>
          <cell r="AC68">
            <v>0</v>
          </cell>
          <cell r="AD68">
            <v>1830</v>
          </cell>
          <cell r="AE68">
            <v>1830</v>
          </cell>
          <cell r="AF68">
            <v>0</v>
          </cell>
          <cell r="AG68" t="str">
            <v>ENGR. MICHAEL C. SALARDA
MS. LEONARDA M. LATOR
MS. CARMENCITA VALDEZ
MS. SORAYA P. VERGARA</v>
          </cell>
          <cell r="AH68" t="str">
            <v>N/A</v>
          </cell>
          <cell r="AI68" t="str">
            <v>N/A</v>
          </cell>
          <cell r="AJ68" t="str">
            <v>N/A</v>
          </cell>
          <cell r="AK68" t="str">
            <v>N/A</v>
          </cell>
          <cell r="AL68" t="str">
            <v>N/A</v>
          </cell>
          <cell r="AM68" t="str">
            <v>N/A</v>
          </cell>
          <cell r="AN68">
            <v>0</v>
          </cell>
          <cell r="AO68" t="str">
            <v/>
          </cell>
        </row>
        <row r="69">
          <cell r="A69" t="str">
            <v>24-0486</v>
          </cell>
          <cell r="B69" t="str">
            <v>LUMBER</v>
          </cell>
          <cell r="C69" t="str">
            <v>DDOPH-Montevista</v>
          </cell>
          <cell r="D69" t="str">
            <v>No</v>
          </cell>
          <cell r="E69" t="str">
            <v>NP-53.9 - Small Value Procurement</v>
          </cell>
          <cell r="F69" t="str">
            <v>N/A</v>
          </cell>
          <cell r="G69">
            <v>45324</v>
          </cell>
          <cell r="H69" t="str">
            <v/>
          </cell>
          <cell r="I69" t="str">
            <v>N/A</v>
          </cell>
          <cell r="J69">
            <v>45342</v>
          </cell>
          <cell r="K69">
            <v>45342</v>
          </cell>
          <cell r="L69" t="str">
            <v/>
          </cell>
          <cell r="M69" t="str">
            <v>N/A</v>
          </cell>
          <cell r="N69" t="str">
            <v>N/A</v>
          </cell>
          <cell r="O69">
            <v>45344</v>
          </cell>
          <cell r="P69" t="str">
            <v/>
          </cell>
          <cell r="Q69" t="str">
            <v/>
          </cell>
          <cell r="R69" t="str">
            <v/>
          </cell>
          <cell r="S69" t="str">
            <v>N/A</v>
          </cell>
          <cell r="T69">
            <v>45363</v>
          </cell>
          <cell r="U69">
            <v>45370</v>
          </cell>
          <cell r="V69" t="str">
            <v/>
          </cell>
          <cell r="W69" t="str">
            <v/>
          </cell>
          <cell r="X69">
            <v>45457</v>
          </cell>
          <cell r="Y69">
            <v>0</v>
          </cell>
          <cell r="Z69">
            <v>0</v>
          </cell>
          <cell r="AA69">
            <v>39229.019999999997</v>
          </cell>
          <cell r="AB69">
            <v>39229.019999999997</v>
          </cell>
          <cell r="AC69">
            <v>0</v>
          </cell>
          <cell r="AD69">
            <v>29213.1</v>
          </cell>
          <cell r="AE69">
            <v>29213.1</v>
          </cell>
          <cell r="AF69">
            <v>0</v>
          </cell>
          <cell r="AG69" t="str">
            <v>ENGR. MICHAEL C. SALARDA
MS. LEONARDA M. LATOR
MS. CARMENCITA VALDEZ
MS. SORAYA P. VERGARA</v>
          </cell>
          <cell r="AH69" t="str">
            <v>N/A</v>
          </cell>
          <cell r="AI69" t="str">
            <v>N/A</v>
          </cell>
          <cell r="AJ69" t="str">
            <v>N/A</v>
          </cell>
          <cell r="AK69" t="str">
            <v>N/A</v>
          </cell>
          <cell r="AL69" t="str">
            <v>N/A</v>
          </cell>
          <cell r="AM69" t="str">
            <v>N/A</v>
          </cell>
          <cell r="AN69">
            <v>0</v>
          </cell>
          <cell r="AO69" t="str">
            <v/>
          </cell>
        </row>
        <row r="70">
          <cell r="A70" t="str">
            <v>23-4391</v>
          </cell>
          <cell r="B70" t="str">
            <v>LUMBER</v>
          </cell>
          <cell r="C70" t="str">
            <v>PGSO</v>
          </cell>
          <cell r="D70" t="str">
            <v>No</v>
          </cell>
          <cell r="E70" t="str">
            <v>NP-53.9 - Small Value Procurement</v>
          </cell>
          <cell r="F70" t="str">
            <v>N/A</v>
          </cell>
          <cell r="G70">
            <v>45324</v>
          </cell>
          <cell r="H70" t="str">
            <v/>
          </cell>
          <cell r="I70" t="str">
            <v>N/A</v>
          </cell>
          <cell r="J70">
            <v>45342</v>
          </cell>
          <cell r="K70">
            <v>45342</v>
          </cell>
          <cell r="L70" t="str">
            <v/>
          </cell>
          <cell r="M70" t="str">
            <v>N/A</v>
          </cell>
          <cell r="N70" t="str">
            <v>N/A</v>
          </cell>
          <cell r="O70">
            <v>45344</v>
          </cell>
          <cell r="P70" t="str">
            <v/>
          </cell>
          <cell r="Q70" t="str">
            <v/>
          </cell>
          <cell r="R70" t="str">
            <v/>
          </cell>
          <cell r="S70" t="str">
            <v>N/A</v>
          </cell>
          <cell r="T70">
            <v>45372</v>
          </cell>
          <cell r="U70">
            <v>45377</v>
          </cell>
          <cell r="V70" t="str">
            <v/>
          </cell>
          <cell r="W70" t="str">
            <v/>
          </cell>
          <cell r="X70">
            <v>0</v>
          </cell>
          <cell r="Y70">
            <v>0</v>
          </cell>
          <cell r="Z70">
            <v>0</v>
          </cell>
          <cell r="AA70">
            <v>2240</v>
          </cell>
          <cell r="AB70">
            <v>2240</v>
          </cell>
          <cell r="AC70">
            <v>0</v>
          </cell>
          <cell r="AD70">
            <v>2240</v>
          </cell>
          <cell r="AE70">
            <v>2240</v>
          </cell>
          <cell r="AF70">
            <v>0</v>
          </cell>
          <cell r="AG70" t="str">
            <v>ENGR. MICHAEL C. SALARDA
MS. LEONARDA M. LATOR
MS. CARMENCITA VALDEZ
MS. SORAYA P. VERGARA</v>
          </cell>
          <cell r="AH70" t="str">
            <v>N/A</v>
          </cell>
          <cell r="AI70" t="str">
            <v>N/A</v>
          </cell>
          <cell r="AJ70" t="str">
            <v>N/A</v>
          </cell>
          <cell r="AK70" t="str">
            <v>N/A</v>
          </cell>
          <cell r="AL70" t="str">
            <v>N/A</v>
          </cell>
          <cell r="AM70" t="str">
            <v>N/A</v>
          </cell>
          <cell r="AN70">
            <v>0</v>
          </cell>
          <cell r="AO70" t="str">
            <v/>
          </cell>
        </row>
        <row r="71">
          <cell r="A71" t="str">
            <v>24-C0980</v>
          </cell>
          <cell r="B71" t="str">
            <v>ELECTRICAL SUPPLIES</v>
          </cell>
          <cell r="C71" t="str">
            <v>PHRMDO</v>
          </cell>
          <cell r="D71" t="str">
            <v>No</v>
          </cell>
          <cell r="E71" t="str">
            <v>NP-53.9 - Small Value Procurement</v>
          </cell>
          <cell r="F71" t="str">
            <v>N/A</v>
          </cell>
          <cell r="G71">
            <v>45335</v>
          </cell>
          <cell r="H71" t="str">
            <v/>
          </cell>
          <cell r="I71" t="str">
            <v>N/A</v>
          </cell>
          <cell r="J71">
            <v>45342</v>
          </cell>
          <cell r="K71">
            <v>45342</v>
          </cell>
          <cell r="L71" t="str">
            <v/>
          </cell>
          <cell r="M71" t="str">
            <v>N/A</v>
          </cell>
          <cell r="N71" t="str">
            <v>N/A</v>
          </cell>
          <cell r="O71">
            <v>45344</v>
          </cell>
          <cell r="P71" t="str">
            <v/>
          </cell>
          <cell r="Q71" t="str">
            <v/>
          </cell>
          <cell r="R71" t="str">
            <v/>
          </cell>
          <cell r="S71">
            <v>45348</v>
          </cell>
          <cell r="T71">
            <v>45351</v>
          </cell>
          <cell r="U71">
            <v>45352</v>
          </cell>
          <cell r="V71" t="str">
            <v/>
          </cell>
          <cell r="W71" t="str">
            <v/>
          </cell>
          <cell r="X71">
            <v>45357</v>
          </cell>
          <cell r="Y71">
            <v>0</v>
          </cell>
          <cell r="Z71">
            <v>0</v>
          </cell>
          <cell r="AA71">
            <v>121224</v>
          </cell>
          <cell r="AB71">
            <v>121224</v>
          </cell>
          <cell r="AC71">
            <v>0</v>
          </cell>
          <cell r="AD71">
            <v>120202.5</v>
          </cell>
          <cell r="AE71">
            <v>120202.5</v>
          </cell>
          <cell r="AF71">
            <v>0</v>
          </cell>
          <cell r="AG71" t="str">
            <v>ENGR. MICHAEL C. SALARDA
MS. LEONARDA M. LATOR
MS. CARMENCITA VALDEZ
MS. SORAYA P. VERGARA</v>
          </cell>
          <cell r="AH71" t="str">
            <v>N/A</v>
          </cell>
          <cell r="AI71" t="str">
            <v>N/A</v>
          </cell>
          <cell r="AJ71" t="str">
            <v>N/A</v>
          </cell>
          <cell r="AK71" t="str">
            <v>N/A</v>
          </cell>
          <cell r="AL71" t="str">
            <v>N/A</v>
          </cell>
          <cell r="AM71" t="str">
            <v>N/A</v>
          </cell>
          <cell r="AN71">
            <v>0</v>
          </cell>
          <cell r="AO71" t="str">
            <v/>
          </cell>
        </row>
        <row r="72">
          <cell r="A72" t="str">
            <v>24-0616</v>
          </cell>
          <cell r="B72" t="str">
            <v>LUMBER</v>
          </cell>
          <cell r="C72" t="str">
            <v>PHRMDO</v>
          </cell>
          <cell r="D72" t="str">
            <v>No</v>
          </cell>
          <cell r="E72" t="str">
            <v>NP-53.9 - Small Value Procurement</v>
          </cell>
          <cell r="F72">
            <v>45322</v>
          </cell>
          <cell r="G72">
            <v>45324</v>
          </cell>
          <cell r="H72" t="str">
            <v/>
          </cell>
          <cell r="I72" t="str">
            <v>N/A</v>
          </cell>
          <cell r="J72">
            <v>45342</v>
          </cell>
          <cell r="K72">
            <v>45342</v>
          </cell>
          <cell r="L72" t="str">
            <v/>
          </cell>
          <cell r="M72" t="str">
            <v>N/A</v>
          </cell>
          <cell r="N72" t="str">
            <v>N/A</v>
          </cell>
          <cell r="O72">
            <v>45344</v>
          </cell>
          <cell r="P72" t="str">
            <v/>
          </cell>
          <cell r="Q72" t="str">
            <v/>
          </cell>
          <cell r="R72" t="str">
            <v/>
          </cell>
          <cell r="S72" t="str">
            <v>N/A</v>
          </cell>
          <cell r="T72">
            <v>45350</v>
          </cell>
          <cell r="U72">
            <v>45350</v>
          </cell>
          <cell r="V72" t="str">
            <v/>
          </cell>
          <cell r="W72" t="str">
            <v/>
          </cell>
          <cell r="X72">
            <v>45352</v>
          </cell>
          <cell r="Y72">
            <v>0</v>
          </cell>
          <cell r="Z72">
            <v>0</v>
          </cell>
          <cell r="AA72">
            <v>12840</v>
          </cell>
          <cell r="AB72">
            <v>12840</v>
          </cell>
          <cell r="AC72">
            <v>0</v>
          </cell>
          <cell r="AD72">
            <v>12840</v>
          </cell>
          <cell r="AE72">
            <v>12840</v>
          </cell>
          <cell r="AF72">
            <v>0</v>
          </cell>
          <cell r="AG72" t="str">
            <v>ENGR. MICHAEL C. SALARDA
MS. LEONARDA M. LATOR
MS. CARMENCITA VALDEZ
MS. SORAYA P. VERGARA</v>
          </cell>
          <cell r="AH72" t="str">
            <v>N/A</v>
          </cell>
          <cell r="AI72" t="str">
            <v>N/A</v>
          </cell>
          <cell r="AJ72" t="str">
            <v>N/A</v>
          </cell>
          <cell r="AK72" t="str">
            <v>N/A</v>
          </cell>
          <cell r="AL72" t="str">
            <v>N/A</v>
          </cell>
          <cell r="AM72" t="str">
            <v>N/A</v>
          </cell>
          <cell r="AN72">
            <v>0</v>
          </cell>
          <cell r="AO72" t="str">
            <v/>
          </cell>
        </row>
        <row r="73">
          <cell r="A73" t="str">
            <v>24-0680</v>
          </cell>
          <cell r="B73" t="str">
            <v>JANITORIAL SUPPLIES/HOUSEKEEPING</v>
          </cell>
          <cell r="C73" t="str">
            <v>PHRMDO</v>
          </cell>
          <cell r="D73" t="str">
            <v>No</v>
          </cell>
          <cell r="E73" t="str">
            <v>NP-53.9 - Small Value Procurement</v>
          </cell>
          <cell r="F73" t="str">
            <v>N/A</v>
          </cell>
          <cell r="G73">
            <v>45335</v>
          </cell>
          <cell r="H73" t="str">
            <v/>
          </cell>
          <cell r="I73" t="str">
            <v>N/A</v>
          </cell>
          <cell r="J73">
            <v>45342</v>
          </cell>
          <cell r="K73">
            <v>45342</v>
          </cell>
          <cell r="L73" t="str">
            <v/>
          </cell>
          <cell r="M73" t="str">
            <v>N/A</v>
          </cell>
          <cell r="N73" t="str">
            <v>N/A</v>
          </cell>
          <cell r="O73">
            <v>45344</v>
          </cell>
          <cell r="P73" t="str">
            <v/>
          </cell>
          <cell r="Q73" t="str">
            <v/>
          </cell>
          <cell r="R73" t="str">
            <v/>
          </cell>
          <cell r="S73" t="str">
            <v>N/A</v>
          </cell>
          <cell r="T73">
            <v>45351</v>
          </cell>
          <cell r="U73">
            <v>45352</v>
          </cell>
          <cell r="V73" t="str">
            <v/>
          </cell>
          <cell r="W73" t="str">
            <v/>
          </cell>
          <cell r="X73">
            <v>45362</v>
          </cell>
          <cell r="Y73">
            <v>0</v>
          </cell>
          <cell r="Z73">
            <v>0</v>
          </cell>
          <cell r="AA73">
            <v>45835</v>
          </cell>
          <cell r="AB73">
            <v>45835</v>
          </cell>
          <cell r="AC73">
            <v>0</v>
          </cell>
          <cell r="AD73">
            <v>44385</v>
          </cell>
          <cell r="AE73">
            <v>44385</v>
          </cell>
          <cell r="AF73">
            <v>0</v>
          </cell>
          <cell r="AG73" t="str">
            <v>ENGR. MICHAEL C. SALARDA
MS. LEONARDA M. LATOR
MS. CARMENCITA VALDEZ
MS. SORAYA P. VERGARA</v>
          </cell>
          <cell r="AH73" t="str">
            <v>N/A</v>
          </cell>
          <cell r="AI73" t="str">
            <v>N/A</v>
          </cell>
          <cell r="AJ73" t="str">
            <v>N/A</v>
          </cell>
          <cell r="AK73" t="str">
            <v>N/A</v>
          </cell>
          <cell r="AL73" t="str">
            <v>N/A</v>
          </cell>
          <cell r="AM73" t="str">
            <v>N/A</v>
          </cell>
          <cell r="AN73">
            <v>0</v>
          </cell>
          <cell r="AO73" t="str">
            <v/>
          </cell>
        </row>
        <row r="74">
          <cell r="A74" t="str">
            <v>24-0876</v>
          </cell>
          <cell r="B74" t="str">
            <v>SPAREPARTS (GENERATOR ENGINE)</v>
          </cell>
          <cell r="C74" t="str">
            <v>SPO</v>
          </cell>
          <cell r="D74" t="str">
            <v>No</v>
          </cell>
          <cell r="E74" t="str">
            <v>NP-53.9 - Small Value Procurement</v>
          </cell>
          <cell r="F74" t="str">
            <v>N/A</v>
          </cell>
          <cell r="G74">
            <v>45335</v>
          </cell>
          <cell r="H74" t="str">
            <v/>
          </cell>
          <cell r="I74" t="str">
            <v>N/A</v>
          </cell>
          <cell r="J74">
            <v>45342</v>
          </cell>
          <cell r="K74">
            <v>45342</v>
          </cell>
          <cell r="L74" t="str">
            <v/>
          </cell>
          <cell r="M74" t="str">
            <v>N/A</v>
          </cell>
          <cell r="N74" t="str">
            <v>N/A</v>
          </cell>
          <cell r="O74">
            <v>45344</v>
          </cell>
          <cell r="P74" t="str">
            <v/>
          </cell>
          <cell r="Q74" t="str">
            <v/>
          </cell>
          <cell r="R74" t="str">
            <v/>
          </cell>
          <cell r="S74" t="str">
            <v>N/A</v>
          </cell>
          <cell r="T74">
            <v>45372</v>
          </cell>
          <cell r="U74">
            <v>45373</v>
          </cell>
          <cell r="V74" t="str">
            <v/>
          </cell>
          <cell r="W74" t="str">
            <v/>
          </cell>
          <cell r="X74">
            <v>0</v>
          </cell>
          <cell r="Y74">
            <v>0</v>
          </cell>
          <cell r="Z74">
            <v>0</v>
          </cell>
          <cell r="AA74">
            <v>31860</v>
          </cell>
          <cell r="AB74">
            <v>31860</v>
          </cell>
          <cell r="AC74">
            <v>0</v>
          </cell>
          <cell r="AD74">
            <v>31660</v>
          </cell>
          <cell r="AE74">
            <v>31660</v>
          </cell>
          <cell r="AF74">
            <v>0</v>
          </cell>
          <cell r="AG74" t="str">
            <v>ENGR. MICHAEL C. SALARDA
MS. LEONARDA M. LATOR
MS. CARMENCITA VALDEZ
MS. SORAYA P. VERGARA</v>
          </cell>
          <cell r="AH74" t="str">
            <v>N/A</v>
          </cell>
          <cell r="AI74" t="str">
            <v>N/A</v>
          </cell>
          <cell r="AJ74" t="str">
            <v>N/A</v>
          </cell>
          <cell r="AK74" t="str">
            <v>N/A</v>
          </cell>
          <cell r="AL74" t="str">
            <v>N/A</v>
          </cell>
          <cell r="AM74" t="str">
            <v>N/A</v>
          </cell>
          <cell r="AN74">
            <v>0</v>
          </cell>
          <cell r="AO74" t="str">
            <v/>
          </cell>
        </row>
        <row r="75">
          <cell r="A75" t="str">
            <v>24-0315</v>
          </cell>
          <cell r="B75" t="str">
            <v>OFFICE EQUIPMENT</v>
          </cell>
          <cell r="C75" t="str">
            <v>PGO</v>
          </cell>
          <cell r="D75" t="str">
            <v>No</v>
          </cell>
          <cell r="E75" t="str">
            <v>NP-53.9 - Small Value Procurement</v>
          </cell>
          <cell r="F75" t="str">
            <v>N/A</v>
          </cell>
          <cell r="G75">
            <v>45324</v>
          </cell>
          <cell r="H75" t="str">
            <v/>
          </cell>
          <cell r="I75" t="str">
            <v>N/A</v>
          </cell>
          <cell r="J75">
            <v>45342</v>
          </cell>
          <cell r="K75">
            <v>45342</v>
          </cell>
          <cell r="L75" t="str">
            <v/>
          </cell>
          <cell r="M75" t="str">
            <v>N/A</v>
          </cell>
          <cell r="N75" t="str">
            <v>N/A</v>
          </cell>
          <cell r="O75">
            <v>45344</v>
          </cell>
          <cell r="P75" t="str">
            <v/>
          </cell>
          <cell r="Q75" t="str">
            <v/>
          </cell>
          <cell r="R75" t="str">
            <v/>
          </cell>
          <cell r="S75">
            <v>45348</v>
          </cell>
          <cell r="T75">
            <v>45351</v>
          </cell>
          <cell r="U75">
            <v>45355</v>
          </cell>
          <cell r="V75" t="str">
            <v/>
          </cell>
          <cell r="W75" t="str">
            <v/>
          </cell>
          <cell r="X75">
            <v>45376</v>
          </cell>
          <cell r="Y75">
            <v>0</v>
          </cell>
          <cell r="Z75">
            <v>0</v>
          </cell>
          <cell r="AA75">
            <v>82500</v>
          </cell>
          <cell r="AB75">
            <v>82500</v>
          </cell>
          <cell r="AC75">
            <v>0</v>
          </cell>
          <cell r="AD75">
            <v>53900</v>
          </cell>
          <cell r="AE75">
            <v>53900</v>
          </cell>
          <cell r="AF75">
            <v>0</v>
          </cell>
          <cell r="AG75" t="str">
            <v>ENGR. MICHAEL C. SALARDA
MS. LEONARDA M. LATOR
MS. CARMENCITA VALDEZ
MS. SORAYA P. VERGARA</v>
          </cell>
          <cell r="AH75" t="str">
            <v>N/A</v>
          </cell>
          <cell r="AI75" t="str">
            <v>N/A</v>
          </cell>
          <cell r="AJ75" t="str">
            <v>N/A</v>
          </cell>
          <cell r="AK75" t="str">
            <v>N/A</v>
          </cell>
          <cell r="AL75" t="str">
            <v>N/A</v>
          </cell>
          <cell r="AM75" t="str">
            <v>N/A</v>
          </cell>
          <cell r="AN75">
            <v>0</v>
          </cell>
          <cell r="AO75" t="str">
            <v/>
          </cell>
        </row>
        <row r="76">
          <cell r="A76" t="str">
            <v>24-0231</v>
          </cell>
          <cell r="B76" t="str">
            <v>POSTAGE AND DELIVERIES</v>
          </cell>
          <cell r="C76" t="str">
            <v>PAO-ADMIN</v>
          </cell>
          <cell r="D76" t="str">
            <v>No</v>
          </cell>
          <cell r="E76" t="str">
            <v>NP-53.9 - Small Value Procurement</v>
          </cell>
          <cell r="F76">
            <v>45322</v>
          </cell>
          <cell r="G76">
            <v>45324</v>
          </cell>
          <cell r="H76">
            <v>0</v>
          </cell>
          <cell r="I76" t="str">
            <v>N/A</v>
          </cell>
          <cell r="J76">
            <v>45342</v>
          </cell>
          <cell r="K76">
            <v>45342</v>
          </cell>
          <cell r="L76" t="str">
            <v/>
          </cell>
          <cell r="M76" t="str">
            <v>N/A</v>
          </cell>
          <cell r="N76" t="str">
            <v>N/A</v>
          </cell>
          <cell r="O76">
            <v>45344</v>
          </cell>
          <cell r="P76">
            <v>0</v>
          </cell>
          <cell r="Q76">
            <v>0</v>
          </cell>
          <cell r="R76">
            <v>0</v>
          </cell>
          <cell r="S76" t="str">
            <v>N/A</v>
          </cell>
          <cell r="T76">
            <v>45351</v>
          </cell>
          <cell r="U76">
            <v>45358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2550</v>
          </cell>
          <cell r="AB76">
            <v>2550</v>
          </cell>
          <cell r="AC76">
            <v>0</v>
          </cell>
          <cell r="AD76">
            <v>2550</v>
          </cell>
          <cell r="AE76">
            <v>2550</v>
          </cell>
          <cell r="AF76">
            <v>0</v>
          </cell>
          <cell r="AG76" t="str">
            <v>ENGR. MICHAEL C. SALARDA
MS. LEONARDA M. LATOR
MS. CARMENCITA VALDEZ
MS. SORAYA P. VERGARA</v>
          </cell>
          <cell r="AH76" t="str">
            <v>N/A</v>
          </cell>
          <cell r="AI76" t="str">
            <v>N/A</v>
          </cell>
          <cell r="AJ76" t="str">
            <v>N/A</v>
          </cell>
          <cell r="AK76" t="str">
            <v>N/A</v>
          </cell>
          <cell r="AL76" t="str">
            <v>N/A</v>
          </cell>
          <cell r="AM76" t="str">
            <v>N/A</v>
          </cell>
          <cell r="AN76">
            <v>0</v>
          </cell>
          <cell r="AO76">
            <v>0</v>
          </cell>
        </row>
        <row r="77">
          <cell r="A77" t="str">
            <v>24-0288</v>
          </cell>
          <cell r="B77" t="str">
            <v>FOOD/CATERING SERVICES</v>
          </cell>
          <cell r="C77" t="str">
            <v>PGO</v>
          </cell>
          <cell r="D77" t="str">
            <v>No</v>
          </cell>
          <cell r="E77" t="str">
            <v>NP-53.9 - Small Value Procurement</v>
          </cell>
          <cell r="F77" t="str">
            <v>N/A</v>
          </cell>
          <cell r="G77">
            <v>45335</v>
          </cell>
          <cell r="H77">
            <v>0</v>
          </cell>
          <cell r="I77" t="str">
            <v>N/A</v>
          </cell>
          <cell r="J77">
            <v>45342</v>
          </cell>
          <cell r="K77">
            <v>45342</v>
          </cell>
          <cell r="L77" t="str">
            <v/>
          </cell>
          <cell r="M77" t="str">
            <v>N/A</v>
          </cell>
          <cell r="N77" t="str">
            <v>N/A</v>
          </cell>
          <cell r="O77">
            <v>45344</v>
          </cell>
          <cell r="P77">
            <v>0</v>
          </cell>
          <cell r="Q77">
            <v>0</v>
          </cell>
          <cell r="R77">
            <v>0</v>
          </cell>
          <cell r="S77">
            <v>45350</v>
          </cell>
          <cell r="T77">
            <v>45351</v>
          </cell>
          <cell r="U77">
            <v>45352</v>
          </cell>
          <cell r="V77">
            <v>0</v>
          </cell>
          <cell r="W77">
            <v>0</v>
          </cell>
          <cell r="X77">
            <v>45359</v>
          </cell>
          <cell r="Y77">
            <v>0</v>
          </cell>
          <cell r="Z77">
            <v>0</v>
          </cell>
          <cell r="AA77">
            <v>142000</v>
          </cell>
          <cell r="AB77">
            <v>142000</v>
          </cell>
          <cell r="AC77">
            <v>0</v>
          </cell>
          <cell r="AD77">
            <v>141900</v>
          </cell>
          <cell r="AE77">
            <v>141900</v>
          </cell>
          <cell r="AF77">
            <v>0</v>
          </cell>
          <cell r="AG77" t="str">
            <v>ENGR. MICHAEL C. SALARDA
MS. LEONARDA M. LATOR
MS. CARMENCITA VALDEZ
MS. SORAYA P. VERGARA</v>
          </cell>
          <cell r="AH77" t="str">
            <v>N/A</v>
          </cell>
          <cell r="AI77" t="str">
            <v>N/A</v>
          </cell>
          <cell r="AJ77" t="str">
            <v>N/A</v>
          </cell>
          <cell r="AK77" t="str">
            <v>N/A</v>
          </cell>
          <cell r="AL77" t="str">
            <v>N/A</v>
          </cell>
          <cell r="AM77" t="str">
            <v>N/A</v>
          </cell>
          <cell r="AN77">
            <v>0</v>
          </cell>
          <cell r="AO77">
            <v>0</v>
          </cell>
        </row>
        <row r="78">
          <cell r="A78" t="str">
            <v>24-C0940</v>
          </cell>
          <cell r="B78" t="str">
            <v>COMPUTER SERVICES</v>
          </cell>
          <cell r="C78" t="str">
            <v>PBO</v>
          </cell>
          <cell r="D78" t="str">
            <v>No</v>
          </cell>
          <cell r="E78" t="str">
            <v>NP-53.9 - Small Value Procurement</v>
          </cell>
          <cell r="F78" t="str">
            <v>N/A</v>
          </cell>
          <cell r="G78">
            <v>45324</v>
          </cell>
          <cell r="H78">
            <v>0</v>
          </cell>
          <cell r="I78" t="str">
            <v>N/A</v>
          </cell>
          <cell r="J78">
            <v>45342</v>
          </cell>
          <cell r="K78">
            <v>45342</v>
          </cell>
          <cell r="L78">
            <v>0</v>
          </cell>
          <cell r="M78" t="str">
            <v>N/A</v>
          </cell>
          <cell r="N78" t="str">
            <v>N/A</v>
          </cell>
          <cell r="O78">
            <v>45344</v>
          </cell>
          <cell r="P78">
            <v>0</v>
          </cell>
          <cell r="Q78">
            <v>0</v>
          </cell>
          <cell r="R78">
            <v>0</v>
          </cell>
          <cell r="S78">
            <v>45348</v>
          </cell>
          <cell r="T78">
            <v>45351</v>
          </cell>
          <cell r="U78">
            <v>45352</v>
          </cell>
          <cell r="V78">
            <v>0</v>
          </cell>
          <cell r="W78">
            <v>0</v>
          </cell>
          <cell r="X78">
            <v>45362</v>
          </cell>
          <cell r="Y78">
            <v>0</v>
          </cell>
          <cell r="Z78">
            <v>0</v>
          </cell>
          <cell r="AA78">
            <v>63619</v>
          </cell>
          <cell r="AB78">
            <v>63619</v>
          </cell>
          <cell r="AC78">
            <v>0</v>
          </cell>
          <cell r="AD78">
            <v>63300</v>
          </cell>
          <cell r="AE78">
            <v>63300</v>
          </cell>
          <cell r="AF78">
            <v>0</v>
          </cell>
          <cell r="AG78" t="str">
            <v>ENGR. MICHAEL C. SALARDA
MS. LEONARDA M. LATOR
MS. CARMENCITA VALDEZ
MS. SORAYA P. VERGARA</v>
          </cell>
          <cell r="AH78" t="str">
            <v>N/A</v>
          </cell>
          <cell r="AI78" t="str">
            <v>N/A</v>
          </cell>
          <cell r="AJ78" t="str">
            <v>N/A</v>
          </cell>
          <cell r="AK78" t="str">
            <v>N/A</v>
          </cell>
          <cell r="AL78" t="str">
            <v>N/A</v>
          </cell>
          <cell r="AM78" t="str">
            <v>N/A</v>
          </cell>
          <cell r="AN78">
            <v>0</v>
          </cell>
          <cell r="AO78">
            <v>0</v>
          </cell>
        </row>
        <row r="79">
          <cell r="A79" t="str">
            <v>24-0090</v>
          </cell>
          <cell r="B79" t="str">
            <v>OFFICE EQUIPMENT</v>
          </cell>
          <cell r="C79" t="str">
            <v>PACCO</v>
          </cell>
          <cell r="D79" t="str">
            <v>No</v>
          </cell>
          <cell r="E79" t="str">
            <v>NP-53.9 - Small Value Procurement</v>
          </cell>
          <cell r="F79" t="str">
            <v>N/A</v>
          </cell>
          <cell r="G79">
            <v>45324</v>
          </cell>
          <cell r="H79">
            <v>0</v>
          </cell>
          <cell r="I79" t="str">
            <v>N/A</v>
          </cell>
          <cell r="J79">
            <v>45342</v>
          </cell>
          <cell r="K79">
            <v>45342</v>
          </cell>
          <cell r="L79">
            <v>0</v>
          </cell>
          <cell r="M79" t="str">
            <v>N/A</v>
          </cell>
          <cell r="N79" t="str">
            <v>N/A</v>
          </cell>
          <cell r="O79">
            <v>45344</v>
          </cell>
          <cell r="P79">
            <v>0</v>
          </cell>
          <cell r="Q79">
            <v>0</v>
          </cell>
          <cell r="R79">
            <v>0</v>
          </cell>
          <cell r="S79">
            <v>45348</v>
          </cell>
          <cell r="T79">
            <v>45351</v>
          </cell>
          <cell r="U79">
            <v>45352</v>
          </cell>
          <cell r="V79">
            <v>0</v>
          </cell>
          <cell r="W79">
            <v>0</v>
          </cell>
          <cell r="X79">
            <v>45362</v>
          </cell>
          <cell r="Y79">
            <v>0</v>
          </cell>
          <cell r="Z79">
            <v>0</v>
          </cell>
          <cell r="AA79">
            <v>60400</v>
          </cell>
          <cell r="AB79">
            <v>60400</v>
          </cell>
          <cell r="AC79">
            <v>0</v>
          </cell>
          <cell r="AD79">
            <v>59800</v>
          </cell>
          <cell r="AE79">
            <v>59800</v>
          </cell>
          <cell r="AF79">
            <v>0</v>
          </cell>
          <cell r="AG79" t="str">
            <v>ENGR. MICHAEL C. SALARDA
MS. LEONARDA M. LATOR
MS. CARMENCITA VALDEZ
MS. SORAYA P. VERGARA</v>
          </cell>
          <cell r="AH79" t="str">
            <v>N/A</v>
          </cell>
          <cell r="AI79" t="str">
            <v>N/A</v>
          </cell>
          <cell r="AJ79" t="str">
            <v>N/A</v>
          </cell>
          <cell r="AK79" t="str">
            <v>N/A</v>
          </cell>
          <cell r="AL79" t="str">
            <v>N/A</v>
          </cell>
          <cell r="AM79" t="str">
            <v>N/A</v>
          </cell>
          <cell r="AN79">
            <v>0</v>
          </cell>
          <cell r="AO79">
            <v>0</v>
          </cell>
        </row>
        <row r="80">
          <cell r="A80" t="str">
            <v>24-1029</v>
          </cell>
          <cell r="B80" t="str">
            <v>OTHER MACHINERIES AND EQUIPMENT</v>
          </cell>
          <cell r="C80" t="str">
            <v>PHRMDO</v>
          </cell>
          <cell r="D80" t="str">
            <v>No</v>
          </cell>
          <cell r="E80" t="str">
            <v>NP-53.9 - Small Value Procurement</v>
          </cell>
          <cell r="F80">
            <v>45330</v>
          </cell>
          <cell r="G80">
            <v>45335</v>
          </cell>
          <cell r="H80">
            <v>0</v>
          </cell>
          <cell r="I80" t="str">
            <v>N/A</v>
          </cell>
          <cell r="J80">
            <v>45342</v>
          </cell>
          <cell r="K80">
            <v>45342</v>
          </cell>
          <cell r="L80">
            <v>0</v>
          </cell>
          <cell r="M80" t="str">
            <v>N/A</v>
          </cell>
          <cell r="N80" t="str">
            <v>N/A</v>
          </cell>
          <cell r="O80">
            <v>45344</v>
          </cell>
          <cell r="P80">
            <v>0</v>
          </cell>
          <cell r="Q80">
            <v>0</v>
          </cell>
          <cell r="R80">
            <v>0</v>
          </cell>
          <cell r="S80">
            <v>45349</v>
          </cell>
          <cell r="T80">
            <v>45351</v>
          </cell>
          <cell r="U80">
            <v>45355</v>
          </cell>
          <cell r="V80">
            <v>0</v>
          </cell>
          <cell r="W80">
            <v>0</v>
          </cell>
          <cell r="X80">
            <v>45359</v>
          </cell>
          <cell r="Y80">
            <v>0</v>
          </cell>
          <cell r="Z80">
            <v>0</v>
          </cell>
          <cell r="AA80">
            <v>175000</v>
          </cell>
          <cell r="AB80">
            <v>175000</v>
          </cell>
          <cell r="AC80">
            <v>0</v>
          </cell>
          <cell r="AD80">
            <v>174800</v>
          </cell>
          <cell r="AE80">
            <v>174800</v>
          </cell>
          <cell r="AF80">
            <v>0</v>
          </cell>
          <cell r="AG80" t="str">
            <v>ENGR. MICHAEL C. SALARDA
MS. LEONARDA M. LATOR
MS. CARMENCITA VALDEZ
MS. SORAYA P. VERGARA</v>
          </cell>
          <cell r="AH80" t="str">
            <v>N/A</v>
          </cell>
          <cell r="AI80" t="str">
            <v>N/A</v>
          </cell>
          <cell r="AJ80" t="str">
            <v>N/A</v>
          </cell>
          <cell r="AK80" t="str">
            <v>N/A</v>
          </cell>
          <cell r="AL80" t="str">
            <v>N/A</v>
          </cell>
          <cell r="AM80" t="str">
            <v>N/A</v>
          </cell>
          <cell r="AN80">
            <v>0</v>
          </cell>
          <cell r="AO80">
            <v>0</v>
          </cell>
        </row>
        <row r="81">
          <cell r="A81" t="str">
            <v>24-1039</v>
          </cell>
          <cell r="B81" t="str">
            <v>RENTALS</v>
          </cell>
          <cell r="C81" t="str">
            <v>PHRMDO</v>
          </cell>
          <cell r="D81" t="str">
            <v>No</v>
          </cell>
          <cell r="E81" t="str">
            <v>NP-53.9 - Small Value Procurement</v>
          </cell>
          <cell r="F81">
            <v>45330</v>
          </cell>
          <cell r="G81">
            <v>45335</v>
          </cell>
          <cell r="H81">
            <v>0</v>
          </cell>
          <cell r="I81" t="str">
            <v>N/A</v>
          </cell>
          <cell r="J81">
            <v>45342</v>
          </cell>
          <cell r="K81">
            <v>45342</v>
          </cell>
          <cell r="L81">
            <v>0</v>
          </cell>
          <cell r="M81" t="str">
            <v>N/A</v>
          </cell>
          <cell r="N81" t="str">
            <v>N/A</v>
          </cell>
          <cell r="O81">
            <v>45344</v>
          </cell>
          <cell r="P81">
            <v>0</v>
          </cell>
          <cell r="Q81">
            <v>0</v>
          </cell>
          <cell r="R81">
            <v>0</v>
          </cell>
          <cell r="S81">
            <v>45349</v>
          </cell>
          <cell r="T81">
            <v>45351</v>
          </cell>
          <cell r="U81">
            <v>45355</v>
          </cell>
          <cell r="V81">
            <v>0</v>
          </cell>
          <cell r="W81">
            <v>0</v>
          </cell>
          <cell r="X81">
            <v>45359</v>
          </cell>
          <cell r="Y81">
            <v>0</v>
          </cell>
          <cell r="Z81">
            <v>0</v>
          </cell>
          <cell r="AA81">
            <v>480000</v>
          </cell>
          <cell r="AB81">
            <v>480000</v>
          </cell>
          <cell r="AC81">
            <v>0</v>
          </cell>
          <cell r="AD81">
            <v>480000</v>
          </cell>
          <cell r="AE81">
            <v>480000</v>
          </cell>
          <cell r="AF81">
            <v>0</v>
          </cell>
          <cell r="AG81" t="str">
            <v>ENGR. MICHAEL C. SALARDA
MS. LEONARDA M. LATOR
MS. CARMENCITA VALDEZ
MS. SORAYA P. VERGARA</v>
          </cell>
          <cell r="AH81" t="str">
            <v>N/A</v>
          </cell>
          <cell r="AI81" t="str">
            <v>N/A</v>
          </cell>
          <cell r="AJ81" t="str">
            <v>N/A</v>
          </cell>
          <cell r="AK81" t="str">
            <v>N/A</v>
          </cell>
          <cell r="AL81" t="str">
            <v>N/A</v>
          </cell>
          <cell r="AM81" t="str">
            <v>N/A</v>
          </cell>
          <cell r="AN81">
            <v>0</v>
          </cell>
          <cell r="AO81">
            <v>0</v>
          </cell>
        </row>
        <row r="82">
          <cell r="A82" t="str">
            <v>24-1086</v>
          </cell>
          <cell r="B82" t="str">
            <v>FOOD/CATERING SERVICES</v>
          </cell>
          <cell r="C82" t="str">
            <v>PGO</v>
          </cell>
          <cell r="D82" t="str">
            <v>No</v>
          </cell>
          <cell r="E82" t="str">
            <v>NP-53.9 - Small Value Procurement</v>
          </cell>
          <cell r="F82" t="str">
            <v>N/A</v>
          </cell>
          <cell r="G82">
            <v>45337</v>
          </cell>
          <cell r="H82">
            <v>0</v>
          </cell>
          <cell r="I82" t="str">
            <v>N/A</v>
          </cell>
          <cell r="J82">
            <v>45342</v>
          </cell>
          <cell r="K82">
            <v>45342</v>
          </cell>
          <cell r="L82">
            <v>0</v>
          </cell>
          <cell r="M82" t="str">
            <v>N/A</v>
          </cell>
          <cell r="N82" t="str">
            <v>N/A</v>
          </cell>
          <cell r="O82">
            <v>45344</v>
          </cell>
          <cell r="P82">
            <v>0</v>
          </cell>
          <cell r="Q82">
            <v>0</v>
          </cell>
          <cell r="R82">
            <v>0</v>
          </cell>
          <cell r="S82" t="str">
            <v>N/A</v>
          </cell>
          <cell r="T82">
            <v>45350</v>
          </cell>
          <cell r="U82">
            <v>45351</v>
          </cell>
          <cell r="V82">
            <v>0</v>
          </cell>
          <cell r="W82">
            <v>0</v>
          </cell>
          <cell r="X82">
            <v>45358</v>
          </cell>
          <cell r="Y82">
            <v>0</v>
          </cell>
          <cell r="Z82">
            <v>0</v>
          </cell>
          <cell r="AA82">
            <v>25000</v>
          </cell>
          <cell r="AB82">
            <v>25000</v>
          </cell>
          <cell r="AC82">
            <v>0</v>
          </cell>
          <cell r="AD82">
            <v>25000</v>
          </cell>
          <cell r="AE82">
            <v>25000</v>
          </cell>
          <cell r="AF82">
            <v>0</v>
          </cell>
          <cell r="AG82" t="str">
            <v>ENGR. MICHAEL C. SALARDA
MS. LEONARDA M. LATOR
MS. CARMENCITA VALDEZ
MS. SORAYA P. VERGARA</v>
          </cell>
          <cell r="AH82" t="str">
            <v>N/A</v>
          </cell>
          <cell r="AI82" t="str">
            <v>N/A</v>
          </cell>
          <cell r="AJ82" t="str">
            <v>N/A</v>
          </cell>
          <cell r="AK82" t="str">
            <v>N/A</v>
          </cell>
          <cell r="AL82" t="str">
            <v>N/A</v>
          </cell>
          <cell r="AM82" t="str">
            <v>N/A</v>
          </cell>
          <cell r="AN82">
            <v>0</v>
          </cell>
          <cell r="AO82">
            <v>0</v>
          </cell>
        </row>
        <row r="83">
          <cell r="A83" t="str">
            <v>24-0648</v>
          </cell>
          <cell r="B83" t="str">
            <v>DUPLICATING PRODUCTS/SPAREPARTS</v>
          </cell>
          <cell r="C83" t="str">
            <v>PASSO</v>
          </cell>
          <cell r="D83" t="str">
            <v>No</v>
          </cell>
          <cell r="E83" t="str">
            <v>Direct Contracting</v>
          </cell>
          <cell r="F83" t="str">
            <v>N/A</v>
          </cell>
          <cell r="G83">
            <v>45330</v>
          </cell>
          <cell r="H83">
            <v>0</v>
          </cell>
          <cell r="I83" t="str">
            <v>N/A</v>
          </cell>
          <cell r="J83">
            <v>45342</v>
          </cell>
          <cell r="K83">
            <v>45342</v>
          </cell>
          <cell r="L83">
            <v>0</v>
          </cell>
          <cell r="M83" t="str">
            <v>N/A</v>
          </cell>
          <cell r="N83" t="str">
            <v>N/A</v>
          </cell>
          <cell r="O83">
            <v>45344</v>
          </cell>
          <cell r="P83">
            <v>0</v>
          </cell>
          <cell r="Q83">
            <v>0</v>
          </cell>
          <cell r="R83">
            <v>0</v>
          </cell>
          <cell r="S83" t="str">
            <v>N/A</v>
          </cell>
          <cell r="T83">
            <v>45350</v>
          </cell>
          <cell r="U83">
            <v>45355</v>
          </cell>
          <cell r="V83">
            <v>0</v>
          </cell>
          <cell r="W83">
            <v>0</v>
          </cell>
          <cell r="X83">
            <v>45358</v>
          </cell>
          <cell r="Y83">
            <v>0</v>
          </cell>
          <cell r="Z83">
            <v>0</v>
          </cell>
          <cell r="AA83">
            <v>49533</v>
          </cell>
          <cell r="AB83">
            <v>49533</v>
          </cell>
          <cell r="AC83">
            <v>0</v>
          </cell>
          <cell r="AD83">
            <v>42875</v>
          </cell>
          <cell r="AE83">
            <v>42875</v>
          </cell>
          <cell r="AF83">
            <v>0</v>
          </cell>
          <cell r="AG83" t="str">
            <v>ENGR. MICHAEL C. SALARDA
MS. LEONARDA M. LATOR
MS. CARMENCITA VALDEZ
MS. SORAYA P. VERGARA</v>
          </cell>
          <cell r="AH83" t="str">
            <v>N/A</v>
          </cell>
          <cell r="AI83" t="str">
            <v>N/A</v>
          </cell>
          <cell r="AJ83" t="str">
            <v>N/A</v>
          </cell>
          <cell r="AK83" t="str">
            <v>N/A</v>
          </cell>
          <cell r="AL83" t="str">
            <v>N/A</v>
          </cell>
          <cell r="AM83" t="str">
            <v>N/A</v>
          </cell>
          <cell r="AN83">
            <v>0</v>
          </cell>
          <cell r="AO83">
            <v>0</v>
          </cell>
        </row>
        <row r="84">
          <cell r="A84" t="str">
            <v>24-C0985</v>
          </cell>
          <cell r="B84" t="str">
            <v>LABORATORY SUPPLIES</v>
          </cell>
          <cell r="C84" t="str">
            <v>PEEMO</v>
          </cell>
          <cell r="D84" t="str">
            <v>No</v>
          </cell>
          <cell r="E84" t="str">
            <v>Direct Contracting</v>
          </cell>
          <cell r="F84">
            <v>45322</v>
          </cell>
          <cell r="G84">
            <v>45335</v>
          </cell>
          <cell r="H84">
            <v>0</v>
          </cell>
          <cell r="I84" t="str">
            <v>N/A</v>
          </cell>
          <cell r="J84">
            <v>45342</v>
          </cell>
          <cell r="K84">
            <v>45342</v>
          </cell>
          <cell r="L84">
            <v>0</v>
          </cell>
          <cell r="M84" t="str">
            <v>N/A</v>
          </cell>
          <cell r="N84" t="str">
            <v>N/A</v>
          </cell>
          <cell r="O84">
            <v>45344</v>
          </cell>
          <cell r="P84">
            <v>0</v>
          </cell>
          <cell r="Q84">
            <v>0</v>
          </cell>
          <cell r="R84">
            <v>0</v>
          </cell>
          <cell r="S84" t="str">
            <v>N/A</v>
          </cell>
          <cell r="T84">
            <v>45352</v>
          </cell>
          <cell r="U84">
            <v>45355</v>
          </cell>
          <cell r="V84">
            <v>0</v>
          </cell>
          <cell r="W84">
            <v>0</v>
          </cell>
          <cell r="X84">
            <v>45355</v>
          </cell>
          <cell r="Y84">
            <v>0</v>
          </cell>
          <cell r="Z84">
            <v>0</v>
          </cell>
          <cell r="AA84">
            <v>2292500</v>
          </cell>
          <cell r="AB84">
            <v>2292500</v>
          </cell>
          <cell r="AC84">
            <v>0</v>
          </cell>
          <cell r="AD84">
            <v>2292500</v>
          </cell>
          <cell r="AE84">
            <v>2292500</v>
          </cell>
          <cell r="AF84">
            <v>0</v>
          </cell>
          <cell r="AG84" t="str">
            <v>ENGR. MICHAEL C. SALARDA
MS. LEONARDA M. LATOR
MS. CARMENCITA VALDEZ
MS. SORAYA P. VERGARA</v>
          </cell>
          <cell r="AH84" t="str">
            <v>N/A</v>
          </cell>
          <cell r="AI84" t="str">
            <v>N/A</v>
          </cell>
          <cell r="AJ84" t="str">
            <v>N/A</v>
          </cell>
          <cell r="AK84" t="str">
            <v>N/A</v>
          </cell>
          <cell r="AL84" t="str">
            <v>N/A</v>
          </cell>
          <cell r="AM84" t="str">
            <v>N/A</v>
          </cell>
          <cell r="AN84">
            <v>0</v>
          </cell>
          <cell r="AO84">
            <v>0</v>
          </cell>
        </row>
        <row r="85">
          <cell r="A85" t="str">
            <v>24-C0984</v>
          </cell>
          <cell r="B85" t="str">
            <v>MEDICAL SUPPLIES</v>
          </cell>
          <cell r="C85" t="str">
            <v>PEEMO</v>
          </cell>
          <cell r="D85" t="str">
            <v>No</v>
          </cell>
          <cell r="E85" t="str">
            <v>Direct Contracting</v>
          </cell>
          <cell r="F85">
            <v>45322</v>
          </cell>
          <cell r="G85">
            <v>45335</v>
          </cell>
          <cell r="H85">
            <v>0</v>
          </cell>
          <cell r="I85" t="str">
            <v>N/A</v>
          </cell>
          <cell r="J85">
            <v>45342</v>
          </cell>
          <cell r="K85">
            <v>45342</v>
          </cell>
          <cell r="L85">
            <v>0</v>
          </cell>
          <cell r="M85" t="str">
            <v>N/A</v>
          </cell>
          <cell r="N85" t="str">
            <v>N/A</v>
          </cell>
          <cell r="O85">
            <v>45344</v>
          </cell>
          <cell r="P85">
            <v>0</v>
          </cell>
          <cell r="Q85">
            <v>0</v>
          </cell>
          <cell r="R85">
            <v>0</v>
          </cell>
          <cell r="S85" t="str">
            <v>N/A</v>
          </cell>
          <cell r="T85">
            <v>45351</v>
          </cell>
          <cell r="U85">
            <v>45355</v>
          </cell>
          <cell r="V85">
            <v>0</v>
          </cell>
          <cell r="W85">
            <v>0</v>
          </cell>
          <cell r="X85">
            <v>45360</v>
          </cell>
          <cell r="Y85">
            <v>0</v>
          </cell>
          <cell r="Z85">
            <v>0</v>
          </cell>
          <cell r="AA85">
            <v>3138000</v>
          </cell>
          <cell r="AB85">
            <v>3138000</v>
          </cell>
          <cell r="AC85">
            <v>0</v>
          </cell>
          <cell r="AD85">
            <v>3138000</v>
          </cell>
          <cell r="AE85">
            <v>3138000</v>
          </cell>
          <cell r="AF85">
            <v>0</v>
          </cell>
          <cell r="AG85" t="str">
            <v>ENGR. MICHAEL C. SALARDA
MS. LEONARDA M. LATOR
MS. CARMENCITA VALDEZ
MS. SORAYA P. VERGARA</v>
          </cell>
          <cell r="AH85" t="str">
            <v>N/A</v>
          </cell>
          <cell r="AI85" t="str">
            <v>N/A</v>
          </cell>
          <cell r="AJ85" t="str">
            <v>N/A</v>
          </cell>
          <cell r="AK85" t="str">
            <v>N/A</v>
          </cell>
          <cell r="AL85" t="str">
            <v>N/A</v>
          </cell>
          <cell r="AM85" t="str">
            <v>N/A</v>
          </cell>
          <cell r="AN85">
            <v>0</v>
          </cell>
          <cell r="AO85">
            <v>0</v>
          </cell>
        </row>
        <row r="86">
          <cell r="A86" t="str">
            <v>24-C0989</v>
          </cell>
          <cell r="B86" t="str">
            <v>LABORATORY SUPPLIES</v>
          </cell>
          <cell r="C86" t="str">
            <v>PEEMO</v>
          </cell>
          <cell r="D86" t="str">
            <v>No</v>
          </cell>
          <cell r="E86" t="str">
            <v>Direct Contracting</v>
          </cell>
          <cell r="F86">
            <v>45322</v>
          </cell>
          <cell r="G86">
            <v>45335</v>
          </cell>
          <cell r="H86">
            <v>0</v>
          </cell>
          <cell r="I86" t="str">
            <v>N/A</v>
          </cell>
          <cell r="J86">
            <v>45342</v>
          </cell>
          <cell r="K86">
            <v>45342</v>
          </cell>
          <cell r="L86">
            <v>0</v>
          </cell>
          <cell r="M86" t="str">
            <v>N/A</v>
          </cell>
          <cell r="N86" t="str">
            <v>N/A</v>
          </cell>
          <cell r="O86">
            <v>45344</v>
          </cell>
          <cell r="P86">
            <v>0</v>
          </cell>
          <cell r="Q86">
            <v>0</v>
          </cell>
          <cell r="R86">
            <v>0</v>
          </cell>
          <cell r="S86" t="str">
            <v>N/A</v>
          </cell>
          <cell r="T86">
            <v>45351</v>
          </cell>
          <cell r="U86">
            <v>45355</v>
          </cell>
          <cell r="V86">
            <v>0</v>
          </cell>
          <cell r="W86">
            <v>0</v>
          </cell>
          <cell r="X86">
            <v>45404</v>
          </cell>
          <cell r="Y86">
            <v>0</v>
          </cell>
          <cell r="Z86">
            <v>0</v>
          </cell>
          <cell r="AA86">
            <v>1254000</v>
          </cell>
          <cell r="AB86">
            <v>1254000</v>
          </cell>
          <cell r="AC86">
            <v>0</v>
          </cell>
          <cell r="AD86">
            <v>1254000</v>
          </cell>
          <cell r="AE86">
            <v>1254000</v>
          </cell>
          <cell r="AF86">
            <v>0</v>
          </cell>
          <cell r="AG86" t="str">
            <v>ENGR. MICHAEL C. SALARDA
MS. LEONARDA M. LATOR
MS. CARMENCITA VALDEZ
MS. SORAYA P. VERGARA</v>
          </cell>
          <cell r="AH86" t="str">
            <v>N/A</v>
          </cell>
          <cell r="AI86" t="str">
            <v>N/A</v>
          </cell>
          <cell r="AJ86" t="str">
            <v>N/A</v>
          </cell>
          <cell r="AK86" t="str">
            <v>N/A</v>
          </cell>
          <cell r="AL86" t="str">
            <v>N/A</v>
          </cell>
          <cell r="AM86" t="str">
            <v>N/A</v>
          </cell>
          <cell r="AN86">
            <v>0</v>
          </cell>
          <cell r="AO86">
            <v>0</v>
          </cell>
        </row>
        <row r="87">
          <cell r="A87" t="str">
            <v>24-0863</v>
          </cell>
          <cell r="B87" t="str">
            <v>INTERNET SUBSCRIPTION</v>
          </cell>
          <cell r="C87" t="str">
            <v>SPO</v>
          </cell>
          <cell r="D87" t="str">
            <v>No</v>
          </cell>
          <cell r="E87" t="str">
            <v>Direct Contracting</v>
          </cell>
          <cell r="F87" t="str">
            <v>N/A</v>
          </cell>
          <cell r="G87">
            <v>45335</v>
          </cell>
          <cell r="H87">
            <v>0</v>
          </cell>
          <cell r="I87" t="str">
            <v>N/A</v>
          </cell>
          <cell r="J87">
            <v>45342</v>
          </cell>
          <cell r="K87">
            <v>45342</v>
          </cell>
          <cell r="L87">
            <v>0</v>
          </cell>
          <cell r="M87" t="str">
            <v>N/A</v>
          </cell>
          <cell r="N87" t="str">
            <v>N/A</v>
          </cell>
          <cell r="O87">
            <v>45344</v>
          </cell>
          <cell r="P87">
            <v>0</v>
          </cell>
          <cell r="Q87">
            <v>0</v>
          </cell>
          <cell r="R87">
            <v>0</v>
          </cell>
          <cell r="S87" t="str">
            <v>N/A</v>
          </cell>
          <cell r="T87">
            <v>45425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360000</v>
          </cell>
          <cell r="AB87">
            <v>360000</v>
          </cell>
          <cell r="AC87">
            <v>0</v>
          </cell>
          <cell r="AD87">
            <v>248640</v>
          </cell>
          <cell r="AE87">
            <v>248640</v>
          </cell>
          <cell r="AF87">
            <v>0</v>
          </cell>
          <cell r="AG87" t="str">
            <v>ENGR. MICHAEL C. SALARDA
MS. LEONARDA M. LATOR
MS. CARMENCITA VALDEZ
MS. SORAYA P. VERGARA</v>
          </cell>
          <cell r="AH87" t="str">
            <v>N/A</v>
          </cell>
          <cell r="AI87" t="str">
            <v>N/A</v>
          </cell>
          <cell r="AJ87" t="str">
            <v>N/A</v>
          </cell>
          <cell r="AK87" t="str">
            <v>N/A</v>
          </cell>
          <cell r="AL87" t="str">
            <v>N/A</v>
          </cell>
          <cell r="AM87" t="str">
            <v>N/A</v>
          </cell>
          <cell r="AN87">
            <v>0</v>
          </cell>
          <cell r="AO87">
            <v>0</v>
          </cell>
        </row>
        <row r="88">
          <cell r="A88" t="str">
            <v>24-C1006</v>
          </cell>
          <cell r="B88" t="str">
            <v>LABORATORY SUPPLIES/REAGENT</v>
          </cell>
          <cell r="C88" t="str">
            <v>DDOPH-Montevista</v>
          </cell>
          <cell r="D88" t="str">
            <v>No</v>
          </cell>
          <cell r="E88" t="str">
            <v>Direct Contracting</v>
          </cell>
          <cell r="F88">
            <v>45322</v>
          </cell>
          <cell r="G88">
            <v>45335</v>
          </cell>
          <cell r="H88">
            <v>0</v>
          </cell>
          <cell r="I88" t="str">
            <v>N/A</v>
          </cell>
          <cell r="J88">
            <v>45342</v>
          </cell>
          <cell r="K88">
            <v>45342</v>
          </cell>
          <cell r="L88">
            <v>0</v>
          </cell>
          <cell r="M88" t="str">
            <v>N/A</v>
          </cell>
          <cell r="N88" t="str">
            <v>N/A</v>
          </cell>
          <cell r="O88">
            <v>45344</v>
          </cell>
          <cell r="P88">
            <v>0</v>
          </cell>
          <cell r="Q88">
            <v>0</v>
          </cell>
          <cell r="R88">
            <v>0</v>
          </cell>
          <cell r="S88" t="str">
            <v>N/A</v>
          </cell>
          <cell r="T88">
            <v>45351</v>
          </cell>
          <cell r="U88">
            <v>45355</v>
          </cell>
          <cell r="V88">
            <v>0</v>
          </cell>
          <cell r="W88">
            <v>0</v>
          </cell>
          <cell r="X88">
            <v>45420</v>
          </cell>
          <cell r="Y88">
            <v>0</v>
          </cell>
          <cell r="Z88">
            <v>0</v>
          </cell>
          <cell r="AA88">
            <v>106000</v>
          </cell>
          <cell r="AB88">
            <v>106000</v>
          </cell>
          <cell r="AC88">
            <v>0</v>
          </cell>
          <cell r="AD88">
            <v>102000</v>
          </cell>
          <cell r="AE88">
            <v>102000</v>
          </cell>
          <cell r="AF88">
            <v>0</v>
          </cell>
          <cell r="AG88" t="str">
            <v>ENGR. MICHAEL C. SALARDA
MS. LEONARDA M. LATOR
MS. CARMENCITA VALDEZ
MS. SORAYA P. VERGARA</v>
          </cell>
          <cell r="AH88" t="str">
            <v>N/A</v>
          </cell>
          <cell r="AI88" t="str">
            <v>N/A</v>
          </cell>
          <cell r="AJ88" t="str">
            <v>N/A</v>
          </cell>
          <cell r="AK88" t="str">
            <v>N/A</v>
          </cell>
          <cell r="AL88" t="str">
            <v>N/A</v>
          </cell>
          <cell r="AM88" t="str">
            <v>N/A</v>
          </cell>
          <cell r="AN88">
            <v>0</v>
          </cell>
          <cell r="AO88">
            <v>0</v>
          </cell>
        </row>
        <row r="89">
          <cell r="A89" t="str">
            <v>24-C0991</v>
          </cell>
          <cell r="B89" t="str">
            <v>LABORATORY SUPPLIES/REAGENT</v>
          </cell>
          <cell r="C89" t="str">
            <v>PEEMO</v>
          </cell>
          <cell r="D89" t="str">
            <v>No</v>
          </cell>
          <cell r="E89" t="str">
            <v>Direct Contracting</v>
          </cell>
          <cell r="F89" t="str">
            <v>N/A</v>
          </cell>
          <cell r="G89">
            <v>45335</v>
          </cell>
          <cell r="H89">
            <v>0</v>
          </cell>
          <cell r="I89" t="str">
            <v>N/A</v>
          </cell>
          <cell r="J89">
            <v>45342</v>
          </cell>
          <cell r="K89">
            <v>45342</v>
          </cell>
          <cell r="L89">
            <v>0</v>
          </cell>
          <cell r="M89" t="str">
            <v>N/A</v>
          </cell>
          <cell r="N89" t="str">
            <v>N/A</v>
          </cell>
          <cell r="O89">
            <v>45344</v>
          </cell>
          <cell r="P89">
            <v>0</v>
          </cell>
          <cell r="Q89">
            <v>0</v>
          </cell>
          <cell r="R89">
            <v>0</v>
          </cell>
          <cell r="S89" t="str">
            <v>N/A</v>
          </cell>
          <cell r="T89">
            <v>45351</v>
          </cell>
          <cell r="U89">
            <v>45355</v>
          </cell>
          <cell r="V89">
            <v>0</v>
          </cell>
          <cell r="W89">
            <v>0</v>
          </cell>
          <cell r="X89">
            <v>45398</v>
          </cell>
          <cell r="Y89">
            <v>0</v>
          </cell>
          <cell r="Z89">
            <v>0</v>
          </cell>
          <cell r="AA89">
            <v>985450</v>
          </cell>
          <cell r="AB89">
            <v>985450</v>
          </cell>
          <cell r="AC89">
            <v>0</v>
          </cell>
          <cell r="AD89">
            <v>985450</v>
          </cell>
          <cell r="AE89">
            <v>985450</v>
          </cell>
          <cell r="AF89">
            <v>0</v>
          </cell>
          <cell r="AG89" t="str">
            <v>ENGR. MICHAEL C. SALARDA
MS. LEONARDA M. LATOR
MS. CARMENCITA VALDEZ
MS. SORAYA P. VERGARA</v>
          </cell>
          <cell r="AH89" t="str">
            <v>N/A</v>
          </cell>
          <cell r="AI89" t="str">
            <v>N/A</v>
          </cell>
          <cell r="AJ89" t="str">
            <v>N/A</v>
          </cell>
          <cell r="AK89" t="str">
            <v>N/A</v>
          </cell>
          <cell r="AL89" t="str">
            <v>N/A</v>
          </cell>
          <cell r="AM89" t="str">
            <v>N/A</v>
          </cell>
          <cell r="AN89">
            <v>0</v>
          </cell>
          <cell r="AO89">
            <v>0</v>
          </cell>
        </row>
        <row r="90">
          <cell r="A90" t="str">
            <v>24-C0987</v>
          </cell>
          <cell r="B90" t="str">
            <v>LABORATORY SUPPLIES</v>
          </cell>
          <cell r="C90" t="str">
            <v>PEEMO</v>
          </cell>
          <cell r="D90" t="str">
            <v>No</v>
          </cell>
          <cell r="E90" t="str">
            <v>Direct Contracting</v>
          </cell>
          <cell r="F90">
            <v>45322</v>
          </cell>
          <cell r="G90">
            <v>45335</v>
          </cell>
          <cell r="H90">
            <v>0</v>
          </cell>
          <cell r="I90" t="str">
            <v>N/A</v>
          </cell>
          <cell r="J90">
            <v>45342</v>
          </cell>
          <cell r="K90">
            <v>45342</v>
          </cell>
          <cell r="L90">
            <v>0</v>
          </cell>
          <cell r="M90" t="str">
            <v>N/A</v>
          </cell>
          <cell r="N90" t="str">
            <v>N/A</v>
          </cell>
          <cell r="O90">
            <v>45344</v>
          </cell>
          <cell r="P90">
            <v>0</v>
          </cell>
          <cell r="Q90">
            <v>0</v>
          </cell>
          <cell r="R90">
            <v>0</v>
          </cell>
          <cell r="S90" t="str">
            <v>N/A</v>
          </cell>
          <cell r="T90">
            <v>45351</v>
          </cell>
          <cell r="U90">
            <v>45355</v>
          </cell>
          <cell r="V90">
            <v>0</v>
          </cell>
          <cell r="W90">
            <v>0</v>
          </cell>
          <cell r="X90">
            <v>45450</v>
          </cell>
          <cell r="Y90">
            <v>0</v>
          </cell>
          <cell r="Z90">
            <v>0</v>
          </cell>
          <cell r="AA90">
            <v>768750</v>
          </cell>
          <cell r="AB90">
            <v>768750</v>
          </cell>
          <cell r="AC90">
            <v>0</v>
          </cell>
          <cell r="AD90">
            <v>768750</v>
          </cell>
          <cell r="AE90">
            <v>768750</v>
          </cell>
          <cell r="AF90">
            <v>0</v>
          </cell>
          <cell r="AG90" t="str">
            <v>ENGR. MICHAEL C. SALARDA
MS. LEONARDA M. LATOR
MS. CARMENCITA VALDEZ
MS. SORAYA P. VERGARA</v>
          </cell>
          <cell r="AH90" t="str">
            <v>N/A</v>
          </cell>
          <cell r="AI90" t="str">
            <v>N/A</v>
          </cell>
          <cell r="AJ90" t="str">
            <v>N/A</v>
          </cell>
          <cell r="AK90" t="str">
            <v>N/A</v>
          </cell>
          <cell r="AL90" t="str">
            <v>N/A</v>
          </cell>
          <cell r="AM90" t="str">
            <v>N/A</v>
          </cell>
          <cell r="AN90">
            <v>0</v>
          </cell>
          <cell r="AO90">
            <v>0</v>
          </cell>
        </row>
        <row r="91">
          <cell r="A91" t="str">
            <v>24-C1075</v>
          </cell>
          <cell r="B91" t="str">
            <v>FOOD SUPPLIES</v>
          </cell>
          <cell r="C91" t="str">
            <v>PDRRMO</v>
          </cell>
          <cell r="D91" t="str">
            <v>No</v>
          </cell>
          <cell r="E91" t="str">
            <v>NP-53.2 Emergency Cases</v>
          </cell>
          <cell r="F91" t="str">
            <v>N/A</v>
          </cell>
          <cell r="G91">
            <v>45335</v>
          </cell>
          <cell r="H91">
            <v>0</v>
          </cell>
          <cell r="I91" t="str">
            <v>N/A</v>
          </cell>
          <cell r="J91">
            <v>45335</v>
          </cell>
          <cell r="K91">
            <v>45335</v>
          </cell>
          <cell r="L91">
            <v>0</v>
          </cell>
          <cell r="M91" t="str">
            <v>N/A</v>
          </cell>
          <cell r="N91" t="str">
            <v>N/A</v>
          </cell>
          <cell r="O91">
            <v>45337</v>
          </cell>
          <cell r="P91">
            <v>0</v>
          </cell>
          <cell r="Q91">
            <v>0</v>
          </cell>
          <cell r="R91">
            <v>0</v>
          </cell>
          <cell r="S91">
            <v>45337</v>
          </cell>
          <cell r="T91">
            <v>45337</v>
          </cell>
          <cell r="U91">
            <v>45337</v>
          </cell>
          <cell r="V91">
            <v>0</v>
          </cell>
          <cell r="W91">
            <v>0</v>
          </cell>
          <cell r="X91">
            <v>45337</v>
          </cell>
          <cell r="Y91">
            <v>0</v>
          </cell>
          <cell r="Z91">
            <v>0</v>
          </cell>
          <cell r="AA91">
            <v>3098368</v>
          </cell>
          <cell r="AB91">
            <v>0</v>
          </cell>
          <cell r="AC91">
            <v>3098368</v>
          </cell>
          <cell r="AD91">
            <v>3070984</v>
          </cell>
          <cell r="AE91">
            <v>0</v>
          </cell>
          <cell r="AF91">
            <v>3070984</v>
          </cell>
          <cell r="AG91" t="str">
            <v>ENGR. MICHAEL C. SALARDA
MS. LEONARDA M. LATOR
MS. CARMENCITA VALDEZ
MS. SORAYA P. VERGARA</v>
          </cell>
          <cell r="AH91" t="str">
            <v>N/A</v>
          </cell>
          <cell r="AI91" t="str">
            <v>N/A</v>
          </cell>
          <cell r="AJ91" t="str">
            <v>N/A</v>
          </cell>
          <cell r="AK91" t="str">
            <v>N/A</v>
          </cell>
          <cell r="AL91" t="str">
            <v>N/A</v>
          </cell>
          <cell r="AM91" t="str">
            <v>N/A</v>
          </cell>
          <cell r="AN91">
            <v>0</v>
          </cell>
          <cell r="AO91">
            <v>0</v>
          </cell>
        </row>
        <row r="92">
          <cell r="A92" t="str">
            <v>24-1149</v>
          </cell>
          <cell r="B92" t="str">
            <v>CAUTION 500M</v>
          </cell>
          <cell r="C92" t="str">
            <v>PDRRMO</v>
          </cell>
          <cell r="D92" t="str">
            <v>No</v>
          </cell>
          <cell r="E92" t="str">
            <v>NP-53.2 Emergency Cases</v>
          </cell>
          <cell r="F92" t="str">
            <v>N/A</v>
          </cell>
          <cell r="G92">
            <v>45342</v>
          </cell>
          <cell r="H92">
            <v>0</v>
          </cell>
          <cell r="I92" t="str">
            <v>N/A</v>
          </cell>
          <cell r="J92">
            <v>45342</v>
          </cell>
          <cell r="K92">
            <v>45342</v>
          </cell>
          <cell r="L92">
            <v>0</v>
          </cell>
          <cell r="M92" t="str">
            <v>N/A</v>
          </cell>
          <cell r="N92" t="str">
            <v>N/A</v>
          </cell>
          <cell r="O92">
            <v>45344</v>
          </cell>
          <cell r="P92">
            <v>0</v>
          </cell>
          <cell r="Q92">
            <v>0</v>
          </cell>
          <cell r="R92">
            <v>0</v>
          </cell>
          <cell r="S92">
            <v>45351</v>
          </cell>
          <cell r="T92">
            <v>45355</v>
          </cell>
          <cell r="U92">
            <v>45357</v>
          </cell>
          <cell r="V92">
            <v>0</v>
          </cell>
          <cell r="W92">
            <v>0</v>
          </cell>
          <cell r="X92">
            <v>45358</v>
          </cell>
          <cell r="Y92">
            <v>0</v>
          </cell>
          <cell r="Z92">
            <v>0</v>
          </cell>
          <cell r="AA92">
            <v>67500</v>
          </cell>
          <cell r="AB92">
            <v>0</v>
          </cell>
          <cell r="AC92">
            <v>67500</v>
          </cell>
          <cell r="AD92">
            <v>66500</v>
          </cell>
          <cell r="AE92">
            <v>0</v>
          </cell>
          <cell r="AF92">
            <v>66500</v>
          </cell>
          <cell r="AG92" t="str">
            <v>ENGR. MICHAEL C. SALARDA
MS. LEONARDA M. LATOR
MS. CARMENCITA VALDEZ
MS. SORAYA P. VERGARA</v>
          </cell>
          <cell r="AH92" t="str">
            <v>N/A</v>
          </cell>
          <cell r="AI92" t="str">
            <v>N/A</v>
          </cell>
          <cell r="AJ92" t="str">
            <v>N/A</v>
          </cell>
          <cell r="AK92" t="str">
            <v>N/A</v>
          </cell>
          <cell r="AL92" t="str">
            <v>N/A</v>
          </cell>
          <cell r="AM92" t="str">
            <v>N/A</v>
          </cell>
          <cell r="AN92">
            <v>0</v>
          </cell>
          <cell r="AO92">
            <v>0</v>
          </cell>
        </row>
        <row r="93">
          <cell r="A93" t="str">
            <v>24-0867</v>
          </cell>
          <cell r="B93" t="str">
            <v>SPAREPARTS (LIGHT VEHICLES)</v>
          </cell>
          <cell r="C93" t="str">
            <v>SPO</v>
          </cell>
          <cell r="D93" t="str">
            <v>No</v>
          </cell>
          <cell r="E93" t="str">
            <v>Shopping 52.1(a) - Unforeseen Contingency</v>
          </cell>
          <cell r="F93" t="str">
            <v>N/A</v>
          </cell>
          <cell r="G93">
            <v>45338</v>
          </cell>
          <cell r="H93">
            <v>0</v>
          </cell>
          <cell r="I93" t="str">
            <v>N/A</v>
          </cell>
          <cell r="J93">
            <v>45356</v>
          </cell>
          <cell r="K93">
            <v>45356</v>
          </cell>
          <cell r="L93">
            <v>0</v>
          </cell>
          <cell r="M93" t="str">
            <v>N/A</v>
          </cell>
          <cell r="N93" t="str">
            <v>N/A</v>
          </cell>
          <cell r="O93">
            <v>45357</v>
          </cell>
          <cell r="P93">
            <v>0</v>
          </cell>
          <cell r="Q93">
            <v>0</v>
          </cell>
          <cell r="R93">
            <v>0</v>
          </cell>
          <cell r="S93" t="str">
            <v>N/A</v>
          </cell>
          <cell r="T93">
            <v>45384</v>
          </cell>
          <cell r="U93">
            <v>45390</v>
          </cell>
          <cell r="V93">
            <v>0</v>
          </cell>
          <cell r="W93">
            <v>0</v>
          </cell>
          <cell r="X93">
            <v>45390</v>
          </cell>
          <cell r="Y93">
            <v>0</v>
          </cell>
          <cell r="Z93">
            <v>0</v>
          </cell>
          <cell r="AA93">
            <v>7316</v>
          </cell>
          <cell r="AB93">
            <v>7316</v>
          </cell>
          <cell r="AC93">
            <v>0</v>
          </cell>
          <cell r="AD93">
            <v>7316</v>
          </cell>
          <cell r="AE93">
            <v>7316</v>
          </cell>
          <cell r="AF93">
            <v>0</v>
          </cell>
          <cell r="AG93" t="str">
            <v>ENGR. MICHAEL C. SALARDA
MS. LEONARDA M. LATOR
MS. CARMENCITA VALDEZ
MS. SORAYA P. VERGARA</v>
          </cell>
          <cell r="AH93" t="str">
            <v>N/A</v>
          </cell>
          <cell r="AI93" t="str">
            <v>N/A</v>
          </cell>
          <cell r="AJ93" t="str">
            <v>N/A</v>
          </cell>
          <cell r="AK93" t="str">
            <v>N/A</v>
          </cell>
          <cell r="AL93" t="str">
            <v>N/A</v>
          </cell>
          <cell r="AM93" t="str">
            <v>N/A</v>
          </cell>
          <cell r="AN93">
            <v>0</v>
          </cell>
          <cell r="AO93">
            <v>0</v>
          </cell>
        </row>
        <row r="94">
          <cell r="A94" t="str">
            <v>24-1196</v>
          </cell>
          <cell r="B94" t="str">
            <v>SPAREPARTS (LIGHT VEHICLES)</v>
          </cell>
          <cell r="C94" t="str">
            <v>PGSO</v>
          </cell>
          <cell r="D94" t="str">
            <v>No</v>
          </cell>
          <cell r="E94" t="str">
            <v>Shopping 52.1(a) - Unforeseen Contingency</v>
          </cell>
          <cell r="F94" t="str">
            <v>N/A</v>
          </cell>
          <cell r="G94">
            <v>45352</v>
          </cell>
          <cell r="H94">
            <v>0</v>
          </cell>
          <cell r="I94" t="str">
            <v>N/A</v>
          </cell>
          <cell r="J94">
            <v>45356</v>
          </cell>
          <cell r="K94">
            <v>45356</v>
          </cell>
          <cell r="L94">
            <v>0</v>
          </cell>
          <cell r="M94" t="str">
            <v>N/A</v>
          </cell>
          <cell r="N94" t="str">
            <v>N/A</v>
          </cell>
          <cell r="O94">
            <v>45357</v>
          </cell>
          <cell r="P94">
            <v>0</v>
          </cell>
          <cell r="Q94">
            <v>0</v>
          </cell>
          <cell r="R94">
            <v>0</v>
          </cell>
          <cell r="S94" t="str">
            <v>N/A</v>
          </cell>
          <cell r="T94">
            <v>45376</v>
          </cell>
          <cell r="U94">
            <v>45384</v>
          </cell>
          <cell r="V94">
            <v>0</v>
          </cell>
          <cell r="W94">
            <v>0</v>
          </cell>
          <cell r="X94">
            <v>45385</v>
          </cell>
          <cell r="Y94">
            <v>0</v>
          </cell>
          <cell r="Z94">
            <v>0</v>
          </cell>
          <cell r="AA94">
            <v>46000</v>
          </cell>
          <cell r="AB94">
            <v>46000</v>
          </cell>
          <cell r="AC94">
            <v>0</v>
          </cell>
          <cell r="AD94">
            <v>46000</v>
          </cell>
          <cell r="AE94">
            <v>46000</v>
          </cell>
          <cell r="AF94">
            <v>0</v>
          </cell>
          <cell r="AG94" t="str">
            <v>ENGR. MICHAEL C. SALARDA
MS. LEONARDA M. LATOR
MS. CARMENCITA VALDEZ
MS. SORAYA P. VERGARA</v>
          </cell>
          <cell r="AH94" t="str">
            <v>N/A</v>
          </cell>
          <cell r="AI94" t="str">
            <v>N/A</v>
          </cell>
          <cell r="AJ94" t="str">
            <v>N/A</v>
          </cell>
          <cell r="AK94" t="str">
            <v>N/A</v>
          </cell>
          <cell r="AL94" t="str">
            <v>N/A</v>
          </cell>
          <cell r="AM94" t="str">
            <v>N/A</v>
          </cell>
          <cell r="AN94">
            <v>0</v>
          </cell>
          <cell r="AO94">
            <v>0</v>
          </cell>
        </row>
        <row r="95">
          <cell r="A95" t="str">
            <v>24-1275</v>
          </cell>
          <cell r="B95" t="str">
            <v>SPAREPARTS(MOTOR CYCLE)</v>
          </cell>
          <cell r="C95" t="str">
            <v>PGSO</v>
          </cell>
          <cell r="D95" t="str">
            <v>No</v>
          </cell>
          <cell r="E95" t="str">
            <v>Shopping 52.1(a) - Unforeseen Contingency</v>
          </cell>
          <cell r="F95" t="str">
            <v>N/A</v>
          </cell>
          <cell r="G95">
            <v>45352</v>
          </cell>
          <cell r="H95">
            <v>0</v>
          </cell>
          <cell r="I95" t="str">
            <v>N/A</v>
          </cell>
          <cell r="J95">
            <v>45356</v>
          </cell>
          <cell r="K95">
            <v>45356</v>
          </cell>
          <cell r="L95">
            <v>0</v>
          </cell>
          <cell r="M95" t="str">
            <v>N/A</v>
          </cell>
          <cell r="N95" t="str">
            <v>N/A</v>
          </cell>
          <cell r="O95">
            <v>45357</v>
          </cell>
          <cell r="P95">
            <v>0</v>
          </cell>
          <cell r="Q95">
            <v>0</v>
          </cell>
          <cell r="R95">
            <v>0</v>
          </cell>
          <cell r="S95" t="str">
            <v>N/A</v>
          </cell>
          <cell r="T95">
            <v>45373</v>
          </cell>
          <cell r="U95">
            <v>45384</v>
          </cell>
          <cell r="V95">
            <v>0</v>
          </cell>
          <cell r="W95">
            <v>0</v>
          </cell>
          <cell r="X95">
            <v>45384</v>
          </cell>
          <cell r="Y95">
            <v>0</v>
          </cell>
          <cell r="Z95">
            <v>0</v>
          </cell>
          <cell r="AA95">
            <v>2850</v>
          </cell>
          <cell r="AB95">
            <v>2850</v>
          </cell>
          <cell r="AC95">
            <v>0</v>
          </cell>
          <cell r="AD95">
            <v>2850</v>
          </cell>
          <cell r="AE95">
            <v>2850</v>
          </cell>
          <cell r="AF95">
            <v>0</v>
          </cell>
          <cell r="AG95" t="str">
            <v>ENGR. MICHAEL C. SALARDA
MS. LEONARDA M. LATOR
MS. CARMENCITA VALDEZ
MS. SORAYA P. VERGARA</v>
          </cell>
          <cell r="AH95" t="str">
            <v>N/A</v>
          </cell>
          <cell r="AI95" t="str">
            <v>N/A</v>
          </cell>
          <cell r="AJ95" t="str">
            <v>N/A</v>
          </cell>
          <cell r="AK95" t="str">
            <v>N/A</v>
          </cell>
          <cell r="AL95" t="str">
            <v>N/A</v>
          </cell>
          <cell r="AM95" t="str">
            <v>N/A</v>
          </cell>
          <cell r="AN95">
            <v>0</v>
          </cell>
          <cell r="AO95">
            <v>0</v>
          </cell>
        </row>
        <row r="96">
          <cell r="A96" t="str">
            <v>24-1177</v>
          </cell>
          <cell r="B96" t="str">
            <v>SPAREPARTS(MOTOR CYCLE)</v>
          </cell>
          <cell r="C96" t="str">
            <v>PGSO</v>
          </cell>
          <cell r="D96" t="str">
            <v>No</v>
          </cell>
          <cell r="E96" t="str">
            <v>Shopping 52.1(a) - Unforeseen Contingency</v>
          </cell>
          <cell r="F96" t="str">
            <v>N/A</v>
          </cell>
          <cell r="G96">
            <v>45352</v>
          </cell>
          <cell r="H96">
            <v>0</v>
          </cell>
          <cell r="I96" t="str">
            <v>N/A</v>
          </cell>
          <cell r="J96">
            <v>45356</v>
          </cell>
          <cell r="K96">
            <v>45356</v>
          </cell>
          <cell r="L96">
            <v>0</v>
          </cell>
          <cell r="M96" t="str">
            <v>N/A</v>
          </cell>
          <cell r="N96" t="str">
            <v>N/A</v>
          </cell>
          <cell r="O96">
            <v>45357</v>
          </cell>
          <cell r="P96">
            <v>0</v>
          </cell>
          <cell r="Q96">
            <v>0</v>
          </cell>
          <cell r="R96">
            <v>0</v>
          </cell>
          <cell r="S96" t="str">
            <v>N/A</v>
          </cell>
          <cell r="T96">
            <v>45376</v>
          </cell>
          <cell r="U96">
            <v>45384</v>
          </cell>
          <cell r="V96">
            <v>0</v>
          </cell>
          <cell r="W96">
            <v>0</v>
          </cell>
          <cell r="X96">
            <v>45384</v>
          </cell>
          <cell r="Y96">
            <v>0</v>
          </cell>
          <cell r="Z96">
            <v>0</v>
          </cell>
          <cell r="AA96">
            <v>6160</v>
          </cell>
          <cell r="AB96">
            <v>6160</v>
          </cell>
          <cell r="AC96">
            <v>0</v>
          </cell>
          <cell r="AD96">
            <v>6160</v>
          </cell>
          <cell r="AE96">
            <v>6160</v>
          </cell>
          <cell r="AF96">
            <v>0</v>
          </cell>
          <cell r="AG96" t="str">
            <v>ENGR. MICHAEL C. SALARDA
MS. LEONARDA M. LATOR
MS. CARMENCITA VALDEZ
MS. SORAYA P. VERGARA</v>
          </cell>
          <cell r="AH96" t="str">
            <v>N/A</v>
          </cell>
          <cell r="AI96" t="str">
            <v>N/A</v>
          </cell>
          <cell r="AJ96" t="str">
            <v>N/A</v>
          </cell>
          <cell r="AK96" t="str">
            <v>N/A</v>
          </cell>
          <cell r="AL96" t="str">
            <v>N/A</v>
          </cell>
          <cell r="AM96" t="str">
            <v>N/A</v>
          </cell>
          <cell r="AN96">
            <v>0</v>
          </cell>
          <cell r="AO96">
            <v>0</v>
          </cell>
        </row>
        <row r="97">
          <cell r="A97" t="str">
            <v>24-1200</v>
          </cell>
          <cell r="B97" t="str">
            <v>SPAREPARTS(MOTOR CYCLE)</v>
          </cell>
          <cell r="C97" t="str">
            <v>PGSO</v>
          </cell>
          <cell r="D97" t="str">
            <v>No</v>
          </cell>
          <cell r="E97" t="str">
            <v>Shopping 52.1(a) - Unforeseen Contingency</v>
          </cell>
          <cell r="F97" t="str">
            <v>N/A</v>
          </cell>
          <cell r="G97">
            <v>45352</v>
          </cell>
          <cell r="H97">
            <v>0</v>
          </cell>
          <cell r="I97" t="str">
            <v>N/A</v>
          </cell>
          <cell r="J97">
            <v>45356</v>
          </cell>
          <cell r="K97">
            <v>45356</v>
          </cell>
          <cell r="L97">
            <v>0</v>
          </cell>
          <cell r="M97" t="str">
            <v>N/A</v>
          </cell>
          <cell r="N97" t="str">
            <v>N/A</v>
          </cell>
          <cell r="O97">
            <v>45357</v>
          </cell>
          <cell r="P97">
            <v>0</v>
          </cell>
          <cell r="Q97">
            <v>0</v>
          </cell>
          <cell r="R97">
            <v>0</v>
          </cell>
          <cell r="S97" t="str">
            <v>N/A</v>
          </cell>
          <cell r="T97">
            <v>45376</v>
          </cell>
          <cell r="U97">
            <v>45385</v>
          </cell>
          <cell r="V97">
            <v>0</v>
          </cell>
          <cell r="W97">
            <v>0</v>
          </cell>
          <cell r="X97">
            <v>45385</v>
          </cell>
          <cell r="Y97">
            <v>0</v>
          </cell>
          <cell r="Z97">
            <v>0</v>
          </cell>
          <cell r="AA97">
            <v>3100</v>
          </cell>
          <cell r="AB97">
            <v>3100</v>
          </cell>
          <cell r="AC97">
            <v>0</v>
          </cell>
          <cell r="AD97">
            <v>3100</v>
          </cell>
          <cell r="AE97">
            <v>3100</v>
          </cell>
          <cell r="AF97">
            <v>0</v>
          </cell>
          <cell r="AG97" t="str">
            <v>ENGR. MICHAEL C. SALARDA
MS. LEONARDA M. LATOR
MS. CARMENCITA VALDEZ
MS. SORAYA P. VERGARA</v>
          </cell>
          <cell r="AH97" t="str">
            <v>N/A</v>
          </cell>
          <cell r="AI97" t="str">
            <v>N/A</v>
          </cell>
          <cell r="AJ97" t="str">
            <v>N/A</v>
          </cell>
          <cell r="AK97" t="str">
            <v>N/A</v>
          </cell>
          <cell r="AL97" t="str">
            <v>N/A</v>
          </cell>
          <cell r="AM97" t="str">
            <v>N/A</v>
          </cell>
          <cell r="AN97">
            <v>0</v>
          </cell>
          <cell r="AO97">
            <v>0</v>
          </cell>
        </row>
        <row r="98">
          <cell r="A98" t="str">
            <v>24-1203</v>
          </cell>
          <cell r="B98" t="str">
            <v>SPAREPARTS(MOTOR CYCLE)</v>
          </cell>
          <cell r="C98" t="str">
            <v>PGSO</v>
          </cell>
          <cell r="D98" t="str">
            <v>No</v>
          </cell>
          <cell r="E98" t="str">
            <v>Shopping 52.1(a) - Unforeseen Contingency</v>
          </cell>
          <cell r="F98" t="str">
            <v>N/A</v>
          </cell>
          <cell r="G98">
            <v>45352</v>
          </cell>
          <cell r="H98">
            <v>0</v>
          </cell>
          <cell r="I98" t="str">
            <v>N/A</v>
          </cell>
          <cell r="J98">
            <v>45356</v>
          </cell>
          <cell r="K98">
            <v>45356</v>
          </cell>
          <cell r="L98">
            <v>0</v>
          </cell>
          <cell r="M98" t="str">
            <v>N/A</v>
          </cell>
          <cell r="N98" t="str">
            <v>N/A</v>
          </cell>
          <cell r="O98">
            <v>45357</v>
          </cell>
          <cell r="P98">
            <v>0</v>
          </cell>
          <cell r="Q98">
            <v>0</v>
          </cell>
          <cell r="R98">
            <v>0</v>
          </cell>
          <cell r="S98" t="str">
            <v>N/A</v>
          </cell>
          <cell r="T98">
            <v>45372</v>
          </cell>
          <cell r="U98">
            <v>45377</v>
          </cell>
          <cell r="V98">
            <v>0</v>
          </cell>
          <cell r="W98">
            <v>0</v>
          </cell>
          <cell r="X98">
            <v>45377</v>
          </cell>
          <cell r="Y98">
            <v>0</v>
          </cell>
          <cell r="Z98">
            <v>0</v>
          </cell>
          <cell r="AA98">
            <v>8345</v>
          </cell>
          <cell r="AB98">
            <v>8345</v>
          </cell>
          <cell r="AC98">
            <v>0</v>
          </cell>
          <cell r="AD98">
            <v>8345</v>
          </cell>
          <cell r="AE98">
            <v>8345</v>
          </cell>
          <cell r="AF98">
            <v>0</v>
          </cell>
          <cell r="AG98" t="str">
            <v>ENGR. MICHAEL C. SALARDA
MS. LEONARDA M. LATOR
MS. CARMENCITA VALDEZ
MS. SORAYA P. VERGARA</v>
          </cell>
          <cell r="AH98" t="str">
            <v>N/A</v>
          </cell>
          <cell r="AI98" t="str">
            <v>N/A</v>
          </cell>
          <cell r="AJ98" t="str">
            <v>N/A</v>
          </cell>
          <cell r="AK98" t="str">
            <v>N/A</v>
          </cell>
          <cell r="AL98" t="str">
            <v>N/A</v>
          </cell>
          <cell r="AM98" t="str">
            <v>N/A</v>
          </cell>
          <cell r="AN98">
            <v>0</v>
          </cell>
          <cell r="AO98">
            <v>0</v>
          </cell>
        </row>
        <row r="99">
          <cell r="A99" t="str">
            <v>24-1192</v>
          </cell>
          <cell r="B99" t="str">
            <v>SPAREPARTS (LIGHT VEHICLES)</v>
          </cell>
          <cell r="C99" t="str">
            <v>PGSO</v>
          </cell>
          <cell r="D99" t="str">
            <v>No</v>
          </cell>
          <cell r="E99" t="str">
            <v>Shopping 52.1(a) - Unforeseen Contingency</v>
          </cell>
          <cell r="F99" t="str">
            <v>N/A</v>
          </cell>
          <cell r="G99">
            <v>45352</v>
          </cell>
          <cell r="H99">
            <v>0</v>
          </cell>
          <cell r="I99" t="str">
            <v>N/A</v>
          </cell>
          <cell r="J99">
            <v>45356</v>
          </cell>
          <cell r="K99">
            <v>45356</v>
          </cell>
          <cell r="L99">
            <v>0</v>
          </cell>
          <cell r="M99" t="str">
            <v>N/A</v>
          </cell>
          <cell r="N99" t="str">
            <v>N/A</v>
          </cell>
          <cell r="O99">
            <v>45357</v>
          </cell>
          <cell r="P99">
            <v>0</v>
          </cell>
          <cell r="Q99">
            <v>0</v>
          </cell>
          <cell r="R99">
            <v>0</v>
          </cell>
          <cell r="S99" t="str">
            <v>N/A</v>
          </cell>
          <cell r="T99">
            <v>45373</v>
          </cell>
          <cell r="U99">
            <v>45377</v>
          </cell>
          <cell r="V99">
            <v>0</v>
          </cell>
          <cell r="W99">
            <v>0</v>
          </cell>
          <cell r="X99">
            <v>45377</v>
          </cell>
          <cell r="Y99">
            <v>0</v>
          </cell>
          <cell r="Z99">
            <v>0</v>
          </cell>
          <cell r="AA99">
            <v>880</v>
          </cell>
          <cell r="AB99">
            <v>880</v>
          </cell>
          <cell r="AC99">
            <v>0</v>
          </cell>
          <cell r="AD99">
            <v>880</v>
          </cell>
          <cell r="AE99">
            <v>880</v>
          </cell>
          <cell r="AF99">
            <v>0</v>
          </cell>
          <cell r="AG99" t="str">
            <v>ENGR. MICHAEL C. SALARDA
MS. LEONARDA M. LATOR
MS. CARMENCITA VALDEZ
MS. SORAYA P. VERGARA</v>
          </cell>
          <cell r="AH99" t="str">
            <v>N/A</v>
          </cell>
          <cell r="AI99" t="str">
            <v>N/A</v>
          </cell>
          <cell r="AJ99" t="str">
            <v>N/A</v>
          </cell>
          <cell r="AK99" t="str">
            <v>N/A</v>
          </cell>
          <cell r="AL99" t="str">
            <v>N/A</v>
          </cell>
          <cell r="AM99" t="str">
            <v>N/A</v>
          </cell>
          <cell r="AN99">
            <v>0</v>
          </cell>
          <cell r="AO99">
            <v>0</v>
          </cell>
        </row>
        <row r="100">
          <cell r="A100" t="str">
            <v>24-1193</v>
          </cell>
          <cell r="B100" t="str">
            <v>SPAREPARTS (LIGHT VEHICLES)</v>
          </cell>
          <cell r="C100" t="str">
            <v>PGSO</v>
          </cell>
          <cell r="D100" t="str">
            <v>No</v>
          </cell>
          <cell r="E100" t="str">
            <v>Shopping 52.1(a) - Unforeseen Contingency</v>
          </cell>
          <cell r="F100" t="str">
            <v>N/A</v>
          </cell>
          <cell r="G100">
            <v>45352</v>
          </cell>
          <cell r="H100">
            <v>0</v>
          </cell>
          <cell r="I100" t="str">
            <v>N/A</v>
          </cell>
          <cell r="J100">
            <v>45356</v>
          </cell>
          <cell r="K100">
            <v>45356</v>
          </cell>
          <cell r="L100">
            <v>0</v>
          </cell>
          <cell r="M100" t="str">
            <v>N/A</v>
          </cell>
          <cell r="N100" t="str">
            <v>N/A</v>
          </cell>
          <cell r="O100">
            <v>45357</v>
          </cell>
          <cell r="P100">
            <v>0</v>
          </cell>
          <cell r="Q100">
            <v>0</v>
          </cell>
          <cell r="R100">
            <v>0</v>
          </cell>
          <cell r="S100" t="str">
            <v>N/A</v>
          </cell>
          <cell r="T100">
            <v>45377</v>
          </cell>
          <cell r="U100">
            <v>45384</v>
          </cell>
          <cell r="V100">
            <v>0</v>
          </cell>
          <cell r="W100">
            <v>0</v>
          </cell>
          <cell r="X100">
            <v>45384</v>
          </cell>
          <cell r="Y100">
            <v>0</v>
          </cell>
          <cell r="Z100">
            <v>0</v>
          </cell>
          <cell r="AA100">
            <v>700</v>
          </cell>
          <cell r="AB100">
            <v>700</v>
          </cell>
          <cell r="AC100">
            <v>0</v>
          </cell>
          <cell r="AD100">
            <v>700</v>
          </cell>
          <cell r="AE100">
            <v>700</v>
          </cell>
          <cell r="AF100">
            <v>0</v>
          </cell>
          <cell r="AG100" t="str">
            <v>ENGR. MICHAEL C. SALARDA
MS. LEONARDA M. LATOR
MS. CARMENCITA VALDEZ
MS. SORAYA P. VERGARA</v>
          </cell>
          <cell r="AH100" t="str">
            <v>N/A</v>
          </cell>
          <cell r="AI100" t="str">
            <v>N/A</v>
          </cell>
          <cell r="AJ100" t="str">
            <v>N/A</v>
          </cell>
          <cell r="AK100" t="str">
            <v>N/A</v>
          </cell>
          <cell r="AL100" t="str">
            <v>N/A</v>
          </cell>
          <cell r="AM100" t="str">
            <v>N/A</v>
          </cell>
          <cell r="AN100">
            <v>0</v>
          </cell>
          <cell r="AO100">
            <v>0</v>
          </cell>
        </row>
        <row r="101">
          <cell r="A101" t="str">
            <v>24-1195</v>
          </cell>
          <cell r="B101" t="str">
            <v>SPAREPARTS (LIGHT VEHICLES)</v>
          </cell>
          <cell r="C101" t="str">
            <v>PGSO</v>
          </cell>
          <cell r="D101" t="str">
            <v>No</v>
          </cell>
          <cell r="E101" t="str">
            <v>Shopping 52.1(a) - Unforeseen Contingency</v>
          </cell>
          <cell r="F101" t="str">
            <v>N/A</v>
          </cell>
          <cell r="G101">
            <v>45352</v>
          </cell>
          <cell r="H101">
            <v>0</v>
          </cell>
          <cell r="I101" t="str">
            <v>N/A</v>
          </cell>
          <cell r="J101">
            <v>45356</v>
          </cell>
          <cell r="K101">
            <v>45356</v>
          </cell>
          <cell r="L101">
            <v>0</v>
          </cell>
          <cell r="M101" t="str">
            <v>N/A</v>
          </cell>
          <cell r="N101" t="str">
            <v>N/A</v>
          </cell>
          <cell r="O101">
            <v>45357</v>
          </cell>
          <cell r="P101">
            <v>0</v>
          </cell>
          <cell r="Q101">
            <v>0</v>
          </cell>
          <cell r="R101">
            <v>0</v>
          </cell>
          <cell r="S101" t="str">
            <v>N/A</v>
          </cell>
          <cell r="T101">
            <v>45376</v>
          </cell>
          <cell r="U101">
            <v>45377</v>
          </cell>
          <cell r="V101">
            <v>0</v>
          </cell>
          <cell r="W101">
            <v>0</v>
          </cell>
          <cell r="X101">
            <v>45386</v>
          </cell>
          <cell r="Y101">
            <v>0</v>
          </cell>
          <cell r="Z101">
            <v>0</v>
          </cell>
          <cell r="AA101">
            <v>14150</v>
          </cell>
          <cell r="AB101">
            <v>14150</v>
          </cell>
          <cell r="AC101">
            <v>0</v>
          </cell>
          <cell r="AD101">
            <v>14150</v>
          </cell>
          <cell r="AE101">
            <v>14150</v>
          </cell>
          <cell r="AF101">
            <v>0</v>
          </cell>
          <cell r="AG101" t="str">
            <v>ENGR. MICHAEL C. SALARDA
MS. LEONARDA M. LATOR
MS. CARMENCITA VALDEZ
MS. SORAYA P. VERGARA</v>
          </cell>
          <cell r="AH101" t="str">
            <v>N/A</v>
          </cell>
          <cell r="AI101" t="str">
            <v>N/A</v>
          </cell>
          <cell r="AJ101" t="str">
            <v>N/A</v>
          </cell>
          <cell r="AK101" t="str">
            <v>N/A</v>
          </cell>
          <cell r="AL101" t="str">
            <v>N/A</v>
          </cell>
          <cell r="AM101" t="str">
            <v>N/A</v>
          </cell>
          <cell r="AN101">
            <v>0</v>
          </cell>
          <cell r="AO101">
            <v>0</v>
          </cell>
        </row>
        <row r="102">
          <cell r="A102" t="str">
            <v>24-1194</v>
          </cell>
          <cell r="B102" t="str">
            <v>SPAREPARTS (MOTORCYCLE)</v>
          </cell>
          <cell r="C102" t="str">
            <v>PGSO</v>
          </cell>
          <cell r="D102" t="str">
            <v>No</v>
          </cell>
          <cell r="E102" t="str">
            <v>Shopping 52.1(a) - Unforeseen Contingency</v>
          </cell>
          <cell r="F102" t="str">
            <v>N/A</v>
          </cell>
          <cell r="G102">
            <v>45352</v>
          </cell>
          <cell r="H102">
            <v>0</v>
          </cell>
          <cell r="I102" t="str">
            <v>N/A</v>
          </cell>
          <cell r="J102">
            <v>45356</v>
          </cell>
          <cell r="K102">
            <v>45356</v>
          </cell>
          <cell r="L102">
            <v>0</v>
          </cell>
          <cell r="M102" t="str">
            <v>N/A</v>
          </cell>
          <cell r="N102" t="str">
            <v>N/A</v>
          </cell>
          <cell r="O102">
            <v>45357</v>
          </cell>
          <cell r="P102">
            <v>0</v>
          </cell>
          <cell r="Q102">
            <v>0</v>
          </cell>
          <cell r="R102">
            <v>0</v>
          </cell>
          <cell r="S102" t="str">
            <v>N/A</v>
          </cell>
          <cell r="T102">
            <v>45372</v>
          </cell>
          <cell r="U102">
            <v>45377</v>
          </cell>
          <cell r="V102">
            <v>0</v>
          </cell>
          <cell r="W102">
            <v>0</v>
          </cell>
          <cell r="X102">
            <v>45377</v>
          </cell>
          <cell r="Y102">
            <v>0</v>
          </cell>
          <cell r="Z102">
            <v>0</v>
          </cell>
          <cell r="AA102">
            <v>23503</v>
          </cell>
          <cell r="AB102">
            <v>23503</v>
          </cell>
          <cell r="AC102">
            <v>0</v>
          </cell>
          <cell r="AD102">
            <v>23503</v>
          </cell>
          <cell r="AE102">
            <v>23503</v>
          </cell>
          <cell r="AF102">
            <v>0</v>
          </cell>
          <cell r="AG102" t="str">
            <v>ENGR. MICHAEL C. SALARDA
MS. LEONARDA M. LATOR
MS. CARMENCITA VALDEZ
MS. SORAYA P. VERGARA</v>
          </cell>
          <cell r="AH102" t="str">
            <v>N/A</v>
          </cell>
          <cell r="AI102" t="str">
            <v>N/A</v>
          </cell>
          <cell r="AJ102" t="str">
            <v>N/A</v>
          </cell>
          <cell r="AK102" t="str">
            <v>N/A</v>
          </cell>
          <cell r="AL102" t="str">
            <v>N/A</v>
          </cell>
          <cell r="AM102" t="str">
            <v>N/A</v>
          </cell>
          <cell r="AN102">
            <v>0</v>
          </cell>
          <cell r="AO102">
            <v>0</v>
          </cell>
        </row>
        <row r="103">
          <cell r="A103" t="str">
            <v>24-1199</v>
          </cell>
          <cell r="B103" t="str">
            <v>SPAREPARTS (LIGHT VEHICLES)</v>
          </cell>
          <cell r="C103" t="str">
            <v>PGSO</v>
          </cell>
          <cell r="D103" t="str">
            <v>No</v>
          </cell>
          <cell r="E103" t="str">
            <v>Shopping 52.1(a) - Unforeseen Contingency</v>
          </cell>
          <cell r="F103" t="str">
            <v>N/A</v>
          </cell>
          <cell r="G103">
            <v>45352</v>
          </cell>
          <cell r="H103">
            <v>0</v>
          </cell>
          <cell r="I103" t="str">
            <v>N/A</v>
          </cell>
          <cell r="J103">
            <v>45356</v>
          </cell>
          <cell r="K103">
            <v>45356</v>
          </cell>
          <cell r="L103">
            <v>0</v>
          </cell>
          <cell r="M103" t="str">
            <v>N/A</v>
          </cell>
          <cell r="N103" t="str">
            <v>N/A</v>
          </cell>
          <cell r="O103">
            <v>45357</v>
          </cell>
          <cell r="P103">
            <v>0</v>
          </cell>
          <cell r="Q103">
            <v>0</v>
          </cell>
          <cell r="R103">
            <v>0</v>
          </cell>
          <cell r="S103" t="str">
            <v>N/A</v>
          </cell>
          <cell r="T103">
            <v>45372</v>
          </cell>
          <cell r="U103">
            <v>45377</v>
          </cell>
          <cell r="V103">
            <v>0</v>
          </cell>
          <cell r="W103">
            <v>0</v>
          </cell>
          <cell r="X103">
            <v>45377</v>
          </cell>
          <cell r="Y103">
            <v>0</v>
          </cell>
          <cell r="Z103">
            <v>0</v>
          </cell>
          <cell r="AA103">
            <v>31600</v>
          </cell>
          <cell r="AB103">
            <v>31600</v>
          </cell>
          <cell r="AC103">
            <v>0</v>
          </cell>
          <cell r="AD103">
            <v>31600</v>
          </cell>
          <cell r="AE103">
            <v>31600</v>
          </cell>
          <cell r="AF103">
            <v>0</v>
          </cell>
          <cell r="AG103" t="str">
            <v>ENGR. MICHAEL C. SALARDA
MS. LEONARDA M. LATOR
MS. CARMENCITA VALDEZ
MS. SORAYA P. VERGARA</v>
          </cell>
          <cell r="AH103" t="str">
            <v>N/A</v>
          </cell>
          <cell r="AI103" t="str">
            <v>N/A</v>
          </cell>
          <cell r="AJ103" t="str">
            <v>N/A</v>
          </cell>
          <cell r="AK103" t="str">
            <v>N/A</v>
          </cell>
          <cell r="AL103" t="str">
            <v>N/A</v>
          </cell>
          <cell r="AM103" t="str">
            <v>N/A</v>
          </cell>
          <cell r="AN103">
            <v>0</v>
          </cell>
          <cell r="AO103">
            <v>0</v>
          </cell>
        </row>
        <row r="104">
          <cell r="A104" t="str">
            <v>24-1191</v>
          </cell>
          <cell r="B104" t="str">
            <v>SPAREPARTS(LIGHT VEHICLE)</v>
          </cell>
          <cell r="C104" t="str">
            <v>PGSO</v>
          </cell>
          <cell r="D104" t="str">
            <v>No</v>
          </cell>
          <cell r="E104" t="str">
            <v>Shopping 52.1(a) - Unforeseen Contingency</v>
          </cell>
          <cell r="F104" t="str">
            <v>N/A</v>
          </cell>
          <cell r="G104">
            <v>45352</v>
          </cell>
          <cell r="H104">
            <v>0</v>
          </cell>
          <cell r="I104" t="str">
            <v>N/A</v>
          </cell>
          <cell r="J104">
            <v>45356</v>
          </cell>
          <cell r="K104">
            <v>45356</v>
          </cell>
          <cell r="L104">
            <v>0</v>
          </cell>
          <cell r="M104" t="str">
            <v>N/A</v>
          </cell>
          <cell r="N104" t="str">
            <v>N/A</v>
          </cell>
          <cell r="O104">
            <v>45357</v>
          </cell>
          <cell r="P104">
            <v>0</v>
          </cell>
          <cell r="Q104">
            <v>0</v>
          </cell>
          <cell r="R104">
            <v>0</v>
          </cell>
          <cell r="S104" t="str">
            <v>N/A</v>
          </cell>
          <cell r="T104">
            <v>45372</v>
          </cell>
          <cell r="U104">
            <v>45377</v>
          </cell>
          <cell r="V104">
            <v>0</v>
          </cell>
          <cell r="W104">
            <v>0</v>
          </cell>
          <cell r="X104">
            <v>45377</v>
          </cell>
          <cell r="Y104">
            <v>0</v>
          </cell>
          <cell r="Z104">
            <v>0</v>
          </cell>
          <cell r="AA104">
            <v>10650</v>
          </cell>
          <cell r="AB104">
            <v>10650</v>
          </cell>
          <cell r="AC104">
            <v>0</v>
          </cell>
          <cell r="AD104">
            <v>10650</v>
          </cell>
          <cell r="AE104">
            <v>10650</v>
          </cell>
          <cell r="AF104">
            <v>0</v>
          </cell>
          <cell r="AG104" t="str">
            <v>ENGR. MICHAEL C. SALARDA
MS. LEONARDA M. LATOR
MS. CARMENCITA VALDEZ
MS. SORAYA P. VERGARA</v>
          </cell>
          <cell r="AH104" t="str">
            <v>N/A</v>
          </cell>
          <cell r="AI104" t="str">
            <v>N/A</v>
          </cell>
          <cell r="AJ104" t="str">
            <v>N/A</v>
          </cell>
          <cell r="AK104" t="str">
            <v>N/A</v>
          </cell>
          <cell r="AL104" t="str">
            <v>N/A</v>
          </cell>
          <cell r="AM104" t="str">
            <v>N/A</v>
          </cell>
          <cell r="AN104">
            <v>0</v>
          </cell>
          <cell r="AO104">
            <v>0</v>
          </cell>
        </row>
        <row r="105">
          <cell r="A105" t="str">
            <v>24-1175</v>
          </cell>
          <cell r="B105" t="str">
            <v>SPAREPARTS (MOTORCYCLE)</v>
          </cell>
          <cell r="C105" t="str">
            <v>PGSO</v>
          </cell>
          <cell r="D105" t="str">
            <v>No</v>
          </cell>
          <cell r="E105" t="str">
            <v>Shopping 52.1(a) - Unforeseen Contingency</v>
          </cell>
          <cell r="F105" t="str">
            <v>N/A</v>
          </cell>
          <cell r="G105">
            <v>45352</v>
          </cell>
          <cell r="H105">
            <v>0</v>
          </cell>
          <cell r="I105" t="str">
            <v>N/A</v>
          </cell>
          <cell r="J105">
            <v>45356</v>
          </cell>
          <cell r="K105">
            <v>45356</v>
          </cell>
          <cell r="L105">
            <v>0</v>
          </cell>
          <cell r="M105" t="str">
            <v>N/A</v>
          </cell>
          <cell r="N105" t="str">
            <v>N/A</v>
          </cell>
          <cell r="O105">
            <v>45357</v>
          </cell>
          <cell r="P105">
            <v>0</v>
          </cell>
          <cell r="Q105">
            <v>0</v>
          </cell>
          <cell r="R105">
            <v>0</v>
          </cell>
          <cell r="S105" t="str">
            <v>N/A</v>
          </cell>
          <cell r="T105">
            <v>45372</v>
          </cell>
          <cell r="U105">
            <v>45377</v>
          </cell>
          <cell r="V105">
            <v>0</v>
          </cell>
          <cell r="W105">
            <v>0</v>
          </cell>
          <cell r="X105">
            <v>45377</v>
          </cell>
          <cell r="Y105">
            <v>0</v>
          </cell>
          <cell r="Z105">
            <v>0</v>
          </cell>
          <cell r="AA105">
            <v>6080</v>
          </cell>
          <cell r="AB105">
            <v>6080</v>
          </cell>
          <cell r="AC105">
            <v>0</v>
          </cell>
          <cell r="AD105">
            <v>6080</v>
          </cell>
          <cell r="AE105">
            <v>6080</v>
          </cell>
          <cell r="AF105">
            <v>0</v>
          </cell>
          <cell r="AG105" t="str">
            <v>ENGR. MICHAEL C. SALARDA
MS. LEONARDA M. LATOR
MS. CARMENCITA VALDEZ
MS. SORAYA P. VERGARA</v>
          </cell>
          <cell r="AH105" t="str">
            <v>N/A</v>
          </cell>
          <cell r="AI105" t="str">
            <v>N/A</v>
          </cell>
          <cell r="AJ105" t="str">
            <v>N/A</v>
          </cell>
          <cell r="AK105" t="str">
            <v>N/A</v>
          </cell>
          <cell r="AL105" t="str">
            <v>N/A</v>
          </cell>
          <cell r="AM105" t="str">
            <v>N/A</v>
          </cell>
          <cell r="AN105">
            <v>0</v>
          </cell>
          <cell r="AO105">
            <v>0</v>
          </cell>
        </row>
        <row r="106">
          <cell r="A106" t="str">
            <v>24-1255</v>
          </cell>
          <cell r="B106" t="str">
            <v>SPAREPARTS(LIGHT VEHICLE)</v>
          </cell>
          <cell r="C106" t="str">
            <v>PGSO</v>
          </cell>
          <cell r="D106" t="str">
            <v>No</v>
          </cell>
          <cell r="E106" t="str">
            <v>Shopping 52.1(a) - Unforeseen Contingency</v>
          </cell>
          <cell r="F106" t="str">
            <v>N/A</v>
          </cell>
          <cell r="G106">
            <v>45352</v>
          </cell>
          <cell r="H106">
            <v>0</v>
          </cell>
          <cell r="I106" t="str">
            <v>N/A</v>
          </cell>
          <cell r="J106">
            <v>45356</v>
          </cell>
          <cell r="K106">
            <v>45356</v>
          </cell>
          <cell r="L106">
            <v>0</v>
          </cell>
          <cell r="M106" t="str">
            <v>N/A</v>
          </cell>
          <cell r="N106" t="str">
            <v>N/A</v>
          </cell>
          <cell r="O106">
            <v>45357</v>
          </cell>
          <cell r="P106">
            <v>0</v>
          </cell>
          <cell r="Q106">
            <v>0</v>
          </cell>
          <cell r="R106">
            <v>0</v>
          </cell>
          <cell r="S106" t="str">
            <v>N/A</v>
          </cell>
          <cell r="T106">
            <v>45376</v>
          </cell>
          <cell r="U106">
            <v>45377</v>
          </cell>
          <cell r="V106">
            <v>0</v>
          </cell>
          <cell r="W106">
            <v>0</v>
          </cell>
          <cell r="X106">
            <v>45377</v>
          </cell>
          <cell r="Y106">
            <v>0</v>
          </cell>
          <cell r="Z106">
            <v>0</v>
          </cell>
          <cell r="AA106">
            <v>85915</v>
          </cell>
          <cell r="AB106">
            <v>85915</v>
          </cell>
          <cell r="AC106">
            <v>0</v>
          </cell>
          <cell r="AD106">
            <v>85915</v>
          </cell>
          <cell r="AE106">
            <v>85915</v>
          </cell>
          <cell r="AF106">
            <v>0</v>
          </cell>
          <cell r="AG106" t="str">
            <v>ENGR. MICHAEL C. SALARDA
MS. LEONARDA M. LATOR
MS. CARMENCITA VALDEZ
MS. SORAYA P. VERGARA</v>
          </cell>
          <cell r="AH106" t="str">
            <v>N/A</v>
          </cell>
          <cell r="AI106" t="str">
            <v>N/A</v>
          </cell>
          <cell r="AJ106" t="str">
            <v>N/A</v>
          </cell>
          <cell r="AK106" t="str">
            <v>N/A</v>
          </cell>
          <cell r="AL106" t="str">
            <v>N/A</v>
          </cell>
          <cell r="AM106" t="str">
            <v>N/A</v>
          </cell>
          <cell r="AN106">
            <v>0</v>
          </cell>
          <cell r="AO106">
            <v>0</v>
          </cell>
        </row>
        <row r="107">
          <cell r="A107" t="str">
            <v>24-1293</v>
          </cell>
          <cell r="B107" t="str">
            <v>SPAREPARTS (MOTORCYCLE)</v>
          </cell>
          <cell r="C107" t="str">
            <v>PGSO</v>
          </cell>
          <cell r="D107" t="str">
            <v>No</v>
          </cell>
          <cell r="E107" t="str">
            <v>Shopping 52.1(a) - Unforeseen Contingency</v>
          </cell>
          <cell r="F107" t="str">
            <v>N/A</v>
          </cell>
          <cell r="G107">
            <v>45352</v>
          </cell>
          <cell r="H107">
            <v>0</v>
          </cell>
          <cell r="I107" t="str">
            <v>N/A</v>
          </cell>
          <cell r="J107">
            <v>45356</v>
          </cell>
          <cell r="K107">
            <v>45356</v>
          </cell>
          <cell r="L107">
            <v>0</v>
          </cell>
          <cell r="M107" t="str">
            <v>N/A</v>
          </cell>
          <cell r="N107" t="str">
            <v>N/A</v>
          </cell>
          <cell r="O107">
            <v>45357</v>
          </cell>
          <cell r="P107">
            <v>0</v>
          </cell>
          <cell r="Q107">
            <v>0</v>
          </cell>
          <cell r="R107">
            <v>0</v>
          </cell>
          <cell r="S107" t="str">
            <v>N/A</v>
          </cell>
          <cell r="T107">
            <v>45377</v>
          </cell>
          <cell r="U107">
            <v>45384</v>
          </cell>
          <cell r="V107">
            <v>0</v>
          </cell>
          <cell r="W107">
            <v>0</v>
          </cell>
          <cell r="X107">
            <v>45384</v>
          </cell>
          <cell r="Y107">
            <v>0</v>
          </cell>
          <cell r="Z107">
            <v>0</v>
          </cell>
          <cell r="AA107">
            <v>22300</v>
          </cell>
          <cell r="AB107">
            <v>22300</v>
          </cell>
          <cell r="AC107">
            <v>0</v>
          </cell>
          <cell r="AD107">
            <v>22300</v>
          </cell>
          <cell r="AE107">
            <v>22300</v>
          </cell>
          <cell r="AF107">
            <v>0</v>
          </cell>
          <cell r="AG107" t="str">
            <v>ENGR. MICHAEL C. SALARDA
MS. LEONARDA M. LATOR
MS. CARMENCITA VALDEZ
MS. SORAYA P. VERGARA</v>
          </cell>
          <cell r="AH107" t="str">
            <v>N/A</v>
          </cell>
          <cell r="AI107" t="str">
            <v>N/A</v>
          </cell>
          <cell r="AJ107" t="str">
            <v>N/A</v>
          </cell>
          <cell r="AK107" t="str">
            <v>N/A</v>
          </cell>
          <cell r="AL107" t="str">
            <v>N/A</v>
          </cell>
          <cell r="AM107" t="str">
            <v>N/A</v>
          </cell>
          <cell r="AN107">
            <v>0</v>
          </cell>
          <cell r="AO107">
            <v>0</v>
          </cell>
        </row>
        <row r="108">
          <cell r="A108" t="str">
            <v>24-1264</v>
          </cell>
          <cell r="B108" t="str">
            <v>SPAREPARTS(LIGHT VEHICLE)</v>
          </cell>
          <cell r="C108" t="str">
            <v>PGSO</v>
          </cell>
          <cell r="D108" t="str">
            <v>No</v>
          </cell>
          <cell r="E108" t="str">
            <v>Shopping 52.1(a) - Unforeseen Contingency</v>
          </cell>
          <cell r="F108" t="str">
            <v>N/A</v>
          </cell>
          <cell r="G108">
            <v>45352</v>
          </cell>
          <cell r="H108">
            <v>0</v>
          </cell>
          <cell r="I108" t="str">
            <v>N/A</v>
          </cell>
          <cell r="J108">
            <v>45356</v>
          </cell>
          <cell r="K108">
            <v>45356</v>
          </cell>
          <cell r="L108">
            <v>0</v>
          </cell>
          <cell r="M108" t="str">
            <v>N/A</v>
          </cell>
          <cell r="N108" t="str">
            <v>N/A</v>
          </cell>
          <cell r="O108">
            <v>45357</v>
          </cell>
          <cell r="P108">
            <v>0</v>
          </cell>
          <cell r="Q108">
            <v>0</v>
          </cell>
          <cell r="R108">
            <v>0</v>
          </cell>
          <cell r="S108" t="str">
            <v>N/A</v>
          </cell>
          <cell r="T108">
            <v>45377</v>
          </cell>
          <cell r="U108">
            <v>45384</v>
          </cell>
          <cell r="V108">
            <v>0</v>
          </cell>
          <cell r="W108">
            <v>0</v>
          </cell>
          <cell r="X108">
            <v>45384</v>
          </cell>
          <cell r="Y108">
            <v>0</v>
          </cell>
          <cell r="Z108">
            <v>0</v>
          </cell>
          <cell r="AA108">
            <v>16400</v>
          </cell>
          <cell r="AB108">
            <v>16400</v>
          </cell>
          <cell r="AC108">
            <v>0</v>
          </cell>
          <cell r="AD108">
            <v>16400</v>
          </cell>
          <cell r="AE108">
            <v>16400</v>
          </cell>
          <cell r="AF108">
            <v>0</v>
          </cell>
          <cell r="AG108" t="str">
            <v>ENGR. MICHAEL C. SALARDA
MS. LEONARDA M. LATOR
MS. CARMENCITA VALDEZ
MS. SORAYA P. VERGARA</v>
          </cell>
          <cell r="AH108" t="str">
            <v>N/A</v>
          </cell>
          <cell r="AI108" t="str">
            <v>N/A</v>
          </cell>
          <cell r="AJ108" t="str">
            <v>N/A</v>
          </cell>
          <cell r="AK108" t="str">
            <v>N/A</v>
          </cell>
          <cell r="AL108" t="str">
            <v>N/A</v>
          </cell>
          <cell r="AM108" t="str">
            <v>N/A</v>
          </cell>
          <cell r="AN108">
            <v>0</v>
          </cell>
          <cell r="AO108">
            <v>0</v>
          </cell>
        </row>
        <row r="109">
          <cell r="A109" t="str">
            <v>24-1268</v>
          </cell>
          <cell r="B109" t="str">
            <v>SPAREPARTS(LIGHT VEHICLE)</v>
          </cell>
          <cell r="C109" t="str">
            <v>PGSO</v>
          </cell>
          <cell r="D109" t="str">
            <v>No</v>
          </cell>
          <cell r="E109" t="str">
            <v>Shopping 52.1(a) - Unforeseen Contingency</v>
          </cell>
          <cell r="F109" t="str">
            <v>N/A</v>
          </cell>
          <cell r="G109">
            <v>45352</v>
          </cell>
          <cell r="H109">
            <v>0</v>
          </cell>
          <cell r="I109" t="str">
            <v>N/A</v>
          </cell>
          <cell r="J109">
            <v>45356</v>
          </cell>
          <cell r="K109">
            <v>45356</v>
          </cell>
          <cell r="L109">
            <v>0</v>
          </cell>
          <cell r="M109" t="str">
            <v>N/A</v>
          </cell>
          <cell r="N109" t="str">
            <v>N/A</v>
          </cell>
          <cell r="O109">
            <v>45357</v>
          </cell>
          <cell r="P109">
            <v>0</v>
          </cell>
          <cell r="Q109">
            <v>0</v>
          </cell>
          <cell r="R109">
            <v>0</v>
          </cell>
          <cell r="S109" t="str">
            <v>N/A</v>
          </cell>
          <cell r="T109">
            <v>45377</v>
          </cell>
          <cell r="U109">
            <v>45385</v>
          </cell>
          <cell r="V109">
            <v>0</v>
          </cell>
          <cell r="W109">
            <v>0</v>
          </cell>
          <cell r="X109">
            <v>45385</v>
          </cell>
          <cell r="Y109">
            <v>0</v>
          </cell>
          <cell r="Z109">
            <v>0</v>
          </cell>
          <cell r="AA109">
            <v>155480</v>
          </cell>
          <cell r="AB109">
            <v>155480</v>
          </cell>
          <cell r="AC109">
            <v>0</v>
          </cell>
          <cell r="AD109">
            <v>155480</v>
          </cell>
          <cell r="AE109">
            <v>155480</v>
          </cell>
          <cell r="AF109">
            <v>0</v>
          </cell>
          <cell r="AG109" t="str">
            <v>ENGR. MICHAEL C. SALARDA
MS. LEONARDA M. LATOR
MS. CARMENCITA VALDEZ
MS. SORAYA P. VERGARA</v>
          </cell>
          <cell r="AH109" t="str">
            <v>N/A</v>
          </cell>
          <cell r="AI109" t="str">
            <v>N/A</v>
          </cell>
          <cell r="AJ109" t="str">
            <v>N/A</v>
          </cell>
          <cell r="AK109" t="str">
            <v>N/A</v>
          </cell>
          <cell r="AL109" t="str">
            <v>N/A</v>
          </cell>
          <cell r="AM109" t="str">
            <v>N/A</v>
          </cell>
          <cell r="AN109">
            <v>0</v>
          </cell>
          <cell r="AO109">
            <v>0</v>
          </cell>
        </row>
        <row r="110">
          <cell r="A110" t="str">
            <v>24-1259</v>
          </cell>
          <cell r="B110" t="str">
            <v>SPAREPARTS(LIGHT VEHICLE)</v>
          </cell>
          <cell r="C110" t="str">
            <v>PGSO</v>
          </cell>
          <cell r="D110" t="str">
            <v>No</v>
          </cell>
          <cell r="E110" t="str">
            <v>Shopping 52.1(a) - Unforeseen Contingency</v>
          </cell>
          <cell r="F110" t="str">
            <v>N/A</v>
          </cell>
          <cell r="G110">
            <v>45352</v>
          </cell>
          <cell r="H110">
            <v>0</v>
          </cell>
          <cell r="I110" t="str">
            <v>N/A</v>
          </cell>
          <cell r="J110">
            <v>45356</v>
          </cell>
          <cell r="K110">
            <v>45356</v>
          </cell>
          <cell r="L110">
            <v>0</v>
          </cell>
          <cell r="M110" t="str">
            <v>N/A</v>
          </cell>
          <cell r="N110" t="str">
            <v>N/A</v>
          </cell>
          <cell r="O110">
            <v>45357</v>
          </cell>
          <cell r="P110">
            <v>0</v>
          </cell>
          <cell r="Q110">
            <v>0</v>
          </cell>
          <cell r="R110">
            <v>0</v>
          </cell>
          <cell r="S110" t="str">
            <v>N/A</v>
          </cell>
          <cell r="T110">
            <v>45377</v>
          </cell>
          <cell r="U110">
            <v>45384</v>
          </cell>
          <cell r="V110">
            <v>0</v>
          </cell>
          <cell r="W110">
            <v>0</v>
          </cell>
          <cell r="X110">
            <v>45384</v>
          </cell>
          <cell r="Y110">
            <v>0</v>
          </cell>
          <cell r="Z110">
            <v>0</v>
          </cell>
          <cell r="AA110">
            <v>12175</v>
          </cell>
          <cell r="AB110">
            <v>12175</v>
          </cell>
          <cell r="AC110">
            <v>0</v>
          </cell>
          <cell r="AD110">
            <v>12175</v>
          </cell>
          <cell r="AE110">
            <v>12175</v>
          </cell>
          <cell r="AF110">
            <v>0</v>
          </cell>
          <cell r="AG110" t="str">
            <v>ENGR. MICHAEL C. SALARDA
MS. LEONARDA M. LATOR
MS. CARMENCITA VALDEZ
MS. SORAYA P. VERGARA</v>
          </cell>
          <cell r="AH110" t="str">
            <v>N/A</v>
          </cell>
          <cell r="AI110" t="str">
            <v>N/A</v>
          </cell>
          <cell r="AJ110" t="str">
            <v>N/A</v>
          </cell>
          <cell r="AK110" t="str">
            <v>N/A</v>
          </cell>
          <cell r="AL110" t="str">
            <v>N/A</v>
          </cell>
          <cell r="AM110" t="str">
            <v>N/A</v>
          </cell>
          <cell r="AN110">
            <v>0</v>
          </cell>
          <cell r="AO110">
            <v>0</v>
          </cell>
        </row>
        <row r="111">
          <cell r="A111" t="str">
            <v>24-1256</v>
          </cell>
          <cell r="B111" t="str">
            <v>SPAREPARTS(LIGHT VEHICLE)</v>
          </cell>
          <cell r="C111" t="str">
            <v>PGSO</v>
          </cell>
          <cell r="D111" t="str">
            <v>No</v>
          </cell>
          <cell r="E111" t="str">
            <v>Shopping 52.1(a) - Unforeseen Contingency</v>
          </cell>
          <cell r="F111" t="str">
            <v>N/A</v>
          </cell>
          <cell r="G111">
            <v>45352</v>
          </cell>
          <cell r="H111">
            <v>0</v>
          </cell>
          <cell r="I111" t="str">
            <v>N/A</v>
          </cell>
          <cell r="J111">
            <v>45356</v>
          </cell>
          <cell r="K111">
            <v>45356</v>
          </cell>
          <cell r="L111">
            <v>0</v>
          </cell>
          <cell r="M111" t="str">
            <v>N/A</v>
          </cell>
          <cell r="N111" t="str">
            <v>N/A</v>
          </cell>
          <cell r="O111">
            <v>45357</v>
          </cell>
          <cell r="P111">
            <v>0</v>
          </cell>
          <cell r="Q111">
            <v>0</v>
          </cell>
          <cell r="R111">
            <v>0</v>
          </cell>
          <cell r="S111" t="str">
            <v>N/A</v>
          </cell>
          <cell r="T111">
            <v>45377</v>
          </cell>
          <cell r="U111">
            <v>45385</v>
          </cell>
          <cell r="V111">
            <v>0</v>
          </cell>
          <cell r="W111">
            <v>0</v>
          </cell>
          <cell r="X111">
            <v>45385</v>
          </cell>
          <cell r="Y111">
            <v>0</v>
          </cell>
          <cell r="Z111">
            <v>0</v>
          </cell>
          <cell r="AA111">
            <v>52480</v>
          </cell>
          <cell r="AB111">
            <v>52480</v>
          </cell>
          <cell r="AC111">
            <v>0</v>
          </cell>
          <cell r="AD111">
            <v>52480</v>
          </cell>
          <cell r="AE111">
            <v>52480</v>
          </cell>
          <cell r="AF111">
            <v>0</v>
          </cell>
          <cell r="AG111" t="str">
            <v>ENGR. MICHAEL C. SALARDA
MS. LEONARDA M. LATOR
MS. CARMENCITA VALDEZ
MS. SORAYA P. VERGARA</v>
          </cell>
          <cell r="AH111" t="str">
            <v>N/A</v>
          </cell>
          <cell r="AI111" t="str">
            <v>N/A</v>
          </cell>
          <cell r="AJ111" t="str">
            <v>N/A</v>
          </cell>
          <cell r="AK111" t="str">
            <v>N/A</v>
          </cell>
          <cell r="AL111" t="str">
            <v>N/A</v>
          </cell>
          <cell r="AM111" t="str">
            <v>N/A</v>
          </cell>
          <cell r="AN111">
            <v>0</v>
          </cell>
          <cell r="AO111">
            <v>0</v>
          </cell>
        </row>
        <row r="112">
          <cell r="A112" t="str">
            <v>24-1251</v>
          </cell>
          <cell r="B112" t="str">
            <v>SPAREPARTS(LIGHT VEHICLE)</v>
          </cell>
          <cell r="C112" t="str">
            <v>PGSO</v>
          </cell>
          <cell r="D112" t="str">
            <v>No</v>
          </cell>
          <cell r="E112" t="str">
            <v>Shopping 52.1(a) - Unforeseen Contingency</v>
          </cell>
          <cell r="F112" t="str">
            <v>N/A</v>
          </cell>
          <cell r="G112">
            <v>45352</v>
          </cell>
          <cell r="H112">
            <v>0</v>
          </cell>
          <cell r="I112" t="str">
            <v>N/A</v>
          </cell>
          <cell r="J112">
            <v>45356</v>
          </cell>
          <cell r="K112">
            <v>45356</v>
          </cell>
          <cell r="L112">
            <v>0</v>
          </cell>
          <cell r="M112" t="str">
            <v>N/A</v>
          </cell>
          <cell r="N112" t="str">
            <v>N/A</v>
          </cell>
          <cell r="O112">
            <v>45357</v>
          </cell>
          <cell r="P112">
            <v>0</v>
          </cell>
          <cell r="Q112">
            <v>0</v>
          </cell>
          <cell r="R112">
            <v>0</v>
          </cell>
          <cell r="S112" t="str">
            <v>N/A</v>
          </cell>
          <cell r="T112">
            <v>45373</v>
          </cell>
          <cell r="U112">
            <v>45384</v>
          </cell>
          <cell r="V112">
            <v>0</v>
          </cell>
          <cell r="W112">
            <v>0</v>
          </cell>
          <cell r="X112">
            <v>45384</v>
          </cell>
          <cell r="Y112">
            <v>0</v>
          </cell>
          <cell r="Z112">
            <v>0</v>
          </cell>
          <cell r="AA112">
            <v>67950</v>
          </cell>
          <cell r="AB112">
            <v>67950</v>
          </cell>
          <cell r="AC112">
            <v>0</v>
          </cell>
          <cell r="AD112">
            <v>67950</v>
          </cell>
          <cell r="AE112">
            <v>67950</v>
          </cell>
          <cell r="AF112">
            <v>0</v>
          </cell>
          <cell r="AG112" t="str">
            <v>ENGR. MICHAEL C. SALARDA
MS. LEONARDA M. LATOR
MS. CARMENCITA VALDEZ
MS. SORAYA P. VERGARA</v>
          </cell>
          <cell r="AH112" t="str">
            <v>N/A</v>
          </cell>
          <cell r="AI112" t="str">
            <v>N/A</v>
          </cell>
          <cell r="AJ112" t="str">
            <v>N/A</v>
          </cell>
          <cell r="AK112" t="str">
            <v>N/A</v>
          </cell>
          <cell r="AL112" t="str">
            <v>N/A</v>
          </cell>
          <cell r="AM112" t="str">
            <v>N/A</v>
          </cell>
          <cell r="AN112">
            <v>0</v>
          </cell>
          <cell r="AO112">
            <v>0</v>
          </cell>
        </row>
        <row r="113">
          <cell r="A113" t="str">
            <v>24-1252</v>
          </cell>
          <cell r="B113" t="str">
            <v>SPAREPARTS(LIGHT VEHICLE)</v>
          </cell>
          <cell r="C113" t="str">
            <v>PGSO</v>
          </cell>
          <cell r="D113" t="str">
            <v>No</v>
          </cell>
          <cell r="E113" t="str">
            <v>Shopping 52.1(a) - Unforeseen Contingency</v>
          </cell>
          <cell r="F113" t="str">
            <v>N/A</v>
          </cell>
          <cell r="G113">
            <v>45352</v>
          </cell>
          <cell r="H113">
            <v>0</v>
          </cell>
          <cell r="I113" t="str">
            <v>N/A</v>
          </cell>
          <cell r="J113">
            <v>45356</v>
          </cell>
          <cell r="K113">
            <v>45356</v>
          </cell>
          <cell r="L113">
            <v>0</v>
          </cell>
          <cell r="M113" t="str">
            <v>N/A</v>
          </cell>
          <cell r="N113" t="str">
            <v>N/A</v>
          </cell>
          <cell r="O113">
            <v>45357</v>
          </cell>
          <cell r="P113">
            <v>0</v>
          </cell>
          <cell r="Q113">
            <v>0</v>
          </cell>
          <cell r="R113">
            <v>0</v>
          </cell>
          <cell r="S113" t="str">
            <v>N/A</v>
          </cell>
          <cell r="T113">
            <v>45376</v>
          </cell>
          <cell r="U113">
            <v>45377</v>
          </cell>
          <cell r="V113">
            <v>0</v>
          </cell>
          <cell r="W113">
            <v>0</v>
          </cell>
          <cell r="X113">
            <v>45377</v>
          </cell>
          <cell r="Y113">
            <v>0</v>
          </cell>
          <cell r="Z113">
            <v>0</v>
          </cell>
          <cell r="AA113">
            <v>800</v>
          </cell>
          <cell r="AB113">
            <v>800</v>
          </cell>
          <cell r="AC113">
            <v>0</v>
          </cell>
          <cell r="AD113">
            <v>800</v>
          </cell>
          <cell r="AE113">
            <v>800</v>
          </cell>
          <cell r="AF113">
            <v>0</v>
          </cell>
          <cell r="AG113" t="str">
            <v>ENGR. MICHAEL C. SALARDA
MS. LEONARDA M. LATOR
MS. CARMENCITA VALDEZ
MS. SORAYA P. VERGARA</v>
          </cell>
          <cell r="AH113" t="str">
            <v>N/A</v>
          </cell>
          <cell r="AI113" t="str">
            <v>N/A</v>
          </cell>
          <cell r="AJ113" t="str">
            <v>N/A</v>
          </cell>
          <cell r="AK113" t="str">
            <v>N/A</v>
          </cell>
          <cell r="AL113" t="str">
            <v>N/A</v>
          </cell>
          <cell r="AM113" t="str">
            <v>N/A</v>
          </cell>
          <cell r="AN113">
            <v>0</v>
          </cell>
          <cell r="AO113">
            <v>0</v>
          </cell>
        </row>
        <row r="114">
          <cell r="A114" t="str">
            <v>24-1281</v>
          </cell>
          <cell r="B114" t="str">
            <v>SPAREPARTS (MOTORCYCLE)</v>
          </cell>
          <cell r="C114" t="str">
            <v>PGSO</v>
          </cell>
          <cell r="D114" t="str">
            <v>No</v>
          </cell>
          <cell r="E114" t="str">
            <v>Shopping 52.1(a) - Unforeseen Contingency</v>
          </cell>
          <cell r="F114" t="str">
            <v>N/A</v>
          </cell>
          <cell r="G114">
            <v>45352</v>
          </cell>
          <cell r="H114">
            <v>0</v>
          </cell>
          <cell r="I114" t="str">
            <v>N/A</v>
          </cell>
          <cell r="J114">
            <v>45356</v>
          </cell>
          <cell r="K114">
            <v>45356</v>
          </cell>
          <cell r="L114">
            <v>0</v>
          </cell>
          <cell r="M114" t="str">
            <v>N/A</v>
          </cell>
          <cell r="N114" t="str">
            <v>N/A</v>
          </cell>
          <cell r="O114">
            <v>45357</v>
          </cell>
          <cell r="P114">
            <v>0</v>
          </cell>
          <cell r="Q114">
            <v>0</v>
          </cell>
          <cell r="R114">
            <v>0</v>
          </cell>
          <cell r="S114" t="str">
            <v>N/A</v>
          </cell>
          <cell r="T114">
            <v>45377</v>
          </cell>
          <cell r="U114">
            <v>45386</v>
          </cell>
          <cell r="V114">
            <v>0</v>
          </cell>
          <cell r="W114">
            <v>0</v>
          </cell>
          <cell r="X114">
            <v>45386</v>
          </cell>
          <cell r="Y114">
            <v>0</v>
          </cell>
          <cell r="Z114">
            <v>0</v>
          </cell>
          <cell r="AA114">
            <v>8280</v>
          </cell>
          <cell r="AB114">
            <v>8280</v>
          </cell>
          <cell r="AC114">
            <v>0</v>
          </cell>
          <cell r="AD114">
            <v>8280</v>
          </cell>
          <cell r="AE114">
            <v>8280</v>
          </cell>
          <cell r="AF114">
            <v>0</v>
          </cell>
          <cell r="AG114" t="str">
            <v>ENGR. MICHAEL C. SALARDA
MS. LEONARDA M. LATOR
MS. CARMENCITA VALDEZ
MS. SORAYA P. VERGARA</v>
          </cell>
          <cell r="AH114" t="str">
            <v>N/A</v>
          </cell>
          <cell r="AI114" t="str">
            <v>N/A</v>
          </cell>
          <cell r="AJ114" t="str">
            <v>N/A</v>
          </cell>
          <cell r="AK114" t="str">
            <v>N/A</v>
          </cell>
          <cell r="AL114" t="str">
            <v>N/A</v>
          </cell>
          <cell r="AM114" t="str">
            <v>N/A</v>
          </cell>
          <cell r="AN114">
            <v>0</v>
          </cell>
          <cell r="AO114">
            <v>0</v>
          </cell>
        </row>
        <row r="115">
          <cell r="A115" t="str">
            <v>24-1206</v>
          </cell>
          <cell r="B115" t="str">
            <v>SPAREPARTS(LIGHT VEHICLE)</v>
          </cell>
          <cell r="C115" t="str">
            <v>PGSO</v>
          </cell>
          <cell r="D115" t="str">
            <v>No</v>
          </cell>
          <cell r="E115" t="str">
            <v>Shopping 52.1(a) - Unforeseen Contingency</v>
          </cell>
          <cell r="F115" t="str">
            <v>N/A</v>
          </cell>
          <cell r="G115">
            <v>45352</v>
          </cell>
          <cell r="H115">
            <v>0</v>
          </cell>
          <cell r="I115" t="str">
            <v>N/A</v>
          </cell>
          <cell r="J115">
            <v>45356</v>
          </cell>
          <cell r="K115">
            <v>45356</v>
          </cell>
          <cell r="L115">
            <v>0</v>
          </cell>
          <cell r="M115" t="str">
            <v>N/A</v>
          </cell>
          <cell r="N115" t="str">
            <v>N/A</v>
          </cell>
          <cell r="O115">
            <v>45357</v>
          </cell>
          <cell r="P115">
            <v>0</v>
          </cell>
          <cell r="Q115">
            <v>0</v>
          </cell>
          <cell r="R115">
            <v>0</v>
          </cell>
          <cell r="S115" t="str">
            <v>N/A</v>
          </cell>
          <cell r="T115">
            <v>45377</v>
          </cell>
          <cell r="U115">
            <v>45384</v>
          </cell>
          <cell r="V115">
            <v>0</v>
          </cell>
          <cell r="W115">
            <v>0</v>
          </cell>
          <cell r="X115">
            <v>45384</v>
          </cell>
          <cell r="Y115">
            <v>0</v>
          </cell>
          <cell r="Z115">
            <v>0</v>
          </cell>
          <cell r="AA115">
            <v>21950</v>
          </cell>
          <cell r="AB115">
            <v>21950</v>
          </cell>
          <cell r="AC115">
            <v>0</v>
          </cell>
          <cell r="AD115">
            <v>21950</v>
          </cell>
          <cell r="AE115">
            <v>21950</v>
          </cell>
          <cell r="AF115">
            <v>0</v>
          </cell>
          <cell r="AG115" t="str">
            <v>ENGR. MICHAEL C. SALARDA
MS. LEONARDA M. LATOR
MS. CARMENCITA VALDEZ
MS. SORAYA P. VERGARA</v>
          </cell>
          <cell r="AH115" t="str">
            <v>N/A</v>
          </cell>
          <cell r="AI115" t="str">
            <v>N/A</v>
          </cell>
          <cell r="AJ115" t="str">
            <v>N/A</v>
          </cell>
          <cell r="AK115" t="str">
            <v>N/A</v>
          </cell>
          <cell r="AL115" t="str">
            <v>N/A</v>
          </cell>
          <cell r="AM115" t="str">
            <v>N/A</v>
          </cell>
          <cell r="AN115">
            <v>0</v>
          </cell>
          <cell r="AO115">
            <v>0</v>
          </cell>
        </row>
        <row r="116">
          <cell r="A116" t="str">
            <v>24-0560</v>
          </cell>
          <cell r="B116" t="str">
            <v>FOOD/CATERING SERVICES</v>
          </cell>
          <cell r="C116" t="str">
            <v>PIAO</v>
          </cell>
          <cell r="D116" t="str">
            <v>No</v>
          </cell>
          <cell r="E116" t="str">
            <v>NP-53.9 - Small Value Procurement</v>
          </cell>
          <cell r="F116" t="str">
            <v>N/A</v>
          </cell>
          <cell r="G116">
            <v>45324</v>
          </cell>
          <cell r="H116">
            <v>0</v>
          </cell>
          <cell r="I116" t="str">
            <v>N/A</v>
          </cell>
          <cell r="J116">
            <v>45356</v>
          </cell>
          <cell r="K116">
            <v>45356</v>
          </cell>
          <cell r="L116">
            <v>0</v>
          </cell>
          <cell r="M116" t="str">
            <v>N/A</v>
          </cell>
          <cell r="N116" t="str">
            <v>N/A</v>
          </cell>
          <cell r="O116">
            <v>45357</v>
          </cell>
          <cell r="P116">
            <v>0</v>
          </cell>
          <cell r="Q116">
            <v>0</v>
          </cell>
          <cell r="R116">
            <v>0</v>
          </cell>
          <cell r="S116" t="str">
            <v>N/A</v>
          </cell>
          <cell r="T116">
            <v>45370</v>
          </cell>
          <cell r="U116">
            <v>45376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13600</v>
          </cell>
          <cell r="AB116">
            <v>13600</v>
          </cell>
          <cell r="AC116">
            <v>0</v>
          </cell>
          <cell r="AD116">
            <v>13440</v>
          </cell>
          <cell r="AE116">
            <v>13440</v>
          </cell>
          <cell r="AF116">
            <v>0</v>
          </cell>
          <cell r="AG116" t="str">
            <v>ENGR. MICHAEL C. SALARDA
MS. LEONARDA M. LATOR
MS. CARMENCITA VALDEZ
MS. SORAYA P. VERGARA</v>
          </cell>
          <cell r="AH116" t="str">
            <v>N/A</v>
          </cell>
          <cell r="AI116" t="str">
            <v>N/A</v>
          </cell>
          <cell r="AJ116" t="str">
            <v>N/A</v>
          </cell>
          <cell r="AK116" t="str">
            <v>N/A</v>
          </cell>
          <cell r="AL116" t="str">
            <v>N/A</v>
          </cell>
          <cell r="AM116" t="str">
            <v>N/A</v>
          </cell>
          <cell r="AN116">
            <v>0</v>
          </cell>
          <cell r="AO116">
            <v>0</v>
          </cell>
        </row>
        <row r="117">
          <cell r="A117" t="str">
            <v>23-5517</v>
          </cell>
          <cell r="B117" t="str">
            <v>DISTILLED WATER</v>
          </cell>
          <cell r="C117" t="str">
            <v>PAGRO</v>
          </cell>
          <cell r="D117" t="str">
            <v>No</v>
          </cell>
          <cell r="E117" t="str">
            <v>NP-53.9 - Small Value Procurement</v>
          </cell>
          <cell r="F117">
            <v>45272</v>
          </cell>
          <cell r="G117">
            <v>45316</v>
          </cell>
          <cell r="H117">
            <v>0</v>
          </cell>
          <cell r="I117" t="str">
            <v>N/A</v>
          </cell>
          <cell r="J117">
            <v>45356</v>
          </cell>
          <cell r="K117">
            <v>45356</v>
          </cell>
          <cell r="L117">
            <v>0</v>
          </cell>
          <cell r="M117" t="str">
            <v>N/A</v>
          </cell>
          <cell r="N117" t="str">
            <v>N/A</v>
          </cell>
          <cell r="O117">
            <v>45357</v>
          </cell>
          <cell r="P117">
            <v>0</v>
          </cell>
          <cell r="Q117">
            <v>0</v>
          </cell>
          <cell r="R117">
            <v>0</v>
          </cell>
          <cell r="S117" t="str">
            <v>N/A</v>
          </cell>
          <cell r="T117">
            <v>45334</v>
          </cell>
          <cell r="U117">
            <v>45337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47371.5</v>
          </cell>
          <cell r="AB117">
            <v>47371.5</v>
          </cell>
          <cell r="AC117">
            <v>0</v>
          </cell>
          <cell r="AD117">
            <v>47212</v>
          </cell>
          <cell r="AE117">
            <v>47212</v>
          </cell>
          <cell r="AF117">
            <v>0</v>
          </cell>
          <cell r="AG117" t="str">
            <v>ENGR. MICHAEL C. SALARDA
MS. LEONARDA M. LATOR
MS. CARMENCITA VALDEZ
MS. SORAYA P. VERGARA</v>
          </cell>
          <cell r="AH117" t="str">
            <v>N/A</v>
          </cell>
          <cell r="AI117" t="str">
            <v>N/A</v>
          </cell>
          <cell r="AJ117" t="str">
            <v>N/A</v>
          </cell>
          <cell r="AK117" t="str">
            <v>N/A</v>
          </cell>
          <cell r="AL117" t="str">
            <v>N/A</v>
          </cell>
          <cell r="AM117" t="str">
            <v>N/A</v>
          </cell>
          <cell r="AN117">
            <v>0</v>
          </cell>
          <cell r="AO117">
            <v>0</v>
          </cell>
        </row>
        <row r="118">
          <cell r="A118" t="str">
            <v>24-0062</v>
          </cell>
          <cell r="B118" t="str">
            <v>FOOD/CATERING SERVICES</v>
          </cell>
          <cell r="C118" t="str">
            <v>PBO</v>
          </cell>
          <cell r="D118" t="str">
            <v>No</v>
          </cell>
          <cell r="E118" t="str">
            <v>NP-53.9 - Small Value Procurement</v>
          </cell>
          <cell r="F118">
            <v>45272</v>
          </cell>
          <cell r="G118">
            <v>45316</v>
          </cell>
          <cell r="H118">
            <v>0</v>
          </cell>
          <cell r="I118" t="str">
            <v>N/A</v>
          </cell>
          <cell r="J118">
            <v>45356</v>
          </cell>
          <cell r="K118">
            <v>45356</v>
          </cell>
          <cell r="L118">
            <v>0</v>
          </cell>
          <cell r="M118" t="str">
            <v>N/A</v>
          </cell>
          <cell r="N118" t="str">
            <v>N/A</v>
          </cell>
          <cell r="O118">
            <v>45357</v>
          </cell>
          <cell r="P118">
            <v>0</v>
          </cell>
          <cell r="Q118">
            <v>0</v>
          </cell>
          <cell r="R118">
            <v>0</v>
          </cell>
          <cell r="S118" t="str">
            <v>N/A</v>
          </cell>
          <cell r="T118">
            <v>45366</v>
          </cell>
          <cell r="U118">
            <v>45371</v>
          </cell>
          <cell r="V118">
            <v>0</v>
          </cell>
          <cell r="W118">
            <v>0</v>
          </cell>
          <cell r="X118">
            <v>45429</v>
          </cell>
          <cell r="Y118">
            <v>0</v>
          </cell>
          <cell r="Z118">
            <v>0</v>
          </cell>
          <cell r="AA118">
            <v>17000</v>
          </cell>
          <cell r="AB118">
            <v>17000</v>
          </cell>
          <cell r="AC118">
            <v>0</v>
          </cell>
          <cell r="AD118">
            <v>16900</v>
          </cell>
          <cell r="AE118">
            <v>16900</v>
          </cell>
          <cell r="AF118">
            <v>0</v>
          </cell>
          <cell r="AG118" t="str">
            <v>ENGR. MICHAEL C. SALARDA
MS. LEONARDA M. LATOR
MS. CARMENCITA VALDEZ
MS. SORAYA P. VERGARA</v>
          </cell>
          <cell r="AH118" t="str">
            <v>N/A</v>
          </cell>
          <cell r="AI118" t="str">
            <v>N/A</v>
          </cell>
          <cell r="AJ118" t="str">
            <v>N/A</v>
          </cell>
          <cell r="AK118" t="str">
            <v>N/A</v>
          </cell>
          <cell r="AL118" t="str">
            <v>N/A</v>
          </cell>
          <cell r="AM118" t="str">
            <v>N/A</v>
          </cell>
          <cell r="AN118">
            <v>0</v>
          </cell>
          <cell r="AO118">
            <v>0</v>
          </cell>
        </row>
        <row r="119">
          <cell r="A119" t="str">
            <v>24-0038</v>
          </cell>
          <cell r="B119" t="str">
            <v>PAINTING MATERIALS</v>
          </cell>
          <cell r="C119" t="str">
            <v>SEF</v>
          </cell>
          <cell r="D119" t="str">
            <v>No</v>
          </cell>
          <cell r="E119" t="str">
            <v>NP-53.9 - Small Value Procurement</v>
          </cell>
          <cell r="F119">
            <v>45272</v>
          </cell>
          <cell r="G119">
            <v>45316</v>
          </cell>
          <cell r="H119">
            <v>0</v>
          </cell>
          <cell r="I119" t="str">
            <v>N/A</v>
          </cell>
          <cell r="J119">
            <v>45356</v>
          </cell>
          <cell r="K119">
            <v>45356</v>
          </cell>
          <cell r="L119">
            <v>0</v>
          </cell>
          <cell r="M119" t="str">
            <v>N/A</v>
          </cell>
          <cell r="N119" t="str">
            <v>N/A</v>
          </cell>
          <cell r="O119">
            <v>45357</v>
          </cell>
          <cell r="P119">
            <v>0</v>
          </cell>
          <cell r="Q119">
            <v>0</v>
          </cell>
          <cell r="R119">
            <v>0</v>
          </cell>
          <cell r="S119">
            <v>45357</v>
          </cell>
          <cell r="T119">
            <v>45373</v>
          </cell>
          <cell r="U119">
            <v>45377</v>
          </cell>
          <cell r="V119">
            <v>0</v>
          </cell>
          <cell r="W119">
            <v>0</v>
          </cell>
          <cell r="X119">
            <v>45394</v>
          </cell>
          <cell r="Y119">
            <v>0</v>
          </cell>
          <cell r="Z119">
            <v>0</v>
          </cell>
          <cell r="AA119">
            <v>118981.44</v>
          </cell>
          <cell r="AB119">
            <v>118981.44</v>
          </cell>
          <cell r="AC119">
            <v>0</v>
          </cell>
          <cell r="AD119">
            <v>118159.5</v>
          </cell>
          <cell r="AE119">
            <v>118159.5</v>
          </cell>
          <cell r="AF119">
            <v>0</v>
          </cell>
          <cell r="AG119" t="str">
            <v>ENGR. MICHAEL C. SALARDA
MS. LEONARDA M. LATOR
MS. CARMENCITA VALDEZ
MS. SORAYA P. VERGARA</v>
          </cell>
          <cell r="AH119" t="str">
            <v>N/A</v>
          </cell>
          <cell r="AI119" t="str">
            <v>N/A</v>
          </cell>
          <cell r="AJ119" t="str">
            <v>N/A</v>
          </cell>
          <cell r="AK119" t="str">
            <v>N/A</v>
          </cell>
          <cell r="AL119" t="str">
            <v>N/A</v>
          </cell>
          <cell r="AM119" t="str">
            <v>N/A</v>
          </cell>
          <cell r="AN119">
            <v>0</v>
          </cell>
          <cell r="AO119">
            <v>0</v>
          </cell>
        </row>
        <row r="120">
          <cell r="A120" t="str">
            <v>24-0088</v>
          </cell>
          <cell r="B120" t="str">
            <v>BINDER</v>
          </cell>
          <cell r="C120" t="str">
            <v>PACCO</v>
          </cell>
          <cell r="D120" t="str">
            <v>No</v>
          </cell>
          <cell r="E120" t="str">
            <v>NP-53.9 - Small Value Procurement</v>
          </cell>
          <cell r="F120" t="str">
            <v>N/A</v>
          </cell>
          <cell r="G120">
            <v>45318</v>
          </cell>
          <cell r="H120">
            <v>0</v>
          </cell>
          <cell r="I120" t="str">
            <v>N/A</v>
          </cell>
          <cell r="J120">
            <v>45356</v>
          </cell>
          <cell r="K120">
            <v>45356</v>
          </cell>
          <cell r="L120">
            <v>0</v>
          </cell>
          <cell r="M120" t="str">
            <v>N/A</v>
          </cell>
          <cell r="N120" t="str">
            <v>N/A</v>
          </cell>
          <cell r="O120">
            <v>45357</v>
          </cell>
          <cell r="P120">
            <v>0</v>
          </cell>
          <cell r="Q120">
            <v>0</v>
          </cell>
          <cell r="R120">
            <v>0</v>
          </cell>
          <cell r="S120" t="str">
            <v>N/A</v>
          </cell>
          <cell r="T120">
            <v>45372</v>
          </cell>
          <cell r="U120">
            <v>45377</v>
          </cell>
          <cell r="V120">
            <v>0</v>
          </cell>
          <cell r="W120">
            <v>0</v>
          </cell>
          <cell r="X120">
            <v>45394</v>
          </cell>
          <cell r="Y120">
            <v>0</v>
          </cell>
          <cell r="Z120">
            <v>0</v>
          </cell>
          <cell r="AA120">
            <v>9000</v>
          </cell>
          <cell r="AB120">
            <v>9000</v>
          </cell>
          <cell r="AC120">
            <v>0</v>
          </cell>
          <cell r="AD120">
            <v>9000</v>
          </cell>
          <cell r="AE120">
            <v>9000</v>
          </cell>
          <cell r="AF120">
            <v>0</v>
          </cell>
          <cell r="AG120" t="str">
            <v>ENGR. MICHAEL C. SALARDA
MS. LEONARDA M. LATOR
MS. CARMENCITA VALDEZ
MS. SORAYA P. VERGARA</v>
          </cell>
          <cell r="AH120" t="str">
            <v>N/A</v>
          </cell>
          <cell r="AI120" t="str">
            <v>N/A</v>
          </cell>
          <cell r="AJ120" t="str">
            <v>N/A</v>
          </cell>
          <cell r="AK120" t="str">
            <v>N/A</v>
          </cell>
          <cell r="AL120" t="str">
            <v>N/A</v>
          </cell>
          <cell r="AM120" t="str">
            <v>N/A</v>
          </cell>
          <cell r="AN120">
            <v>0</v>
          </cell>
          <cell r="AO120">
            <v>0</v>
          </cell>
        </row>
        <row r="121">
          <cell r="A121" t="str">
            <v>24-0813</v>
          </cell>
          <cell r="B121" t="str">
            <v>WATER</v>
          </cell>
          <cell r="C121" t="str">
            <v>PDRRMO</v>
          </cell>
          <cell r="D121" t="str">
            <v>No</v>
          </cell>
          <cell r="E121" t="str">
            <v>NP-53.9 - Small Value Procurement</v>
          </cell>
          <cell r="F121" t="str">
            <v>N/A</v>
          </cell>
          <cell r="G121">
            <v>45331</v>
          </cell>
          <cell r="H121">
            <v>0</v>
          </cell>
          <cell r="I121" t="str">
            <v>N/A</v>
          </cell>
          <cell r="J121">
            <v>45356</v>
          </cell>
          <cell r="K121">
            <v>45356</v>
          </cell>
          <cell r="L121">
            <v>0</v>
          </cell>
          <cell r="M121" t="str">
            <v>N/A</v>
          </cell>
          <cell r="N121" t="str">
            <v>N/A</v>
          </cell>
          <cell r="O121">
            <v>45357</v>
          </cell>
          <cell r="P121">
            <v>0</v>
          </cell>
          <cell r="Q121">
            <v>0</v>
          </cell>
          <cell r="R121">
            <v>0</v>
          </cell>
          <cell r="S121" t="str">
            <v>N/A</v>
          </cell>
          <cell r="T121">
            <v>45372</v>
          </cell>
          <cell r="U121">
            <v>45377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9963</v>
          </cell>
          <cell r="AB121">
            <v>9963</v>
          </cell>
          <cell r="AC121">
            <v>0</v>
          </cell>
          <cell r="AD121">
            <v>9720</v>
          </cell>
          <cell r="AE121">
            <v>9720</v>
          </cell>
          <cell r="AF121">
            <v>0</v>
          </cell>
          <cell r="AG121" t="str">
            <v>ENGR. MICHAEL C. SALARDA
MS. LEONARDA M. LATOR
MS. CARMENCITA VALDEZ
MS. SORAYA P. VERGARA</v>
          </cell>
          <cell r="AH121" t="str">
            <v>N/A</v>
          </cell>
          <cell r="AI121" t="str">
            <v>N/A</v>
          </cell>
          <cell r="AJ121" t="str">
            <v>N/A</v>
          </cell>
          <cell r="AK121" t="str">
            <v>N/A</v>
          </cell>
          <cell r="AL121" t="str">
            <v>N/A</v>
          </cell>
          <cell r="AM121" t="str">
            <v>N/A</v>
          </cell>
          <cell r="AN121">
            <v>0</v>
          </cell>
          <cell r="AO121">
            <v>0</v>
          </cell>
        </row>
        <row r="122">
          <cell r="A122" t="str">
            <v>24-0645</v>
          </cell>
          <cell r="B122" t="str">
            <v>COSMETOLOGY SUPPLIES</v>
          </cell>
          <cell r="C122" t="str">
            <v>PAO-ADMIN</v>
          </cell>
          <cell r="D122" t="str">
            <v>No</v>
          </cell>
          <cell r="E122" t="str">
            <v>NP-53.9 - Small Value Procurement</v>
          </cell>
          <cell r="F122" t="str">
            <v>N/A</v>
          </cell>
          <cell r="G122">
            <v>45338</v>
          </cell>
          <cell r="H122">
            <v>0</v>
          </cell>
          <cell r="I122" t="str">
            <v>N/A</v>
          </cell>
          <cell r="J122">
            <v>45356</v>
          </cell>
          <cell r="K122">
            <v>45356</v>
          </cell>
          <cell r="L122">
            <v>0</v>
          </cell>
          <cell r="M122" t="str">
            <v>N/A</v>
          </cell>
          <cell r="N122" t="str">
            <v>N/A</v>
          </cell>
          <cell r="O122">
            <v>45357</v>
          </cell>
          <cell r="P122">
            <v>0</v>
          </cell>
          <cell r="Q122">
            <v>0</v>
          </cell>
          <cell r="R122">
            <v>0</v>
          </cell>
          <cell r="S122">
            <v>45357</v>
          </cell>
          <cell r="T122">
            <v>45371</v>
          </cell>
          <cell r="U122">
            <v>45372</v>
          </cell>
          <cell r="V122">
            <v>0</v>
          </cell>
          <cell r="W122">
            <v>0</v>
          </cell>
          <cell r="X122">
            <v>45376</v>
          </cell>
          <cell r="Y122">
            <v>0</v>
          </cell>
          <cell r="Z122">
            <v>0</v>
          </cell>
          <cell r="AA122">
            <v>84785</v>
          </cell>
          <cell r="AB122">
            <v>84785</v>
          </cell>
          <cell r="AC122">
            <v>0</v>
          </cell>
          <cell r="AD122">
            <v>83835</v>
          </cell>
          <cell r="AE122">
            <v>83835</v>
          </cell>
          <cell r="AF122">
            <v>0</v>
          </cell>
          <cell r="AG122" t="str">
            <v>ENGR. MICHAEL C. SALARDA
MS. LEONARDA M. LATOR
MS. CARMENCITA VALDEZ
MS. SORAYA P. VERGARA</v>
          </cell>
          <cell r="AH122" t="str">
            <v>N/A</v>
          </cell>
          <cell r="AI122" t="str">
            <v>N/A</v>
          </cell>
          <cell r="AJ122" t="str">
            <v>N/A</v>
          </cell>
          <cell r="AK122" t="str">
            <v>N/A</v>
          </cell>
          <cell r="AL122" t="str">
            <v>N/A</v>
          </cell>
          <cell r="AM122" t="str">
            <v>N/A</v>
          </cell>
          <cell r="AN122">
            <v>0</v>
          </cell>
          <cell r="AO122">
            <v>0</v>
          </cell>
        </row>
        <row r="123">
          <cell r="A123" t="str">
            <v>24-C0942</v>
          </cell>
          <cell r="B123" t="str">
            <v>FIRE EXTINGUISHER &amp; REFILL</v>
          </cell>
          <cell r="C123" t="str">
            <v>PEEMO</v>
          </cell>
          <cell r="D123" t="str">
            <v>No</v>
          </cell>
          <cell r="E123" t="str">
            <v>NP-53.9 - Small Value Procurement</v>
          </cell>
          <cell r="F123" t="str">
            <v>N/A</v>
          </cell>
          <cell r="G123">
            <v>45338</v>
          </cell>
          <cell r="H123">
            <v>0</v>
          </cell>
          <cell r="I123" t="str">
            <v>N/A</v>
          </cell>
          <cell r="J123">
            <v>45356</v>
          </cell>
          <cell r="K123">
            <v>45356</v>
          </cell>
          <cell r="L123">
            <v>0</v>
          </cell>
          <cell r="M123" t="str">
            <v>N/A</v>
          </cell>
          <cell r="N123" t="str">
            <v>N/A</v>
          </cell>
          <cell r="O123">
            <v>45357</v>
          </cell>
          <cell r="P123">
            <v>0</v>
          </cell>
          <cell r="Q123">
            <v>0</v>
          </cell>
          <cell r="R123">
            <v>0</v>
          </cell>
          <cell r="S123">
            <v>45357</v>
          </cell>
          <cell r="T123">
            <v>45373</v>
          </cell>
          <cell r="U123">
            <v>45377</v>
          </cell>
          <cell r="V123">
            <v>0</v>
          </cell>
          <cell r="W123">
            <v>0</v>
          </cell>
          <cell r="X123">
            <v>45377</v>
          </cell>
          <cell r="Y123">
            <v>0</v>
          </cell>
          <cell r="Z123">
            <v>0</v>
          </cell>
          <cell r="AA123">
            <v>264033</v>
          </cell>
          <cell r="AB123">
            <v>264033</v>
          </cell>
          <cell r="AC123">
            <v>0</v>
          </cell>
          <cell r="AD123">
            <v>261540</v>
          </cell>
          <cell r="AE123">
            <v>261540</v>
          </cell>
          <cell r="AF123">
            <v>0</v>
          </cell>
          <cell r="AG123" t="str">
            <v>ENGR. MICHAEL C. SALARDA
MS. LEONARDA M. LATOR
MS. CARMENCITA VALDEZ
MS. SORAYA P. VERGARA</v>
          </cell>
          <cell r="AH123" t="str">
            <v>N/A</v>
          </cell>
          <cell r="AI123" t="str">
            <v>N/A</v>
          </cell>
          <cell r="AJ123" t="str">
            <v>N/A</v>
          </cell>
          <cell r="AK123" t="str">
            <v>N/A</v>
          </cell>
          <cell r="AL123" t="str">
            <v>N/A</v>
          </cell>
          <cell r="AM123" t="str">
            <v>N/A</v>
          </cell>
          <cell r="AN123">
            <v>0</v>
          </cell>
          <cell r="AO123">
            <v>0</v>
          </cell>
        </row>
        <row r="124">
          <cell r="A124" t="str">
            <v>24-C0946</v>
          </cell>
          <cell r="B124" t="str">
            <v>MINERAL WATER</v>
          </cell>
          <cell r="C124" t="str">
            <v>PEEMO</v>
          </cell>
          <cell r="D124" t="str">
            <v>No</v>
          </cell>
          <cell r="E124" t="str">
            <v>NP-53.9 - Small Value Procurement</v>
          </cell>
          <cell r="F124" t="str">
            <v>N/A</v>
          </cell>
          <cell r="G124">
            <v>45338</v>
          </cell>
          <cell r="H124">
            <v>0</v>
          </cell>
          <cell r="I124" t="str">
            <v>N/A</v>
          </cell>
          <cell r="J124">
            <v>45356</v>
          </cell>
          <cell r="K124">
            <v>45356</v>
          </cell>
          <cell r="L124">
            <v>0</v>
          </cell>
          <cell r="M124" t="str">
            <v>N/A</v>
          </cell>
          <cell r="N124" t="str">
            <v>N/A</v>
          </cell>
          <cell r="O124">
            <v>45357</v>
          </cell>
          <cell r="P124">
            <v>0</v>
          </cell>
          <cell r="Q124">
            <v>0</v>
          </cell>
          <cell r="R124">
            <v>0</v>
          </cell>
          <cell r="S124">
            <v>45357</v>
          </cell>
          <cell r="T124">
            <v>45372</v>
          </cell>
          <cell r="U124">
            <v>45377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50430</v>
          </cell>
          <cell r="AB124">
            <v>50430</v>
          </cell>
          <cell r="AC124">
            <v>0</v>
          </cell>
          <cell r="AD124">
            <v>49200</v>
          </cell>
          <cell r="AE124">
            <v>49200</v>
          </cell>
          <cell r="AF124">
            <v>0</v>
          </cell>
          <cell r="AG124" t="str">
            <v>ENGR. MICHAEL C. SALARDA
MS. LEONARDA M. LATOR
MS. CARMENCITA VALDEZ
MS. SORAYA P. VERGARA</v>
          </cell>
          <cell r="AH124" t="str">
            <v>N/A</v>
          </cell>
          <cell r="AI124" t="str">
            <v>N/A</v>
          </cell>
          <cell r="AJ124" t="str">
            <v>N/A</v>
          </cell>
          <cell r="AK124" t="str">
            <v>N/A</v>
          </cell>
          <cell r="AL124" t="str">
            <v>N/A</v>
          </cell>
          <cell r="AM124" t="str">
            <v>N/A</v>
          </cell>
          <cell r="AN124">
            <v>0</v>
          </cell>
          <cell r="AO124">
            <v>0</v>
          </cell>
        </row>
        <row r="125">
          <cell r="A125" t="str">
            <v>24-0869</v>
          </cell>
          <cell r="B125" t="str">
            <v>JANITORIAL SUPPLIES/HOUSEKEEPING</v>
          </cell>
          <cell r="C125" t="str">
            <v>SPO</v>
          </cell>
          <cell r="D125" t="str">
            <v>No</v>
          </cell>
          <cell r="E125" t="str">
            <v>NP-53.9 - Small Value Procurement</v>
          </cell>
          <cell r="F125" t="str">
            <v>N/A</v>
          </cell>
          <cell r="G125">
            <v>45335</v>
          </cell>
          <cell r="H125">
            <v>0</v>
          </cell>
          <cell r="I125" t="str">
            <v>N/A</v>
          </cell>
          <cell r="J125">
            <v>45356</v>
          </cell>
          <cell r="K125">
            <v>45356</v>
          </cell>
          <cell r="L125">
            <v>0</v>
          </cell>
          <cell r="M125" t="str">
            <v>N/A</v>
          </cell>
          <cell r="N125" t="str">
            <v>N/A</v>
          </cell>
          <cell r="O125">
            <v>45357</v>
          </cell>
          <cell r="P125">
            <v>0</v>
          </cell>
          <cell r="Q125">
            <v>0</v>
          </cell>
          <cell r="R125">
            <v>0</v>
          </cell>
          <cell r="S125" t="str">
            <v>N/A</v>
          </cell>
          <cell r="T125">
            <v>45419</v>
          </cell>
          <cell r="U125">
            <v>45429</v>
          </cell>
          <cell r="V125">
            <v>0</v>
          </cell>
          <cell r="W125">
            <v>0</v>
          </cell>
          <cell r="X125">
            <v>45421</v>
          </cell>
          <cell r="Y125">
            <v>0</v>
          </cell>
          <cell r="Z125">
            <v>0</v>
          </cell>
          <cell r="AA125">
            <v>39685</v>
          </cell>
          <cell r="AB125">
            <v>39685</v>
          </cell>
          <cell r="AC125">
            <v>0</v>
          </cell>
          <cell r="AD125">
            <v>39685</v>
          </cell>
          <cell r="AE125">
            <v>39685</v>
          </cell>
          <cell r="AF125">
            <v>0</v>
          </cell>
          <cell r="AG125" t="str">
            <v>ENGR. MICHAEL C. SALARDA
MS. LEONARDA M. LATOR
MS. CARMENCITA VALDEZ
MS. SORAYA P. VERGARA</v>
          </cell>
          <cell r="AH125" t="str">
            <v>N/A</v>
          </cell>
          <cell r="AI125" t="str">
            <v>N/A</v>
          </cell>
          <cell r="AJ125" t="str">
            <v>N/A</v>
          </cell>
          <cell r="AK125" t="str">
            <v>N/A</v>
          </cell>
          <cell r="AL125" t="str">
            <v>N/A</v>
          </cell>
          <cell r="AM125" t="str">
            <v>N/A</v>
          </cell>
          <cell r="AN125">
            <v>0</v>
          </cell>
          <cell r="AO125">
            <v>0</v>
          </cell>
        </row>
        <row r="126">
          <cell r="A126" t="str">
            <v>24-0083</v>
          </cell>
          <cell r="B126" t="str">
            <v>COMPUTER SUPPLIES</v>
          </cell>
          <cell r="C126" t="str">
            <v>PBO</v>
          </cell>
          <cell r="D126" t="str">
            <v>No</v>
          </cell>
          <cell r="E126" t="str">
            <v>NP-53.9 - Small Value Procurement</v>
          </cell>
          <cell r="F126" t="str">
            <v>N/A</v>
          </cell>
          <cell r="G126">
            <v>45335</v>
          </cell>
          <cell r="H126">
            <v>0</v>
          </cell>
          <cell r="I126" t="str">
            <v>N/A</v>
          </cell>
          <cell r="J126">
            <v>45356</v>
          </cell>
          <cell r="K126">
            <v>45356</v>
          </cell>
          <cell r="L126">
            <v>0</v>
          </cell>
          <cell r="M126" t="str">
            <v>N/A</v>
          </cell>
          <cell r="N126" t="str">
            <v>N/A</v>
          </cell>
          <cell r="O126">
            <v>45357</v>
          </cell>
          <cell r="P126">
            <v>0</v>
          </cell>
          <cell r="Q126">
            <v>0</v>
          </cell>
          <cell r="R126">
            <v>0</v>
          </cell>
          <cell r="S126" t="str">
            <v>N/A</v>
          </cell>
          <cell r="T126">
            <v>45366</v>
          </cell>
          <cell r="U126">
            <v>45372</v>
          </cell>
          <cell r="V126">
            <v>0</v>
          </cell>
          <cell r="W126">
            <v>0</v>
          </cell>
          <cell r="X126">
            <v>45404</v>
          </cell>
          <cell r="Y126">
            <v>0</v>
          </cell>
          <cell r="Z126">
            <v>0</v>
          </cell>
          <cell r="AA126">
            <v>1948</v>
          </cell>
          <cell r="AB126">
            <v>1948</v>
          </cell>
          <cell r="AC126">
            <v>0</v>
          </cell>
          <cell r="AD126">
            <v>1948</v>
          </cell>
          <cell r="AE126">
            <v>1948</v>
          </cell>
          <cell r="AF126">
            <v>0</v>
          </cell>
          <cell r="AG126" t="str">
            <v>ENGR. MICHAEL C. SALARDA
MS. LEONARDA M. LATOR
MS. CARMENCITA VALDEZ
MS. SORAYA P. VERGARA</v>
          </cell>
          <cell r="AH126" t="str">
            <v>N/A</v>
          </cell>
          <cell r="AI126" t="str">
            <v>N/A</v>
          </cell>
          <cell r="AJ126" t="str">
            <v>N/A</v>
          </cell>
          <cell r="AK126" t="str">
            <v>N/A</v>
          </cell>
          <cell r="AL126" t="str">
            <v>N/A</v>
          </cell>
          <cell r="AM126" t="str">
            <v>N/A</v>
          </cell>
          <cell r="AN126">
            <v>0</v>
          </cell>
          <cell r="AO126">
            <v>0</v>
          </cell>
        </row>
        <row r="127">
          <cell r="A127" t="str">
            <v>24-0204</v>
          </cell>
          <cell r="B127" t="str">
            <v>JANITORIAL SUPPLIES/HOUSEKEEPING</v>
          </cell>
          <cell r="C127" t="str">
            <v>PAO-ADMIN</v>
          </cell>
          <cell r="D127" t="str">
            <v>No</v>
          </cell>
          <cell r="E127" t="str">
            <v>NP-53.9 - Small Value Procurement</v>
          </cell>
          <cell r="F127" t="str">
            <v>N/A</v>
          </cell>
          <cell r="G127">
            <v>45331</v>
          </cell>
          <cell r="H127">
            <v>0</v>
          </cell>
          <cell r="I127" t="str">
            <v>N/A</v>
          </cell>
          <cell r="J127">
            <v>45356</v>
          </cell>
          <cell r="K127">
            <v>45356</v>
          </cell>
          <cell r="L127">
            <v>0</v>
          </cell>
          <cell r="M127" t="str">
            <v>N/A</v>
          </cell>
          <cell r="N127" t="str">
            <v>N/A</v>
          </cell>
          <cell r="O127">
            <v>45357</v>
          </cell>
          <cell r="P127">
            <v>0</v>
          </cell>
          <cell r="Q127">
            <v>0</v>
          </cell>
          <cell r="R127">
            <v>0</v>
          </cell>
          <cell r="S127" t="str">
            <v>N/A</v>
          </cell>
          <cell r="T127">
            <v>45371</v>
          </cell>
          <cell r="U127">
            <v>45372</v>
          </cell>
          <cell r="V127">
            <v>0</v>
          </cell>
          <cell r="W127">
            <v>0</v>
          </cell>
          <cell r="X127">
            <v>45385</v>
          </cell>
          <cell r="Y127">
            <v>0</v>
          </cell>
          <cell r="Z127">
            <v>0</v>
          </cell>
          <cell r="AA127">
            <v>17062</v>
          </cell>
          <cell r="AB127">
            <v>17062</v>
          </cell>
          <cell r="AC127">
            <v>0</v>
          </cell>
          <cell r="AD127">
            <v>16912</v>
          </cell>
          <cell r="AE127">
            <v>16912</v>
          </cell>
          <cell r="AF127">
            <v>0</v>
          </cell>
          <cell r="AG127" t="str">
            <v>ENGR. MICHAEL C. SALARDA
MS. LEONARDA M. LATOR
MS. CARMENCITA VALDEZ
MS. SORAYA P. VERGARA</v>
          </cell>
          <cell r="AH127" t="str">
            <v>N/A</v>
          </cell>
          <cell r="AI127" t="str">
            <v>N/A</v>
          </cell>
          <cell r="AJ127" t="str">
            <v>N/A</v>
          </cell>
          <cell r="AK127" t="str">
            <v>N/A</v>
          </cell>
          <cell r="AL127" t="str">
            <v>N/A</v>
          </cell>
          <cell r="AM127" t="str">
            <v>N/A</v>
          </cell>
          <cell r="AN127">
            <v>0</v>
          </cell>
          <cell r="AO127">
            <v>0</v>
          </cell>
        </row>
        <row r="128">
          <cell r="A128" t="str">
            <v>24-0082</v>
          </cell>
          <cell r="B128" t="str">
            <v>KITCHENWARE &amp; UTENSILS</v>
          </cell>
          <cell r="C128" t="str">
            <v>PBO</v>
          </cell>
          <cell r="D128" t="str">
            <v>No</v>
          </cell>
          <cell r="E128" t="str">
            <v>NP-53.9 - Small Value Procurement</v>
          </cell>
          <cell r="F128" t="str">
            <v>N/A</v>
          </cell>
          <cell r="G128">
            <v>45324</v>
          </cell>
          <cell r="H128">
            <v>0</v>
          </cell>
          <cell r="I128" t="str">
            <v>N/A</v>
          </cell>
          <cell r="J128">
            <v>45356</v>
          </cell>
          <cell r="K128">
            <v>45356</v>
          </cell>
          <cell r="L128">
            <v>0</v>
          </cell>
          <cell r="M128" t="str">
            <v>N/A</v>
          </cell>
          <cell r="N128" t="str">
            <v>N/A</v>
          </cell>
          <cell r="O128">
            <v>45357</v>
          </cell>
          <cell r="P128">
            <v>0</v>
          </cell>
          <cell r="Q128">
            <v>0</v>
          </cell>
          <cell r="R128">
            <v>0</v>
          </cell>
          <cell r="S128" t="str">
            <v>N/A</v>
          </cell>
          <cell r="T128">
            <v>45369</v>
          </cell>
          <cell r="U128">
            <v>45370</v>
          </cell>
          <cell r="V128">
            <v>0</v>
          </cell>
          <cell r="W128">
            <v>0</v>
          </cell>
          <cell r="X128">
            <v>45376</v>
          </cell>
          <cell r="Y128">
            <v>0</v>
          </cell>
          <cell r="Z128">
            <v>0</v>
          </cell>
          <cell r="AA128">
            <v>385</v>
          </cell>
          <cell r="AB128">
            <v>385</v>
          </cell>
          <cell r="AC128">
            <v>0</v>
          </cell>
          <cell r="AD128">
            <v>378</v>
          </cell>
          <cell r="AE128">
            <v>378</v>
          </cell>
          <cell r="AF128">
            <v>0</v>
          </cell>
          <cell r="AG128" t="str">
            <v>ENGR. MICHAEL C. SALARDA
MS. LEONARDA M. LATOR
MS. CARMENCITA VALDEZ
MS. SORAYA P. VERGARA</v>
          </cell>
          <cell r="AH128" t="str">
            <v>N/A</v>
          </cell>
          <cell r="AI128" t="str">
            <v>N/A</v>
          </cell>
          <cell r="AJ128" t="str">
            <v>N/A</v>
          </cell>
          <cell r="AK128" t="str">
            <v>N/A</v>
          </cell>
          <cell r="AL128" t="str">
            <v>N/A</v>
          </cell>
          <cell r="AM128" t="str">
            <v>N/A</v>
          </cell>
          <cell r="AN128">
            <v>0</v>
          </cell>
          <cell r="AO128">
            <v>0</v>
          </cell>
        </row>
        <row r="129">
          <cell r="A129" t="str">
            <v>24-C0955</v>
          </cell>
          <cell r="B129" t="str">
            <v>TONER</v>
          </cell>
          <cell r="C129" t="str">
            <v>PEO-GA</v>
          </cell>
          <cell r="D129" t="str">
            <v>No</v>
          </cell>
          <cell r="E129" t="str">
            <v>NP-53.9 - Small Value Procurement</v>
          </cell>
          <cell r="F129">
            <v>45335</v>
          </cell>
          <cell r="G129">
            <v>45337</v>
          </cell>
          <cell r="H129">
            <v>0</v>
          </cell>
          <cell r="I129" t="str">
            <v>N/A</v>
          </cell>
          <cell r="J129">
            <v>45356</v>
          </cell>
          <cell r="K129">
            <v>45356</v>
          </cell>
          <cell r="L129">
            <v>0</v>
          </cell>
          <cell r="M129" t="str">
            <v>N/A</v>
          </cell>
          <cell r="N129" t="str">
            <v>N/A</v>
          </cell>
          <cell r="O129">
            <v>45357</v>
          </cell>
          <cell r="P129">
            <v>0</v>
          </cell>
          <cell r="Q129">
            <v>0</v>
          </cell>
          <cell r="R129">
            <v>0</v>
          </cell>
          <cell r="S129">
            <v>45357</v>
          </cell>
          <cell r="T129">
            <v>45376</v>
          </cell>
          <cell r="U129">
            <v>45384</v>
          </cell>
          <cell r="V129">
            <v>0</v>
          </cell>
          <cell r="W129">
            <v>0</v>
          </cell>
          <cell r="X129">
            <v>45446</v>
          </cell>
          <cell r="Y129">
            <v>0</v>
          </cell>
          <cell r="Z129">
            <v>0</v>
          </cell>
          <cell r="AA129">
            <v>80000</v>
          </cell>
          <cell r="AB129">
            <v>80000</v>
          </cell>
          <cell r="AC129">
            <v>0</v>
          </cell>
          <cell r="AD129">
            <v>80000</v>
          </cell>
          <cell r="AE129">
            <v>80000</v>
          </cell>
          <cell r="AF129">
            <v>0</v>
          </cell>
          <cell r="AG129" t="str">
            <v>ENGR. MICHAEL C. SALARDA
MS. LEONARDA M. LATOR
MS. CARMENCITA VALDEZ
MS. SORAYA P. VERGARA</v>
          </cell>
          <cell r="AH129" t="str">
            <v>N/A</v>
          </cell>
          <cell r="AI129" t="str">
            <v>N/A</v>
          </cell>
          <cell r="AJ129" t="str">
            <v>N/A</v>
          </cell>
          <cell r="AK129" t="str">
            <v>N/A</v>
          </cell>
          <cell r="AL129" t="str">
            <v>N/A</v>
          </cell>
          <cell r="AM129" t="str">
            <v>N/A</v>
          </cell>
          <cell r="AN129">
            <v>0</v>
          </cell>
          <cell r="AO129">
            <v>0</v>
          </cell>
        </row>
        <row r="130">
          <cell r="A130" t="str">
            <v>24-C0957</v>
          </cell>
          <cell r="B130" t="str">
            <v>BATTERY</v>
          </cell>
          <cell r="C130" t="str">
            <v>PEEMO</v>
          </cell>
          <cell r="D130" t="str">
            <v>No</v>
          </cell>
          <cell r="E130" t="str">
            <v>NP-53.9 - Small Value Procurement</v>
          </cell>
          <cell r="F130" t="str">
            <v>N/A</v>
          </cell>
          <cell r="G130">
            <v>45338</v>
          </cell>
          <cell r="H130">
            <v>0</v>
          </cell>
          <cell r="I130" t="str">
            <v>N/A</v>
          </cell>
          <cell r="J130">
            <v>45356</v>
          </cell>
          <cell r="K130">
            <v>45356</v>
          </cell>
          <cell r="L130">
            <v>0</v>
          </cell>
          <cell r="M130" t="str">
            <v>N/A</v>
          </cell>
          <cell r="N130" t="str">
            <v>N/A</v>
          </cell>
          <cell r="O130">
            <v>45357</v>
          </cell>
          <cell r="P130">
            <v>0</v>
          </cell>
          <cell r="Q130">
            <v>0</v>
          </cell>
          <cell r="R130">
            <v>0</v>
          </cell>
          <cell r="S130">
            <v>45357</v>
          </cell>
          <cell r="T130">
            <v>45373</v>
          </cell>
          <cell r="U130">
            <v>45377</v>
          </cell>
          <cell r="V130">
            <v>0</v>
          </cell>
          <cell r="W130">
            <v>0</v>
          </cell>
          <cell r="X130">
            <v>45383</v>
          </cell>
          <cell r="Y130">
            <v>0</v>
          </cell>
          <cell r="Z130">
            <v>0</v>
          </cell>
          <cell r="AA130">
            <v>208785</v>
          </cell>
          <cell r="AB130">
            <v>208785</v>
          </cell>
          <cell r="AC130">
            <v>0</v>
          </cell>
          <cell r="AD130">
            <v>171000</v>
          </cell>
          <cell r="AE130">
            <v>171000</v>
          </cell>
          <cell r="AF130">
            <v>0</v>
          </cell>
          <cell r="AG130" t="str">
            <v>ENGR. MICHAEL C. SALARDA
MS. LEONARDA M. LATOR
MS. CARMENCITA VALDEZ
MS. SORAYA P. VERGARA</v>
          </cell>
          <cell r="AH130" t="str">
            <v>N/A</v>
          </cell>
          <cell r="AI130" t="str">
            <v>N/A</v>
          </cell>
          <cell r="AJ130" t="str">
            <v>N/A</v>
          </cell>
          <cell r="AK130" t="str">
            <v>N/A</v>
          </cell>
          <cell r="AL130" t="str">
            <v>N/A</v>
          </cell>
          <cell r="AM130" t="str">
            <v>N/A</v>
          </cell>
          <cell r="AN130">
            <v>0</v>
          </cell>
          <cell r="AO130">
            <v>0</v>
          </cell>
        </row>
        <row r="131">
          <cell r="A131" t="str">
            <v>24-C0971</v>
          </cell>
          <cell r="B131" t="str">
            <v>SPAREPARTS (LIGHT VEHICLES)</v>
          </cell>
          <cell r="C131" t="str">
            <v>PEEMO</v>
          </cell>
          <cell r="D131" t="str">
            <v>No</v>
          </cell>
          <cell r="E131" t="str">
            <v>NP-53.9 - Small Value Procurement</v>
          </cell>
          <cell r="F131" t="str">
            <v>N/A</v>
          </cell>
          <cell r="G131">
            <v>45338</v>
          </cell>
          <cell r="H131">
            <v>0</v>
          </cell>
          <cell r="I131" t="str">
            <v>N/A</v>
          </cell>
          <cell r="J131">
            <v>45356</v>
          </cell>
          <cell r="K131">
            <v>45356</v>
          </cell>
          <cell r="L131">
            <v>0</v>
          </cell>
          <cell r="M131" t="str">
            <v>N/A</v>
          </cell>
          <cell r="N131" t="str">
            <v>N/A</v>
          </cell>
          <cell r="O131">
            <v>45357</v>
          </cell>
          <cell r="P131">
            <v>0</v>
          </cell>
          <cell r="Q131">
            <v>0</v>
          </cell>
          <cell r="R131">
            <v>0</v>
          </cell>
          <cell r="S131">
            <v>45357</v>
          </cell>
          <cell r="T131">
            <v>45372</v>
          </cell>
          <cell r="U131">
            <v>45377</v>
          </cell>
          <cell r="V131">
            <v>0</v>
          </cell>
          <cell r="W131">
            <v>0</v>
          </cell>
          <cell r="X131">
            <v>45383</v>
          </cell>
          <cell r="Y131">
            <v>0</v>
          </cell>
          <cell r="Z131">
            <v>0</v>
          </cell>
          <cell r="AA131">
            <v>165815</v>
          </cell>
          <cell r="AB131">
            <v>165815</v>
          </cell>
          <cell r="AC131">
            <v>0</v>
          </cell>
          <cell r="AD131">
            <v>110150</v>
          </cell>
          <cell r="AE131">
            <v>110150</v>
          </cell>
          <cell r="AF131">
            <v>0</v>
          </cell>
          <cell r="AG131" t="str">
            <v>ENGR. MICHAEL C. SALARDA
MS. LEONARDA M. LATOR
MS. CARMENCITA VALDEZ
MS. SORAYA P. VERGARA</v>
          </cell>
          <cell r="AH131" t="str">
            <v>N/A</v>
          </cell>
          <cell r="AI131" t="str">
            <v>N/A</v>
          </cell>
          <cell r="AJ131" t="str">
            <v>N/A</v>
          </cell>
          <cell r="AK131" t="str">
            <v>N/A</v>
          </cell>
          <cell r="AL131" t="str">
            <v>N/A</v>
          </cell>
          <cell r="AM131" t="str">
            <v>N/A</v>
          </cell>
          <cell r="AN131">
            <v>0</v>
          </cell>
          <cell r="AO131">
            <v>0</v>
          </cell>
        </row>
        <row r="132">
          <cell r="A132" t="str">
            <v>24-0901</v>
          </cell>
          <cell r="B132" t="str">
            <v>FOOD/CATERING SERVICES</v>
          </cell>
          <cell r="C132" t="str">
            <v>PGO</v>
          </cell>
          <cell r="D132" t="str">
            <v>No</v>
          </cell>
          <cell r="E132" t="str">
            <v>NP-53.9 - Small Value Procurement</v>
          </cell>
          <cell r="F132" t="str">
            <v>N/A</v>
          </cell>
          <cell r="G132">
            <v>45344</v>
          </cell>
          <cell r="H132">
            <v>0</v>
          </cell>
          <cell r="I132" t="str">
            <v>N/A</v>
          </cell>
          <cell r="J132">
            <v>45356</v>
          </cell>
          <cell r="K132">
            <v>45356</v>
          </cell>
          <cell r="L132">
            <v>0</v>
          </cell>
          <cell r="M132" t="str">
            <v>N/A</v>
          </cell>
          <cell r="N132" t="str">
            <v>N/A</v>
          </cell>
          <cell r="O132">
            <v>45357</v>
          </cell>
          <cell r="P132">
            <v>0</v>
          </cell>
          <cell r="Q132">
            <v>0</v>
          </cell>
          <cell r="R132">
            <v>0</v>
          </cell>
          <cell r="S132">
            <v>45357</v>
          </cell>
          <cell r="T132">
            <v>45364</v>
          </cell>
          <cell r="U132">
            <v>45364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150000</v>
          </cell>
          <cell r="AB132">
            <v>150000</v>
          </cell>
          <cell r="AC132">
            <v>0</v>
          </cell>
          <cell r="AD132">
            <v>149908.79999999999</v>
          </cell>
          <cell r="AE132">
            <v>149908.79999999999</v>
          </cell>
          <cell r="AF132">
            <v>0</v>
          </cell>
          <cell r="AG132" t="str">
            <v>ENGR. MICHAEL C. SALARDA
MS. LEONARDA M. LATOR
MS. CARMENCITA VALDEZ
MS. SORAYA P. VERGARA</v>
          </cell>
          <cell r="AH132" t="str">
            <v>N/A</v>
          </cell>
          <cell r="AI132" t="str">
            <v>N/A</v>
          </cell>
          <cell r="AJ132" t="str">
            <v>N/A</v>
          </cell>
          <cell r="AK132" t="str">
            <v>N/A</v>
          </cell>
          <cell r="AL132" t="str">
            <v>N/A</v>
          </cell>
          <cell r="AM132" t="str">
            <v>N/A</v>
          </cell>
          <cell r="AN132">
            <v>0</v>
          </cell>
          <cell r="AO132">
            <v>0</v>
          </cell>
        </row>
        <row r="133">
          <cell r="A133" t="str">
            <v>24-C1019</v>
          </cell>
          <cell r="B133" t="str">
            <v>BARCODE SCANNER &amp; COMPUTER DESKTOP</v>
          </cell>
          <cell r="C133" t="str">
            <v>PAO-ADMIN</v>
          </cell>
          <cell r="D133" t="str">
            <v>No</v>
          </cell>
          <cell r="E133" t="str">
            <v>NP-53.9 - Small Value Procurement</v>
          </cell>
          <cell r="F133">
            <v>45342</v>
          </cell>
          <cell r="G133">
            <v>45344</v>
          </cell>
          <cell r="H133">
            <v>0</v>
          </cell>
          <cell r="I133" t="str">
            <v>N/A</v>
          </cell>
          <cell r="J133">
            <v>45356</v>
          </cell>
          <cell r="K133">
            <v>45356</v>
          </cell>
          <cell r="L133">
            <v>0</v>
          </cell>
          <cell r="M133" t="str">
            <v>N/A</v>
          </cell>
          <cell r="N133" t="str">
            <v>N/A</v>
          </cell>
          <cell r="O133">
            <v>45357</v>
          </cell>
          <cell r="P133">
            <v>0</v>
          </cell>
          <cell r="Q133">
            <v>0</v>
          </cell>
          <cell r="R133">
            <v>0</v>
          </cell>
          <cell r="S133">
            <v>45357</v>
          </cell>
          <cell r="T133">
            <v>45371</v>
          </cell>
          <cell r="U133">
            <v>45377</v>
          </cell>
          <cell r="V133">
            <v>0</v>
          </cell>
          <cell r="W133">
            <v>0</v>
          </cell>
          <cell r="X133">
            <v>45397</v>
          </cell>
          <cell r="Y133">
            <v>0</v>
          </cell>
          <cell r="Z133">
            <v>0</v>
          </cell>
          <cell r="AA133">
            <v>51600</v>
          </cell>
          <cell r="AB133">
            <v>51600</v>
          </cell>
          <cell r="AC133">
            <v>0</v>
          </cell>
          <cell r="AD133">
            <v>51398</v>
          </cell>
          <cell r="AE133">
            <v>51398</v>
          </cell>
          <cell r="AF133">
            <v>0</v>
          </cell>
          <cell r="AG133" t="str">
            <v>ENGR. MICHAEL C. SALARDA
MS. LEONARDA M. LATOR
MS. CARMENCITA VALDEZ
MS. SORAYA P. VERGARA</v>
          </cell>
          <cell r="AH133" t="str">
            <v>N/A</v>
          </cell>
          <cell r="AI133" t="str">
            <v>N/A</v>
          </cell>
          <cell r="AJ133" t="str">
            <v>N/A</v>
          </cell>
          <cell r="AK133" t="str">
            <v>N/A</v>
          </cell>
          <cell r="AL133" t="str">
            <v>N/A</v>
          </cell>
          <cell r="AM133" t="str">
            <v>N/A</v>
          </cell>
          <cell r="AN133">
            <v>0</v>
          </cell>
          <cell r="AO133">
            <v>0</v>
          </cell>
        </row>
        <row r="134">
          <cell r="A134" t="str">
            <v>24-C1050</v>
          </cell>
          <cell r="B134" t="str">
            <v>COMPUTERS SUPPLIES</v>
          </cell>
          <cell r="C134" t="str">
            <v>PHRMDO</v>
          </cell>
          <cell r="D134" t="str">
            <v>No</v>
          </cell>
          <cell r="E134" t="str">
            <v>NP-53.9 - Small Value Procurement</v>
          </cell>
          <cell r="F134" t="str">
            <v>N/A</v>
          </cell>
          <cell r="G134">
            <v>45344</v>
          </cell>
          <cell r="H134">
            <v>0</v>
          </cell>
          <cell r="I134" t="str">
            <v>N/A</v>
          </cell>
          <cell r="J134">
            <v>45356</v>
          </cell>
          <cell r="K134">
            <v>45356</v>
          </cell>
          <cell r="L134">
            <v>0</v>
          </cell>
          <cell r="M134" t="str">
            <v>N/A</v>
          </cell>
          <cell r="N134" t="str">
            <v>N/A</v>
          </cell>
          <cell r="O134">
            <v>45357</v>
          </cell>
          <cell r="P134">
            <v>0</v>
          </cell>
          <cell r="Q134">
            <v>0</v>
          </cell>
          <cell r="R134">
            <v>0</v>
          </cell>
          <cell r="S134">
            <v>45357</v>
          </cell>
          <cell r="T134">
            <v>45366</v>
          </cell>
          <cell r="U134">
            <v>45370</v>
          </cell>
          <cell r="V134">
            <v>0</v>
          </cell>
          <cell r="W134">
            <v>0</v>
          </cell>
          <cell r="X134">
            <v>45422</v>
          </cell>
          <cell r="Y134">
            <v>0</v>
          </cell>
          <cell r="Z134">
            <v>0</v>
          </cell>
          <cell r="AA134">
            <v>64500</v>
          </cell>
          <cell r="AB134">
            <v>64500</v>
          </cell>
          <cell r="AC134">
            <v>0</v>
          </cell>
          <cell r="AD134">
            <v>48239</v>
          </cell>
          <cell r="AE134">
            <v>48239</v>
          </cell>
          <cell r="AF134">
            <v>0</v>
          </cell>
          <cell r="AG134" t="str">
            <v>ENGR. MICHAEL C. SALARDA
MS. LEONARDA M. LATOR
MS. CARMENCITA VALDEZ
MS. SORAYA P. VERGARA</v>
          </cell>
          <cell r="AH134" t="str">
            <v>N/A</v>
          </cell>
          <cell r="AI134" t="str">
            <v>N/A</v>
          </cell>
          <cell r="AJ134" t="str">
            <v>N/A</v>
          </cell>
          <cell r="AK134" t="str">
            <v>N/A</v>
          </cell>
          <cell r="AL134" t="str">
            <v>N/A</v>
          </cell>
          <cell r="AM134" t="str">
            <v>N/A</v>
          </cell>
          <cell r="AN134">
            <v>0</v>
          </cell>
          <cell r="AO134">
            <v>0</v>
          </cell>
        </row>
        <row r="135">
          <cell r="A135" t="str">
            <v>24-0372</v>
          </cell>
          <cell r="B135" t="str">
            <v>COMPUTER SUPPLIES/SPAREPARTS</v>
          </cell>
          <cell r="C135" t="str">
            <v>PEO-GA</v>
          </cell>
          <cell r="D135" t="str">
            <v>No</v>
          </cell>
          <cell r="E135" t="str">
            <v>NP-53.9 - Small Value Procurement</v>
          </cell>
          <cell r="F135" t="str">
            <v>N/A</v>
          </cell>
          <cell r="G135">
            <v>45331</v>
          </cell>
          <cell r="H135">
            <v>0</v>
          </cell>
          <cell r="I135" t="str">
            <v>N/A</v>
          </cell>
          <cell r="J135">
            <v>45356</v>
          </cell>
          <cell r="K135">
            <v>45356</v>
          </cell>
          <cell r="L135">
            <v>0</v>
          </cell>
          <cell r="M135" t="str">
            <v>N/A</v>
          </cell>
          <cell r="N135" t="str">
            <v>N/A</v>
          </cell>
          <cell r="O135">
            <v>45357</v>
          </cell>
          <cell r="P135">
            <v>0</v>
          </cell>
          <cell r="Q135">
            <v>0</v>
          </cell>
          <cell r="R135">
            <v>0</v>
          </cell>
          <cell r="S135">
            <v>45357</v>
          </cell>
          <cell r="T135">
            <v>45372</v>
          </cell>
          <cell r="U135">
            <v>45377</v>
          </cell>
          <cell r="V135">
            <v>0</v>
          </cell>
          <cell r="W135">
            <v>0</v>
          </cell>
          <cell r="X135">
            <v>45393</v>
          </cell>
          <cell r="Y135">
            <v>0</v>
          </cell>
          <cell r="Z135">
            <v>0</v>
          </cell>
          <cell r="AA135">
            <v>51316</v>
          </cell>
          <cell r="AB135">
            <v>51316</v>
          </cell>
          <cell r="AC135">
            <v>0</v>
          </cell>
          <cell r="AD135">
            <v>47000</v>
          </cell>
          <cell r="AE135">
            <v>47000</v>
          </cell>
          <cell r="AF135">
            <v>0</v>
          </cell>
          <cell r="AG135" t="str">
            <v>ENGR. MICHAEL C. SALARDA
MS. LEONARDA M. LATOR
MS. CARMENCITA VALDEZ
MS. SORAYA P. VERGARA</v>
          </cell>
          <cell r="AH135" t="str">
            <v>N/A</v>
          </cell>
          <cell r="AI135" t="str">
            <v>N/A</v>
          </cell>
          <cell r="AJ135" t="str">
            <v>N/A</v>
          </cell>
          <cell r="AK135" t="str">
            <v>N/A</v>
          </cell>
          <cell r="AL135" t="str">
            <v>N/A</v>
          </cell>
          <cell r="AM135" t="str">
            <v>N/A</v>
          </cell>
          <cell r="AN135">
            <v>0</v>
          </cell>
          <cell r="AO135">
            <v>0</v>
          </cell>
        </row>
        <row r="136">
          <cell r="A136" t="str">
            <v>24-1318</v>
          </cell>
          <cell r="B136" t="str">
            <v>GARMENTS</v>
          </cell>
          <cell r="C136" t="str">
            <v>SEF</v>
          </cell>
          <cell r="D136" t="str">
            <v>No</v>
          </cell>
          <cell r="E136" t="str">
            <v>NP-53.9 - Small Value Procurement</v>
          </cell>
          <cell r="F136" t="str">
            <v>N/A</v>
          </cell>
          <cell r="G136">
            <v>45344</v>
          </cell>
          <cell r="H136">
            <v>0</v>
          </cell>
          <cell r="I136" t="str">
            <v>N/A</v>
          </cell>
          <cell r="J136">
            <v>45356</v>
          </cell>
          <cell r="K136">
            <v>45356</v>
          </cell>
          <cell r="L136">
            <v>0</v>
          </cell>
          <cell r="M136" t="str">
            <v>N/A</v>
          </cell>
          <cell r="N136" t="str">
            <v>N/A</v>
          </cell>
          <cell r="O136">
            <v>45357</v>
          </cell>
          <cell r="P136">
            <v>0</v>
          </cell>
          <cell r="Q136">
            <v>0</v>
          </cell>
          <cell r="R136">
            <v>0</v>
          </cell>
          <cell r="S136">
            <v>45358</v>
          </cell>
          <cell r="T136">
            <v>45373</v>
          </cell>
          <cell r="U136">
            <v>45390</v>
          </cell>
          <cell r="V136">
            <v>0</v>
          </cell>
          <cell r="W136">
            <v>0</v>
          </cell>
          <cell r="X136">
            <v>45405</v>
          </cell>
          <cell r="Y136">
            <v>0</v>
          </cell>
          <cell r="Z136">
            <v>0</v>
          </cell>
          <cell r="AA136">
            <v>280800</v>
          </cell>
          <cell r="AB136">
            <v>280800</v>
          </cell>
          <cell r="AC136">
            <v>0</v>
          </cell>
          <cell r="AD136">
            <v>280800</v>
          </cell>
          <cell r="AE136">
            <v>280800</v>
          </cell>
          <cell r="AF136">
            <v>0</v>
          </cell>
          <cell r="AG136" t="str">
            <v>ENGR. MICHAEL C. SALARDA
MS. LEONARDA M. LATOR
MS. CARMENCITA VALDEZ
MS. SORAYA P. VERGARA</v>
          </cell>
          <cell r="AH136" t="str">
            <v>N/A</v>
          </cell>
          <cell r="AI136" t="str">
            <v>N/A</v>
          </cell>
          <cell r="AJ136" t="str">
            <v>N/A</v>
          </cell>
          <cell r="AK136" t="str">
            <v>N/A</v>
          </cell>
          <cell r="AL136" t="str">
            <v>N/A</v>
          </cell>
          <cell r="AM136" t="str">
            <v>N/A</v>
          </cell>
          <cell r="AN136">
            <v>0</v>
          </cell>
          <cell r="AO136">
            <v>0</v>
          </cell>
        </row>
        <row r="137">
          <cell r="A137" t="str">
            <v>24-1317</v>
          </cell>
          <cell r="B137" t="str">
            <v>UNIFORM SUPPLIES</v>
          </cell>
          <cell r="C137" t="str">
            <v>SEF</v>
          </cell>
          <cell r="D137" t="str">
            <v>No</v>
          </cell>
          <cell r="E137" t="str">
            <v>NP-53.9 - Small Value Procurement</v>
          </cell>
          <cell r="F137">
            <v>45342</v>
          </cell>
          <cell r="G137">
            <v>45344</v>
          </cell>
          <cell r="H137">
            <v>0</v>
          </cell>
          <cell r="I137" t="str">
            <v>N/A</v>
          </cell>
          <cell r="J137">
            <v>45356</v>
          </cell>
          <cell r="K137">
            <v>45356</v>
          </cell>
          <cell r="L137">
            <v>0</v>
          </cell>
          <cell r="M137" t="str">
            <v>N/A</v>
          </cell>
          <cell r="N137" t="str">
            <v>N/A</v>
          </cell>
          <cell r="O137">
            <v>45357</v>
          </cell>
          <cell r="P137">
            <v>0</v>
          </cell>
          <cell r="Q137">
            <v>0</v>
          </cell>
          <cell r="R137">
            <v>0</v>
          </cell>
          <cell r="S137">
            <v>45358</v>
          </cell>
          <cell r="T137">
            <v>45372</v>
          </cell>
          <cell r="U137">
            <v>45378</v>
          </cell>
          <cell r="V137">
            <v>0</v>
          </cell>
          <cell r="W137">
            <v>0</v>
          </cell>
          <cell r="X137">
            <v>45378</v>
          </cell>
          <cell r="Y137">
            <v>0</v>
          </cell>
          <cell r="Z137">
            <v>0</v>
          </cell>
          <cell r="AA137">
            <v>84000</v>
          </cell>
          <cell r="AB137">
            <v>84000</v>
          </cell>
          <cell r="AC137">
            <v>0</v>
          </cell>
          <cell r="AD137">
            <v>84000</v>
          </cell>
          <cell r="AE137">
            <v>84000</v>
          </cell>
          <cell r="AF137">
            <v>0</v>
          </cell>
          <cell r="AG137" t="str">
            <v>ENGR. MICHAEL C. SALARDA
MS. LEONARDA M. LATOR
MS. CARMENCITA VALDEZ
MS. SORAYA P. VERGARA</v>
          </cell>
          <cell r="AH137" t="str">
            <v>N/A</v>
          </cell>
          <cell r="AI137" t="str">
            <v>N/A</v>
          </cell>
          <cell r="AJ137" t="str">
            <v>N/A</v>
          </cell>
          <cell r="AK137" t="str">
            <v>N/A</v>
          </cell>
          <cell r="AL137" t="str">
            <v>N/A</v>
          </cell>
          <cell r="AM137" t="str">
            <v>N/A</v>
          </cell>
          <cell r="AN137">
            <v>0</v>
          </cell>
          <cell r="AO137">
            <v>0</v>
          </cell>
        </row>
        <row r="138">
          <cell r="A138" t="str">
            <v>24-0203</v>
          </cell>
          <cell r="B138" t="str">
            <v>FOOD/CATERING SERVICES</v>
          </cell>
          <cell r="C138" t="str">
            <v>PGSO</v>
          </cell>
          <cell r="D138" t="str">
            <v>No</v>
          </cell>
          <cell r="E138" t="str">
            <v>NP-53.9 - Small Value Procurement</v>
          </cell>
          <cell r="F138" t="str">
            <v>N/A</v>
          </cell>
          <cell r="G138">
            <v>45344</v>
          </cell>
          <cell r="H138">
            <v>0</v>
          </cell>
          <cell r="I138" t="str">
            <v>N/A</v>
          </cell>
          <cell r="J138">
            <v>45356</v>
          </cell>
          <cell r="K138">
            <v>45356</v>
          </cell>
          <cell r="L138">
            <v>0</v>
          </cell>
          <cell r="M138" t="str">
            <v>N/A</v>
          </cell>
          <cell r="N138" t="str">
            <v>N/A</v>
          </cell>
          <cell r="O138">
            <v>45357</v>
          </cell>
          <cell r="P138">
            <v>0</v>
          </cell>
          <cell r="Q138">
            <v>0</v>
          </cell>
          <cell r="R138">
            <v>0</v>
          </cell>
          <cell r="S138" t="str">
            <v>N/A</v>
          </cell>
          <cell r="T138">
            <v>45376</v>
          </cell>
          <cell r="U138">
            <v>45384</v>
          </cell>
          <cell r="V138">
            <v>0</v>
          </cell>
          <cell r="W138">
            <v>0</v>
          </cell>
          <cell r="X138">
            <v>45418</v>
          </cell>
          <cell r="Y138">
            <v>0</v>
          </cell>
          <cell r="Z138">
            <v>0</v>
          </cell>
          <cell r="AA138">
            <v>12500</v>
          </cell>
          <cell r="AB138">
            <v>12500</v>
          </cell>
          <cell r="AC138">
            <v>0</v>
          </cell>
          <cell r="AD138">
            <v>12150</v>
          </cell>
          <cell r="AE138">
            <v>12150</v>
          </cell>
          <cell r="AF138">
            <v>0</v>
          </cell>
          <cell r="AG138" t="str">
            <v>ENGR. MICHAEL C. SALARDA
MS. LEONARDA M. LATOR
MS. CARMENCITA VALDEZ
MS. SORAYA P. VERGARA</v>
          </cell>
          <cell r="AH138" t="str">
            <v>N/A</v>
          </cell>
          <cell r="AI138" t="str">
            <v>N/A</v>
          </cell>
          <cell r="AJ138" t="str">
            <v>N/A</v>
          </cell>
          <cell r="AK138" t="str">
            <v>N/A</v>
          </cell>
          <cell r="AL138" t="str">
            <v>N/A</v>
          </cell>
          <cell r="AM138" t="str">
            <v>N/A</v>
          </cell>
          <cell r="AN138">
            <v>0</v>
          </cell>
          <cell r="AO138">
            <v>0</v>
          </cell>
        </row>
        <row r="139">
          <cell r="A139" t="str">
            <v>24-C0995</v>
          </cell>
          <cell r="B139" t="str">
            <v>TARPAULIN</v>
          </cell>
          <cell r="C139" t="str">
            <v>PHRMDO</v>
          </cell>
          <cell r="D139" t="str">
            <v>No</v>
          </cell>
          <cell r="E139" t="str">
            <v>NP-53.9 - Small Value Procurement</v>
          </cell>
          <cell r="F139" t="str">
            <v>N/A</v>
          </cell>
          <cell r="G139">
            <v>45344</v>
          </cell>
          <cell r="H139">
            <v>0</v>
          </cell>
          <cell r="I139" t="str">
            <v>N/A</v>
          </cell>
          <cell r="J139">
            <v>45356</v>
          </cell>
          <cell r="K139">
            <v>45356</v>
          </cell>
          <cell r="L139">
            <v>0</v>
          </cell>
          <cell r="M139" t="str">
            <v>N/A</v>
          </cell>
          <cell r="N139" t="str">
            <v>N/A</v>
          </cell>
          <cell r="O139">
            <v>45357</v>
          </cell>
          <cell r="P139">
            <v>0</v>
          </cell>
          <cell r="Q139">
            <v>0</v>
          </cell>
          <cell r="R139">
            <v>0</v>
          </cell>
          <cell r="S139" t="str">
            <v>N/A</v>
          </cell>
          <cell r="T139">
            <v>45366</v>
          </cell>
          <cell r="U139">
            <v>45370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49840</v>
          </cell>
          <cell r="AB139">
            <v>49840</v>
          </cell>
          <cell r="AC139">
            <v>0</v>
          </cell>
          <cell r="AD139">
            <v>48060</v>
          </cell>
          <cell r="AE139">
            <v>48060</v>
          </cell>
          <cell r="AF139">
            <v>0</v>
          </cell>
          <cell r="AG139" t="str">
            <v>ENGR. MICHAEL C. SALARDA
MS. LEONARDA M. LATOR
MS. CARMENCITA VALDEZ
MS. SORAYA P. VERGARA</v>
          </cell>
          <cell r="AH139" t="str">
            <v>N/A</v>
          </cell>
          <cell r="AI139" t="str">
            <v>N/A</v>
          </cell>
          <cell r="AJ139" t="str">
            <v>N/A</v>
          </cell>
          <cell r="AK139" t="str">
            <v>N/A</v>
          </cell>
          <cell r="AL139" t="str">
            <v>N/A</v>
          </cell>
          <cell r="AM139" t="str">
            <v>N/A</v>
          </cell>
          <cell r="AN139">
            <v>0</v>
          </cell>
          <cell r="AO139">
            <v>0</v>
          </cell>
        </row>
        <row r="140">
          <cell r="A140" t="str">
            <v>24-0266</v>
          </cell>
          <cell r="B140" t="str">
            <v>COMPUTER SUPPLIES/SPAREPARTS</v>
          </cell>
          <cell r="C140" t="str">
            <v>PGO</v>
          </cell>
          <cell r="D140" t="str">
            <v>No</v>
          </cell>
          <cell r="E140" t="str">
            <v>NP-53.9 - Small Value Procurement</v>
          </cell>
          <cell r="F140" t="str">
            <v>N/A</v>
          </cell>
          <cell r="G140">
            <v>45344</v>
          </cell>
          <cell r="H140">
            <v>0</v>
          </cell>
          <cell r="I140" t="str">
            <v>N/A</v>
          </cell>
          <cell r="J140">
            <v>45356</v>
          </cell>
          <cell r="K140">
            <v>45356</v>
          </cell>
          <cell r="L140">
            <v>0</v>
          </cell>
          <cell r="M140" t="str">
            <v>N/A</v>
          </cell>
          <cell r="N140" t="str">
            <v>N/A</v>
          </cell>
          <cell r="O140">
            <v>45357</v>
          </cell>
          <cell r="P140">
            <v>0</v>
          </cell>
          <cell r="Q140">
            <v>0</v>
          </cell>
          <cell r="R140">
            <v>0</v>
          </cell>
          <cell r="S140" t="str">
            <v>N/A</v>
          </cell>
          <cell r="T140">
            <v>45371</v>
          </cell>
          <cell r="U140">
            <v>45372</v>
          </cell>
          <cell r="V140">
            <v>0</v>
          </cell>
          <cell r="W140">
            <v>0</v>
          </cell>
          <cell r="X140">
            <v>45398</v>
          </cell>
          <cell r="Y140">
            <v>0</v>
          </cell>
          <cell r="Z140">
            <v>0</v>
          </cell>
          <cell r="AA140">
            <v>7950</v>
          </cell>
          <cell r="AB140">
            <v>7950</v>
          </cell>
          <cell r="AC140">
            <v>0</v>
          </cell>
          <cell r="AD140">
            <v>7875</v>
          </cell>
          <cell r="AE140">
            <v>7875</v>
          </cell>
          <cell r="AF140">
            <v>0</v>
          </cell>
          <cell r="AG140" t="str">
            <v>ENGR. MICHAEL C. SALARDA
MS. LEONARDA M. LATOR
MS. CARMENCITA VALDEZ
MS. SORAYA P. VERGARA</v>
          </cell>
          <cell r="AH140" t="str">
            <v>N/A</v>
          </cell>
          <cell r="AI140" t="str">
            <v>N/A</v>
          </cell>
          <cell r="AJ140" t="str">
            <v>N/A</v>
          </cell>
          <cell r="AK140" t="str">
            <v>N/A</v>
          </cell>
          <cell r="AL140" t="str">
            <v>N/A</v>
          </cell>
          <cell r="AM140" t="str">
            <v>N/A</v>
          </cell>
          <cell r="AN140">
            <v>0</v>
          </cell>
          <cell r="AO140">
            <v>0</v>
          </cell>
        </row>
        <row r="141">
          <cell r="A141" t="str">
            <v>24-0434</v>
          </cell>
          <cell r="B141" t="str">
            <v>AGRICULTURAL SUPPLIES</v>
          </cell>
          <cell r="C141" t="str">
            <v>PENRO</v>
          </cell>
          <cell r="D141" t="str">
            <v>No</v>
          </cell>
          <cell r="E141" t="str">
            <v>NP-53.9 - Small Value Procurement</v>
          </cell>
          <cell r="F141" t="str">
            <v>N/A</v>
          </cell>
          <cell r="G141">
            <v>45344</v>
          </cell>
          <cell r="H141">
            <v>0</v>
          </cell>
          <cell r="I141" t="str">
            <v>N/A</v>
          </cell>
          <cell r="J141">
            <v>45356</v>
          </cell>
          <cell r="K141">
            <v>45356</v>
          </cell>
          <cell r="L141">
            <v>0</v>
          </cell>
          <cell r="M141" t="str">
            <v>N/A</v>
          </cell>
          <cell r="N141" t="str">
            <v>N/A</v>
          </cell>
          <cell r="O141">
            <v>45357</v>
          </cell>
          <cell r="P141">
            <v>0</v>
          </cell>
          <cell r="Q141">
            <v>0</v>
          </cell>
          <cell r="R141">
            <v>0</v>
          </cell>
          <cell r="S141" t="str">
            <v>N/A</v>
          </cell>
          <cell r="T141">
            <v>45372</v>
          </cell>
          <cell r="U141">
            <v>45373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6348</v>
          </cell>
          <cell r="AB141">
            <v>6348</v>
          </cell>
          <cell r="AC141">
            <v>0</v>
          </cell>
          <cell r="AD141">
            <v>6320</v>
          </cell>
          <cell r="AE141">
            <v>6320</v>
          </cell>
          <cell r="AF141">
            <v>0</v>
          </cell>
          <cell r="AG141" t="str">
            <v>ENGR. MICHAEL C. SALARDA
MS. LEONARDA M. LATOR
MS. CARMENCITA VALDEZ
MS. SORAYA P. VERGARA</v>
          </cell>
          <cell r="AH141" t="str">
            <v>N/A</v>
          </cell>
          <cell r="AI141" t="str">
            <v>N/A</v>
          </cell>
          <cell r="AJ141" t="str">
            <v>N/A</v>
          </cell>
          <cell r="AK141" t="str">
            <v>N/A</v>
          </cell>
          <cell r="AL141" t="str">
            <v>N/A</v>
          </cell>
          <cell r="AM141" t="str">
            <v>N/A</v>
          </cell>
          <cell r="AN141">
            <v>0</v>
          </cell>
          <cell r="AO141">
            <v>0</v>
          </cell>
        </row>
        <row r="142">
          <cell r="A142" t="str">
            <v>24-0033</v>
          </cell>
          <cell r="B142" t="str">
            <v>GARMENTS</v>
          </cell>
          <cell r="C142" t="str">
            <v>PTO</v>
          </cell>
          <cell r="D142" t="str">
            <v>No</v>
          </cell>
          <cell r="E142" t="str">
            <v>NP-53.9 - Small Value Procurement</v>
          </cell>
          <cell r="F142" t="str">
            <v>N/A</v>
          </cell>
          <cell r="G142">
            <v>45344</v>
          </cell>
          <cell r="H142">
            <v>0</v>
          </cell>
          <cell r="I142" t="str">
            <v>N/A</v>
          </cell>
          <cell r="J142">
            <v>45356</v>
          </cell>
          <cell r="K142">
            <v>45356</v>
          </cell>
          <cell r="L142">
            <v>0</v>
          </cell>
          <cell r="M142" t="str">
            <v>N/A</v>
          </cell>
          <cell r="N142" t="str">
            <v>N/A</v>
          </cell>
          <cell r="O142">
            <v>45357</v>
          </cell>
          <cell r="P142">
            <v>0</v>
          </cell>
          <cell r="Q142">
            <v>0</v>
          </cell>
          <cell r="R142">
            <v>0</v>
          </cell>
          <cell r="S142" t="str">
            <v>N/A</v>
          </cell>
          <cell r="T142">
            <v>45370</v>
          </cell>
          <cell r="U142">
            <v>45377</v>
          </cell>
          <cell r="V142">
            <v>0</v>
          </cell>
          <cell r="W142">
            <v>0</v>
          </cell>
          <cell r="X142">
            <v>45407</v>
          </cell>
          <cell r="Y142">
            <v>0</v>
          </cell>
          <cell r="Z142">
            <v>0</v>
          </cell>
          <cell r="AA142">
            <v>35000</v>
          </cell>
          <cell r="AB142">
            <v>35000</v>
          </cell>
          <cell r="AC142">
            <v>0</v>
          </cell>
          <cell r="AD142">
            <v>32900</v>
          </cell>
          <cell r="AE142">
            <v>32900</v>
          </cell>
          <cell r="AF142">
            <v>0</v>
          </cell>
          <cell r="AG142" t="str">
            <v>ENGR. MICHAEL C. SALARDA
MS. LEONARDA M. LATOR
MS. CARMENCITA VALDEZ
MS. SORAYA P. VERGARA</v>
          </cell>
          <cell r="AH142" t="str">
            <v>N/A</v>
          </cell>
          <cell r="AI142" t="str">
            <v>N/A</v>
          </cell>
          <cell r="AJ142" t="str">
            <v>N/A</v>
          </cell>
          <cell r="AK142" t="str">
            <v>N/A</v>
          </cell>
          <cell r="AL142" t="str">
            <v>N/A</v>
          </cell>
          <cell r="AM142" t="str">
            <v>N/A</v>
          </cell>
          <cell r="AN142">
            <v>0</v>
          </cell>
          <cell r="AO142">
            <v>0</v>
          </cell>
        </row>
        <row r="143">
          <cell r="A143" t="str">
            <v>24-0126</v>
          </cell>
          <cell r="B143" t="str">
            <v>LUMBER</v>
          </cell>
          <cell r="C143" t="str">
            <v>SEF</v>
          </cell>
          <cell r="D143" t="str">
            <v>No</v>
          </cell>
          <cell r="E143" t="str">
            <v>NP-53.9 - Small Value Procurement</v>
          </cell>
          <cell r="F143">
            <v>45322</v>
          </cell>
          <cell r="G143">
            <v>45324</v>
          </cell>
          <cell r="H143">
            <v>0</v>
          </cell>
          <cell r="I143" t="str">
            <v>N/A</v>
          </cell>
          <cell r="J143">
            <v>45356</v>
          </cell>
          <cell r="K143">
            <v>45356</v>
          </cell>
          <cell r="L143">
            <v>0</v>
          </cell>
          <cell r="M143" t="str">
            <v>N/A</v>
          </cell>
          <cell r="N143" t="str">
            <v>N/A</v>
          </cell>
          <cell r="O143">
            <v>45357</v>
          </cell>
          <cell r="P143">
            <v>0</v>
          </cell>
          <cell r="Q143">
            <v>0</v>
          </cell>
          <cell r="R143">
            <v>0</v>
          </cell>
          <cell r="S143" t="str">
            <v>N/A</v>
          </cell>
          <cell r="T143">
            <v>45372</v>
          </cell>
          <cell r="U143">
            <v>45377</v>
          </cell>
          <cell r="V143">
            <v>0</v>
          </cell>
          <cell r="W143">
            <v>0</v>
          </cell>
          <cell r="X143">
            <v>45457</v>
          </cell>
          <cell r="Y143">
            <v>0</v>
          </cell>
          <cell r="Z143">
            <v>0</v>
          </cell>
          <cell r="AA143">
            <v>2256</v>
          </cell>
          <cell r="AB143">
            <v>2256</v>
          </cell>
          <cell r="AC143">
            <v>0</v>
          </cell>
          <cell r="AD143">
            <v>2256</v>
          </cell>
          <cell r="AE143">
            <v>2256</v>
          </cell>
          <cell r="AF143">
            <v>0</v>
          </cell>
          <cell r="AG143" t="str">
            <v>ENGR. MICHAEL C. SALARDA
MS. LEONARDA M. LATOR
MS. CARMENCITA VALDEZ
MS. SORAYA P. VERGARA</v>
          </cell>
          <cell r="AH143" t="str">
            <v>N/A</v>
          </cell>
          <cell r="AI143" t="str">
            <v>N/A</v>
          </cell>
          <cell r="AJ143" t="str">
            <v>N/A</v>
          </cell>
          <cell r="AK143" t="str">
            <v>N/A</v>
          </cell>
          <cell r="AL143" t="str">
            <v>N/A</v>
          </cell>
          <cell r="AM143" t="str">
            <v>N/A</v>
          </cell>
          <cell r="AN143">
            <v>0</v>
          </cell>
          <cell r="AO143">
            <v>0</v>
          </cell>
        </row>
        <row r="144">
          <cell r="A144" t="str">
            <v>24-C1008</v>
          </cell>
          <cell r="B144" t="str">
            <v>SPAREPARTS (FARM MACHINERIES AND EQUIPMENT)</v>
          </cell>
          <cell r="C144" t="str">
            <v>PVO</v>
          </cell>
          <cell r="D144" t="str">
            <v>No</v>
          </cell>
          <cell r="E144" t="str">
            <v>NP-53.9 - Small Value Procurement</v>
          </cell>
          <cell r="F144" t="str">
            <v>N/A</v>
          </cell>
          <cell r="G144">
            <v>45331</v>
          </cell>
          <cell r="H144">
            <v>0</v>
          </cell>
          <cell r="I144" t="str">
            <v>N/A</v>
          </cell>
          <cell r="J144">
            <v>45356</v>
          </cell>
          <cell r="K144">
            <v>45356</v>
          </cell>
          <cell r="L144">
            <v>0</v>
          </cell>
          <cell r="M144" t="str">
            <v>N/A</v>
          </cell>
          <cell r="N144" t="str">
            <v>N/A</v>
          </cell>
          <cell r="O144">
            <v>45357</v>
          </cell>
          <cell r="P144">
            <v>0</v>
          </cell>
          <cell r="Q144">
            <v>0</v>
          </cell>
          <cell r="R144">
            <v>0</v>
          </cell>
          <cell r="S144" t="str">
            <v>N/A</v>
          </cell>
          <cell r="T144">
            <v>45370</v>
          </cell>
          <cell r="U144">
            <v>45376</v>
          </cell>
          <cell r="V144">
            <v>0</v>
          </cell>
          <cell r="W144">
            <v>0</v>
          </cell>
          <cell r="X144">
            <v>45415</v>
          </cell>
          <cell r="Y144">
            <v>0</v>
          </cell>
          <cell r="Z144">
            <v>0</v>
          </cell>
          <cell r="AA144">
            <v>2932</v>
          </cell>
          <cell r="AB144">
            <v>2932</v>
          </cell>
          <cell r="AC144">
            <v>0</v>
          </cell>
          <cell r="AD144">
            <v>2930</v>
          </cell>
          <cell r="AE144">
            <v>2930</v>
          </cell>
          <cell r="AF144">
            <v>0</v>
          </cell>
          <cell r="AG144" t="str">
            <v>ENGR. MICHAEL C. SALARDA
MS. LEONARDA M. LATOR
MS. CARMENCITA VALDEZ
MS. SORAYA P. VERGARA</v>
          </cell>
          <cell r="AH144" t="str">
            <v>N/A</v>
          </cell>
          <cell r="AI144" t="str">
            <v>N/A</v>
          </cell>
          <cell r="AJ144" t="str">
            <v>N/A</v>
          </cell>
          <cell r="AK144" t="str">
            <v>N/A</v>
          </cell>
          <cell r="AL144" t="str">
            <v>N/A</v>
          </cell>
          <cell r="AM144" t="str">
            <v>N/A</v>
          </cell>
          <cell r="AN144">
            <v>0</v>
          </cell>
          <cell r="AO144">
            <v>0</v>
          </cell>
        </row>
        <row r="145">
          <cell r="A145" t="str">
            <v>24-C1029</v>
          </cell>
          <cell r="B145" t="str">
            <v>FURNITURE &amp; FIXTURES</v>
          </cell>
          <cell r="C145" t="str">
            <v>PICTO</v>
          </cell>
          <cell r="D145" t="str">
            <v>No</v>
          </cell>
          <cell r="E145" t="str">
            <v>NP-53.9 - Small Value Procurement</v>
          </cell>
          <cell r="F145" t="str">
            <v>N/A</v>
          </cell>
          <cell r="G145">
            <v>45335</v>
          </cell>
          <cell r="H145">
            <v>0</v>
          </cell>
          <cell r="I145" t="str">
            <v>N/A</v>
          </cell>
          <cell r="J145">
            <v>45356</v>
          </cell>
          <cell r="K145">
            <v>45356</v>
          </cell>
          <cell r="L145">
            <v>0</v>
          </cell>
          <cell r="M145" t="str">
            <v>N/A</v>
          </cell>
          <cell r="N145" t="str">
            <v>N/A</v>
          </cell>
          <cell r="O145">
            <v>45357</v>
          </cell>
          <cell r="P145">
            <v>0</v>
          </cell>
          <cell r="Q145">
            <v>0</v>
          </cell>
          <cell r="R145">
            <v>0</v>
          </cell>
          <cell r="S145" t="str">
            <v>N/A</v>
          </cell>
          <cell r="T145">
            <v>45366</v>
          </cell>
          <cell r="U145">
            <v>45370</v>
          </cell>
          <cell r="V145">
            <v>0</v>
          </cell>
          <cell r="W145">
            <v>0</v>
          </cell>
          <cell r="X145">
            <v>45384</v>
          </cell>
          <cell r="Y145">
            <v>0</v>
          </cell>
          <cell r="Z145">
            <v>0</v>
          </cell>
          <cell r="AA145">
            <v>48600</v>
          </cell>
          <cell r="AB145">
            <v>48600</v>
          </cell>
          <cell r="AC145">
            <v>0</v>
          </cell>
          <cell r="AD145">
            <v>47630</v>
          </cell>
          <cell r="AE145">
            <v>47630</v>
          </cell>
          <cell r="AF145">
            <v>0</v>
          </cell>
          <cell r="AG145" t="str">
            <v>ENGR. MICHAEL C. SALARDA
MS. LEONARDA M. LATOR
MS. CARMENCITA VALDEZ
MS. SORAYA P. VERGARA</v>
          </cell>
          <cell r="AH145" t="str">
            <v>N/A</v>
          </cell>
          <cell r="AI145" t="str">
            <v>N/A</v>
          </cell>
          <cell r="AJ145" t="str">
            <v>N/A</v>
          </cell>
          <cell r="AK145" t="str">
            <v>N/A</v>
          </cell>
          <cell r="AL145" t="str">
            <v>N/A</v>
          </cell>
          <cell r="AM145" t="str">
            <v>N/A</v>
          </cell>
          <cell r="AN145">
            <v>0</v>
          </cell>
          <cell r="AO145">
            <v>0</v>
          </cell>
        </row>
        <row r="146">
          <cell r="A146" t="str">
            <v>24-0098</v>
          </cell>
          <cell r="B146" t="str">
            <v>SAFETY GEARS &amp; EQUIPMENT</v>
          </cell>
          <cell r="C146" t="str">
            <v>SEF</v>
          </cell>
          <cell r="D146" t="str">
            <v>No</v>
          </cell>
          <cell r="E146" t="str">
            <v>NP-53.9 - Small Value Procurement</v>
          </cell>
          <cell r="F146">
            <v>45322</v>
          </cell>
          <cell r="G146">
            <v>45324</v>
          </cell>
          <cell r="H146">
            <v>0</v>
          </cell>
          <cell r="I146" t="str">
            <v>N/A</v>
          </cell>
          <cell r="J146">
            <v>45356</v>
          </cell>
          <cell r="K146">
            <v>45356</v>
          </cell>
          <cell r="L146">
            <v>0</v>
          </cell>
          <cell r="M146" t="str">
            <v>N/A</v>
          </cell>
          <cell r="N146" t="str">
            <v>N/A</v>
          </cell>
          <cell r="O146">
            <v>45357</v>
          </cell>
          <cell r="P146">
            <v>0</v>
          </cell>
          <cell r="Q146">
            <v>0</v>
          </cell>
          <cell r="R146">
            <v>0</v>
          </cell>
          <cell r="S146" t="str">
            <v>N/A</v>
          </cell>
          <cell r="T146">
            <v>45373</v>
          </cell>
          <cell r="U146">
            <v>45377</v>
          </cell>
          <cell r="V146">
            <v>0</v>
          </cell>
          <cell r="W146">
            <v>0</v>
          </cell>
          <cell r="X146">
            <v>45384</v>
          </cell>
          <cell r="Y146">
            <v>0</v>
          </cell>
          <cell r="Z146">
            <v>0</v>
          </cell>
          <cell r="AA146">
            <v>1925</v>
          </cell>
          <cell r="AB146">
            <v>1925</v>
          </cell>
          <cell r="AC146">
            <v>0</v>
          </cell>
          <cell r="AD146">
            <v>1895</v>
          </cell>
          <cell r="AE146">
            <v>1895</v>
          </cell>
          <cell r="AF146">
            <v>0</v>
          </cell>
          <cell r="AG146" t="str">
            <v>ENGR. MICHAEL C. SALARDA
MS. LEONARDA M. LATOR
MS. CARMENCITA VALDEZ
MS. SORAYA P. VERGARA</v>
          </cell>
          <cell r="AH146" t="str">
            <v>N/A</v>
          </cell>
          <cell r="AI146" t="str">
            <v>N/A</v>
          </cell>
          <cell r="AJ146" t="str">
            <v>N/A</v>
          </cell>
          <cell r="AK146" t="str">
            <v>N/A</v>
          </cell>
          <cell r="AL146" t="str">
            <v>N/A</v>
          </cell>
          <cell r="AM146" t="str">
            <v>N/A</v>
          </cell>
          <cell r="AN146">
            <v>0</v>
          </cell>
          <cell r="AO146">
            <v>0</v>
          </cell>
        </row>
        <row r="147">
          <cell r="A147" t="str">
            <v>24-0497</v>
          </cell>
          <cell r="B147" t="str">
            <v>SAFETY GEARS &amp; EQUIPMENT</v>
          </cell>
          <cell r="C147" t="str">
            <v>PEO</v>
          </cell>
          <cell r="D147" t="str">
            <v>No</v>
          </cell>
          <cell r="E147" t="str">
            <v>NP-53.9 - Small Value Procurement</v>
          </cell>
          <cell r="F147">
            <v>45330</v>
          </cell>
          <cell r="G147">
            <v>45335</v>
          </cell>
          <cell r="H147">
            <v>0</v>
          </cell>
          <cell r="I147" t="str">
            <v>N/A</v>
          </cell>
          <cell r="J147">
            <v>45356</v>
          </cell>
          <cell r="K147">
            <v>45356</v>
          </cell>
          <cell r="L147">
            <v>0</v>
          </cell>
          <cell r="M147" t="str">
            <v>N/A</v>
          </cell>
          <cell r="N147" t="str">
            <v>N/A</v>
          </cell>
          <cell r="O147">
            <v>45357</v>
          </cell>
          <cell r="P147">
            <v>0</v>
          </cell>
          <cell r="Q147">
            <v>0</v>
          </cell>
          <cell r="R147">
            <v>0</v>
          </cell>
          <cell r="S147" t="str">
            <v>N/A</v>
          </cell>
          <cell r="T147">
            <v>45372</v>
          </cell>
          <cell r="U147">
            <v>45377</v>
          </cell>
          <cell r="V147">
            <v>0</v>
          </cell>
          <cell r="W147">
            <v>0</v>
          </cell>
          <cell r="X147">
            <v>45384</v>
          </cell>
          <cell r="Y147">
            <v>0</v>
          </cell>
          <cell r="Z147">
            <v>0</v>
          </cell>
          <cell r="AA147">
            <v>1925</v>
          </cell>
          <cell r="AB147">
            <v>1925</v>
          </cell>
          <cell r="AC147">
            <v>0</v>
          </cell>
          <cell r="AD147">
            <v>1895</v>
          </cell>
          <cell r="AE147">
            <v>1895</v>
          </cell>
          <cell r="AF147">
            <v>0</v>
          </cell>
          <cell r="AG147" t="str">
            <v>ENGR. MICHAEL C. SALARDA
MS. LEONARDA M. LATOR
MS. CARMENCITA VALDEZ
MS. SORAYA P. VERGARA</v>
          </cell>
          <cell r="AH147" t="str">
            <v>N/A</v>
          </cell>
          <cell r="AI147" t="str">
            <v>N/A</v>
          </cell>
          <cell r="AJ147" t="str">
            <v>N/A</v>
          </cell>
          <cell r="AK147" t="str">
            <v>N/A</v>
          </cell>
          <cell r="AL147" t="str">
            <v>N/A</v>
          </cell>
          <cell r="AM147" t="str">
            <v>N/A</v>
          </cell>
          <cell r="AN147">
            <v>0</v>
          </cell>
          <cell r="AO147">
            <v>0</v>
          </cell>
        </row>
        <row r="148">
          <cell r="A148" t="str">
            <v>24-0040</v>
          </cell>
          <cell r="B148" t="str">
            <v>LUMBER</v>
          </cell>
          <cell r="C148" t="str">
            <v>SEF</v>
          </cell>
          <cell r="D148" t="str">
            <v>No</v>
          </cell>
          <cell r="E148" t="str">
            <v>NP-53.9 - Small Value Procurement</v>
          </cell>
          <cell r="F148">
            <v>45322</v>
          </cell>
          <cell r="G148">
            <v>45324</v>
          </cell>
          <cell r="H148">
            <v>0</v>
          </cell>
          <cell r="I148" t="str">
            <v>N/A</v>
          </cell>
          <cell r="J148">
            <v>45356</v>
          </cell>
          <cell r="K148">
            <v>45356</v>
          </cell>
          <cell r="L148">
            <v>0</v>
          </cell>
          <cell r="M148" t="str">
            <v>N/A</v>
          </cell>
          <cell r="N148" t="str">
            <v>N/A</v>
          </cell>
          <cell r="O148">
            <v>45357</v>
          </cell>
          <cell r="P148">
            <v>0</v>
          </cell>
          <cell r="Q148">
            <v>0</v>
          </cell>
          <cell r="R148">
            <v>0</v>
          </cell>
          <cell r="S148" t="str">
            <v>N/A</v>
          </cell>
          <cell r="T148">
            <v>45372</v>
          </cell>
          <cell r="U148">
            <v>45377</v>
          </cell>
          <cell r="V148">
            <v>0</v>
          </cell>
          <cell r="W148">
            <v>0</v>
          </cell>
          <cell r="X148">
            <v>45429</v>
          </cell>
          <cell r="Y148">
            <v>0</v>
          </cell>
          <cell r="Z148">
            <v>0</v>
          </cell>
          <cell r="AA148">
            <v>3552</v>
          </cell>
          <cell r="AB148">
            <v>0</v>
          </cell>
          <cell r="AC148">
            <v>3552</v>
          </cell>
          <cell r="AD148">
            <v>3552</v>
          </cell>
          <cell r="AE148">
            <v>0</v>
          </cell>
          <cell r="AF148">
            <v>3552</v>
          </cell>
          <cell r="AG148" t="str">
            <v>ENGR. MICHAEL C. SALARDA
MS. LEONARDA M. LATOR
MS. CARMENCITA VALDEZ
MS. SORAYA P. VERGARA</v>
          </cell>
          <cell r="AH148" t="str">
            <v>N/A</v>
          </cell>
          <cell r="AI148" t="str">
            <v>N/A</v>
          </cell>
          <cell r="AJ148" t="str">
            <v>N/A</v>
          </cell>
          <cell r="AK148" t="str">
            <v>N/A</v>
          </cell>
          <cell r="AL148" t="str">
            <v>N/A</v>
          </cell>
          <cell r="AM148" t="str">
            <v>N/A</v>
          </cell>
          <cell r="AN148">
            <v>0</v>
          </cell>
          <cell r="AO148">
            <v>0</v>
          </cell>
        </row>
        <row r="149">
          <cell r="A149" t="str">
            <v>24-C1007</v>
          </cell>
          <cell r="B149" t="str">
            <v>FOOD SUPPLIES</v>
          </cell>
          <cell r="C149" t="str">
            <v>PEEMO</v>
          </cell>
          <cell r="D149" t="str">
            <v>No</v>
          </cell>
          <cell r="E149" t="str">
            <v>NP-53.9 - Small Value Procurement</v>
          </cell>
          <cell r="F149">
            <v>45335</v>
          </cell>
          <cell r="G149">
            <v>45337</v>
          </cell>
          <cell r="H149">
            <v>0</v>
          </cell>
          <cell r="I149" t="str">
            <v>N/A</v>
          </cell>
          <cell r="J149">
            <v>45356</v>
          </cell>
          <cell r="K149">
            <v>45356</v>
          </cell>
          <cell r="L149">
            <v>0</v>
          </cell>
          <cell r="M149" t="str">
            <v>N/A</v>
          </cell>
          <cell r="N149" t="str">
            <v>N/A</v>
          </cell>
          <cell r="O149">
            <v>45357</v>
          </cell>
          <cell r="P149">
            <v>0</v>
          </cell>
          <cell r="Q149">
            <v>0</v>
          </cell>
          <cell r="R149">
            <v>0</v>
          </cell>
          <cell r="S149">
            <v>45357</v>
          </cell>
          <cell r="T149">
            <v>45373</v>
          </cell>
          <cell r="U149">
            <v>45373</v>
          </cell>
          <cell r="V149">
            <v>0</v>
          </cell>
          <cell r="W149">
            <v>0</v>
          </cell>
          <cell r="X149">
            <v>45383</v>
          </cell>
          <cell r="Y149">
            <v>0</v>
          </cell>
          <cell r="Z149">
            <v>0</v>
          </cell>
          <cell r="AA149">
            <v>134344</v>
          </cell>
          <cell r="AB149">
            <v>0</v>
          </cell>
          <cell r="AC149">
            <v>134344</v>
          </cell>
          <cell r="AD149">
            <v>133132</v>
          </cell>
          <cell r="AE149">
            <v>0</v>
          </cell>
          <cell r="AF149">
            <v>133132</v>
          </cell>
          <cell r="AG149" t="str">
            <v>ENGR. MICHAEL C. SALARDA
MS. LEONARDA M. LATOR
MS. CARMENCITA VALDEZ
MS. SORAYA P. VERGARA</v>
          </cell>
          <cell r="AH149" t="str">
            <v>N/A</v>
          </cell>
          <cell r="AI149" t="str">
            <v>N/A</v>
          </cell>
          <cell r="AJ149" t="str">
            <v>N/A</v>
          </cell>
          <cell r="AK149" t="str">
            <v>N/A</v>
          </cell>
          <cell r="AL149" t="str">
            <v>N/A</v>
          </cell>
          <cell r="AM149" t="str">
            <v>N/A</v>
          </cell>
          <cell r="AN149">
            <v>0</v>
          </cell>
          <cell r="AO149">
            <v>0</v>
          </cell>
        </row>
        <row r="150">
          <cell r="A150" t="str">
            <v>24-0878</v>
          </cell>
          <cell r="B150" t="str">
            <v>WATER</v>
          </cell>
          <cell r="C150" t="str">
            <v>SPO</v>
          </cell>
          <cell r="D150" t="str">
            <v>No</v>
          </cell>
          <cell r="E150" t="str">
            <v>NP-53.9 - Small Value Procurement</v>
          </cell>
          <cell r="F150" t="str">
            <v>N/A</v>
          </cell>
          <cell r="G150">
            <v>45337</v>
          </cell>
          <cell r="H150">
            <v>0</v>
          </cell>
          <cell r="I150" t="str">
            <v>N/A</v>
          </cell>
          <cell r="J150">
            <v>45356</v>
          </cell>
          <cell r="K150">
            <v>45356</v>
          </cell>
          <cell r="L150">
            <v>0</v>
          </cell>
          <cell r="M150" t="str">
            <v>N/A</v>
          </cell>
          <cell r="N150" t="str">
            <v>N/A</v>
          </cell>
          <cell r="O150">
            <v>45357</v>
          </cell>
          <cell r="P150">
            <v>0</v>
          </cell>
          <cell r="Q150">
            <v>0</v>
          </cell>
          <cell r="R150">
            <v>0</v>
          </cell>
          <cell r="S150" t="str">
            <v>N/A</v>
          </cell>
          <cell r="T150">
            <v>45372</v>
          </cell>
          <cell r="U150">
            <v>45420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4961</v>
          </cell>
          <cell r="AB150">
            <v>0</v>
          </cell>
          <cell r="AC150">
            <v>4961</v>
          </cell>
          <cell r="AD150">
            <v>4840</v>
          </cell>
          <cell r="AE150">
            <v>0</v>
          </cell>
          <cell r="AF150">
            <v>4840</v>
          </cell>
          <cell r="AG150" t="str">
            <v>ENGR. MICHAEL C. SALARDA
MS. LEONARDA M. LATOR
MS. CARMENCITA VALDEZ
MS. SORAYA P. VERGARA</v>
          </cell>
          <cell r="AH150" t="str">
            <v>N/A</v>
          </cell>
          <cell r="AI150" t="str">
            <v>N/A</v>
          </cell>
          <cell r="AJ150" t="str">
            <v>N/A</v>
          </cell>
          <cell r="AK150" t="str">
            <v>N/A</v>
          </cell>
          <cell r="AL150" t="str">
            <v>N/A</v>
          </cell>
          <cell r="AM150" t="str">
            <v>N/A</v>
          </cell>
          <cell r="AN150">
            <v>0</v>
          </cell>
          <cell r="AO150">
            <v>0</v>
          </cell>
        </row>
        <row r="151">
          <cell r="A151" t="str">
            <v>24-C0982</v>
          </cell>
          <cell r="B151" t="str">
            <v>FUEL, OIL, AND LUBRICANTS</v>
          </cell>
          <cell r="C151" t="str">
            <v>PEEMO</v>
          </cell>
          <cell r="D151" t="str">
            <v>No</v>
          </cell>
          <cell r="E151" t="str">
            <v>NP-53.9 - Small Value Procurement</v>
          </cell>
          <cell r="F151">
            <v>45342</v>
          </cell>
          <cell r="G151">
            <v>45344</v>
          </cell>
          <cell r="H151">
            <v>0</v>
          </cell>
          <cell r="I151" t="str">
            <v>N/A</v>
          </cell>
          <cell r="J151">
            <v>45356</v>
          </cell>
          <cell r="K151">
            <v>45356</v>
          </cell>
          <cell r="L151">
            <v>0</v>
          </cell>
          <cell r="M151" t="str">
            <v>N/A</v>
          </cell>
          <cell r="N151" t="str">
            <v>N/A</v>
          </cell>
          <cell r="O151">
            <v>45357</v>
          </cell>
          <cell r="P151">
            <v>0</v>
          </cell>
          <cell r="Q151">
            <v>0</v>
          </cell>
          <cell r="R151">
            <v>0</v>
          </cell>
          <cell r="S151">
            <v>45357</v>
          </cell>
          <cell r="T151">
            <v>45387</v>
          </cell>
          <cell r="U151">
            <v>45390</v>
          </cell>
          <cell r="V151">
            <v>0</v>
          </cell>
          <cell r="W151">
            <v>0</v>
          </cell>
          <cell r="X151">
            <v>45390</v>
          </cell>
          <cell r="Y151">
            <v>0</v>
          </cell>
          <cell r="Z151">
            <v>0</v>
          </cell>
          <cell r="AA151">
            <v>153240.79999999999</v>
          </cell>
          <cell r="AB151">
            <v>0</v>
          </cell>
          <cell r="AC151">
            <v>153240.79999999999</v>
          </cell>
          <cell r="AD151">
            <v>147415</v>
          </cell>
          <cell r="AE151">
            <v>0</v>
          </cell>
          <cell r="AF151">
            <v>147415</v>
          </cell>
          <cell r="AG151" t="str">
            <v>ENGR. MICHAEL C. SALARDA
MS. LEONARDA M. LATOR
MS. CARMENCITA VALDEZ
MS. SORAYA P. VERGARA</v>
          </cell>
          <cell r="AH151" t="str">
            <v>N/A</v>
          </cell>
          <cell r="AI151" t="str">
            <v>N/A</v>
          </cell>
          <cell r="AJ151" t="str">
            <v>N/A</v>
          </cell>
          <cell r="AK151" t="str">
            <v>N/A</v>
          </cell>
          <cell r="AL151" t="str">
            <v>N/A</v>
          </cell>
          <cell r="AM151" t="str">
            <v>N/A</v>
          </cell>
          <cell r="AN151">
            <v>0</v>
          </cell>
          <cell r="AO151">
            <v>0</v>
          </cell>
        </row>
        <row r="152">
          <cell r="A152" t="str">
            <v>24-C0956</v>
          </cell>
          <cell r="B152" t="str">
            <v>SAFETY GEARS</v>
          </cell>
          <cell r="C152" t="str">
            <v>PEEMO</v>
          </cell>
          <cell r="D152" t="str">
            <v>No</v>
          </cell>
          <cell r="E152" t="str">
            <v>NP-53.9 - Small Value Procurement</v>
          </cell>
          <cell r="F152">
            <v>45342</v>
          </cell>
          <cell r="G152">
            <v>45344</v>
          </cell>
          <cell r="H152">
            <v>0</v>
          </cell>
          <cell r="I152" t="str">
            <v>N/A</v>
          </cell>
          <cell r="J152">
            <v>45356</v>
          </cell>
          <cell r="K152">
            <v>45356</v>
          </cell>
          <cell r="L152">
            <v>0</v>
          </cell>
          <cell r="M152" t="str">
            <v>N/A</v>
          </cell>
          <cell r="N152" t="str">
            <v>N/A</v>
          </cell>
          <cell r="O152">
            <v>45357</v>
          </cell>
          <cell r="P152">
            <v>0</v>
          </cell>
          <cell r="Q152">
            <v>0</v>
          </cell>
          <cell r="R152">
            <v>0</v>
          </cell>
          <cell r="S152" t="str">
            <v>N/A</v>
          </cell>
          <cell r="T152">
            <v>45372</v>
          </cell>
          <cell r="U152">
            <v>45373</v>
          </cell>
          <cell r="V152">
            <v>0</v>
          </cell>
          <cell r="W152">
            <v>0</v>
          </cell>
          <cell r="X152">
            <v>45386</v>
          </cell>
          <cell r="Y152">
            <v>0</v>
          </cell>
          <cell r="Z152">
            <v>0</v>
          </cell>
          <cell r="AA152">
            <v>8690</v>
          </cell>
          <cell r="AB152">
            <v>0</v>
          </cell>
          <cell r="AC152">
            <v>8690</v>
          </cell>
          <cell r="AD152">
            <v>8660</v>
          </cell>
          <cell r="AE152">
            <v>0</v>
          </cell>
          <cell r="AF152">
            <v>8660</v>
          </cell>
          <cell r="AG152" t="str">
            <v>ENGR. MICHAEL C. SALARDA
MS. LEONARDA M. LATOR
MS. CARMENCITA VALDEZ
MS. SORAYA P. VERGARA</v>
          </cell>
          <cell r="AH152" t="str">
            <v>N/A</v>
          </cell>
          <cell r="AI152" t="str">
            <v>N/A</v>
          </cell>
          <cell r="AJ152" t="str">
            <v>N/A</v>
          </cell>
          <cell r="AK152" t="str">
            <v>N/A</v>
          </cell>
          <cell r="AL152" t="str">
            <v>N/A</v>
          </cell>
          <cell r="AM152" t="str">
            <v>N/A</v>
          </cell>
          <cell r="AN152">
            <v>0</v>
          </cell>
          <cell r="AO152">
            <v>0</v>
          </cell>
        </row>
        <row r="153">
          <cell r="A153" t="str">
            <v>24-C0944</v>
          </cell>
          <cell r="B153" t="str">
            <v>SPAREPARTS (LIGHT VEHICLES)</v>
          </cell>
          <cell r="C153" t="str">
            <v>PEEMO</v>
          </cell>
          <cell r="D153" t="str">
            <v>No</v>
          </cell>
          <cell r="E153" t="str">
            <v>NP-53.9 - Small Value Procurement</v>
          </cell>
          <cell r="F153">
            <v>45342</v>
          </cell>
          <cell r="G153">
            <v>45344</v>
          </cell>
          <cell r="H153">
            <v>0</v>
          </cell>
          <cell r="I153" t="str">
            <v>N/A</v>
          </cell>
          <cell r="J153">
            <v>45356</v>
          </cell>
          <cell r="K153">
            <v>45356</v>
          </cell>
          <cell r="L153">
            <v>0</v>
          </cell>
          <cell r="M153" t="str">
            <v>N/A</v>
          </cell>
          <cell r="N153" t="str">
            <v>N/A</v>
          </cell>
          <cell r="O153">
            <v>45357</v>
          </cell>
          <cell r="P153">
            <v>0</v>
          </cell>
          <cell r="Q153">
            <v>0</v>
          </cell>
          <cell r="R153">
            <v>0</v>
          </cell>
          <cell r="S153">
            <v>45357</v>
          </cell>
          <cell r="T153">
            <v>45372</v>
          </cell>
          <cell r="U153">
            <v>45373</v>
          </cell>
          <cell r="V153">
            <v>0</v>
          </cell>
          <cell r="W153">
            <v>0</v>
          </cell>
          <cell r="X153">
            <v>45385</v>
          </cell>
          <cell r="Y153">
            <v>0</v>
          </cell>
          <cell r="Z153">
            <v>0</v>
          </cell>
          <cell r="AA153">
            <v>185720</v>
          </cell>
          <cell r="AB153">
            <v>0</v>
          </cell>
          <cell r="AC153">
            <v>185720</v>
          </cell>
          <cell r="AD153">
            <v>174760</v>
          </cell>
          <cell r="AE153">
            <v>0</v>
          </cell>
          <cell r="AF153">
            <v>174760</v>
          </cell>
          <cell r="AG153" t="str">
            <v>ENGR. MICHAEL C. SALARDA
MS. LEONARDA M. LATOR
MS. CARMENCITA VALDEZ
MS. SORAYA P. VERGARA</v>
          </cell>
          <cell r="AH153" t="str">
            <v>N/A</v>
          </cell>
          <cell r="AI153" t="str">
            <v>N/A</v>
          </cell>
          <cell r="AJ153" t="str">
            <v>N/A</v>
          </cell>
          <cell r="AK153" t="str">
            <v>N/A</v>
          </cell>
          <cell r="AL153" t="str">
            <v>N/A</v>
          </cell>
          <cell r="AM153" t="str">
            <v>N/A</v>
          </cell>
          <cell r="AN153">
            <v>0</v>
          </cell>
          <cell r="AO153">
            <v>0</v>
          </cell>
        </row>
        <row r="154">
          <cell r="A154" t="str">
            <v>24-C1005</v>
          </cell>
          <cell r="B154" t="str">
            <v>OFFICE SUPPLIES</v>
          </cell>
          <cell r="C154" t="str">
            <v>COA</v>
          </cell>
          <cell r="D154" t="str">
            <v>No</v>
          </cell>
          <cell r="E154" t="str">
            <v>Shopping 52.1(b) - Regular Office Supplies and Equipment no available in PS</v>
          </cell>
          <cell r="F154">
            <v>45330</v>
          </cell>
          <cell r="G154">
            <v>45335</v>
          </cell>
          <cell r="H154">
            <v>0</v>
          </cell>
          <cell r="I154" t="str">
            <v>N/A</v>
          </cell>
          <cell r="J154">
            <v>45356</v>
          </cell>
          <cell r="K154">
            <v>45356</v>
          </cell>
          <cell r="L154">
            <v>0</v>
          </cell>
          <cell r="M154" t="str">
            <v>N/A</v>
          </cell>
          <cell r="N154" t="str">
            <v>N/A</v>
          </cell>
          <cell r="O154">
            <v>45357</v>
          </cell>
          <cell r="P154">
            <v>0</v>
          </cell>
          <cell r="Q154">
            <v>0</v>
          </cell>
          <cell r="R154">
            <v>0</v>
          </cell>
          <cell r="S154" t="str">
            <v>N/A</v>
          </cell>
          <cell r="T154">
            <v>45376</v>
          </cell>
          <cell r="U154">
            <v>45384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25130</v>
          </cell>
          <cell r="AB154">
            <v>0</v>
          </cell>
          <cell r="AC154">
            <v>25130</v>
          </cell>
          <cell r="AD154">
            <v>25130</v>
          </cell>
          <cell r="AE154">
            <v>0</v>
          </cell>
          <cell r="AF154">
            <v>25130</v>
          </cell>
          <cell r="AG154" t="str">
            <v>ENGR. MICHAEL C. SALARDA
MS. LEONARDA M. LATOR
MS. CARMENCITA VALDEZ
MS. SORAYA P. VERGARA</v>
          </cell>
          <cell r="AH154" t="str">
            <v>N/A</v>
          </cell>
          <cell r="AI154" t="str">
            <v>N/A</v>
          </cell>
          <cell r="AJ154" t="str">
            <v>N/A</v>
          </cell>
          <cell r="AK154" t="str">
            <v>N/A</v>
          </cell>
          <cell r="AL154" t="str">
            <v>N/A</v>
          </cell>
          <cell r="AM154" t="str">
            <v>N/A</v>
          </cell>
          <cell r="AN154">
            <v>0</v>
          </cell>
          <cell r="AO154">
            <v>0</v>
          </cell>
        </row>
        <row r="155">
          <cell r="A155" t="str">
            <v>24-C1060</v>
          </cell>
          <cell r="B155" t="str">
            <v>OFFICE SUPPLIES</v>
          </cell>
          <cell r="C155" t="str">
            <v>PGO</v>
          </cell>
          <cell r="D155" t="str">
            <v>No</v>
          </cell>
          <cell r="E155" t="str">
            <v>Shopping 52.1(b) - Regular Office Supplies and Equipment no available in PS</v>
          </cell>
          <cell r="F155" t="str">
            <v>N/A</v>
          </cell>
          <cell r="G155">
            <v>45344</v>
          </cell>
          <cell r="H155">
            <v>0</v>
          </cell>
          <cell r="I155" t="str">
            <v>N/A</v>
          </cell>
          <cell r="J155">
            <v>45356</v>
          </cell>
          <cell r="K155">
            <v>45356</v>
          </cell>
          <cell r="L155">
            <v>0</v>
          </cell>
          <cell r="M155" t="str">
            <v>N/A</v>
          </cell>
          <cell r="N155" t="str">
            <v>N/A</v>
          </cell>
          <cell r="O155">
            <v>45357</v>
          </cell>
          <cell r="P155">
            <v>0</v>
          </cell>
          <cell r="Q155">
            <v>0</v>
          </cell>
          <cell r="R155">
            <v>0</v>
          </cell>
          <cell r="S155">
            <v>45357</v>
          </cell>
          <cell r="T155">
            <v>45371</v>
          </cell>
          <cell r="U155">
            <v>45372</v>
          </cell>
          <cell r="V155">
            <v>0</v>
          </cell>
          <cell r="W155">
            <v>0</v>
          </cell>
          <cell r="X155">
            <v>45383</v>
          </cell>
          <cell r="Y155">
            <v>0</v>
          </cell>
          <cell r="Z155">
            <v>0</v>
          </cell>
          <cell r="AA155">
            <v>234117</v>
          </cell>
          <cell r="AB155">
            <v>0</v>
          </cell>
          <cell r="AC155">
            <v>234117</v>
          </cell>
          <cell r="AD155">
            <v>229455</v>
          </cell>
          <cell r="AE155">
            <v>0</v>
          </cell>
          <cell r="AF155">
            <v>229455</v>
          </cell>
          <cell r="AG155" t="str">
            <v>ENGR. MICHAEL C. SALARDA
MS. LEONARDA M. LATOR
MS. CARMENCITA VALDEZ
MS. SORAYA P. VERGARA</v>
          </cell>
          <cell r="AH155" t="str">
            <v>N/A</v>
          </cell>
          <cell r="AI155" t="str">
            <v>N/A</v>
          </cell>
          <cell r="AJ155" t="str">
            <v>N/A</v>
          </cell>
          <cell r="AK155" t="str">
            <v>N/A</v>
          </cell>
          <cell r="AL155" t="str">
            <v>N/A</v>
          </cell>
          <cell r="AM155" t="str">
            <v>N/A</v>
          </cell>
          <cell r="AN155">
            <v>0</v>
          </cell>
          <cell r="AO155">
            <v>0</v>
          </cell>
        </row>
        <row r="156">
          <cell r="A156" t="str">
            <v>24-C1009</v>
          </cell>
          <cell r="B156" t="str">
            <v>OFFICE SUPPLIES</v>
          </cell>
          <cell r="C156" t="str">
            <v>PEEMO</v>
          </cell>
          <cell r="D156" t="str">
            <v>No</v>
          </cell>
          <cell r="E156" t="str">
            <v>Shopping 52.1(b) - Regular Office Supplies and Equipment no available in PS</v>
          </cell>
          <cell r="F156">
            <v>45342</v>
          </cell>
          <cell r="G156">
            <v>45344</v>
          </cell>
          <cell r="H156">
            <v>0</v>
          </cell>
          <cell r="I156" t="str">
            <v>N/A</v>
          </cell>
          <cell r="J156">
            <v>45356</v>
          </cell>
          <cell r="K156">
            <v>45356</v>
          </cell>
          <cell r="L156">
            <v>0</v>
          </cell>
          <cell r="M156" t="str">
            <v>N/A</v>
          </cell>
          <cell r="N156" t="str">
            <v>N/A</v>
          </cell>
          <cell r="O156">
            <v>45357</v>
          </cell>
          <cell r="P156">
            <v>0</v>
          </cell>
          <cell r="Q156">
            <v>0</v>
          </cell>
          <cell r="R156">
            <v>0</v>
          </cell>
          <cell r="S156">
            <v>45357</v>
          </cell>
          <cell r="T156">
            <v>45372</v>
          </cell>
          <cell r="U156">
            <v>45373</v>
          </cell>
          <cell r="V156">
            <v>0</v>
          </cell>
          <cell r="W156">
            <v>0</v>
          </cell>
          <cell r="X156">
            <v>45386</v>
          </cell>
          <cell r="Y156">
            <v>0</v>
          </cell>
          <cell r="Z156">
            <v>0</v>
          </cell>
          <cell r="AA156">
            <v>77598</v>
          </cell>
          <cell r="AB156">
            <v>0</v>
          </cell>
          <cell r="AC156">
            <v>77598</v>
          </cell>
          <cell r="AD156">
            <v>76920</v>
          </cell>
          <cell r="AE156">
            <v>0</v>
          </cell>
          <cell r="AF156">
            <v>76920</v>
          </cell>
          <cell r="AG156" t="str">
            <v>ENGR. MICHAEL C. SALARDA
MS. LEONARDA M. LATOR
MS. CARMENCITA VALDEZ
MS. SORAYA P. VERGARA</v>
          </cell>
          <cell r="AH156" t="str">
            <v>N/A</v>
          </cell>
          <cell r="AI156" t="str">
            <v>N/A</v>
          </cell>
          <cell r="AJ156" t="str">
            <v>N/A</v>
          </cell>
          <cell r="AK156" t="str">
            <v>N/A</v>
          </cell>
          <cell r="AL156" t="str">
            <v>N/A</v>
          </cell>
          <cell r="AM156" t="str">
            <v>N/A</v>
          </cell>
          <cell r="AN156">
            <v>0</v>
          </cell>
          <cell r="AO156">
            <v>0</v>
          </cell>
        </row>
        <row r="157">
          <cell r="A157" t="str">
            <v>24-C0935</v>
          </cell>
          <cell r="B157" t="str">
            <v>OFFICE SUPPLIES</v>
          </cell>
          <cell r="C157" t="str">
            <v>PTO</v>
          </cell>
          <cell r="D157" t="str">
            <v>No</v>
          </cell>
          <cell r="E157" t="str">
            <v>Shopping 52.1(b) - Regular Office Supplies and Equipment no available in PS</v>
          </cell>
          <cell r="F157">
            <v>45342</v>
          </cell>
          <cell r="G157">
            <v>45344</v>
          </cell>
          <cell r="H157">
            <v>0</v>
          </cell>
          <cell r="I157" t="str">
            <v>N/A</v>
          </cell>
          <cell r="J157">
            <v>45356</v>
          </cell>
          <cell r="K157">
            <v>45356</v>
          </cell>
          <cell r="L157">
            <v>0</v>
          </cell>
          <cell r="M157" t="str">
            <v>N/A</v>
          </cell>
          <cell r="N157" t="str">
            <v>N/A</v>
          </cell>
          <cell r="O157">
            <v>45357</v>
          </cell>
          <cell r="P157">
            <v>0</v>
          </cell>
          <cell r="Q157">
            <v>0</v>
          </cell>
          <cell r="R157">
            <v>0</v>
          </cell>
          <cell r="S157">
            <v>45357</v>
          </cell>
          <cell r="T157">
            <v>45373</v>
          </cell>
          <cell r="U157">
            <v>45383</v>
          </cell>
          <cell r="V157">
            <v>0</v>
          </cell>
          <cell r="W157">
            <v>0</v>
          </cell>
          <cell r="X157">
            <v>45390</v>
          </cell>
          <cell r="Y157">
            <v>0</v>
          </cell>
          <cell r="Z157">
            <v>0</v>
          </cell>
          <cell r="AA157">
            <v>167603</v>
          </cell>
          <cell r="AB157">
            <v>0</v>
          </cell>
          <cell r="AC157">
            <v>167603</v>
          </cell>
          <cell r="AD157">
            <v>162834</v>
          </cell>
          <cell r="AE157">
            <v>0</v>
          </cell>
          <cell r="AF157">
            <v>162834</v>
          </cell>
          <cell r="AG157" t="str">
            <v>ENGR. MICHAEL C. SALARDA
MS. LEONARDA M. LATOR
MS. CARMENCITA VALDEZ
MS. SORAYA P. VERGARA</v>
          </cell>
          <cell r="AH157" t="str">
            <v>N/A</v>
          </cell>
          <cell r="AI157" t="str">
            <v>N/A</v>
          </cell>
          <cell r="AJ157" t="str">
            <v>N/A</v>
          </cell>
          <cell r="AK157" t="str">
            <v>N/A</v>
          </cell>
          <cell r="AL157" t="str">
            <v>N/A</v>
          </cell>
          <cell r="AM157" t="str">
            <v>N/A</v>
          </cell>
          <cell r="AN157">
            <v>0</v>
          </cell>
          <cell r="AO157">
            <v>0</v>
          </cell>
        </row>
        <row r="158">
          <cell r="A158" t="str">
            <v>24-0599</v>
          </cell>
          <cell r="B158" t="str">
            <v>GAS</v>
          </cell>
          <cell r="C158" t="str">
            <v>PEO-GA</v>
          </cell>
          <cell r="D158" t="str">
            <v>No</v>
          </cell>
          <cell r="E158" t="str">
            <v>Direct Contracting</v>
          </cell>
          <cell r="F158">
            <v>45335</v>
          </cell>
          <cell r="G158">
            <v>45337</v>
          </cell>
          <cell r="H158">
            <v>0</v>
          </cell>
          <cell r="I158" t="str">
            <v>N/A</v>
          </cell>
          <cell r="J158">
            <v>45356</v>
          </cell>
          <cell r="K158">
            <v>45356</v>
          </cell>
          <cell r="L158">
            <v>0</v>
          </cell>
          <cell r="M158" t="str">
            <v>N/A</v>
          </cell>
          <cell r="N158" t="str">
            <v>N/A</v>
          </cell>
          <cell r="O158">
            <v>45357</v>
          </cell>
          <cell r="P158">
            <v>0</v>
          </cell>
          <cell r="Q158">
            <v>0</v>
          </cell>
          <cell r="R158">
            <v>0</v>
          </cell>
          <cell r="S158" t="str">
            <v>N/A</v>
          </cell>
          <cell r="T158">
            <v>45376</v>
          </cell>
          <cell r="U158">
            <v>45385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36060</v>
          </cell>
          <cell r="AB158">
            <v>0</v>
          </cell>
          <cell r="AC158">
            <v>36060</v>
          </cell>
          <cell r="AD158">
            <v>36060</v>
          </cell>
          <cell r="AE158">
            <v>0</v>
          </cell>
          <cell r="AF158">
            <v>36060</v>
          </cell>
          <cell r="AG158" t="str">
            <v>ENGR. MICHAEL C. SALARDA
MS. LEONARDA M. LATOR
MS. CARMENCITA VALDEZ
MS. SORAYA P. VERGARA</v>
          </cell>
          <cell r="AH158" t="str">
            <v>N/A</v>
          </cell>
          <cell r="AI158" t="str">
            <v>N/A</v>
          </cell>
          <cell r="AJ158" t="str">
            <v>N/A</v>
          </cell>
          <cell r="AK158" t="str">
            <v>N/A</v>
          </cell>
          <cell r="AL158" t="str">
            <v>N/A</v>
          </cell>
          <cell r="AM158" t="str">
            <v>N/A</v>
          </cell>
          <cell r="AN158">
            <v>0</v>
          </cell>
          <cell r="AO158">
            <v>0</v>
          </cell>
        </row>
        <row r="159">
          <cell r="A159" t="str">
            <v>24-C0970</v>
          </cell>
          <cell r="B159" t="str">
            <v>INK &amp; MASTER ROLL</v>
          </cell>
          <cell r="C159" t="str">
            <v>PEEMO</v>
          </cell>
          <cell r="D159" t="str">
            <v>No</v>
          </cell>
          <cell r="E159" t="str">
            <v>Direct Contracting</v>
          </cell>
          <cell r="F159" t="str">
            <v>N/A</v>
          </cell>
          <cell r="G159">
            <v>45338</v>
          </cell>
          <cell r="H159">
            <v>0</v>
          </cell>
          <cell r="I159" t="str">
            <v>N/A</v>
          </cell>
          <cell r="J159">
            <v>45356</v>
          </cell>
          <cell r="K159">
            <v>45356</v>
          </cell>
          <cell r="L159">
            <v>0</v>
          </cell>
          <cell r="M159" t="str">
            <v>N/A</v>
          </cell>
          <cell r="N159" t="str">
            <v>N/A</v>
          </cell>
          <cell r="O159">
            <v>45357</v>
          </cell>
          <cell r="P159">
            <v>0</v>
          </cell>
          <cell r="Q159">
            <v>0</v>
          </cell>
          <cell r="R159">
            <v>0</v>
          </cell>
          <cell r="S159" t="str">
            <v>N/A</v>
          </cell>
          <cell r="T159">
            <v>45372</v>
          </cell>
          <cell r="U159">
            <v>45385</v>
          </cell>
          <cell r="V159">
            <v>0</v>
          </cell>
          <cell r="W159">
            <v>0</v>
          </cell>
          <cell r="X159">
            <v>45393</v>
          </cell>
          <cell r="Y159">
            <v>0</v>
          </cell>
          <cell r="Z159">
            <v>0</v>
          </cell>
          <cell r="AA159">
            <v>8015</v>
          </cell>
          <cell r="AB159">
            <v>0</v>
          </cell>
          <cell r="AC159">
            <v>8015</v>
          </cell>
          <cell r="AD159">
            <v>8015</v>
          </cell>
          <cell r="AE159">
            <v>0</v>
          </cell>
          <cell r="AF159">
            <v>8015</v>
          </cell>
          <cell r="AG159" t="str">
            <v>ENGR. MICHAEL C. SALARDA
MS. LEONARDA M. LATOR
MS. CARMENCITA VALDEZ
MS. SORAYA P. VERGARA</v>
          </cell>
          <cell r="AH159" t="str">
            <v>N/A</v>
          </cell>
          <cell r="AI159" t="str">
            <v>N/A</v>
          </cell>
          <cell r="AJ159" t="str">
            <v>N/A</v>
          </cell>
          <cell r="AK159" t="str">
            <v>N/A</v>
          </cell>
          <cell r="AL159" t="str">
            <v>N/A</v>
          </cell>
          <cell r="AM159" t="str">
            <v>N/A</v>
          </cell>
          <cell r="AN159">
            <v>0</v>
          </cell>
          <cell r="AO159">
            <v>0</v>
          </cell>
        </row>
        <row r="160">
          <cell r="A160" t="str">
            <v>24-C0969</v>
          </cell>
          <cell r="B160" t="str">
            <v>SPAREPARTS &amp; TONER FOR DUPLICATING MACHINE</v>
          </cell>
          <cell r="C160" t="str">
            <v>PEEMO</v>
          </cell>
          <cell r="D160" t="str">
            <v>No</v>
          </cell>
          <cell r="E160" t="str">
            <v>Direct Contracting</v>
          </cell>
          <cell r="F160" t="str">
            <v>N/A</v>
          </cell>
          <cell r="G160">
            <v>45338</v>
          </cell>
          <cell r="H160">
            <v>0</v>
          </cell>
          <cell r="I160" t="str">
            <v>N/A</v>
          </cell>
          <cell r="J160">
            <v>45356</v>
          </cell>
          <cell r="K160">
            <v>45356</v>
          </cell>
          <cell r="L160">
            <v>0</v>
          </cell>
          <cell r="M160" t="str">
            <v>N/A</v>
          </cell>
          <cell r="N160" t="str">
            <v>N/A</v>
          </cell>
          <cell r="O160">
            <v>45357</v>
          </cell>
          <cell r="P160">
            <v>0</v>
          </cell>
          <cell r="Q160">
            <v>0</v>
          </cell>
          <cell r="R160">
            <v>0</v>
          </cell>
          <cell r="S160" t="str">
            <v>N/A</v>
          </cell>
          <cell r="T160">
            <v>45372</v>
          </cell>
          <cell r="U160">
            <v>45388</v>
          </cell>
          <cell r="V160">
            <v>0</v>
          </cell>
          <cell r="W160">
            <v>0</v>
          </cell>
          <cell r="X160">
            <v>45400</v>
          </cell>
          <cell r="Y160">
            <v>0</v>
          </cell>
          <cell r="Z160">
            <v>0</v>
          </cell>
          <cell r="AA160">
            <v>29703.599999999999</v>
          </cell>
          <cell r="AB160">
            <v>0</v>
          </cell>
          <cell r="AC160">
            <v>29703.599999999999</v>
          </cell>
          <cell r="AD160">
            <v>29703.599999999999</v>
          </cell>
          <cell r="AE160">
            <v>0</v>
          </cell>
          <cell r="AF160">
            <v>29703.599999999999</v>
          </cell>
          <cell r="AG160" t="str">
            <v>ENGR. MICHAEL C. SALARDA
MS. LEONARDA M. LATOR
MS. CARMENCITA VALDEZ
MS. SORAYA P. VERGARA</v>
          </cell>
          <cell r="AH160" t="str">
            <v>N/A</v>
          </cell>
          <cell r="AI160" t="str">
            <v>N/A</v>
          </cell>
          <cell r="AJ160" t="str">
            <v>N/A</v>
          </cell>
          <cell r="AK160" t="str">
            <v>N/A</v>
          </cell>
          <cell r="AL160" t="str">
            <v>N/A</v>
          </cell>
          <cell r="AM160" t="str">
            <v>N/A</v>
          </cell>
          <cell r="AN160">
            <v>0</v>
          </cell>
          <cell r="AO160">
            <v>0</v>
          </cell>
        </row>
        <row r="161">
          <cell r="A161" t="str">
            <v>24-0044</v>
          </cell>
          <cell r="B161" t="str">
            <v xml:space="preserve">JOB ORDER (LABOR &amp; MATERIALS) </v>
          </cell>
          <cell r="C161" t="str">
            <v>PGO</v>
          </cell>
          <cell r="D161" t="str">
            <v>No</v>
          </cell>
          <cell r="E161" t="str">
            <v>Direct Contracting</v>
          </cell>
          <cell r="F161" t="str">
            <v>N/A</v>
          </cell>
          <cell r="G161">
            <v>45344</v>
          </cell>
          <cell r="H161">
            <v>0</v>
          </cell>
          <cell r="I161" t="str">
            <v>N/A</v>
          </cell>
          <cell r="J161">
            <v>45356</v>
          </cell>
          <cell r="K161">
            <v>45356</v>
          </cell>
          <cell r="L161">
            <v>0</v>
          </cell>
          <cell r="M161" t="str">
            <v>N/A</v>
          </cell>
          <cell r="N161" t="str">
            <v>N/A</v>
          </cell>
          <cell r="O161">
            <v>45357</v>
          </cell>
          <cell r="P161">
            <v>0</v>
          </cell>
          <cell r="Q161">
            <v>0</v>
          </cell>
          <cell r="R161">
            <v>0</v>
          </cell>
          <cell r="S161" t="str">
            <v>N/A</v>
          </cell>
          <cell r="T161">
            <v>45365</v>
          </cell>
          <cell r="U161">
            <v>45365</v>
          </cell>
          <cell r="V161">
            <v>0</v>
          </cell>
          <cell r="W161">
            <v>0</v>
          </cell>
          <cell r="X161">
            <v>45393</v>
          </cell>
          <cell r="Y161">
            <v>0</v>
          </cell>
          <cell r="Z161">
            <v>0</v>
          </cell>
          <cell r="AA161">
            <v>20000</v>
          </cell>
          <cell r="AB161">
            <v>0</v>
          </cell>
          <cell r="AC161">
            <v>20000</v>
          </cell>
          <cell r="AD161">
            <v>20000</v>
          </cell>
          <cell r="AE161">
            <v>0</v>
          </cell>
          <cell r="AF161">
            <v>20000</v>
          </cell>
          <cell r="AG161" t="str">
            <v>ENGR. MICHAEL C. SALARDA
MS. LEONARDA M. LATOR
MS. CARMENCITA VALDEZ
MS. SORAYA P. VERGARA</v>
          </cell>
          <cell r="AH161" t="str">
            <v>N/A</v>
          </cell>
          <cell r="AI161" t="str">
            <v>N/A</v>
          </cell>
          <cell r="AJ161" t="str">
            <v>N/A</v>
          </cell>
          <cell r="AK161" t="str">
            <v>N/A</v>
          </cell>
          <cell r="AL161" t="str">
            <v>N/A</v>
          </cell>
          <cell r="AM161" t="str">
            <v>N/A</v>
          </cell>
          <cell r="AN161">
            <v>0</v>
          </cell>
          <cell r="AO161">
            <v>0</v>
          </cell>
        </row>
        <row r="162">
          <cell r="A162" t="str">
            <v>24-0666</v>
          </cell>
          <cell r="B162" t="str">
            <v>DUPLICATING PRODUCTS/SPAREPARTS</v>
          </cell>
          <cell r="C162" t="str">
            <v>PTO</v>
          </cell>
          <cell r="D162" t="str">
            <v>No</v>
          </cell>
          <cell r="E162" t="str">
            <v>Direct Contracting</v>
          </cell>
          <cell r="F162">
            <v>45342</v>
          </cell>
          <cell r="G162">
            <v>45344</v>
          </cell>
          <cell r="H162">
            <v>0</v>
          </cell>
          <cell r="I162" t="str">
            <v>N/A</v>
          </cell>
          <cell r="J162">
            <v>45356</v>
          </cell>
          <cell r="K162">
            <v>45356</v>
          </cell>
          <cell r="L162">
            <v>0</v>
          </cell>
          <cell r="M162" t="str">
            <v>N/A</v>
          </cell>
          <cell r="N162" t="str">
            <v>N/A</v>
          </cell>
          <cell r="O162">
            <v>45357</v>
          </cell>
          <cell r="P162">
            <v>0</v>
          </cell>
          <cell r="Q162">
            <v>0</v>
          </cell>
          <cell r="R162">
            <v>0</v>
          </cell>
          <cell r="S162" t="str">
            <v>N/A</v>
          </cell>
          <cell r="T162">
            <v>45370</v>
          </cell>
          <cell r="U162">
            <v>45385</v>
          </cell>
          <cell r="V162">
            <v>0</v>
          </cell>
          <cell r="W162">
            <v>0</v>
          </cell>
          <cell r="X162">
            <v>45400</v>
          </cell>
          <cell r="Y162">
            <v>0</v>
          </cell>
          <cell r="Z162">
            <v>0</v>
          </cell>
          <cell r="AA162">
            <v>12046</v>
          </cell>
          <cell r="AB162">
            <v>0</v>
          </cell>
          <cell r="AC162">
            <v>12046</v>
          </cell>
          <cell r="AD162">
            <v>10950</v>
          </cell>
          <cell r="AE162">
            <v>0</v>
          </cell>
          <cell r="AF162">
            <v>10950</v>
          </cell>
          <cell r="AG162" t="str">
            <v>ENGR. MICHAEL C. SALARDA
MS. LEONARDA M. LATOR
MS. CARMENCITA VALDEZ
MS. SORAYA P. VERGARA</v>
          </cell>
          <cell r="AH162" t="str">
            <v>N/A</v>
          </cell>
          <cell r="AI162" t="str">
            <v>N/A</v>
          </cell>
          <cell r="AJ162" t="str">
            <v>N/A</v>
          </cell>
          <cell r="AK162" t="str">
            <v>N/A</v>
          </cell>
          <cell r="AL162" t="str">
            <v>N/A</v>
          </cell>
          <cell r="AM162" t="str">
            <v>N/A</v>
          </cell>
          <cell r="AN162">
            <v>0</v>
          </cell>
          <cell r="AO162">
            <v>0</v>
          </cell>
        </row>
        <row r="163">
          <cell r="A163" t="str">
            <v>24-C0954</v>
          </cell>
          <cell r="B163" t="str">
            <v>SUPPLY AND DELIVERY OF OFFICE SUPPLIES</v>
          </cell>
          <cell r="C163" t="str">
            <v>PEO</v>
          </cell>
          <cell r="D163" t="str">
            <v>No</v>
          </cell>
          <cell r="E163" t="str">
            <v>Competitive Bidding</v>
          </cell>
          <cell r="F163" t="str">
            <v>N/A</v>
          </cell>
          <cell r="G163">
            <v>45334</v>
          </cell>
          <cell r="H163">
            <v>0</v>
          </cell>
          <cell r="I163" t="str">
            <v>N/A</v>
          </cell>
          <cell r="J163">
            <v>45342</v>
          </cell>
          <cell r="K163">
            <v>45342</v>
          </cell>
          <cell r="L163">
            <v>0</v>
          </cell>
          <cell r="M163">
            <v>45342</v>
          </cell>
          <cell r="N163">
            <v>45349</v>
          </cell>
          <cell r="O163">
            <v>45357</v>
          </cell>
          <cell r="P163">
            <v>0</v>
          </cell>
          <cell r="Q163">
            <v>0</v>
          </cell>
          <cell r="R163">
            <v>0</v>
          </cell>
          <cell r="S163">
            <v>45363</v>
          </cell>
          <cell r="T163">
            <v>45376</v>
          </cell>
          <cell r="U163">
            <v>45384</v>
          </cell>
          <cell r="V163">
            <v>0</v>
          </cell>
          <cell r="W163">
            <v>0</v>
          </cell>
          <cell r="X163">
            <v>45387</v>
          </cell>
          <cell r="Y163">
            <v>0</v>
          </cell>
          <cell r="Z163">
            <v>0</v>
          </cell>
          <cell r="AA163">
            <v>459114</v>
          </cell>
          <cell r="AB163">
            <v>0</v>
          </cell>
          <cell r="AC163">
            <v>459114</v>
          </cell>
          <cell r="AD163">
            <v>390169</v>
          </cell>
          <cell r="AE163">
            <v>0</v>
          </cell>
          <cell r="AF163">
            <v>390169</v>
          </cell>
          <cell r="AG163" t="str">
            <v>ENGR. MICHAEL C. SALARDA
MS. LEONARDA M. LATOR
MS. CARMENCITA VALDEZ
MS. SORAYA P. VERGARA</v>
          </cell>
          <cell r="AH163" t="str">
            <v>N/A</v>
          </cell>
          <cell r="AI163">
            <v>45341</v>
          </cell>
          <cell r="AJ163">
            <v>45341</v>
          </cell>
          <cell r="AK163">
            <v>45341</v>
          </cell>
          <cell r="AL163" t="str">
            <v>N/A</v>
          </cell>
          <cell r="AM163" t="str">
            <v>N/A</v>
          </cell>
          <cell r="AN163">
            <v>0</v>
          </cell>
          <cell r="AO163">
            <v>0</v>
          </cell>
        </row>
        <row r="164">
          <cell r="A164" t="str">
            <v>24-0248</v>
          </cell>
          <cell r="B164" t="str">
            <v>SUPPLY AND DELIVEY OF MEALS AND SNACKS</v>
          </cell>
          <cell r="C164">
            <v>0</v>
          </cell>
          <cell r="D164" t="str">
            <v>No</v>
          </cell>
          <cell r="E164" t="str">
            <v>Competitive Bidding</v>
          </cell>
          <cell r="F164" t="str">
            <v>N/A</v>
          </cell>
          <cell r="G164">
            <v>45320</v>
          </cell>
          <cell r="H164">
            <v>0</v>
          </cell>
          <cell r="I164" t="str">
            <v>N/A</v>
          </cell>
          <cell r="J164">
            <v>45342</v>
          </cell>
          <cell r="K164">
            <v>45342</v>
          </cell>
          <cell r="L164">
            <v>0</v>
          </cell>
          <cell r="M164">
            <v>45342</v>
          </cell>
          <cell r="N164">
            <v>45349</v>
          </cell>
          <cell r="O164">
            <v>45357</v>
          </cell>
          <cell r="P164">
            <v>0</v>
          </cell>
          <cell r="Q164">
            <v>0</v>
          </cell>
          <cell r="R164">
            <v>0</v>
          </cell>
          <cell r="S164">
            <v>45357</v>
          </cell>
          <cell r="T164">
            <v>45357</v>
          </cell>
          <cell r="U164">
            <v>45358</v>
          </cell>
          <cell r="V164">
            <v>0</v>
          </cell>
          <cell r="W164">
            <v>0</v>
          </cell>
          <cell r="X164">
            <v>45359</v>
          </cell>
          <cell r="Y164">
            <v>0</v>
          </cell>
          <cell r="Z164">
            <v>0</v>
          </cell>
          <cell r="AA164">
            <v>433440</v>
          </cell>
          <cell r="AB164">
            <v>0</v>
          </cell>
          <cell r="AC164">
            <v>433440</v>
          </cell>
          <cell r="AD164">
            <v>425736</v>
          </cell>
          <cell r="AE164">
            <v>0</v>
          </cell>
          <cell r="AF164">
            <v>425736</v>
          </cell>
          <cell r="AG164" t="str">
            <v>ENGR. MICHAEL C. SALARDA
MS. LEONARDA M. LATOR
MS. CARMENCITA VALDEZ
MS. SORAYA P. VERGARA</v>
          </cell>
          <cell r="AH164" t="str">
            <v>N/A</v>
          </cell>
          <cell r="AI164">
            <v>45341</v>
          </cell>
          <cell r="AJ164">
            <v>45341</v>
          </cell>
          <cell r="AK164">
            <v>45341</v>
          </cell>
          <cell r="AL164" t="str">
            <v>N/A</v>
          </cell>
          <cell r="AM164" t="str">
            <v>N/A</v>
          </cell>
          <cell r="AN164">
            <v>0</v>
          </cell>
          <cell r="AO164">
            <v>0</v>
          </cell>
        </row>
        <row r="165">
          <cell r="A165" t="str">
            <v>24-0131</v>
          </cell>
          <cell r="B165" t="str">
            <v>SUPPLY AND DELIVERY OF MEALS AND SNACKS</v>
          </cell>
          <cell r="C165" t="str">
            <v>PGO</v>
          </cell>
          <cell r="D165" t="str">
            <v>No</v>
          </cell>
          <cell r="E165" t="str">
            <v>Competitive Bidding</v>
          </cell>
          <cell r="F165" t="str">
            <v>N/A</v>
          </cell>
          <cell r="G165">
            <v>45320</v>
          </cell>
          <cell r="H165">
            <v>0</v>
          </cell>
          <cell r="I165">
            <v>45328</v>
          </cell>
          <cell r="J165">
            <v>45342</v>
          </cell>
          <cell r="K165">
            <v>45342</v>
          </cell>
          <cell r="L165">
            <v>0</v>
          </cell>
          <cell r="M165">
            <v>45342</v>
          </cell>
          <cell r="N165">
            <v>45349</v>
          </cell>
          <cell r="O165">
            <v>45357</v>
          </cell>
          <cell r="P165">
            <v>0</v>
          </cell>
          <cell r="Q165">
            <v>0</v>
          </cell>
          <cell r="R165">
            <v>0</v>
          </cell>
          <cell r="S165">
            <v>45357</v>
          </cell>
          <cell r="T165">
            <v>45357</v>
          </cell>
          <cell r="U165">
            <v>45358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1185000</v>
          </cell>
          <cell r="AB165">
            <v>0</v>
          </cell>
          <cell r="AC165">
            <v>1185000</v>
          </cell>
          <cell r="AD165">
            <v>1173000</v>
          </cell>
          <cell r="AE165">
            <v>0</v>
          </cell>
          <cell r="AF165">
            <v>1173000</v>
          </cell>
          <cell r="AG165" t="str">
            <v>ENGR. MICHAEL C. SALARDA
MS. LEONARDA M. LATOR
MS. CARMENCITA VALDEZ
MS. SORAYA P. VERGARA</v>
          </cell>
          <cell r="AH165">
            <v>45327</v>
          </cell>
          <cell r="AI165">
            <v>45341</v>
          </cell>
          <cell r="AJ165">
            <v>45341</v>
          </cell>
          <cell r="AK165">
            <v>45341</v>
          </cell>
          <cell r="AL165" t="str">
            <v>N/A</v>
          </cell>
          <cell r="AM165" t="str">
            <v>N/A</v>
          </cell>
          <cell r="AN165">
            <v>0</v>
          </cell>
          <cell r="AO165">
            <v>0</v>
          </cell>
        </row>
        <row r="166">
          <cell r="A166" t="str">
            <v>24-0169</v>
          </cell>
          <cell r="B166" t="str">
            <v>SUPPLY AND DELIVERY OF FOOD SUPPLIES</v>
          </cell>
          <cell r="C166" t="str">
            <v>PSWDO</v>
          </cell>
          <cell r="D166" t="str">
            <v>No</v>
          </cell>
          <cell r="E166" t="str">
            <v>Competitive Bidding</v>
          </cell>
          <cell r="F166" t="str">
            <v>N/A</v>
          </cell>
          <cell r="G166">
            <v>45334</v>
          </cell>
          <cell r="H166">
            <v>0</v>
          </cell>
          <cell r="I166" t="str">
            <v>N/A</v>
          </cell>
          <cell r="J166">
            <v>45342</v>
          </cell>
          <cell r="K166">
            <v>45342</v>
          </cell>
          <cell r="L166">
            <v>0</v>
          </cell>
          <cell r="M166">
            <v>45342</v>
          </cell>
          <cell r="N166">
            <v>45364</v>
          </cell>
          <cell r="O166">
            <v>45372</v>
          </cell>
          <cell r="P166">
            <v>0</v>
          </cell>
          <cell r="Q166">
            <v>0</v>
          </cell>
          <cell r="R166">
            <v>0</v>
          </cell>
          <cell r="S166">
            <v>45376</v>
          </cell>
          <cell r="T166">
            <v>45393</v>
          </cell>
          <cell r="U166">
            <v>45397</v>
          </cell>
          <cell r="V166">
            <v>0</v>
          </cell>
          <cell r="W166">
            <v>0</v>
          </cell>
          <cell r="X166">
            <v>45404</v>
          </cell>
          <cell r="Y166">
            <v>0</v>
          </cell>
          <cell r="Z166">
            <v>0</v>
          </cell>
          <cell r="AA166">
            <v>790240</v>
          </cell>
          <cell r="AB166">
            <v>0</v>
          </cell>
          <cell r="AC166">
            <v>790240</v>
          </cell>
          <cell r="AD166">
            <v>585969.5</v>
          </cell>
          <cell r="AE166">
            <v>0</v>
          </cell>
          <cell r="AF166">
            <v>585969.5</v>
          </cell>
          <cell r="AG166" t="str">
            <v>ENGR. MICHAEL C. SALARDA
MS. LEONARDA M. LATOR
MS. CARMENCITA VALDEZ
MS. SORAYA P. VERGARA</v>
          </cell>
          <cell r="AH166">
            <v>45327</v>
          </cell>
          <cell r="AI166">
            <v>45341</v>
          </cell>
          <cell r="AJ166">
            <v>45341</v>
          </cell>
          <cell r="AK166">
            <v>45341</v>
          </cell>
          <cell r="AL166" t="str">
            <v>N/A</v>
          </cell>
          <cell r="AM166" t="str">
            <v>N/A</v>
          </cell>
          <cell r="AN166">
            <v>0</v>
          </cell>
          <cell r="AO166">
            <v>0</v>
          </cell>
        </row>
        <row r="167">
          <cell r="A167" t="str">
            <v>24-C0941</v>
          </cell>
          <cell r="B167" t="str">
            <v>SUPPLY AND DELIVERY OF OFFICE SUPPLIES</v>
          </cell>
          <cell r="C167" t="str">
            <v>PEEMO</v>
          </cell>
          <cell r="D167" t="str">
            <v>No</v>
          </cell>
          <cell r="E167" t="str">
            <v>Competitive Bidding</v>
          </cell>
          <cell r="F167" t="str">
            <v>N/A</v>
          </cell>
          <cell r="G167">
            <v>45341</v>
          </cell>
          <cell r="H167">
            <v>0</v>
          </cell>
          <cell r="I167" t="str">
            <v>N/A</v>
          </cell>
          <cell r="J167">
            <v>45356</v>
          </cell>
          <cell r="K167">
            <v>45356</v>
          </cell>
          <cell r="L167">
            <v>0</v>
          </cell>
          <cell r="M167">
            <v>45356</v>
          </cell>
          <cell r="N167">
            <v>45364</v>
          </cell>
          <cell r="O167">
            <v>45373</v>
          </cell>
          <cell r="P167">
            <v>0</v>
          </cell>
          <cell r="Q167">
            <v>0</v>
          </cell>
          <cell r="R167">
            <v>0</v>
          </cell>
          <cell r="S167">
            <v>45377</v>
          </cell>
          <cell r="T167">
            <v>45393</v>
          </cell>
          <cell r="U167">
            <v>45398</v>
          </cell>
          <cell r="V167">
            <v>0</v>
          </cell>
          <cell r="W167">
            <v>0</v>
          </cell>
          <cell r="X167">
            <v>45407</v>
          </cell>
          <cell r="Y167">
            <v>0</v>
          </cell>
          <cell r="Z167">
            <v>0</v>
          </cell>
          <cell r="AA167">
            <v>839080</v>
          </cell>
          <cell r="AB167">
            <v>0</v>
          </cell>
          <cell r="AC167">
            <v>839080</v>
          </cell>
          <cell r="AD167">
            <v>631974</v>
          </cell>
          <cell r="AE167">
            <v>0</v>
          </cell>
          <cell r="AF167">
            <v>631974</v>
          </cell>
          <cell r="AG167" t="str">
            <v>ENGR. MICHAEL C. SALARDA
MS. LEONARDA M. LATOR
MS. CARMENCITA VALDEZ
MS. SORAYA P. VERGARA</v>
          </cell>
          <cell r="AH167" t="str">
            <v>N/A</v>
          </cell>
          <cell r="AI167">
            <v>45352</v>
          </cell>
          <cell r="AJ167">
            <v>45352</v>
          </cell>
          <cell r="AK167">
            <v>45352</v>
          </cell>
          <cell r="AL167" t="str">
            <v>N/A</v>
          </cell>
          <cell r="AM167" t="str">
            <v>N/A</v>
          </cell>
          <cell r="AN167">
            <v>0</v>
          </cell>
          <cell r="AO167">
            <v>0</v>
          </cell>
        </row>
        <row r="168">
          <cell r="A168" t="str">
            <v>24-0458</v>
          </cell>
          <cell r="B168" t="str">
            <v>SUPPLY AND DELIVERY OF CONSTRUCTION MATERIALS</v>
          </cell>
          <cell r="C168" t="str">
            <v>PEO</v>
          </cell>
          <cell r="D168" t="str">
            <v>No</v>
          </cell>
          <cell r="E168" t="str">
            <v>Competitive Bidding</v>
          </cell>
          <cell r="F168" t="str">
            <v>N/A</v>
          </cell>
          <cell r="G168">
            <v>45348</v>
          </cell>
          <cell r="H168">
            <v>0</v>
          </cell>
          <cell r="I168" t="str">
            <v>N/A</v>
          </cell>
          <cell r="J168">
            <v>45356</v>
          </cell>
          <cell r="K168">
            <v>45356</v>
          </cell>
          <cell r="L168">
            <v>0</v>
          </cell>
          <cell r="M168">
            <v>45356</v>
          </cell>
          <cell r="N168">
            <v>45364</v>
          </cell>
          <cell r="O168">
            <v>45372</v>
          </cell>
          <cell r="P168">
            <v>0</v>
          </cell>
          <cell r="Q168">
            <v>0</v>
          </cell>
          <cell r="R168">
            <v>0</v>
          </cell>
          <cell r="S168">
            <v>45378</v>
          </cell>
          <cell r="T168">
            <v>45394</v>
          </cell>
          <cell r="U168">
            <v>45404</v>
          </cell>
          <cell r="V168">
            <v>0</v>
          </cell>
          <cell r="W168">
            <v>0</v>
          </cell>
          <cell r="X168">
            <v>45412</v>
          </cell>
          <cell r="Y168">
            <v>0</v>
          </cell>
          <cell r="Z168">
            <v>0</v>
          </cell>
          <cell r="AA168">
            <v>505747.94</v>
          </cell>
          <cell r="AB168">
            <v>0</v>
          </cell>
          <cell r="AC168">
            <v>505747.94</v>
          </cell>
          <cell r="AD168">
            <v>503824.5</v>
          </cell>
          <cell r="AE168">
            <v>0</v>
          </cell>
          <cell r="AF168">
            <v>503824.5</v>
          </cell>
          <cell r="AG168" t="str">
            <v>ENGR. MICHAEL C. SALARDA
MS. LEONARDA M. LATOR
MS. CARMENCITA VALDEZ
MS. SORAYA P. VERGARA</v>
          </cell>
          <cell r="AH168" t="str">
            <v>N/A</v>
          </cell>
          <cell r="AI168">
            <v>45352</v>
          </cell>
          <cell r="AJ168">
            <v>45352</v>
          </cell>
          <cell r="AK168">
            <v>45352</v>
          </cell>
          <cell r="AL168" t="str">
            <v>N/A</v>
          </cell>
          <cell r="AM168" t="str">
            <v>N/A</v>
          </cell>
          <cell r="AN168">
            <v>0</v>
          </cell>
          <cell r="AO168">
            <v>0</v>
          </cell>
        </row>
        <row r="169">
          <cell r="A169" t="str">
            <v>24-C1057</v>
          </cell>
          <cell r="B169" t="str">
            <v>SUPPLY AND DELIVERY OF RICE (WELL-MILLED) 50KG/SACK</v>
          </cell>
          <cell r="C169" t="str">
            <v>PSWDO</v>
          </cell>
          <cell r="D169" t="str">
            <v>No</v>
          </cell>
          <cell r="E169" t="str">
            <v>Competitive Bidding</v>
          </cell>
          <cell r="F169" t="str">
            <v>N/A</v>
          </cell>
          <cell r="G169">
            <v>45334</v>
          </cell>
          <cell r="H169">
            <v>0</v>
          </cell>
          <cell r="I169">
            <v>45342</v>
          </cell>
          <cell r="J169">
            <v>45356</v>
          </cell>
          <cell r="K169">
            <v>45356</v>
          </cell>
          <cell r="L169">
            <v>0</v>
          </cell>
          <cell r="M169">
            <v>45442</v>
          </cell>
          <cell r="N169">
            <v>45364</v>
          </cell>
          <cell r="O169">
            <v>45372</v>
          </cell>
          <cell r="P169">
            <v>0</v>
          </cell>
          <cell r="Q169">
            <v>0</v>
          </cell>
          <cell r="R169">
            <v>0</v>
          </cell>
          <cell r="S169">
            <v>45373</v>
          </cell>
          <cell r="T169">
            <v>45386</v>
          </cell>
          <cell r="U169">
            <v>45393</v>
          </cell>
          <cell r="V169">
            <v>0</v>
          </cell>
          <cell r="W169">
            <v>0</v>
          </cell>
          <cell r="X169">
            <v>45399</v>
          </cell>
          <cell r="Y169">
            <v>0</v>
          </cell>
          <cell r="Z169">
            <v>0</v>
          </cell>
          <cell r="AA169">
            <v>1348050</v>
          </cell>
          <cell r="AB169">
            <v>0</v>
          </cell>
          <cell r="AC169">
            <v>1348050</v>
          </cell>
          <cell r="AD169">
            <v>1290000</v>
          </cell>
          <cell r="AE169">
            <v>0</v>
          </cell>
          <cell r="AF169">
            <v>1290000</v>
          </cell>
          <cell r="AG169" t="str">
            <v>ENGR. MICHAEL C. SALARDA
MS. LEONARDA M. LATOR
MS. CARMENCITA VALDEZ
MS. SORAYA P. VERGARA</v>
          </cell>
          <cell r="AH169">
            <v>45341</v>
          </cell>
          <cell r="AI169">
            <v>45352</v>
          </cell>
          <cell r="AJ169">
            <v>45352</v>
          </cell>
          <cell r="AK169">
            <v>45352</v>
          </cell>
          <cell r="AL169" t="str">
            <v>N/A</v>
          </cell>
          <cell r="AM169" t="str">
            <v>N/A</v>
          </cell>
          <cell r="AN169">
            <v>0</v>
          </cell>
          <cell r="AO169">
            <v>0</v>
          </cell>
        </row>
        <row r="170">
          <cell r="A170" t="str">
            <v>24-C0983</v>
          </cell>
          <cell r="B170" t="str">
            <v>SUPPLY AND DELIVERY OF RICE (WELL-MILLED) 50KG/SACK</v>
          </cell>
          <cell r="C170" t="str">
            <v>PEEMO</v>
          </cell>
          <cell r="D170" t="str">
            <v>No</v>
          </cell>
          <cell r="E170" t="str">
            <v>Competitive Bidding</v>
          </cell>
          <cell r="F170">
            <v>45322</v>
          </cell>
          <cell r="G170">
            <v>45334</v>
          </cell>
          <cell r="H170">
            <v>0</v>
          </cell>
          <cell r="I170">
            <v>45342</v>
          </cell>
          <cell r="J170">
            <v>45356</v>
          </cell>
          <cell r="K170">
            <v>45356</v>
          </cell>
          <cell r="L170">
            <v>0</v>
          </cell>
          <cell r="M170">
            <v>45356</v>
          </cell>
          <cell r="N170">
            <v>45364</v>
          </cell>
          <cell r="O170">
            <v>45372</v>
          </cell>
          <cell r="P170">
            <v>0</v>
          </cell>
          <cell r="Q170">
            <v>0</v>
          </cell>
          <cell r="R170">
            <v>0</v>
          </cell>
          <cell r="S170">
            <v>45373</v>
          </cell>
          <cell r="T170">
            <v>45373</v>
          </cell>
          <cell r="U170">
            <v>45384</v>
          </cell>
          <cell r="V170">
            <v>0</v>
          </cell>
          <cell r="W170">
            <v>0</v>
          </cell>
          <cell r="X170">
            <v>45386</v>
          </cell>
          <cell r="Y170">
            <v>0</v>
          </cell>
          <cell r="Z170">
            <v>0</v>
          </cell>
          <cell r="AA170">
            <v>1059630</v>
          </cell>
          <cell r="AB170">
            <v>0</v>
          </cell>
          <cell r="AC170">
            <v>1059630</v>
          </cell>
          <cell r="AD170">
            <v>1014000</v>
          </cell>
          <cell r="AE170">
            <v>0</v>
          </cell>
          <cell r="AF170">
            <v>1014000</v>
          </cell>
          <cell r="AG170" t="str">
            <v>ENGR. MICHAEL C. SALARDA
MS. LEONARDA M. LATOR
MS. CARMENCITA VALDEZ
MS. SORAYA P. VERGARA</v>
          </cell>
          <cell r="AH170">
            <v>45341</v>
          </cell>
          <cell r="AI170">
            <v>45352</v>
          </cell>
          <cell r="AJ170">
            <v>45352</v>
          </cell>
          <cell r="AK170">
            <v>45352</v>
          </cell>
          <cell r="AL170" t="str">
            <v>N/A</v>
          </cell>
          <cell r="AM170" t="str">
            <v>N/A</v>
          </cell>
          <cell r="AN170">
            <v>0</v>
          </cell>
          <cell r="AO170">
            <v>0</v>
          </cell>
        </row>
        <row r="171">
          <cell r="A171" t="str">
            <v>24-0165</v>
          </cell>
          <cell r="B171" t="str">
            <v>SUPPLY AND DELIVERY OF MEALS AND SNACKS</v>
          </cell>
          <cell r="C171">
            <v>0</v>
          </cell>
          <cell r="D171" t="str">
            <v>No</v>
          </cell>
          <cell r="E171" t="str">
            <v>Competitive Bidding</v>
          </cell>
          <cell r="F171" t="str">
            <v>N/A</v>
          </cell>
          <cell r="G171">
            <v>45334</v>
          </cell>
          <cell r="H171">
            <v>0</v>
          </cell>
          <cell r="I171">
            <v>45342</v>
          </cell>
          <cell r="J171">
            <v>45373</v>
          </cell>
          <cell r="K171">
            <v>45373</v>
          </cell>
          <cell r="L171">
            <v>0</v>
          </cell>
          <cell r="M171">
            <v>45373</v>
          </cell>
          <cell r="N171">
            <v>45364</v>
          </cell>
          <cell r="O171">
            <v>45372</v>
          </cell>
          <cell r="P171">
            <v>0</v>
          </cell>
          <cell r="Q171">
            <v>0</v>
          </cell>
          <cell r="R171">
            <v>0</v>
          </cell>
          <cell r="S171">
            <v>45373</v>
          </cell>
          <cell r="T171">
            <v>45383</v>
          </cell>
          <cell r="U171">
            <v>45393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1505000</v>
          </cell>
          <cell r="AB171">
            <v>0</v>
          </cell>
          <cell r="AC171">
            <v>1505000</v>
          </cell>
          <cell r="AD171">
            <v>1484000</v>
          </cell>
          <cell r="AE171">
            <v>0</v>
          </cell>
          <cell r="AF171">
            <v>1484000</v>
          </cell>
          <cell r="AG171" t="str">
            <v>ENGR. MICHAEL C. SALARDA
MS. LEONARDA M. LATOR
MS. CARMENCITA VALDEZ
MS. SORAYA P. VERGARA</v>
          </cell>
          <cell r="AH171">
            <v>45341</v>
          </cell>
          <cell r="AI171">
            <v>45372</v>
          </cell>
          <cell r="AJ171">
            <v>45372</v>
          </cell>
          <cell r="AK171">
            <v>45372</v>
          </cell>
          <cell r="AL171" t="str">
            <v>N/A</v>
          </cell>
          <cell r="AM171" t="str">
            <v>N/A</v>
          </cell>
          <cell r="AN171">
            <v>0</v>
          </cell>
          <cell r="AO171">
            <v>0</v>
          </cell>
        </row>
        <row r="172">
          <cell r="A172" t="str">
            <v>24-C0930</v>
          </cell>
          <cell r="B172" t="str">
            <v>SUPPLY AND DELIVERY OF RICE (WELL-MILLED) 50KG/SACK</v>
          </cell>
          <cell r="C172" t="str">
            <v>PGO</v>
          </cell>
          <cell r="D172" t="str">
            <v>No</v>
          </cell>
          <cell r="E172" t="str">
            <v>Competitive Bidding</v>
          </cell>
          <cell r="F172" t="str">
            <v>N/A</v>
          </cell>
          <cell r="G172">
            <v>45334</v>
          </cell>
          <cell r="H172">
            <v>0</v>
          </cell>
          <cell r="I172">
            <v>45342</v>
          </cell>
          <cell r="J172">
            <v>45356</v>
          </cell>
          <cell r="K172">
            <v>45356</v>
          </cell>
          <cell r="L172">
            <v>0</v>
          </cell>
          <cell r="M172">
            <v>45356</v>
          </cell>
          <cell r="N172">
            <v>45364</v>
          </cell>
          <cell r="O172">
            <v>45372</v>
          </cell>
          <cell r="P172">
            <v>0</v>
          </cell>
          <cell r="Q172">
            <v>0</v>
          </cell>
          <cell r="R172">
            <v>0</v>
          </cell>
          <cell r="S172">
            <v>45373</v>
          </cell>
          <cell r="T172">
            <v>45386</v>
          </cell>
          <cell r="U172">
            <v>45397</v>
          </cell>
          <cell r="V172">
            <v>0</v>
          </cell>
          <cell r="W172">
            <v>0</v>
          </cell>
          <cell r="X172">
            <v>45406</v>
          </cell>
          <cell r="Y172">
            <v>0</v>
          </cell>
          <cell r="Z172">
            <v>0</v>
          </cell>
          <cell r="AA172">
            <v>1485990</v>
          </cell>
          <cell r="AB172">
            <v>0</v>
          </cell>
          <cell r="AC172">
            <v>1485990</v>
          </cell>
          <cell r="AD172">
            <v>1422000</v>
          </cell>
          <cell r="AE172">
            <v>0</v>
          </cell>
          <cell r="AF172">
            <v>1422000</v>
          </cell>
          <cell r="AG172" t="str">
            <v>ENGR. MICHAEL C. SALARDA
MS. LEONARDA M. LATOR
MS. CARMENCITA VALDEZ
MS. SORAYA P. VERGARA</v>
          </cell>
          <cell r="AH172">
            <v>45341</v>
          </cell>
          <cell r="AI172">
            <v>45352</v>
          </cell>
          <cell r="AJ172">
            <v>45352</v>
          </cell>
          <cell r="AK172">
            <v>45352</v>
          </cell>
          <cell r="AL172" t="str">
            <v>N/A</v>
          </cell>
          <cell r="AM172" t="str">
            <v>N/A</v>
          </cell>
          <cell r="AN172">
            <v>0</v>
          </cell>
          <cell r="AO172">
            <v>0</v>
          </cell>
        </row>
        <row r="173">
          <cell r="A173" t="str">
            <v>24-C1053</v>
          </cell>
          <cell r="B173" t="str">
            <v>SUPPLY AND DELIVERY OF SPARE PARST</v>
          </cell>
          <cell r="C173" t="str">
            <v>PGSO</v>
          </cell>
          <cell r="D173" t="str">
            <v>No</v>
          </cell>
          <cell r="E173" t="str">
            <v>Competitive Bidding</v>
          </cell>
          <cell r="F173" t="str">
            <v>N/A</v>
          </cell>
          <cell r="G173">
            <v>45341</v>
          </cell>
          <cell r="H173">
            <v>0</v>
          </cell>
          <cell r="I173" t="str">
            <v>N/A</v>
          </cell>
          <cell r="J173">
            <v>45356</v>
          </cell>
          <cell r="K173">
            <v>45356</v>
          </cell>
          <cell r="L173">
            <v>0</v>
          </cell>
          <cell r="M173">
            <v>45356</v>
          </cell>
          <cell r="N173">
            <v>45364</v>
          </cell>
          <cell r="O173">
            <v>45372</v>
          </cell>
          <cell r="P173">
            <v>0</v>
          </cell>
          <cell r="Q173">
            <v>0</v>
          </cell>
          <cell r="R173">
            <v>0</v>
          </cell>
          <cell r="S173">
            <v>45378</v>
          </cell>
          <cell r="T173">
            <v>45399</v>
          </cell>
          <cell r="U173">
            <v>45407</v>
          </cell>
          <cell r="V173">
            <v>0</v>
          </cell>
          <cell r="W173">
            <v>0</v>
          </cell>
          <cell r="X173">
            <v>45411</v>
          </cell>
          <cell r="Y173">
            <v>0</v>
          </cell>
          <cell r="Z173">
            <v>0</v>
          </cell>
          <cell r="AA173">
            <v>547615</v>
          </cell>
          <cell r="AB173">
            <v>0</v>
          </cell>
          <cell r="AC173">
            <v>547615</v>
          </cell>
          <cell r="AD173">
            <v>394660</v>
          </cell>
          <cell r="AE173">
            <v>0</v>
          </cell>
          <cell r="AF173">
            <v>394660</v>
          </cell>
          <cell r="AG173" t="str">
            <v>ENGR. MICHAEL C. SALARDA
MS. LEONARDA M. LATOR
MS. CARMENCITA VALDEZ
MS. SORAYA P. VERGARA</v>
          </cell>
          <cell r="AH173" t="str">
            <v>N/A</v>
          </cell>
          <cell r="AI173">
            <v>45352</v>
          </cell>
          <cell r="AJ173">
            <v>45352</v>
          </cell>
          <cell r="AK173">
            <v>45352</v>
          </cell>
          <cell r="AL173" t="str">
            <v>N/A</v>
          </cell>
          <cell r="AM173" t="str">
            <v>N/A</v>
          </cell>
          <cell r="AN173">
            <v>0</v>
          </cell>
          <cell r="AO173">
            <v>0</v>
          </cell>
        </row>
        <row r="174">
          <cell r="A174" t="str">
            <v>24-C1077</v>
          </cell>
          <cell r="B174" t="str">
            <v>SUPPLY AND DELIVERY OF SPARE PARTS (TIRES AND BATTERY)</v>
          </cell>
          <cell r="C174" t="str">
            <v>PDRRMO</v>
          </cell>
          <cell r="D174" t="str">
            <v>No</v>
          </cell>
          <cell r="E174" t="str">
            <v>Competitive Bidding</v>
          </cell>
          <cell r="F174" t="str">
            <v>N/A</v>
          </cell>
          <cell r="G174">
            <v>45341</v>
          </cell>
          <cell r="H174">
            <v>0</v>
          </cell>
          <cell r="I174" t="str">
            <v>N/A</v>
          </cell>
          <cell r="J174">
            <v>45356</v>
          </cell>
          <cell r="K174">
            <v>45356</v>
          </cell>
          <cell r="L174">
            <v>0</v>
          </cell>
          <cell r="M174">
            <v>45356</v>
          </cell>
          <cell r="N174">
            <v>45364</v>
          </cell>
          <cell r="O174">
            <v>45372</v>
          </cell>
          <cell r="P174">
            <v>0</v>
          </cell>
          <cell r="Q174">
            <v>0</v>
          </cell>
          <cell r="R174">
            <v>0</v>
          </cell>
          <cell r="S174">
            <v>45378</v>
          </cell>
          <cell r="T174">
            <v>45387</v>
          </cell>
          <cell r="U174">
            <v>45394</v>
          </cell>
          <cell r="V174">
            <v>0</v>
          </cell>
          <cell r="W174">
            <v>0</v>
          </cell>
          <cell r="X174">
            <v>45397</v>
          </cell>
          <cell r="Y174">
            <v>0</v>
          </cell>
          <cell r="Z174">
            <v>0</v>
          </cell>
          <cell r="AA174">
            <v>558824</v>
          </cell>
          <cell r="AB174">
            <v>0</v>
          </cell>
          <cell r="AC174">
            <v>558824</v>
          </cell>
          <cell r="AD174">
            <v>329400</v>
          </cell>
          <cell r="AE174">
            <v>0</v>
          </cell>
          <cell r="AF174">
            <v>329400</v>
          </cell>
          <cell r="AG174" t="str">
            <v>ENGR. MICHAEL C. SALARDA
MS. LEONARDA M. LATOR
MS. CARMENCITA VALDEZ
MS. SORAYA P. VERGARA</v>
          </cell>
          <cell r="AH174" t="str">
            <v>N/A</v>
          </cell>
          <cell r="AI174">
            <v>45352</v>
          </cell>
          <cell r="AJ174">
            <v>45352</v>
          </cell>
          <cell r="AK174">
            <v>45352</v>
          </cell>
          <cell r="AL174" t="str">
            <v>N/A</v>
          </cell>
          <cell r="AM174" t="str">
            <v>N/A</v>
          </cell>
          <cell r="AN174">
            <v>0</v>
          </cell>
          <cell r="AO174">
            <v>0</v>
          </cell>
        </row>
        <row r="175">
          <cell r="A175" t="str">
            <v>24-C1036</v>
          </cell>
          <cell r="B175" t="str">
            <v>SUPPLY AND DELIVERY OF SPARE PARTS/BATTERY</v>
          </cell>
          <cell r="C175" t="str">
            <v>PEEMO</v>
          </cell>
          <cell r="D175" t="str">
            <v>No</v>
          </cell>
          <cell r="E175" t="str">
            <v>Competitive Bidding</v>
          </cell>
          <cell r="F175">
            <v>45342</v>
          </cell>
          <cell r="G175">
            <v>45348</v>
          </cell>
          <cell r="H175">
            <v>0</v>
          </cell>
          <cell r="I175" t="str">
            <v>N/A</v>
          </cell>
          <cell r="J175">
            <v>45356</v>
          </cell>
          <cell r="K175">
            <v>45356</v>
          </cell>
          <cell r="L175">
            <v>0</v>
          </cell>
          <cell r="M175">
            <v>45442</v>
          </cell>
          <cell r="N175">
            <v>45364</v>
          </cell>
          <cell r="O175">
            <v>45372</v>
          </cell>
          <cell r="P175">
            <v>0</v>
          </cell>
          <cell r="Q175">
            <v>0</v>
          </cell>
          <cell r="R175">
            <v>0</v>
          </cell>
          <cell r="S175">
            <v>45378</v>
          </cell>
          <cell r="T175">
            <v>45394</v>
          </cell>
          <cell r="U175">
            <v>45404</v>
          </cell>
          <cell r="V175">
            <v>0</v>
          </cell>
          <cell r="W175">
            <v>0</v>
          </cell>
          <cell r="X175">
            <v>45407</v>
          </cell>
          <cell r="Y175">
            <v>0</v>
          </cell>
          <cell r="Z175">
            <v>0</v>
          </cell>
          <cell r="AA175">
            <v>790600</v>
          </cell>
          <cell r="AB175">
            <v>0</v>
          </cell>
          <cell r="AC175">
            <v>790600</v>
          </cell>
          <cell r="AD175">
            <v>552000</v>
          </cell>
          <cell r="AE175">
            <v>0</v>
          </cell>
          <cell r="AF175">
            <v>552000</v>
          </cell>
          <cell r="AG175" t="str">
            <v>ENGR. MICHAEL C. SALARDA
MS. LEONARDA M. LATOR
MS. CARMENCITA VALDEZ
MS. SORAYA P. VERGARA</v>
          </cell>
          <cell r="AH175" t="str">
            <v>N/A</v>
          </cell>
          <cell r="AI175">
            <v>45352</v>
          </cell>
          <cell r="AJ175">
            <v>45352</v>
          </cell>
          <cell r="AK175">
            <v>45352</v>
          </cell>
          <cell r="AL175" t="str">
            <v>N/A</v>
          </cell>
          <cell r="AM175" t="str">
            <v>N/A</v>
          </cell>
          <cell r="AN175">
            <v>0</v>
          </cell>
          <cell r="AO175">
            <v>0</v>
          </cell>
        </row>
        <row r="176">
          <cell r="A176" t="str">
            <v>24-C1001</v>
          </cell>
          <cell r="B176" t="str">
            <v>SUPPLY AND DELIVERY OF MEDICAL SUPPLIES</v>
          </cell>
          <cell r="C176" t="str">
            <v>PEEMO</v>
          </cell>
          <cell r="D176" t="str">
            <v>No</v>
          </cell>
          <cell r="E176" t="str">
            <v>Competitive Bidding</v>
          </cell>
          <cell r="F176">
            <v>45342</v>
          </cell>
          <cell r="G176">
            <v>45348</v>
          </cell>
          <cell r="H176">
            <v>0</v>
          </cell>
          <cell r="I176" t="str">
            <v>N/A</v>
          </cell>
          <cell r="J176">
            <v>45356</v>
          </cell>
          <cell r="K176">
            <v>45356</v>
          </cell>
          <cell r="L176">
            <v>0</v>
          </cell>
          <cell r="M176">
            <v>45356</v>
          </cell>
          <cell r="N176">
            <v>45364</v>
          </cell>
          <cell r="O176">
            <v>45372</v>
          </cell>
          <cell r="P176">
            <v>0</v>
          </cell>
          <cell r="Q176">
            <v>0</v>
          </cell>
          <cell r="R176">
            <v>0</v>
          </cell>
          <cell r="S176">
            <v>45377</v>
          </cell>
          <cell r="T176">
            <v>45393</v>
          </cell>
          <cell r="U176">
            <v>45405</v>
          </cell>
          <cell r="V176">
            <v>0</v>
          </cell>
          <cell r="W176">
            <v>0</v>
          </cell>
          <cell r="X176">
            <v>45412</v>
          </cell>
          <cell r="Y176">
            <v>0</v>
          </cell>
          <cell r="Z176">
            <v>0</v>
          </cell>
          <cell r="AA176">
            <v>564043</v>
          </cell>
          <cell r="AB176">
            <v>0</v>
          </cell>
          <cell r="AC176">
            <v>564043</v>
          </cell>
          <cell r="AD176">
            <v>343226</v>
          </cell>
          <cell r="AE176">
            <v>0</v>
          </cell>
          <cell r="AF176">
            <v>343226</v>
          </cell>
          <cell r="AG176" t="str">
            <v>ENGR. MICHAEL C. SALARDA
MS. LEONARDA M. LATOR
MS. CARMENCITA VALDEZ
MS. SORAYA P. VERGARA</v>
          </cell>
          <cell r="AH176" t="str">
            <v>N/A</v>
          </cell>
          <cell r="AI176">
            <v>45352</v>
          </cell>
          <cell r="AJ176">
            <v>45352</v>
          </cell>
          <cell r="AK176">
            <v>45352</v>
          </cell>
          <cell r="AL176" t="str">
            <v>N/A</v>
          </cell>
          <cell r="AM176" t="str">
            <v>N/A</v>
          </cell>
          <cell r="AN176">
            <v>0</v>
          </cell>
          <cell r="AO176">
            <v>0</v>
          </cell>
        </row>
        <row r="177">
          <cell r="A177" t="str">
            <v>24-1266</v>
          </cell>
          <cell r="B177" t="str">
            <v>SPAREPARTS (LIGHT VEHICLES)</v>
          </cell>
          <cell r="C177" t="str">
            <v>PGSO</v>
          </cell>
          <cell r="D177" t="str">
            <v>No</v>
          </cell>
          <cell r="E177" t="str">
            <v>Shopping 52.1(a) - Unforeseen Contingency</v>
          </cell>
          <cell r="F177" t="str">
            <v>N/A</v>
          </cell>
          <cell r="G177">
            <v>45352</v>
          </cell>
          <cell r="H177">
            <v>0</v>
          </cell>
          <cell r="I177" t="str">
            <v>N/A</v>
          </cell>
          <cell r="J177" t="str">
            <v xml:space="preserve"> </v>
          </cell>
          <cell r="K177">
            <v>45370</v>
          </cell>
          <cell r="L177">
            <v>0</v>
          </cell>
          <cell r="M177" t="str">
            <v>N/A</v>
          </cell>
          <cell r="N177" t="str">
            <v>N/A</v>
          </cell>
          <cell r="O177">
            <v>45372</v>
          </cell>
          <cell r="P177">
            <v>0</v>
          </cell>
          <cell r="Q177">
            <v>0</v>
          </cell>
          <cell r="R177">
            <v>0</v>
          </cell>
          <cell r="S177" t="str">
            <v>N/A</v>
          </cell>
          <cell r="T177">
            <v>45405</v>
          </cell>
          <cell r="U177">
            <v>45422</v>
          </cell>
          <cell r="V177">
            <v>0</v>
          </cell>
          <cell r="W177">
            <v>0</v>
          </cell>
          <cell r="X177">
            <v>45422</v>
          </cell>
          <cell r="Y177">
            <v>0</v>
          </cell>
          <cell r="Z177">
            <v>0</v>
          </cell>
          <cell r="AA177">
            <v>44000</v>
          </cell>
          <cell r="AB177">
            <v>0</v>
          </cell>
          <cell r="AC177">
            <v>44000</v>
          </cell>
          <cell r="AD177">
            <v>44000</v>
          </cell>
          <cell r="AE177">
            <v>0</v>
          </cell>
          <cell r="AF177">
            <v>44000</v>
          </cell>
          <cell r="AG177" t="str">
            <v>ENGR. MICHAEL C. SALARDA
MS. LEONARDA M. LATOR
MS. CARMENCITA VALDEZ
MS. SORAYA P. VERGARA</v>
          </cell>
          <cell r="AH177" t="str">
            <v>N/A</v>
          </cell>
          <cell r="AI177" t="str">
            <v>N/A</v>
          </cell>
          <cell r="AJ177" t="str">
            <v>N/A</v>
          </cell>
          <cell r="AK177" t="str">
            <v>N/A</v>
          </cell>
          <cell r="AL177" t="str">
            <v>N/A</v>
          </cell>
          <cell r="AM177" t="str">
            <v>N/A</v>
          </cell>
          <cell r="AN177">
            <v>0</v>
          </cell>
          <cell r="AO177">
            <v>0</v>
          </cell>
        </row>
        <row r="178">
          <cell r="A178" t="str">
            <v>24-1260</v>
          </cell>
          <cell r="B178" t="str">
            <v>SPAREPARTS (LIGHT VEHICLES)</v>
          </cell>
          <cell r="C178" t="str">
            <v>PGSO</v>
          </cell>
          <cell r="D178" t="str">
            <v>No</v>
          </cell>
          <cell r="E178" t="str">
            <v>Shopping 52.1(a) - Unforeseen Contingency</v>
          </cell>
          <cell r="F178" t="str">
            <v>N/A</v>
          </cell>
          <cell r="G178">
            <v>45352</v>
          </cell>
          <cell r="H178">
            <v>0</v>
          </cell>
          <cell r="I178" t="str">
            <v>N/A</v>
          </cell>
          <cell r="J178">
            <v>45370</v>
          </cell>
          <cell r="K178">
            <v>45370</v>
          </cell>
          <cell r="L178">
            <v>0</v>
          </cell>
          <cell r="M178" t="str">
            <v>N/A</v>
          </cell>
          <cell r="N178" t="str">
            <v>N/A</v>
          </cell>
          <cell r="O178">
            <v>45372</v>
          </cell>
          <cell r="P178">
            <v>0</v>
          </cell>
          <cell r="Q178">
            <v>0</v>
          </cell>
          <cell r="R178">
            <v>0</v>
          </cell>
          <cell r="S178" t="str">
            <v>N/A</v>
          </cell>
          <cell r="T178">
            <v>45405</v>
          </cell>
          <cell r="U178">
            <v>45407</v>
          </cell>
          <cell r="V178">
            <v>0</v>
          </cell>
          <cell r="W178">
            <v>0</v>
          </cell>
          <cell r="X178">
            <v>45407</v>
          </cell>
          <cell r="Y178">
            <v>0</v>
          </cell>
          <cell r="Z178">
            <v>0</v>
          </cell>
          <cell r="AA178">
            <v>38230</v>
          </cell>
          <cell r="AB178">
            <v>0</v>
          </cell>
          <cell r="AC178">
            <v>38230</v>
          </cell>
          <cell r="AD178">
            <v>38230</v>
          </cell>
          <cell r="AE178">
            <v>0</v>
          </cell>
          <cell r="AF178">
            <v>38230</v>
          </cell>
          <cell r="AG178" t="str">
            <v>ENGR. MICHAEL C. SALARDA
MS. LEONARDA M. LATOR
MS. CARMENCITA VALDEZ
MS. SORAYA P. VERGARA</v>
          </cell>
          <cell r="AH178" t="str">
            <v>N/A</v>
          </cell>
          <cell r="AI178" t="str">
            <v>N/A</v>
          </cell>
          <cell r="AJ178" t="str">
            <v>N/A</v>
          </cell>
          <cell r="AK178" t="str">
            <v>N/A</v>
          </cell>
          <cell r="AL178" t="str">
            <v>N/A</v>
          </cell>
          <cell r="AM178" t="str">
            <v>N/A</v>
          </cell>
          <cell r="AN178">
            <v>0</v>
          </cell>
          <cell r="AO178">
            <v>0</v>
          </cell>
        </row>
        <row r="179">
          <cell r="A179" t="str">
            <v>24-1263</v>
          </cell>
          <cell r="B179" t="str">
            <v>SPAREPARTS (LIGHT VEHICLES)</v>
          </cell>
          <cell r="C179" t="str">
            <v>PGSO</v>
          </cell>
          <cell r="D179" t="str">
            <v>No</v>
          </cell>
          <cell r="E179" t="str">
            <v>Shopping 52.1(a) - Unforeseen Contingency</v>
          </cell>
          <cell r="F179" t="str">
            <v>N/A</v>
          </cell>
          <cell r="G179">
            <v>45352</v>
          </cell>
          <cell r="H179">
            <v>0</v>
          </cell>
          <cell r="I179" t="str">
            <v>N/A</v>
          </cell>
          <cell r="J179">
            <v>45370</v>
          </cell>
          <cell r="K179">
            <v>45370</v>
          </cell>
          <cell r="L179">
            <v>0</v>
          </cell>
          <cell r="M179" t="str">
            <v>N/A</v>
          </cell>
          <cell r="N179" t="str">
            <v>N/A</v>
          </cell>
          <cell r="O179">
            <v>45372</v>
          </cell>
          <cell r="P179">
            <v>0</v>
          </cell>
          <cell r="Q179">
            <v>0</v>
          </cell>
          <cell r="R179">
            <v>0</v>
          </cell>
          <cell r="S179" t="str">
            <v>N/A</v>
          </cell>
          <cell r="T179">
            <v>45405</v>
          </cell>
          <cell r="U179">
            <v>45407</v>
          </cell>
          <cell r="V179">
            <v>0</v>
          </cell>
          <cell r="W179">
            <v>0</v>
          </cell>
          <cell r="X179">
            <v>45407</v>
          </cell>
          <cell r="Y179">
            <v>0</v>
          </cell>
          <cell r="Z179">
            <v>0</v>
          </cell>
          <cell r="AA179">
            <v>49000</v>
          </cell>
          <cell r="AB179">
            <v>0</v>
          </cell>
          <cell r="AC179">
            <v>49000</v>
          </cell>
          <cell r="AD179">
            <v>49000</v>
          </cell>
          <cell r="AE179">
            <v>0</v>
          </cell>
          <cell r="AF179">
            <v>49000</v>
          </cell>
          <cell r="AG179" t="str">
            <v>ENGR. MICHAEL C. SALARDA
MS. LEONARDA M. LATOR
MS. CARMENCITA VALDEZ
MS. SORAYA P. VERGARA</v>
          </cell>
          <cell r="AH179" t="str">
            <v>N/A</v>
          </cell>
          <cell r="AI179" t="str">
            <v>N/A</v>
          </cell>
          <cell r="AJ179" t="str">
            <v>N/A</v>
          </cell>
          <cell r="AK179" t="str">
            <v>N/A</v>
          </cell>
          <cell r="AL179" t="str">
            <v>N/A</v>
          </cell>
          <cell r="AM179" t="str">
            <v>N/A</v>
          </cell>
          <cell r="AN179">
            <v>0</v>
          </cell>
          <cell r="AO179">
            <v>0</v>
          </cell>
        </row>
        <row r="180">
          <cell r="A180" t="str">
            <v>24-1276</v>
          </cell>
          <cell r="B180" t="str">
            <v>SPAREPARTS (MOTORCYCLE)</v>
          </cell>
          <cell r="C180" t="str">
            <v>PGSO</v>
          </cell>
          <cell r="D180" t="str">
            <v>No</v>
          </cell>
          <cell r="E180" t="str">
            <v>Shopping 52.1(a) - Unforeseen Contingency</v>
          </cell>
          <cell r="F180" t="str">
            <v>N/A</v>
          </cell>
          <cell r="G180">
            <v>45352</v>
          </cell>
          <cell r="H180">
            <v>0</v>
          </cell>
          <cell r="I180" t="str">
            <v>N/A</v>
          </cell>
          <cell r="J180">
            <v>45370</v>
          </cell>
          <cell r="K180">
            <v>45370</v>
          </cell>
          <cell r="L180">
            <v>0</v>
          </cell>
          <cell r="M180" t="str">
            <v>N/A</v>
          </cell>
          <cell r="N180" t="str">
            <v>N/A</v>
          </cell>
          <cell r="O180">
            <v>45372</v>
          </cell>
          <cell r="P180">
            <v>0</v>
          </cell>
          <cell r="Q180">
            <v>0</v>
          </cell>
          <cell r="R180">
            <v>0</v>
          </cell>
          <cell r="S180" t="str">
            <v>N/A</v>
          </cell>
          <cell r="T180">
            <v>45405</v>
          </cell>
          <cell r="U180">
            <v>45408</v>
          </cell>
          <cell r="V180">
            <v>0</v>
          </cell>
          <cell r="W180">
            <v>0</v>
          </cell>
          <cell r="X180">
            <v>45408</v>
          </cell>
          <cell r="Y180">
            <v>0</v>
          </cell>
          <cell r="Z180">
            <v>0</v>
          </cell>
          <cell r="AA180">
            <v>8650</v>
          </cell>
          <cell r="AB180">
            <v>0</v>
          </cell>
          <cell r="AC180">
            <v>8650</v>
          </cell>
          <cell r="AD180">
            <v>8650</v>
          </cell>
          <cell r="AE180">
            <v>0</v>
          </cell>
          <cell r="AF180">
            <v>8650</v>
          </cell>
          <cell r="AG180" t="str">
            <v>ENGR. MICHAEL C. SALARDA
MS. LEONARDA M. LATOR
MS. CARMENCITA VALDEZ
MS. SORAYA P. VERGARA</v>
          </cell>
          <cell r="AH180" t="str">
            <v>N/A</v>
          </cell>
          <cell r="AI180" t="str">
            <v>N/A</v>
          </cell>
          <cell r="AJ180" t="str">
            <v>N/A</v>
          </cell>
          <cell r="AK180" t="str">
            <v>N/A</v>
          </cell>
          <cell r="AL180" t="str">
            <v>N/A</v>
          </cell>
          <cell r="AM180" t="str">
            <v>N/A</v>
          </cell>
          <cell r="AN180">
            <v>0</v>
          </cell>
          <cell r="AO180">
            <v>0</v>
          </cell>
        </row>
        <row r="181">
          <cell r="A181" t="str">
            <v>24-1271</v>
          </cell>
          <cell r="B181" t="str">
            <v>SPAREPARTS (MOTORCYCLE)</v>
          </cell>
          <cell r="C181" t="str">
            <v>PGSO</v>
          </cell>
          <cell r="D181" t="str">
            <v>No</v>
          </cell>
          <cell r="E181" t="str">
            <v>Shopping 52.1(a) - Unforeseen Contingency</v>
          </cell>
          <cell r="F181" t="str">
            <v>N/A</v>
          </cell>
          <cell r="G181">
            <v>45352</v>
          </cell>
          <cell r="H181">
            <v>0</v>
          </cell>
          <cell r="I181" t="str">
            <v>N/A</v>
          </cell>
          <cell r="J181">
            <v>45370</v>
          </cell>
          <cell r="K181">
            <v>45370</v>
          </cell>
          <cell r="L181">
            <v>0</v>
          </cell>
          <cell r="M181" t="str">
            <v>N/A</v>
          </cell>
          <cell r="N181" t="str">
            <v>N/A</v>
          </cell>
          <cell r="O181">
            <v>45372</v>
          </cell>
          <cell r="P181">
            <v>0</v>
          </cell>
          <cell r="Q181">
            <v>0</v>
          </cell>
          <cell r="R181">
            <v>0</v>
          </cell>
          <cell r="S181" t="str">
            <v>N/A</v>
          </cell>
          <cell r="T181">
            <v>45407</v>
          </cell>
          <cell r="U181">
            <v>45412</v>
          </cell>
          <cell r="V181">
            <v>0</v>
          </cell>
          <cell r="W181">
            <v>0</v>
          </cell>
          <cell r="X181">
            <v>45412</v>
          </cell>
          <cell r="Y181">
            <v>0</v>
          </cell>
          <cell r="Z181">
            <v>0</v>
          </cell>
          <cell r="AA181">
            <v>3180</v>
          </cell>
          <cell r="AB181">
            <v>0</v>
          </cell>
          <cell r="AC181">
            <v>3180</v>
          </cell>
          <cell r="AD181">
            <v>3180</v>
          </cell>
          <cell r="AE181">
            <v>0</v>
          </cell>
          <cell r="AF181">
            <v>3180</v>
          </cell>
          <cell r="AG181" t="str">
            <v>ENGR. MICHAEL C. SALARDA
MS. LEONARDA M. LATOR
MS. CARMENCITA VALDEZ
MS. SORAYA P. VERGARA</v>
          </cell>
          <cell r="AH181" t="str">
            <v>N/A</v>
          </cell>
          <cell r="AI181" t="str">
            <v>N/A</v>
          </cell>
          <cell r="AJ181" t="str">
            <v>N/A</v>
          </cell>
          <cell r="AK181" t="str">
            <v>N/A</v>
          </cell>
          <cell r="AL181" t="str">
            <v>N/A</v>
          </cell>
          <cell r="AM181" t="str">
            <v>N/A</v>
          </cell>
          <cell r="AN181">
            <v>0</v>
          </cell>
          <cell r="AO181">
            <v>0</v>
          </cell>
        </row>
        <row r="182">
          <cell r="A182" t="str">
            <v>24-1250</v>
          </cell>
          <cell r="B182" t="str">
            <v>SPAREPARTS (LIGHT VEHICLES)</v>
          </cell>
          <cell r="C182" t="str">
            <v>PGSO</v>
          </cell>
          <cell r="D182" t="str">
            <v>No</v>
          </cell>
          <cell r="E182" t="str">
            <v>Shopping 52.1(a) - Unforeseen Contingency</v>
          </cell>
          <cell r="F182" t="str">
            <v>N/A</v>
          </cell>
          <cell r="G182">
            <v>45352</v>
          </cell>
          <cell r="H182">
            <v>0</v>
          </cell>
          <cell r="I182" t="str">
            <v>N/A</v>
          </cell>
          <cell r="J182">
            <v>45370</v>
          </cell>
          <cell r="K182">
            <v>45370</v>
          </cell>
          <cell r="L182">
            <v>0</v>
          </cell>
          <cell r="M182" t="str">
            <v>N/A</v>
          </cell>
          <cell r="N182" t="str">
            <v>N/A</v>
          </cell>
          <cell r="O182">
            <v>45372</v>
          </cell>
          <cell r="P182">
            <v>0</v>
          </cell>
          <cell r="Q182">
            <v>0</v>
          </cell>
          <cell r="R182">
            <v>0</v>
          </cell>
          <cell r="S182" t="str">
            <v>N/A</v>
          </cell>
          <cell r="T182">
            <v>45407</v>
          </cell>
          <cell r="U182">
            <v>45411</v>
          </cell>
          <cell r="V182">
            <v>0</v>
          </cell>
          <cell r="W182">
            <v>0</v>
          </cell>
          <cell r="X182">
            <v>45411</v>
          </cell>
          <cell r="Y182">
            <v>0</v>
          </cell>
          <cell r="Z182">
            <v>0</v>
          </cell>
          <cell r="AA182">
            <v>30750</v>
          </cell>
          <cell r="AB182">
            <v>0</v>
          </cell>
          <cell r="AC182">
            <v>30750</v>
          </cell>
          <cell r="AD182">
            <v>30750</v>
          </cell>
          <cell r="AE182">
            <v>0</v>
          </cell>
          <cell r="AF182">
            <v>30750</v>
          </cell>
          <cell r="AG182" t="str">
            <v>ENGR. MICHAEL C. SALARDA
MS. LEONARDA M. LATOR
MS. CARMENCITA VALDEZ
MS. SORAYA P. VERGARA</v>
          </cell>
          <cell r="AH182" t="str">
            <v>N/A</v>
          </cell>
          <cell r="AI182" t="str">
            <v>N/A</v>
          </cell>
          <cell r="AJ182" t="str">
            <v>N/A</v>
          </cell>
          <cell r="AK182" t="str">
            <v>N/A</v>
          </cell>
          <cell r="AL182" t="str">
            <v>N/A</v>
          </cell>
          <cell r="AM182" t="str">
            <v>N/A</v>
          </cell>
          <cell r="AN182">
            <v>0</v>
          </cell>
          <cell r="AO182">
            <v>0</v>
          </cell>
        </row>
        <row r="183">
          <cell r="A183" t="str">
            <v>24-1253</v>
          </cell>
          <cell r="B183" t="str">
            <v>SPAREPARTS (LIGHT VEHICLES)</v>
          </cell>
          <cell r="C183" t="str">
            <v>PGSO</v>
          </cell>
          <cell r="D183" t="str">
            <v>No</v>
          </cell>
          <cell r="E183" t="str">
            <v>Shopping 52.1(a) - Unforeseen Contingency</v>
          </cell>
          <cell r="F183" t="str">
            <v>N/A</v>
          </cell>
          <cell r="G183">
            <v>45352</v>
          </cell>
          <cell r="H183">
            <v>0</v>
          </cell>
          <cell r="I183" t="str">
            <v>N/A</v>
          </cell>
          <cell r="J183">
            <v>45370</v>
          </cell>
          <cell r="K183">
            <v>45370</v>
          </cell>
          <cell r="L183">
            <v>0</v>
          </cell>
          <cell r="M183" t="str">
            <v>N/A</v>
          </cell>
          <cell r="N183" t="str">
            <v>N/A</v>
          </cell>
          <cell r="O183">
            <v>45372</v>
          </cell>
          <cell r="P183">
            <v>0</v>
          </cell>
          <cell r="Q183">
            <v>0</v>
          </cell>
          <cell r="R183">
            <v>0</v>
          </cell>
          <cell r="S183" t="str">
            <v>N/A</v>
          </cell>
          <cell r="T183">
            <v>45407</v>
          </cell>
          <cell r="U183">
            <v>45411</v>
          </cell>
          <cell r="V183">
            <v>0</v>
          </cell>
          <cell r="W183">
            <v>0</v>
          </cell>
          <cell r="X183">
            <v>45411</v>
          </cell>
          <cell r="Y183">
            <v>0</v>
          </cell>
          <cell r="Z183">
            <v>0</v>
          </cell>
          <cell r="AA183">
            <v>28600</v>
          </cell>
          <cell r="AB183">
            <v>0</v>
          </cell>
          <cell r="AC183">
            <v>28600</v>
          </cell>
          <cell r="AD183">
            <v>28600</v>
          </cell>
          <cell r="AE183">
            <v>0</v>
          </cell>
          <cell r="AF183">
            <v>28600</v>
          </cell>
          <cell r="AG183" t="str">
            <v>ENGR. MICHAEL C. SALARDA
MS. LEONARDA M. LATOR
MS. CARMENCITA VALDEZ
MS. SORAYA P. VERGARA</v>
          </cell>
          <cell r="AH183" t="str">
            <v>N/A</v>
          </cell>
          <cell r="AI183" t="str">
            <v>N/A</v>
          </cell>
          <cell r="AJ183" t="str">
            <v>N/A</v>
          </cell>
          <cell r="AK183" t="str">
            <v>N/A</v>
          </cell>
          <cell r="AL183" t="str">
            <v>N/A</v>
          </cell>
          <cell r="AM183" t="str">
            <v>N/A</v>
          </cell>
          <cell r="AN183">
            <v>0</v>
          </cell>
          <cell r="AO183">
            <v>0</v>
          </cell>
        </row>
        <row r="184">
          <cell r="A184" t="str">
            <v>24-1254</v>
          </cell>
          <cell r="B184" t="str">
            <v>SPAREPARTS (LIGHT VEHICLES)</v>
          </cell>
          <cell r="C184" t="str">
            <v>PGSO</v>
          </cell>
          <cell r="D184" t="str">
            <v>No</v>
          </cell>
          <cell r="E184" t="str">
            <v>Shopping 52.1(a) - Unforeseen Contingency</v>
          </cell>
          <cell r="F184" t="str">
            <v>N/A</v>
          </cell>
          <cell r="G184">
            <v>45352</v>
          </cell>
          <cell r="H184">
            <v>0</v>
          </cell>
          <cell r="I184" t="str">
            <v>N/A</v>
          </cell>
          <cell r="J184">
            <v>45370</v>
          </cell>
          <cell r="K184">
            <v>45370</v>
          </cell>
          <cell r="L184">
            <v>0</v>
          </cell>
          <cell r="M184" t="str">
            <v>N/A</v>
          </cell>
          <cell r="N184" t="str">
            <v>N/A</v>
          </cell>
          <cell r="O184">
            <v>45372</v>
          </cell>
          <cell r="P184">
            <v>0</v>
          </cell>
          <cell r="Q184">
            <v>0</v>
          </cell>
          <cell r="R184">
            <v>0</v>
          </cell>
          <cell r="S184" t="str">
            <v>N/A</v>
          </cell>
          <cell r="T184">
            <v>45407</v>
          </cell>
          <cell r="U184">
            <v>45411</v>
          </cell>
          <cell r="V184">
            <v>0</v>
          </cell>
          <cell r="W184">
            <v>0</v>
          </cell>
          <cell r="X184">
            <v>45411</v>
          </cell>
          <cell r="Y184">
            <v>0</v>
          </cell>
          <cell r="Z184">
            <v>0</v>
          </cell>
          <cell r="AA184">
            <v>10000</v>
          </cell>
          <cell r="AB184">
            <v>0</v>
          </cell>
          <cell r="AC184">
            <v>10000</v>
          </cell>
          <cell r="AD184">
            <v>10000</v>
          </cell>
          <cell r="AE184">
            <v>0</v>
          </cell>
          <cell r="AF184">
            <v>10000</v>
          </cell>
          <cell r="AG184" t="str">
            <v>ENGR. MICHAEL C. SALARDA
MS. LEONARDA M. LATOR
MS. CARMENCITA VALDEZ
MS. SORAYA P. VERGARA</v>
          </cell>
          <cell r="AH184" t="str">
            <v>N/A</v>
          </cell>
          <cell r="AI184" t="str">
            <v>N/A</v>
          </cell>
          <cell r="AJ184" t="str">
            <v>N/A</v>
          </cell>
          <cell r="AK184" t="str">
            <v>N/A</v>
          </cell>
          <cell r="AL184" t="str">
            <v>N/A</v>
          </cell>
          <cell r="AM184" t="str">
            <v>N/A</v>
          </cell>
          <cell r="AN184">
            <v>0</v>
          </cell>
          <cell r="AO184">
            <v>0</v>
          </cell>
        </row>
        <row r="185">
          <cell r="A185" t="str">
            <v>24-1283</v>
          </cell>
          <cell r="B185" t="str">
            <v>SPAREPARTS (MOTORCYCLE)</v>
          </cell>
          <cell r="C185" t="str">
            <v>PGSO</v>
          </cell>
          <cell r="D185" t="str">
            <v>No</v>
          </cell>
          <cell r="E185" t="str">
            <v>Shopping 52.1(a) - Unforeseen Contingency</v>
          </cell>
          <cell r="F185" t="str">
            <v>N/A</v>
          </cell>
          <cell r="G185">
            <v>45352</v>
          </cell>
          <cell r="H185">
            <v>0</v>
          </cell>
          <cell r="I185" t="str">
            <v>N/A</v>
          </cell>
          <cell r="J185">
            <v>45370</v>
          </cell>
          <cell r="K185">
            <v>45370</v>
          </cell>
          <cell r="L185">
            <v>0</v>
          </cell>
          <cell r="M185" t="str">
            <v>N/A</v>
          </cell>
          <cell r="N185" t="str">
            <v>N/A</v>
          </cell>
          <cell r="O185">
            <v>45372</v>
          </cell>
          <cell r="P185">
            <v>0</v>
          </cell>
          <cell r="Q185">
            <v>0</v>
          </cell>
          <cell r="R185">
            <v>0</v>
          </cell>
          <cell r="S185" t="str">
            <v>N/A</v>
          </cell>
          <cell r="T185">
            <v>45405</v>
          </cell>
          <cell r="U185">
            <v>45408</v>
          </cell>
          <cell r="V185">
            <v>0</v>
          </cell>
          <cell r="W185">
            <v>0</v>
          </cell>
          <cell r="X185">
            <v>45408</v>
          </cell>
          <cell r="Y185">
            <v>0</v>
          </cell>
          <cell r="Z185">
            <v>0</v>
          </cell>
          <cell r="AA185">
            <v>10500</v>
          </cell>
          <cell r="AB185">
            <v>0</v>
          </cell>
          <cell r="AC185">
            <v>10500</v>
          </cell>
          <cell r="AD185">
            <v>10500</v>
          </cell>
          <cell r="AE185">
            <v>0</v>
          </cell>
          <cell r="AF185">
            <v>10500</v>
          </cell>
          <cell r="AG185" t="str">
            <v>ENGR. MICHAEL C. SALARDA
MS. LEONARDA M. LATOR
MS. CARMENCITA VALDEZ
MS. SORAYA P. VERGARA</v>
          </cell>
          <cell r="AH185" t="str">
            <v>N/A</v>
          </cell>
          <cell r="AI185" t="str">
            <v>N/A</v>
          </cell>
          <cell r="AJ185" t="str">
            <v>N/A</v>
          </cell>
          <cell r="AK185" t="str">
            <v>N/A</v>
          </cell>
          <cell r="AL185" t="str">
            <v>N/A</v>
          </cell>
          <cell r="AM185" t="str">
            <v>N/A</v>
          </cell>
          <cell r="AN185">
            <v>0</v>
          </cell>
          <cell r="AO185">
            <v>0</v>
          </cell>
        </row>
        <row r="186">
          <cell r="A186" t="str">
            <v>24-1294</v>
          </cell>
          <cell r="B186" t="str">
            <v>SPAREPARTS (MOTORCYCLE)</v>
          </cell>
          <cell r="C186" t="str">
            <v>PGSO</v>
          </cell>
          <cell r="D186" t="str">
            <v>No</v>
          </cell>
          <cell r="E186" t="str">
            <v>Shopping 52.1(a) - Unforeseen Contingency</v>
          </cell>
          <cell r="F186" t="str">
            <v>N/A</v>
          </cell>
          <cell r="G186">
            <v>45352</v>
          </cell>
          <cell r="H186">
            <v>0</v>
          </cell>
          <cell r="I186" t="str">
            <v>N/A</v>
          </cell>
          <cell r="J186">
            <v>45370</v>
          </cell>
          <cell r="K186">
            <v>45370</v>
          </cell>
          <cell r="L186">
            <v>0</v>
          </cell>
          <cell r="M186" t="str">
            <v>N/A</v>
          </cell>
          <cell r="N186" t="str">
            <v>N/A</v>
          </cell>
          <cell r="O186">
            <v>45372</v>
          </cell>
          <cell r="P186">
            <v>0</v>
          </cell>
          <cell r="Q186">
            <v>0</v>
          </cell>
          <cell r="R186">
            <v>0</v>
          </cell>
          <cell r="S186" t="str">
            <v>N/A</v>
          </cell>
          <cell r="T186">
            <v>45407</v>
          </cell>
          <cell r="U186">
            <v>45412</v>
          </cell>
          <cell r="V186">
            <v>0</v>
          </cell>
          <cell r="W186">
            <v>0</v>
          </cell>
          <cell r="X186">
            <v>45412</v>
          </cell>
          <cell r="Y186">
            <v>0</v>
          </cell>
          <cell r="Z186">
            <v>0</v>
          </cell>
          <cell r="AA186">
            <v>14985</v>
          </cell>
          <cell r="AB186">
            <v>0</v>
          </cell>
          <cell r="AC186">
            <v>14985</v>
          </cell>
          <cell r="AD186">
            <v>14985</v>
          </cell>
          <cell r="AE186">
            <v>0</v>
          </cell>
          <cell r="AF186">
            <v>14985</v>
          </cell>
          <cell r="AG186" t="str">
            <v>ENGR. MICHAEL C. SALARDA
MS. LEONARDA M. LATOR
MS. CARMENCITA VALDEZ
MS. SORAYA P. VERGARA</v>
          </cell>
          <cell r="AH186" t="str">
            <v>N/A</v>
          </cell>
          <cell r="AI186" t="str">
            <v>N/A</v>
          </cell>
          <cell r="AJ186" t="str">
            <v>N/A</v>
          </cell>
          <cell r="AK186" t="str">
            <v>N/A</v>
          </cell>
          <cell r="AL186" t="str">
            <v>N/A</v>
          </cell>
          <cell r="AM186" t="str">
            <v>N/A</v>
          </cell>
          <cell r="AN186">
            <v>0</v>
          </cell>
          <cell r="AO186">
            <v>0</v>
          </cell>
        </row>
        <row r="187">
          <cell r="A187" t="str">
            <v>24-1205</v>
          </cell>
          <cell r="B187" t="str">
            <v>SPAREPARTS (MOTORCYCLE)</v>
          </cell>
          <cell r="C187" t="str">
            <v>PGSO</v>
          </cell>
          <cell r="D187" t="str">
            <v>No</v>
          </cell>
          <cell r="E187" t="str">
            <v>Shopping 52.1(a) - Unforeseen Contingency</v>
          </cell>
          <cell r="F187" t="str">
            <v>N/A</v>
          </cell>
          <cell r="G187">
            <v>45352</v>
          </cell>
          <cell r="H187">
            <v>0</v>
          </cell>
          <cell r="I187" t="str">
            <v>N/A</v>
          </cell>
          <cell r="J187">
            <v>45370</v>
          </cell>
          <cell r="K187">
            <v>45370</v>
          </cell>
          <cell r="L187">
            <v>0</v>
          </cell>
          <cell r="M187" t="str">
            <v>N/A</v>
          </cell>
          <cell r="N187" t="str">
            <v>N/A</v>
          </cell>
          <cell r="O187">
            <v>45372</v>
          </cell>
          <cell r="P187">
            <v>0</v>
          </cell>
          <cell r="Q187">
            <v>0</v>
          </cell>
          <cell r="R187">
            <v>0</v>
          </cell>
          <cell r="S187" t="str">
            <v>N/A</v>
          </cell>
          <cell r="T187">
            <v>45407</v>
          </cell>
          <cell r="U187">
            <v>45412</v>
          </cell>
          <cell r="V187">
            <v>0</v>
          </cell>
          <cell r="W187">
            <v>0</v>
          </cell>
          <cell r="X187">
            <v>45412</v>
          </cell>
          <cell r="Y187">
            <v>0</v>
          </cell>
          <cell r="Z187">
            <v>0</v>
          </cell>
          <cell r="AA187">
            <v>12300</v>
          </cell>
          <cell r="AB187">
            <v>0</v>
          </cell>
          <cell r="AC187">
            <v>12300</v>
          </cell>
          <cell r="AD187">
            <v>12300</v>
          </cell>
          <cell r="AE187">
            <v>0</v>
          </cell>
          <cell r="AF187">
            <v>12300</v>
          </cell>
          <cell r="AG187" t="str">
            <v>ENGR. MICHAEL C. SALARDA
MS. LEONARDA M. LATOR
MS. CARMENCITA VALDEZ
MS. SORAYA P. VERGARA</v>
          </cell>
          <cell r="AH187" t="str">
            <v>N/A</v>
          </cell>
          <cell r="AI187" t="str">
            <v>N/A</v>
          </cell>
          <cell r="AJ187" t="str">
            <v>N/A</v>
          </cell>
          <cell r="AK187" t="str">
            <v>N/A</v>
          </cell>
          <cell r="AL187" t="str">
            <v>N/A</v>
          </cell>
          <cell r="AM187" t="str">
            <v>N/A</v>
          </cell>
          <cell r="AN187">
            <v>0</v>
          </cell>
          <cell r="AO187">
            <v>0</v>
          </cell>
        </row>
        <row r="188">
          <cell r="A188" t="str">
            <v>24-1201</v>
          </cell>
          <cell r="B188" t="str">
            <v>SPAREPARTS (LIGHT VEHICLES)</v>
          </cell>
          <cell r="C188" t="str">
            <v>PGSO</v>
          </cell>
          <cell r="D188" t="str">
            <v>No</v>
          </cell>
          <cell r="E188" t="str">
            <v>Shopping 52.1(a) - Unforeseen Contingency</v>
          </cell>
          <cell r="F188" t="str">
            <v>N/A</v>
          </cell>
          <cell r="G188">
            <v>45352</v>
          </cell>
          <cell r="H188">
            <v>0</v>
          </cell>
          <cell r="I188" t="str">
            <v>N/A</v>
          </cell>
          <cell r="J188">
            <v>45370</v>
          </cell>
          <cell r="K188">
            <v>45370</v>
          </cell>
          <cell r="L188">
            <v>0</v>
          </cell>
          <cell r="M188" t="str">
            <v>N/A</v>
          </cell>
          <cell r="N188" t="str">
            <v>N/A</v>
          </cell>
          <cell r="O188">
            <v>45372</v>
          </cell>
          <cell r="P188">
            <v>0</v>
          </cell>
          <cell r="Q188">
            <v>0</v>
          </cell>
          <cell r="R188">
            <v>0</v>
          </cell>
          <cell r="S188" t="str">
            <v>N/A</v>
          </cell>
          <cell r="T188">
            <v>45405</v>
          </cell>
          <cell r="U188">
            <v>45407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11000</v>
          </cell>
          <cell r="AB188">
            <v>0</v>
          </cell>
          <cell r="AC188">
            <v>11000</v>
          </cell>
          <cell r="AD188">
            <v>11000</v>
          </cell>
          <cell r="AE188">
            <v>0</v>
          </cell>
          <cell r="AF188">
            <v>11000</v>
          </cell>
          <cell r="AG188" t="str">
            <v>ENGR. MICHAEL C. SALARDA
MS. LEONARDA M. LATOR
MS. CARMENCITA VALDEZ
MS. SORAYA P. VERGARA</v>
          </cell>
          <cell r="AH188" t="str">
            <v>N/A</v>
          </cell>
          <cell r="AI188" t="str">
            <v>N/A</v>
          </cell>
          <cell r="AJ188" t="str">
            <v>N/A</v>
          </cell>
          <cell r="AK188" t="str">
            <v>N/A</v>
          </cell>
          <cell r="AL188" t="str">
            <v>N/A</v>
          </cell>
          <cell r="AM188" t="str">
            <v>N/A</v>
          </cell>
          <cell r="AN188">
            <v>0</v>
          </cell>
          <cell r="AO188">
            <v>0</v>
          </cell>
        </row>
        <row r="189">
          <cell r="A189" t="str">
            <v>24-1172</v>
          </cell>
          <cell r="B189" t="str">
            <v>SPAREPARTS (LIGHT VEHICLES)</v>
          </cell>
          <cell r="C189" t="str">
            <v>PGSO</v>
          </cell>
          <cell r="D189" t="str">
            <v>No</v>
          </cell>
          <cell r="E189" t="str">
            <v>Shopping 52.1(a) - Unforeseen Contingency</v>
          </cell>
          <cell r="F189" t="str">
            <v>N/A</v>
          </cell>
          <cell r="G189">
            <v>45352</v>
          </cell>
          <cell r="H189">
            <v>0</v>
          </cell>
          <cell r="I189" t="str">
            <v>N/A</v>
          </cell>
          <cell r="J189">
            <v>45370</v>
          </cell>
          <cell r="K189">
            <v>45370</v>
          </cell>
          <cell r="L189">
            <v>0</v>
          </cell>
          <cell r="M189" t="str">
            <v>N/A</v>
          </cell>
          <cell r="N189" t="str">
            <v>N/A</v>
          </cell>
          <cell r="O189">
            <v>45372</v>
          </cell>
          <cell r="P189">
            <v>0</v>
          </cell>
          <cell r="Q189">
            <v>0</v>
          </cell>
          <cell r="R189">
            <v>0</v>
          </cell>
          <cell r="S189" t="str">
            <v>N/A</v>
          </cell>
          <cell r="T189">
            <v>45405</v>
          </cell>
          <cell r="U189">
            <v>45407</v>
          </cell>
          <cell r="V189">
            <v>0</v>
          </cell>
          <cell r="W189">
            <v>0</v>
          </cell>
          <cell r="X189">
            <v>45407</v>
          </cell>
          <cell r="Y189">
            <v>0</v>
          </cell>
          <cell r="Z189">
            <v>0</v>
          </cell>
          <cell r="AA189">
            <v>14800</v>
          </cell>
          <cell r="AB189">
            <v>0</v>
          </cell>
          <cell r="AC189">
            <v>14800</v>
          </cell>
          <cell r="AD189">
            <v>14800</v>
          </cell>
          <cell r="AE189">
            <v>0</v>
          </cell>
          <cell r="AF189">
            <v>14800</v>
          </cell>
          <cell r="AG189" t="str">
            <v>ENGR. MICHAEL C. SALARDA
MS. LEONARDA M. LATOR
MS. CARMENCITA VALDEZ
MS. SORAYA P. VERGARA</v>
          </cell>
          <cell r="AH189" t="str">
            <v>N/A</v>
          </cell>
          <cell r="AI189" t="str">
            <v>N/A</v>
          </cell>
          <cell r="AJ189" t="str">
            <v>N/A</v>
          </cell>
          <cell r="AK189" t="str">
            <v>N/A</v>
          </cell>
          <cell r="AL189" t="str">
            <v>N/A</v>
          </cell>
          <cell r="AM189" t="str">
            <v>N/A</v>
          </cell>
          <cell r="AN189">
            <v>0</v>
          </cell>
          <cell r="AO189">
            <v>0</v>
          </cell>
        </row>
        <row r="190">
          <cell r="A190" t="str">
            <v>24-1202</v>
          </cell>
          <cell r="B190" t="str">
            <v>SPAREPARTS (LIGHT VEHICLES)</v>
          </cell>
          <cell r="C190" t="str">
            <v>PGSO</v>
          </cell>
          <cell r="D190" t="str">
            <v>No</v>
          </cell>
          <cell r="E190" t="str">
            <v>Shopping 52.1(a) - Unforeseen Contingency</v>
          </cell>
          <cell r="F190" t="str">
            <v>N/A</v>
          </cell>
          <cell r="G190">
            <v>45352</v>
          </cell>
          <cell r="H190">
            <v>0</v>
          </cell>
          <cell r="I190" t="str">
            <v>N/A</v>
          </cell>
          <cell r="J190">
            <v>45370</v>
          </cell>
          <cell r="K190">
            <v>45370</v>
          </cell>
          <cell r="L190">
            <v>0</v>
          </cell>
          <cell r="M190" t="str">
            <v>N/A</v>
          </cell>
          <cell r="N190" t="str">
            <v>N/A</v>
          </cell>
          <cell r="O190">
            <v>45372</v>
          </cell>
          <cell r="P190">
            <v>0</v>
          </cell>
          <cell r="Q190">
            <v>0</v>
          </cell>
          <cell r="R190">
            <v>0</v>
          </cell>
          <cell r="S190" t="str">
            <v>N/A</v>
          </cell>
          <cell r="T190">
            <v>45405</v>
          </cell>
          <cell r="U190">
            <v>45407</v>
          </cell>
          <cell r="V190">
            <v>0</v>
          </cell>
          <cell r="W190">
            <v>0</v>
          </cell>
          <cell r="X190">
            <v>45407</v>
          </cell>
          <cell r="Y190">
            <v>0</v>
          </cell>
          <cell r="Z190">
            <v>0</v>
          </cell>
          <cell r="AA190">
            <v>50400</v>
          </cell>
          <cell r="AB190">
            <v>0</v>
          </cell>
          <cell r="AC190">
            <v>50400</v>
          </cell>
          <cell r="AD190">
            <v>50400</v>
          </cell>
          <cell r="AE190">
            <v>0</v>
          </cell>
          <cell r="AF190">
            <v>50400</v>
          </cell>
          <cell r="AG190" t="str">
            <v>ENGR. MICHAEL C. SALARDA
MS. LEONARDA M. LATOR
MS. CARMENCITA VALDEZ
MS. SORAYA P. VERGARA</v>
          </cell>
          <cell r="AH190" t="str">
            <v>N/A</v>
          </cell>
          <cell r="AI190" t="str">
            <v>N/A</v>
          </cell>
          <cell r="AJ190" t="str">
            <v>N/A</v>
          </cell>
          <cell r="AK190" t="str">
            <v>N/A</v>
          </cell>
          <cell r="AL190" t="str">
            <v>N/A</v>
          </cell>
          <cell r="AM190" t="str">
            <v>N/A</v>
          </cell>
          <cell r="AN190">
            <v>0</v>
          </cell>
          <cell r="AO190">
            <v>0</v>
          </cell>
        </row>
        <row r="191">
          <cell r="A191" t="str">
            <v>24-1197</v>
          </cell>
          <cell r="B191" t="str">
            <v>SPAREPARTS (LIGHT VEHICLES)</v>
          </cell>
          <cell r="C191" t="str">
            <v>PGSO</v>
          </cell>
          <cell r="D191" t="str">
            <v>No</v>
          </cell>
          <cell r="E191" t="str">
            <v>Shopping 52.1(a) - Unforeseen Contingency</v>
          </cell>
          <cell r="F191" t="str">
            <v>N/A</v>
          </cell>
          <cell r="G191">
            <v>45352</v>
          </cell>
          <cell r="H191">
            <v>0</v>
          </cell>
          <cell r="I191" t="str">
            <v>N/A</v>
          </cell>
          <cell r="J191">
            <v>45370</v>
          </cell>
          <cell r="K191">
            <v>45370</v>
          </cell>
          <cell r="L191">
            <v>0</v>
          </cell>
          <cell r="M191" t="str">
            <v>N/A</v>
          </cell>
          <cell r="N191" t="str">
            <v>N/A</v>
          </cell>
          <cell r="O191">
            <v>45372</v>
          </cell>
          <cell r="P191">
            <v>0</v>
          </cell>
          <cell r="Q191">
            <v>0</v>
          </cell>
          <cell r="R191">
            <v>0</v>
          </cell>
          <cell r="S191" t="str">
            <v>N/A</v>
          </cell>
          <cell r="T191">
            <v>45405</v>
          </cell>
          <cell r="U191">
            <v>45407</v>
          </cell>
          <cell r="V191">
            <v>0</v>
          </cell>
          <cell r="W191">
            <v>0</v>
          </cell>
          <cell r="X191">
            <v>45407</v>
          </cell>
          <cell r="Y191">
            <v>0</v>
          </cell>
          <cell r="Z191">
            <v>0</v>
          </cell>
          <cell r="AA191">
            <v>40000</v>
          </cell>
          <cell r="AB191">
            <v>0</v>
          </cell>
          <cell r="AC191">
            <v>40000</v>
          </cell>
          <cell r="AD191">
            <v>40000</v>
          </cell>
          <cell r="AE191">
            <v>0</v>
          </cell>
          <cell r="AF191">
            <v>40000</v>
          </cell>
          <cell r="AG191" t="str">
            <v>ENGR. MICHAEL C. SALARDA
MS. LEONARDA M. LATOR
MS. CARMENCITA VALDEZ
MS. SORAYA P. VERGARA</v>
          </cell>
          <cell r="AH191" t="str">
            <v>N/A</v>
          </cell>
          <cell r="AI191" t="str">
            <v>N/A</v>
          </cell>
          <cell r="AJ191" t="str">
            <v>N/A</v>
          </cell>
          <cell r="AK191" t="str">
            <v>N/A</v>
          </cell>
          <cell r="AL191" t="str">
            <v>N/A</v>
          </cell>
          <cell r="AM191" t="str">
            <v>N/A</v>
          </cell>
          <cell r="AN191">
            <v>0</v>
          </cell>
          <cell r="AO191">
            <v>0</v>
          </cell>
        </row>
        <row r="192">
          <cell r="A192" t="str">
            <v>24-1204</v>
          </cell>
          <cell r="B192" t="str">
            <v>SPAREPARTS (LIGHT VEHICLES)</v>
          </cell>
          <cell r="C192" t="str">
            <v>PGSO</v>
          </cell>
          <cell r="D192" t="str">
            <v>No</v>
          </cell>
          <cell r="E192" t="str">
            <v>Shopping 52.1(a) - Unforeseen Contingency</v>
          </cell>
          <cell r="F192" t="str">
            <v>N/A</v>
          </cell>
          <cell r="G192">
            <v>45352</v>
          </cell>
          <cell r="H192">
            <v>0</v>
          </cell>
          <cell r="I192" t="str">
            <v>N/A</v>
          </cell>
          <cell r="J192">
            <v>45370</v>
          </cell>
          <cell r="K192">
            <v>45370</v>
          </cell>
          <cell r="L192">
            <v>0</v>
          </cell>
          <cell r="M192" t="str">
            <v>N/A</v>
          </cell>
          <cell r="N192" t="str">
            <v>N/A</v>
          </cell>
          <cell r="O192">
            <v>45372</v>
          </cell>
          <cell r="P192">
            <v>0</v>
          </cell>
          <cell r="Q192">
            <v>0</v>
          </cell>
          <cell r="R192">
            <v>0</v>
          </cell>
          <cell r="S192" t="str">
            <v>N/A</v>
          </cell>
          <cell r="T192">
            <v>45405</v>
          </cell>
          <cell r="U192">
            <v>45407</v>
          </cell>
          <cell r="V192">
            <v>0</v>
          </cell>
          <cell r="W192">
            <v>0</v>
          </cell>
          <cell r="X192">
            <v>45407</v>
          </cell>
          <cell r="Y192">
            <v>0</v>
          </cell>
          <cell r="Z192">
            <v>0</v>
          </cell>
          <cell r="AA192">
            <v>2200</v>
          </cell>
          <cell r="AB192">
            <v>0</v>
          </cell>
          <cell r="AC192">
            <v>2200</v>
          </cell>
          <cell r="AD192">
            <v>2200</v>
          </cell>
          <cell r="AE192">
            <v>0</v>
          </cell>
          <cell r="AF192">
            <v>2200</v>
          </cell>
          <cell r="AG192" t="str">
            <v>ENGR. MICHAEL C. SALARDA
MS. LEONARDA M. LATOR
MS. CARMENCITA VALDEZ
MS. SORAYA P. VERGARA</v>
          </cell>
          <cell r="AH192" t="str">
            <v>N/A</v>
          </cell>
          <cell r="AI192" t="str">
            <v>N/A</v>
          </cell>
          <cell r="AJ192" t="str">
            <v>N/A</v>
          </cell>
          <cell r="AK192" t="str">
            <v>N/A</v>
          </cell>
          <cell r="AL192" t="str">
            <v>N/A</v>
          </cell>
          <cell r="AM192" t="str">
            <v>N/A</v>
          </cell>
          <cell r="AN192">
            <v>0</v>
          </cell>
          <cell r="AO192">
            <v>0</v>
          </cell>
        </row>
        <row r="193">
          <cell r="A193" t="str">
            <v>24-1180</v>
          </cell>
          <cell r="B193" t="str">
            <v>SPAREPARTS (LIGHT VEHICLES)</v>
          </cell>
          <cell r="C193" t="str">
            <v>PGSO</v>
          </cell>
          <cell r="D193" t="str">
            <v>No</v>
          </cell>
          <cell r="E193" t="str">
            <v>Shopping 52.1(a) - Unforeseen Contingency</v>
          </cell>
          <cell r="F193" t="str">
            <v>N/A</v>
          </cell>
          <cell r="G193">
            <v>45352</v>
          </cell>
          <cell r="H193">
            <v>0</v>
          </cell>
          <cell r="I193" t="str">
            <v>N/A</v>
          </cell>
          <cell r="J193">
            <v>45370</v>
          </cell>
          <cell r="K193">
            <v>45370</v>
          </cell>
          <cell r="L193">
            <v>0</v>
          </cell>
          <cell r="M193" t="str">
            <v>N/A</v>
          </cell>
          <cell r="N193" t="str">
            <v>N/A</v>
          </cell>
          <cell r="O193">
            <v>45372</v>
          </cell>
          <cell r="P193">
            <v>0</v>
          </cell>
          <cell r="Q193">
            <v>0</v>
          </cell>
          <cell r="R193">
            <v>0</v>
          </cell>
          <cell r="S193" t="str">
            <v>N/A</v>
          </cell>
          <cell r="T193">
            <v>45405</v>
          </cell>
          <cell r="U193">
            <v>45407</v>
          </cell>
          <cell r="V193">
            <v>0</v>
          </cell>
          <cell r="W193">
            <v>0</v>
          </cell>
          <cell r="X193">
            <v>45407</v>
          </cell>
          <cell r="Y193">
            <v>0</v>
          </cell>
          <cell r="Z193">
            <v>0</v>
          </cell>
          <cell r="AA193">
            <v>10300</v>
          </cell>
          <cell r="AB193">
            <v>0</v>
          </cell>
          <cell r="AC193">
            <v>10300</v>
          </cell>
          <cell r="AD193">
            <v>10300</v>
          </cell>
          <cell r="AE193">
            <v>0</v>
          </cell>
          <cell r="AF193">
            <v>10300</v>
          </cell>
          <cell r="AG193" t="str">
            <v>ENGR. MICHAEL C. SALARDA
MS. LEONARDA M. LATOR
MS. CARMENCITA VALDEZ
MS. SORAYA P. VERGARA</v>
          </cell>
          <cell r="AH193" t="str">
            <v>N/A</v>
          </cell>
          <cell r="AI193" t="str">
            <v>N/A</v>
          </cell>
          <cell r="AJ193" t="str">
            <v>N/A</v>
          </cell>
          <cell r="AK193" t="str">
            <v>N/A</v>
          </cell>
          <cell r="AL193" t="str">
            <v>N/A</v>
          </cell>
          <cell r="AM193" t="str">
            <v>N/A</v>
          </cell>
          <cell r="AN193">
            <v>0</v>
          </cell>
          <cell r="AO193">
            <v>0</v>
          </cell>
        </row>
        <row r="194">
          <cell r="A194" t="str">
            <v>24-1190</v>
          </cell>
          <cell r="B194" t="str">
            <v>SPAREPARTS (LIGHT VEHICLES)</v>
          </cell>
          <cell r="C194" t="str">
            <v>PGSO</v>
          </cell>
          <cell r="D194" t="str">
            <v>No</v>
          </cell>
          <cell r="E194" t="str">
            <v>Shopping 52.1(a) - Unforeseen Contingency</v>
          </cell>
          <cell r="F194" t="str">
            <v>N/A</v>
          </cell>
          <cell r="G194">
            <v>45352</v>
          </cell>
          <cell r="H194">
            <v>0</v>
          </cell>
          <cell r="I194" t="str">
            <v>N/A</v>
          </cell>
          <cell r="J194">
            <v>45370</v>
          </cell>
          <cell r="K194">
            <v>45370</v>
          </cell>
          <cell r="L194">
            <v>0</v>
          </cell>
          <cell r="M194" t="str">
            <v>N/A</v>
          </cell>
          <cell r="N194" t="str">
            <v>N/A</v>
          </cell>
          <cell r="O194">
            <v>45372</v>
          </cell>
          <cell r="P194">
            <v>0</v>
          </cell>
          <cell r="Q194">
            <v>0</v>
          </cell>
          <cell r="R194">
            <v>0</v>
          </cell>
          <cell r="S194" t="str">
            <v>N/A</v>
          </cell>
          <cell r="T194">
            <v>45407</v>
          </cell>
          <cell r="U194">
            <v>45411</v>
          </cell>
          <cell r="V194">
            <v>0</v>
          </cell>
          <cell r="W194">
            <v>0</v>
          </cell>
          <cell r="X194">
            <v>45411</v>
          </cell>
          <cell r="Y194">
            <v>0</v>
          </cell>
          <cell r="Z194">
            <v>0</v>
          </cell>
          <cell r="AA194">
            <v>12900</v>
          </cell>
          <cell r="AB194">
            <v>0</v>
          </cell>
          <cell r="AC194">
            <v>12900</v>
          </cell>
          <cell r="AD194">
            <v>12900</v>
          </cell>
          <cell r="AE194">
            <v>0</v>
          </cell>
          <cell r="AF194">
            <v>12900</v>
          </cell>
          <cell r="AG194" t="str">
            <v>ENGR. MICHAEL C. SALARDA
MS. LEONARDA M. LATOR
MS. CARMENCITA VALDEZ
MS. SORAYA P. VERGARA</v>
          </cell>
          <cell r="AH194" t="str">
            <v>N/A</v>
          </cell>
          <cell r="AI194" t="str">
            <v>N/A</v>
          </cell>
          <cell r="AJ194" t="str">
            <v>N/A</v>
          </cell>
          <cell r="AK194" t="str">
            <v>N/A</v>
          </cell>
          <cell r="AL194" t="str">
            <v>N/A</v>
          </cell>
          <cell r="AM194" t="str">
            <v>N/A</v>
          </cell>
          <cell r="AN194">
            <v>0</v>
          </cell>
          <cell r="AO194">
            <v>0</v>
          </cell>
        </row>
        <row r="195">
          <cell r="A195" t="str">
            <v>24-1198</v>
          </cell>
          <cell r="B195" t="str">
            <v>SPAREPARTS (LIGHT VEHICLES)</v>
          </cell>
          <cell r="C195" t="str">
            <v>PGSO</v>
          </cell>
          <cell r="D195" t="str">
            <v>No</v>
          </cell>
          <cell r="E195" t="str">
            <v>Shopping 52.1(a) - Unforeseen Contingency</v>
          </cell>
          <cell r="F195" t="str">
            <v>N/A</v>
          </cell>
          <cell r="G195">
            <v>45352</v>
          </cell>
          <cell r="H195">
            <v>0</v>
          </cell>
          <cell r="I195" t="str">
            <v>N/A</v>
          </cell>
          <cell r="J195">
            <v>45370</v>
          </cell>
          <cell r="K195">
            <v>45370</v>
          </cell>
          <cell r="L195">
            <v>0</v>
          </cell>
          <cell r="M195" t="str">
            <v>N/A</v>
          </cell>
          <cell r="N195" t="str">
            <v>N/A</v>
          </cell>
          <cell r="O195">
            <v>45372</v>
          </cell>
          <cell r="P195">
            <v>0</v>
          </cell>
          <cell r="Q195">
            <v>0</v>
          </cell>
          <cell r="R195">
            <v>0</v>
          </cell>
          <cell r="S195" t="str">
            <v>N/A</v>
          </cell>
          <cell r="T195">
            <v>45405</v>
          </cell>
          <cell r="U195">
            <v>45407</v>
          </cell>
          <cell r="V195">
            <v>0</v>
          </cell>
          <cell r="W195">
            <v>0</v>
          </cell>
          <cell r="X195">
            <v>45407</v>
          </cell>
          <cell r="Y195">
            <v>0</v>
          </cell>
          <cell r="Z195">
            <v>0</v>
          </cell>
          <cell r="AA195">
            <v>8950</v>
          </cell>
          <cell r="AB195">
            <v>0</v>
          </cell>
          <cell r="AC195">
            <v>8950</v>
          </cell>
          <cell r="AD195">
            <v>8950</v>
          </cell>
          <cell r="AE195">
            <v>0</v>
          </cell>
          <cell r="AF195">
            <v>8950</v>
          </cell>
          <cell r="AG195" t="str">
            <v>ENGR. MICHAEL C. SALARDA
MS. LEONARDA M. LATOR
MS. CARMENCITA VALDEZ
MS. SORAYA P. VERGARA</v>
          </cell>
          <cell r="AH195" t="str">
            <v>N/A</v>
          </cell>
          <cell r="AI195" t="str">
            <v>N/A</v>
          </cell>
          <cell r="AJ195" t="str">
            <v>N/A</v>
          </cell>
          <cell r="AK195" t="str">
            <v>N/A</v>
          </cell>
          <cell r="AL195" t="str">
            <v>N/A</v>
          </cell>
          <cell r="AM195" t="str">
            <v>N/A</v>
          </cell>
          <cell r="AN195">
            <v>0</v>
          </cell>
          <cell r="AO195">
            <v>0</v>
          </cell>
        </row>
        <row r="196">
          <cell r="A196" t="str">
            <v>24-1233</v>
          </cell>
          <cell r="B196" t="str">
            <v>SPAREPARTS (LIGHT VEHICLES)</v>
          </cell>
          <cell r="C196" t="str">
            <v>PGSO</v>
          </cell>
          <cell r="D196" t="str">
            <v>No</v>
          </cell>
          <cell r="E196" t="str">
            <v>Shopping 52.1(a) - Unforeseen Contingency</v>
          </cell>
          <cell r="F196" t="str">
            <v>N/A</v>
          </cell>
          <cell r="G196">
            <v>45352</v>
          </cell>
          <cell r="H196">
            <v>0</v>
          </cell>
          <cell r="I196" t="str">
            <v>N/A</v>
          </cell>
          <cell r="J196">
            <v>45370</v>
          </cell>
          <cell r="K196">
            <v>45370</v>
          </cell>
          <cell r="L196">
            <v>0</v>
          </cell>
          <cell r="M196" t="str">
            <v>N/A</v>
          </cell>
          <cell r="N196" t="str">
            <v>N/A</v>
          </cell>
          <cell r="O196">
            <v>45372</v>
          </cell>
          <cell r="P196">
            <v>0</v>
          </cell>
          <cell r="Q196">
            <v>0</v>
          </cell>
          <cell r="R196">
            <v>0</v>
          </cell>
          <cell r="S196" t="str">
            <v>N/A</v>
          </cell>
          <cell r="T196">
            <v>45404</v>
          </cell>
          <cell r="U196">
            <v>45412</v>
          </cell>
          <cell r="V196">
            <v>0</v>
          </cell>
          <cell r="W196">
            <v>0</v>
          </cell>
          <cell r="X196">
            <v>45412</v>
          </cell>
          <cell r="Y196">
            <v>0</v>
          </cell>
          <cell r="Z196">
            <v>0</v>
          </cell>
          <cell r="AA196">
            <v>3500</v>
          </cell>
          <cell r="AB196">
            <v>0</v>
          </cell>
          <cell r="AC196">
            <v>3500</v>
          </cell>
          <cell r="AD196">
            <v>3500</v>
          </cell>
          <cell r="AE196">
            <v>0</v>
          </cell>
          <cell r="AF196">
            <v>3500</v>
          </cell>
          <cell r="AG196" t="str">
            <v>ENGR. MICHAEL C. SALARDA
MS. LEONARDA M. LATOR
MS. CARMENCITA VALDEZ
MS. SORAYA P. VERGARA</v>
          </cell>
          <cell r="AH196" t="str">
            <v>N/A</v>
          </cell>
          <cell r="AI196" t="str">
            <v>N/A</v>
          </cell>
          <cell r="AJ196" t="str">
            <v>N/A</v>
          </cell>
          <cell r="AK196" t="str">
            <v>N/A</v>
          </cell>
          <cell r="AL196" t="str">
            <v>N/A</v>
          </cell>
          <cell r="AM196" t="str">
            <v>N/A</v>
          </cell>
          <cell r="AN196">
            <v>0</v>
          </cell>
          <cell r="AO196">
            <v>0</v>
          </cell>
        </row>
        <row r="197">
          <cell r="A197" t="str">
            <v>24-1230</v>
          </cell>
          <cell r="B197" t="str">
            <v>SPAREPARTS (LIGHT VEHICLES)</v>
          </cell>
          <cell r="C197" t="str">
            <v>PGSO</v>
          </cell>
          <cell r="D197" t="str">
            <v>No</v>
          </cell>
          <cell r="E197" t="str">
            <v>Shopping 52.1(a) - Unforeseen Contingency</v>
          </cell>
          <cell r="F197" t="str">
            <v>N/A</v>
          </cell>
          <cell r="G197">
            <v>45352</v>
          </cell>
          <cell r="H197">
            <v>0</v>
          </cell>
          <cell r="I197" t="str">
            <v>N/A</v>
          </cell>
          <cell r="J197">
            <v>45370</v>
          </cell>
          <cell r="K197">
            <v>45370</v>
          </cell>
          <cell r="L197">
            <v>0</v>
          </cell>
          <cell r="M197" t="str">
            <v>N/A</v>
          </cell>
          <cell r="N197" t="str">
            <v>N/A</v>
          </cell>
          <cell r="O197">
            <v>45372</v>
          </cell>
          <cell r="P197">
            <v>0</v>
          </cell>
          <cell r="Q197">
            <v>0</v>
          </cell>
          <cell r="R197">
            <v>0</v>
          </cell>
          <cell r="S197" t="str">
            <v>N/A</v>
          </cell>
          <cell r="T197">
            <v>45398</v>
          </cell>
          <cell r="U197">
            <v>45404</v>
          </cell>
          <cell r="V197">
            <v>0</v>
          </cell>
          <cell r="W197">
            <v>0</v>
          </cell>
          <cell r="X197">
            <v>45404</v>
          </cell>
          <cell r="Y197">
            <v>0</v>
          </cell>
          <cell r="Z197">
            <v>0</v>
          </cell>
          <cell r="AA197">
            <v>5000</v>
          </cell>
          <cell r="AB197">
            <v>0</v>
          </cell>
          <cell r="AC197">
            <v>5000</v>
          </cell>
          <cell r="AD197">
            <v>5000</v>
          </cell>
          <cell r="AE197">
            <v>0</v>
          </cell>
          <cell r="AF197">
            <v>5000</v>
          </cell>
          <cell r="AG197" t="str">
            <v>ENGR. MICHAEL C. SALARDA
MS. LEONARDA M. LATOR
MS. CARMENCITA VALDEZ
MS. SORAYA P. VERGARA</v>
          </cell>
          <cell r="AH197" t="str">
            <v>N/A</v>
          </cell>
          <cell r="AI197" t="str">
            <v>N/A</v>
          </cell>
          <cell r="AJ197" t="str">
            <v>N/A</v>
          </cell>
          <cell r="AK197" t="str">
            <v>N/A</v>
          </cell>
          <cell r="AL197" t="str">
            <v>N/A</v>
          </cell>
          <cell r="AM197" t="str">
            <v>N/A</v>
          </cell>
          <cell r="AN197">
            <v>0</v>
          </cell>
          <cell r="AO197">
            <v>0</v>
          </cell>
        </row>
        <row r="198">
          <cell r="A198" t="str">
            <v>24-1330</v>
          </cell>
          <cell r="B198" t="str">
            <v>SPAREPARTS (LIGHT VEHICLES)</v>
          </cell>
          <cell r="C198" t="str">
            <v>PGSO</v>
          </cell>
          <cell r="D198" t="str">
            <v>No</v>
          </cell>
          <cell r="E198" t="str">
            <v>Shopping 52.1(a) - Unforeseen Contingency</v>
          </cell>
          <cell r="F198" t="str">
            <v>N/A</v>
          </cell>
          <cell r="G198">
            <v>45352</v>
          </cell>
          <cell r="H198">
            <v>0</v>
          </cell>
          <cell r="I198" t="str">
            <v>N/A</v>
          </cell>
          <cell r="J198">
            <v>45370</v>
          </cell>
          <cell r="K198">
            <v>45370</v>
          </cell>
          <cell r="L198">
            <v>0</v>
          </cell>
          <cell r="M198" t="str">
            <v>N/A</v>
          </cell>
          <cell r="N198" t="str">
            <v>N/A</v>
          </cell>
          <cell r="O198">
            <v>45372</v>
          </cell>
          <cell r="P198">
            <v>0</v>
          </cell>
          <cell r="Q198">
            <v>0</v>
          </cell>
          <cell r="R198">
            <v>0</v>
          </cell>
          <cell r="S198" t="str">
            <v>N/A</v>
          </cell>
          <cell r="T198">
            <v>45386</v>
          </cell>
          <cell r="U198">
            <v>45394</v>
          </cell>
          <cell r="V198">
            <v>0</v>
          </cell>
          <cell r="W198">
            <v>0</v>
          </cell>
          <cell r="X198">
            <v>45394</v>
          </cell>
          <cell r="Y198">
            <v>0</v>
          </cell>
          <cell r="Z198">
            <v>0</v>
          </cell>
          <cell r="AA198">
            <v>15550</v>
          </cell>
          <cell r="AB198">
            <v>0</v>
          </cell>
          <cell r="AC198">
            <v>15550</v>
          </cell>
          <cell r="AD198">
            <v>15550</v>
          </cell>
          <cell r="AE198">
            <v>0</v>
          </cell>
          <cell r="AF198">
            <v>15550</v>
          </cell>
          <cell r="AG198" t="str">
            <v>ENGR. MICHAEL C. SALARDA
MS. LEONARDA M. LATOR
MS. CARMENCITA VALDEZ
MS. SORAYA P. VERGARA</v>
          </cell>
          <cell r="AH198" t="str">
            <v>N/A</v>
          </cell>
          <cell r="AI198" t="str">
            <v>N/A</v>
          </cell>
          <cell r="AJ198" t="str">
            <v>N/A</v>
          </cell>
          <cell r="AK198" t="str">
            <v>N/A</v>
          </cell>
          <cell r="AL198" t="str">
            <v>N/A</v>
          </cell>
          <cell r="AM198" t="str">
            <v>N/A</v>
          </cell>
          <cell r="AN198">
            <v>0</v>
          </cell>
          <cell r="AO198">
            <v>0</v>
          </cell>
        </row>
        <row r="199">
          <cell r="A199" t="str">
            <v>24-1569</v>
          </cell>
          <cell r="B199" t="str">
            <v>SPAREPARTS (LIGHT VEHICLES)</v>
          </cell>
          <cell r="C199" t="str">
            <v>PGSO</v>
          </cell>
          <cell r="D199" t="str">
            <v>No</v>
          </cell>
          <cell r="E199" t="str">
            <v>Shopping 52.1(a) - Unforeseen Contingency</v>
          </cell>
          <cell r="F199" t="str">
            <v>N/A</v>
          </cell>
          <cell r="G199">
            <v>45352</v>
          </cell>
          <cell r="H199">
            <v>0</v>
          </cell>
          <cell r="I199" t="str">
            <v>N/A</v>
          </cell>
          <cell r="J199">
            <v>45370</v>
          </cell>
          <cell r="K199">
            <v>45370</v>
          </cell>
          <cell r="L199">
            <v>0</v>
          </cell>
          <cell r="M199" t="str">
            <v>N/A</v>
          </cell>
          <cell r="N199" t="str">
            <v>N/A</v>
          </cell>
          <cell r="O199">
            <v>45372</v>
          </cell>
          <cell r="P199">
            <v>0</v>
          </cell>
          <cell r="Q199">
            <v>0</v>
          </cell>
          <cell r="R199">
            <v>0</v>
          </cell>
          <cell r="S199" t="str">
            <v>N/A</v>
          </cell>
          <cell r="T199">
            <v>45407</v>
          </cell>
          <cell r="U199">
            <v>45411</v>
          </cell>
          <cell r="V199">
            <v>0</v>
          </cell>
          <cell r="W199">
            <v>0</v>
          </cell>
          <cell r="X199">
            <v>45411</v>
          </cell>
          <cell r="Y199">
            <v>0</v>
          </cell>
          <cell r="Z199">
            <v>0</v>
          </cell>
          <cell r="AA199">
            <v>25500</v>
          </cell>
          <cell r="AB199">
            <v>0</v>
          </cell>
          <cell r="AC199">
            <v>25500</v>
          </cell>
          <cell r="AD199">
            <v>25500</v>
          </cell>
          <cell r="AE199">
            <v>0</v>
          </cell>
          <cell r="AF199">
            <v>25500</v>
          </cell>
          <cell r="AG199" t="str">
            <v>ENGR. MICHAEL C. SALARDA
MS. LEONARDA M. LATOR
MS. CARMENCITA VALDEZ
MS. SORAYA P. VERGARA</v>
          </cell>
          <cell r="AH199" t="str">
            <v>N/A</v>
          </cell>
          <cell r="AI199" t="str">
            <v>N/A</v>
          </cell>
          <cell r="AJ199" t="str">
            <v>N/A</v>
          </cell>
          <cell r="AK199" t="str">
            <v>N/A</v>
          </cell>
          <cell r="AL199" t="str">
            <v>N/A</v>
          </cell>
          <cell r="AM199" t="str">
            <v>N/A</v>
          </cell>
          <cell r="AN199">
            <v>0</v>
          </cell>
          <cell r="AO199">
            <v>0</v>
          </cell>
        </row>
        <row r="200">
          <cell r="A200" t="str">
            <v>24-1235</v>
          </cell>
          <cell r="B200" t="str">
            <v>SPAREPARTS (MOTORCYCLE)</v>
          </cell>
          <cell r="C200" t="str">
            <v>SPO</v>
          </cell>
          <cell r="D200" t="str">
            <v>No</v>
          </cell>
          <cell r="E200" t="str">
            <v>Shopping 52.1(a) - Unforeseen Contingency</v>
          </cell>
          <cell r="F200">
            <v>45356</v>
          </cell>
          <cell r="G200">
            <v>45359</v>
          </cell>
          <cell r="H200">
            <v>0</v>
          </cell>
          <cell r="I200" t="str">
            <v>N/A</v>
          </cell>
          <cell r="J200">
            <v>45370</v>
          </cell>
          <cell r="K200">
            <v>45370</v>
          </cell>
          <cell r="L200">
            <v>0</v>
          </cell>
          <cell r="M200" t="str">
            <v>N/A</v>
          </cell>
          <cell r="N200" t="str">
            <v>N/A</v>
          </cell>
          <cell r="O200">
            <v>45372</v>
          </cell>
          <cell r="P200">
            <v>0</v>
          </cell>
          <cell r="Q200">
            <v>0</v>
          </cell>
          <cell r="R200">
            <v>0</v>
          </cell>
          <cell r="S200" t="str">
            <v>N/A</v>
          </cell>
          <cell r="T200">
            <v>45398</v>
          </cell>
          <cell r="U200">
            <v>45400</v>
          </cell>
          <cell r="V200">
            <v>0</v>
          </cell>
          <cell r="W200">
            <v>0</v>
          </cell>
          <cell r="X200">
            <v>45400</v>
          </cell>
          <cell r="Y200">
            <v>0</v>
          </cell>
          <cell r="Z200">
            <v>0</v>
          </cell>
          <cell r="AA200">
            <v>2640</v>
          </cell>
          <cell r="AB200">
            <v>0</v>
          </cell>
          <cell r="AC200">
            <v>2640</v>
          </cell>
          <cell r="AD200">
            <v>2640</v>
          </cell>
          <cell r="AE200">
            <v>0</v>
          </cell>
          <cell r="AF200">
            <v>2640</v>
          </cell>
          <cell r="AG200" t="str">
            <v>ENGR. MICHAEL C. SALARDA
MS. LEONARDA M. LATOR
MS. CARMENCITA VALDEZ
MS. SORAYA P. VERGARA</v>
          </cell>
          <cell r="AH200" t="str">
            <v>N/A</v>
          </cell>
          <cell r="AI200" t="str">
            <v>N/A</v>
          </cell>
          <cell r="AJ200" t="str">
            <v>N/A</v>
          </cell>
          <cell r="AK200" t="str">
            <v>N/A</v>
          </cell>
          <cell r="AL200" t="str">
            <v>N/A</v>
          </cell>
          <cell r="AM200" t="str">
            <v>N/A</v>
          </cell>
          <cell r="AN200">
            <v>0</v>
          </cell>
          <cell r="AO200">
            <v>0</v>
          </cell>
        </row>
        <row r="201">
          <cell r="A201" t="str">
            <v>24-C1024</v>
          </cell>
          <cell r="B201" t="str">
            <v>FUEL, OIL, AND LUBRICANTS</v>
          </cell>
          <cell r="C201" t="str">
            <v>SPO</v>
          </cell>
          <cell r="D201" t="str">
            <v>No</v>
          </cell>
          <cell r="E201" t="str">
            <v>Shopping 52.1(a) - Unforeseen Contingency</v>
          </cell>
          <cell r="F201">
            <v>45356</v>
          </cell>
          <cell r="G201">
            <v>45359</v>
          </cell>
          <cell r="H201">
            <v>0</v>
          </cell>
          <cell r="I201" t="str">
            <v>N/A</v>
          </cell>
          <cell r="J201">
            <v>45370</v>
          </cell>
          <cell r="K201">
            <v>45370</v>
          </cell>
          <cell r="L201">
            <v>0</v>
          </cell>
          <cell r="M201" t="str">
            <v>N/A</v>
          </cell>
          <cell r="N201" t="str">
            <v>N/A</v>
          </cell>
          <cell r="O201">
            <v>45372</v>
          </cell>
          <cell r="P201">
            <v>0</v>
          </cell>
          <cell r="Q201">
            <v>0</v>
          </cell>
          <cell r="R201">
            <v>0</v>
          </cell>
          <cell r="S201" t="str">
            <v>N/A</v>
          </cell>
          <cell r="T201">
            <v>45404</v>
          </cell>
          <cell r="U201">
            <v>45412</v>
          </cell>
          <cell r="V201">
            <v>0</v>
          </cell>
          <cell r="W201">
            <v>0</v>
          </cell>
          <cell r="X201">
            <v>45412</v>
          </cell>
          <cell r="Y201">
            <v>0</v>
          </cell>
          <cell r="Z201">
            <v>0</v>
          </cell>
          <cell r="AA201">
            <v>2960</v>
          </cell>
          <cell r="AB201">
            <v>0</v>
          </cell>
          <cell r="AC201">
            <v>2960</v>
          </cell>
          <cell r="AD201">
            <v>2960</v>
          </cell>
          <cell r="AE201">
            <v>0</v>
          </cell>
          <cell r="AF201">
            <v>2960</v>
          </cell>
          <cell r="AG201" t="str">
            <v>ENGR. MICHAEL C. SALARDA
MS. LEONARDA M. LATOR
MS. CARMENCITA VALDEZ
MS. SORAYA P. VERGARA</v>
          </cell>
          <cell r="AH201" t="str">
            <v>N/A</v>
          </cell>
          <cell r="AI201" t="str">
            <v>N/A</v>
          </cell>
          <cell r="AJ201" t="str">
            <v>N/A</v>
          </cell>
          <cell r="AK201" t="str">
            <v>N/A</v>
          </cell>
          <cell r="AL201" t="str">
            <v>N/A</v>
          </cell>
          <cell r="AM201" t="str">
            <v>N/A</v>
          </cell>
          <cell r="AN201">
            <v>0</v>
          </cell>
          <cell r="AO201">
            <v>0</v>
          </cell>
        </row>
        <row r="202">
          <cell r="A202" t="str">
            <v>24-C1083</v>
          </cell>
          <cell r="B202" t="str">
            <v>SPAREPARTS (LIGHT VEHICLES)</v>
          </cell>
          <cell r="C202" t="str">
            <v>SPO</v>
          </cell>
          <cell r="D202" t="str">
            <v>No</v>
          </cell>
          <cell r="E202" t="str">
            <v>Shopping 52.1(a) - Unforeseen Contingency</v>
          </cell>
          <cell r="F202">
            <v>45356</v>
          </cell>
          <cell r="G202">
            <v>45359</v>
          </cell>
          <cell r="H202">
            <v>0</v>
          </cell>
          <cell r="I202" t="str">
            <v>N/A</v>
          </cell>
          <cell r="J202">
            <v>45370</v>
          </cell>
          <cell r="K202">
            <v>45370</v>
          </cell>
          <cell r="L202">
            <v>0</v>
          </cell>
          <cell r="M202" t="str">
            <v>N/A</v>
          </cell>
          <cell r="N202" t="str">
            <v>N/A</v>
          </cell>
          <cell r="O202">
            <v>45372</v>
          </cell>
          <cell r="P202">
            <v>0</v>
          </cell>
          <cell r="Q202">
            <v>0</v>
          </cell>
          <cell r="R202">
            <v>0</v>
          </cell>
          <cell r="S202" t="str">
            <v>N/A</v>
          </cell>
          <cell r="T202">
            <v>45467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55150</v>
          </cell>
          <cell r="AB202">
            <v>0</v>
          </cell>
          <cell r="AC202">
            <v>55150</v>
          </cell>
          <cell r="AD202">
            <v>55150</v>
          </cell>
          <cell r="AE202">
            <v>0</v>
          </cell>
          <cell r="AF202">
            <v>55150</v>
          </cell>
          <cell r="AG202" t="str">
            <v>ENGR. MICHAEL C. SALARDA
MS. LEONARDA M. LATOR
MS. CARMENCITA VALDEZ
MS. SORAYA P. VERGARA</v>
          </cell>
          <cell r="AH202" t="str">
            <v>N/A</v>
          </cell>
          <cell r="AI202" t="str">
            <v>N/A</v>
          </cell>
          <cell r="AJ202" t="str">
            <v>N/A</v>
          </cell>
          <cell r="AK202" t="str">
            <v>N/A</v>
          </cell>
          <cell r="AL202" t="str">
            <v>N/A</v>
          </cell>
          <cell r="AM202" t="str">
            <v>N/A</v>
          </cell>
          <cell r="AN202">
            <v>0</v>
          </cell>
          <cell r="AO202">
            <v>0</v>
          </cell>
        </row>
        <row r="203">
          <cell r="A203" t="str">
            <v>24-1545</v>
          </cell>
          <cell r="B203" t="str">
            <v xml:space="preserve">JOB ORDER (LABOR &amp; MATERIALS) </v>
          </cell>
          <cell r="C203" t="str">
            <v>PDRRMO</v>
          </cell>
          <cell r="D203" t="str">
            <v>No</v>
          </cell>
          <cell r="E203" t="str">
            <v>Shopping 52.1(a) - Unforeseen Contingency</v>
          </cell>
          <cell r="F203">
            <v>45356</v>
          </cell>
          <cell r="G203">
            <v>45359</v>
          </cell>
          <cell r="H203">
            <v>0</v>
          </cell>
          <cell r="I203" t="str">
            <v>N/A</v>
          </cell>
          <cell r="J203">
            <v>45370</v>
          </cell>
          <cell r="K203">
            <v>45370</v>
          </cell>
          <cell r="L203">
            <v>0</v>
          </cell>
          <cell r="M203" t="str">
            <v>N/A</v>
          </cell>
          <cell r="N203" t="str">
            <v>N/A</v>
          </cell>
          <cell r="O203">
            <v>45372</v>
          </cell>
          <cell r="P203">
            <v>0</v>
          </cell>
          <cell r="Q203">
            <v>0</v>
          </cell>
          <cell r="R203">
            <v>0</v>
          </cell>
          <cell r="S203" t="str">
            <v>N/A</v>
          </cell>
          <cell r="T203">
            <v>45386</v>
          </cell>
          <cell r="U203">
            <v>45394</v>
          </cell>
          <cell r="V203">
            <v>0</v>
          </cell>
          <cell r="W203">
            <v>0</v>
          </cell>
          <cell r="X203">
            <v>45394</v>
          </cell>
          <cell r="Y203">
            <v>0</v>
          </cell>
          <cell r="Z203">
            <v>0</v>
          </cell>
          <cell r="AA203">
            <v>4500</v>
          </cell>
          <cell r="AB203">
            <v>0</v>
          </cell>
          <cell r="AC203">
            <v>4500</v>
          </cell>
          <cell r="AD203">
            <v>4500</v>
          </cell>
          <cell r="AE203">
            <v>0</v>
          </cell>
          <cell r="AF203">
            <v>4500</v>
          </cell>
          <cell r="AG203" t="str">
            <v>ENGR. MICHAEL C. SALARDA
MS. LEONARDA M. LATOR
MS. CARMENCITA VALDEZ
MS. SORAYA P. VERGARA</v>
          </cell>
          <cell r="AH203" t="str">
            <v>N/A</v>
          </cell>
          <cell r="AI203" t="str">
            <v>N/A</v>
          </cell>
          <cell r="AJ203" t="str">
            <v>N/A</v>
          </cell>
          <cell r="AK203" t="str">
            <v>N/A</v>
          </cell>
          <cell r="AL203" t="str">
            <v>N/A</v>
          </cell>
          <cell r="AM203" t="str">
            <v>N/A</v>
          </cell>
          <cell r="AN203">
            <v>0</v>
          </cell>
          <cell r="AO203">
            <v>0</v>
          </cell>
        </row>
        <row r="204">
          <cell r="A204" t="str">
            <v>24-0115</v>
          </cell>
          <cell r="B204" t="str">
            <v>SPAREPARTS (MOTORCYCLE)</v>
          </cell>
          <cell r="C204" t="str">
            <v>COA</v>
          </cell>
          <cell r="D204" t="str">
            <v>No</v>
          </cell>
          <cell r="E204" t="str">
            <v>NP-53.9 - Small Value Procurement</v>
          </cell>
          <cell r="F204" t="str">
            <v>N/A</v>
          </cell>
          <cell r="G204">
            <v>45318</v>
          </cell>
          <cell r="H204">
            <v>0</v>
          </cell>
          <cell r="I204" t="str">
            <v>N/A</v>
          </cell>
          <cell r="J204">
            <v>45370</v>
          </cell>
          <cell r="K204">
            <v>45370</v>
          </cell>
          <cell r="L204">
            <v>0</v>
          </cell>
          <cell r="M204" t="str">
            <v>N/A</v>
          </cell>
          <cell r="N204" t="str">
            <v>N/A</v>
          </cell>
          <cell r="O204">
            <v>45372</v>
          </cell>
          <cell r="P204">
            <v>0</v>
          </cell>
          <cell r="Q204">
            <v>0</v>
          </cell>
          <cell r="R204">
            <v>0</v>
          </cell>
          <cell r="S204" t="str">
            <v>N/A</v>
          </cell>
          <cell r="T204">
            <v>45390</v>
          </cell>
          <cell r="U204">
            <v>45397</v>
          </cell>
          <cell r="V204">
            <v>0</v>
          </cell>
          <cell r="W204">
            <v>0</v>
          </cell>
          <cell r="X204">
            <v>45406</v>
          </cell>
          <cell r="Y204">
            <v>0</v>
          </cell>
          <cell r="Z204">
            <v>0</v>
          </cell>
          <cell r="AA204">
            <v>4510</v>
          </cell>
          <cell r="AB204">
            <v>0</v>
          </cell>
          <cell r="AC204">
            <v>4510</v>
          </cell>
          <cell r="AD204">
            <v>4510</v>
          </cell>
          <cell r="AE204">
            <v>0</v>
          </cell>
          <cell r="AF204">
            <v>4510</v>
          </cell>
          <cell r="AG204" t="str">
            <v>ENGR. MICHAEL C. SALARDA
MS. LEONARDA M. LATOR
MS. CARMENCITA VALDEZ
MS. SORAYA P. VERGARA</v>
          </cell>
          <cell r="AH204" t="str">
            <v>N/A</v>
          </cell>
          <cell r="AI204" t="str">
            <v>N/A</v>
          </cell>
          <cell r="AJ204" t="str">
            <v>N/A</v>
          </cell>
          <cell r="AK204" t="str">
            <v>N/A</v>
          </cell>
          <cell r="AL204" t="str">
            <v>N/A</v>
          </cell>
          <cell r="AM204" t="str">
            <v>N/A</v>
          </cell>
          <cell r="AN204">
            <v>0</v>
          </cell>
          <cell r="AO204">
            <v>0</v>
          </cell>
        </row>
        <row r="205">
          <cell r="A205" t="str">
            <v>24-0875</v>
          </cell>
          <cell r="B205" t="str">
            <v>FURNITURE &amp; FIXTURES</v>
          </cell>
          <cell r="C205" t="str">
            <v>SPO</v>
          </cell>
          <cell r="D205" t="str">
            <v>No</v>
          </cell>
          <cell r="E205" t="str">
            <v>NP-53.9 - Small Value Procurement</v>
          </cell>
          <cell r="F205" t="str">
            <v>N/A</v>
          </cell>
          <cell r="G205">
            <v>45344</v>
          </cell>
          <cell r="H205">
            <v>0</v>
          </cell>
          <cell r="I205" t="str">
            <v>N/A</v>
          </cell>
          <cell r="J205">
            <v>45370</v>
          </cell>
          <cell r="K205">
            <v>45370</v>
          </cell>
          <cell r="L205">
            <v>0</v>
          </cell>
          <cell r="M205" t="str">
            <v>N/A</v>
          </cell>
          <cell r="N205" t="str">
            <v>N/A</v>
          </cell>
          <cell r="O205">
            <v>45372</v>
          </cell>
          <cell r="P205">
            <v>0</v>
          </cell>
          <cell r="Q205">
            <v>0</v>
          </cell>
          <cell r="R205">
            <v>0</v>
          </cell>
          <cell r="S205" t="str">
            <v>N/A</v>
          </cell>
          <cell r="T205">
            <v>45439</v>
          </cell>
          <cell r="U205">
            <v>45446</v>
          </cell>
          <cell r="V205">
            <v>0</v>
          </cell>
          <cell r="W205">
            <v>0</v>
          </cell>
          <cell r="X205">
            <v>45449</v>
          </cell>
          <cell r="Y205">
            <v>0</v>
          </cell>
          <cell r="Z205">
            <v>0</v>
          </cell>
          <cell r="AA205">
            <v>7000</v>
          </cell>
          <cell r="AB205">
            <v>0</v>
          </cell>
          <cell r="AC205">
            <v>7000</v>
          </cell>
          <cell r="AD205">
            <v>7000</v>
          </cell>
          <cell r="AE205">
            <v>0</v>
          </cell>
          <cell r="AF205">
            <v>7000</v>
          </cell>
          <cell r="AG205" t="str">
            <v>ENGR. MICHAEL C. SALARDA
MS. LEONARDA M. LATOR
MS. CARMENCITA VALDEZ
MS. SORAYA P. VERGARA</v>
          </cell>
          <cell r="AH205" t="str">
            <v>N/A</v>
          </cell>
          <cell r="AI205" t="str">
            <v>N/A</v>
          </cell>
          <cell r="AJ205" t="str">
            <v>N/A</v>
          </cell>
          <cell r="AK205" t="str">
            <v>N/A</v>
          </cell>
          <cell r="AL205" t="str">
            <v>N/A</v>
          </cell>
          <cell r="AM205" t="str">
            <v>N/A</v>
          </cell>
          <cell r="AN205">
            <v>0</v>
          </cell>
          <cell r="AO205">
            <v>0</v>
          </cell>
        </row>
        <row r="206">
          <cell r="A206" t="str">
            <v>24-1390</v>
          </cell>
          <cell r="B206" t="str">
            <v>FOOD/CATERING SERVICES</v>
          </cell>
          <cell r="C206" t="str">
            <v>PDRRMO</v>
          </cell>
          <cell r="D206" t="str">
            <v>No</v>
          </cell>
          <cell r="E206" t="str">
            <v>NP-53.9 - Small Value Procurement</v>
          </cell>
          <cell r="F206" t="str">
            <v>N/A</v>
          </cell>
          <cell r="G206">
            <v>45352</v>
          </cell>
          <cell r="H206">
            <v>0</v>
          </cell>
          <cell r="I206" t="str">
            <v>N/A</v>
          </cell>
          <cell r="J206">
            <v>45370</v>
          </cell>
          <cell r="K206">
            <v>45370</v>
          </cell>
          <cell r="L206">
            <v>0</v>
          </cell>
          <cell r="M206" t="str">
            <v>N/A</v>
          </cell>
          <cell r="N206" t="str">
            <v>N/A</v>
          </cell>
          <cell r="O206">
            <v>45372</v>
          </cell>
          <cell r="P206">
            <v>0</v>
          </cell>
          <cell r="Q206">
            <v>0</v>
          </cell>
          <cell r="R206">
            <v>0</v>
          </cell>
          <cell r="S206">
            <v>45378</v>
          </cell>
          <cell r="T206">
            <v>45386</v>
          </cell>
          <cell r="U206">
            <v>45394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55000</v>
          </cell>
          <cell r="AB206">
            <v>0</v>
          </cell>
          <cell r="AC206">
            <v>55000</v>
          </cell>
          <cell r="AD206">
            <v>53900</v>
          </cell>
          <cell r="AE206">
            <v>0</v>
          </cell>
          <cell r="AF206">
            <v>53900</v>
          </cell>
          <cell r="AG206" t="str">
            <v>ENGR. MICHAEL C. SALARDA
MS. LEONARDA M. LATOR
MS. CARMENCITA VALDEZ
MS. SORAYA P. VERGARA</v>
          </cell>
          <cell r="AH206" t="str">
            <v>N/A</v>
          </cell>
          <cell r="AI206" t="str">
            <v>N/A</v>
          </cell>
          <cell r="AJ206" t="str">
            <v>N/A</v>
          </cell>
          <cell r="AK206" t="str">
            <v>N/A</v>
          </cell>
          <cell r="AL206" t="str">
            <v>N/A</v>
          </cell>
          <cell r="AM206" t="str">
            <v>N/A</v>
          </cell>
          <cell r="AN206">
            <v>0</v>
          </cell>
          <cell r="AO206">
            <v>0</v>
          </cell>
        </row>
        <row r="207">
          <cell r="A207" t="str">
            <v>24-0754</v>
          </cell>
          <cell r="B207" t="str">
            <v>CONSTRUCTION SUPPLIES</v>
          </cell>
          <cell r="C207" t="str">
            <v>PDRRMO</v>
          </cell>
          <cell r="D207" t="str">
            <v>No</v>
          </cell>
          <cell r="E207" t="str">
            <v>NP-53.9 - Small Value Procurement</v>
          </cell>
          <cell r="F207" t="str">
            <v>N/A</v>
          </cell>
          <cell r="G207">
            <v>45352</v>
          </cell>
          <cell r="H207">
            <v>0</v>
          </cell>
          <cell r="I207" t="str">
            <v>N/A</v>
          </cell>
          <cell r="J207">
            <v>45370</v>
          </cell>
          <cell r="K207">
            <v>45370</v>
          </cell>
          <cell r="L207">
            <v>0</v>
          </cell>
          <cell r="M207" t="str">
            <v>N/A</v>
          </cell>
          <cell r="N207" t="str">
            <v>N/A</v>
          </cell>
          <cell r="O207">
            <v>45372</v>
          </cell>
          <cell r="P207">
            <v>0</v>
          </cell>
          <cell r="Q207">
            <v>0</v>
          </cell>
          <cell r="R207">
            <v>0</v>
          </cell>
          <cell r="S207" t="str">
            <v>N/A</v>
          </cell>
          <cell r="T207">
            <v>45386</v>
          </cell>
          <cell r="U207">
            <v>45397</v>
          </cell>
          <cell r="V207">
            <v>0</v>
          </cell>
          <cell r="W207">
            <v>0</v>
          </cell>
          <cell r="X207">
            <v>45441</v>
          </cell>
          <cell r="Y207">
            <v>0</v>
          </cell>
          <cell r="Z207">
            <v>0</v>
          </cell>
          <cell r="AA207">
            <v>35950</v>
          </cell>
          <cell r="AB207">
            <v>0</v>
          </cell>
          <cell r="AC207">
            <v>35950</v>
          </cell>
          <cell r="AD207">
            <v>35890</v>
          </cell>
          <cell r="AE207">
            <v>0</v>
          </cell>
          <cell r="AF207">
            <v>35890</v>
          </cell>
          <cell r="AG207" t="str">
            <v>ENGR. MICHAEL C. SALARDA
MS. LEONARDA M. LATOR
MS. CARMENCITA VALDEZ
MS. SORAYA P. VERGARA</v>
          </cell>
          <cell r="AH207" t="str">
            <v>N/A</v>
          </cell>
          <cell r="AI207" t="str">
            <v>N/A</v>
          </cell>
          <cell r="AJ207" t="str">
            <v>N/A</v>
          </cell>
          <cell r="AK207" t="str">
            <v>N/A</v>
          </cell>
          <cell r="AL207" t="str">
            <v>N/A</v>
          </cell>
          <cell r="AM207" t="str">
            <v>N/A</v>
          </cell>
          <cell r="AN207">
            <v>0</v>
          </cell>
          <cell r="AO207">
            <v>0</v>
          </cell>
        </row>
        <row r="208">
          <cell r="A208" t="str">
            <v>24-C1115</v>
          </cell>
          <cell r="B208" t="str">
            <v>SAFETY GEARS</v>
          </cell>
          <cell r="C208" t="str">
            <v>PDRRMO</v>
          </cell>
          <cell r="D208" t="str">
            <v>No</v>
          </cell>
          <cell r="E208" t="str">
            <v>NP-53.9 - Small Value Procurement</v>
          </cell>
          <cell r="F208" t="str">
            <v>N/A</v>
          </cell>
          <cell r="G208">
            <v>45352</v>
          </cell>
          <cell r="H208">
            <v>0</v>
          </cell>
          <cell r="I208" t="str">
            <v>N/A</v>
          </cell>
          <cell r="J208">
            <v>45370</v>
          </cell>
          <cell r="K208">
            <v>45370</v>
          </cell>
          <cell r="L208">
            <v>0</v>
          </cell>
          <cell r="M208" t="str">
            <v>N/A</v>
          </cell>
          <cell r="N208" t="str">
            <v>N/A</v>
          </cell>
          <cell r="O208">
            <v>45372</v>
          </cell>
          <cell r="P208">
            <v>0</v>
          </cell>
          <cell r="Q208">
            <v>0</v>
          </cell>
          <cell r="R208">
            <v>0</v>
          </cell>
          <cell r="S208" t="str">
            <v>N/A</v>
          </cell>
          <cell r="T208">
            <v>45386</v>
          </cell>
          <cell r="U208">
            <v>45394</v>
          </cell>
          <cell r="V208">
            <v>0</v>
          </cell>
          <cell r="W208">
            <v>0</v>
          </cell>
          <cell r="X208">
            <v>45426</v>
          </cell>
          <cell r="Y208">
            <v>0</v>
          </cell>
          <cell r="Z208">
            <v>0</v>
          </cell>
          <cell r="AA208">
            <v>40490</v>
          </cell>
          <cell r="AB208">
            <v>0</v>
          </cell>
          <cell r="AC208">
            <v>40490</v>
          </cell>
          <cell r="AD208">
            <v>40432</v>
          </cell>
          <cell r="AE208">
            <v>0</v>
          </cell>
          <cell r="AF208">
            <v>40432</v>
          </cell>
          <cell r="AG208" t="str">
            <v>ENGR. MICHAEL C. SALARDA
MS. LEONARDA M. LATOR
MS. CARMENCITA VALDEZ
MS. SORAYA P. VERGARA</v>
          </cell>
          <cell r="AH208" t="str">
            <v>N/A</v>
          </cell>
          <cell r="AI208" t="str">
            <v>N/A</v>
          </cell>
          <cell r="AJ208" t="str">
            <v>N/A</v>
          </cell>
          <cell r="AK208" t="str">
            <v>N/A</v>
          </cell>
          <cell r="AL208" t="str">
            <v>N/A</v>
          </cell>
          <cell r="AM208" t="str">
            <v>N/A</v>
          </cell>
          <cell r="AN208">
            <v>0</v>
          </cell>
          <cell r="AO208">
            <v>0</v>
          </cell>
        </row>
        <row r="209">
          <cell r="A209" t="str">
            <v>24-0480</v>
          </cell>
          <cell r="B209" t="str">
            <v>ELECTRICAL SUPPLIES</v>
          </cell>
          <cell r="C209" t="str">
            <v>PEO-Motorpool</v>
          </cell>
          <cell r="D209" t="str">
            <v>No</v>
          </cell>
          <cell r="E209" t="str">
            <v>NP-53.9 - Small Value Procurement</v>
          </cell>
          <cell r="F209" t="str">
            <v>N/A</v>
          </cell>
          <cell r="G209">
            <v>45352</v>
          </cell>
          <cell r="H209">
            <v>0</v>
          </cell>
          <cell r="I209" t="str">
            <v>N/A</v>
          </cell>
          <cell r="J209">
            <v>45370</v>
          </cell>
          <cell r="K209">
            <v>45370</v>
          </cell>
          <cell r="L209">
            <v>0</v>
          </cell>
          <cell r="M209" t="str">
            <v>N/A</v>
          </cell>
          <cell r="N209" t="str">
            <v>N/A</v>
          </cell>
          <cell r="O209">
            <v>45372</v>
          </cell>
          <cell r="P209">
            <v>0</v>
          </cell>
          <cell r="Q209">
            <v>0</v>
          </cell>
          <cell r="R209">
            <v>0</v>
          </cell>
          <cell r="S209" t="str">
            <v>N/A</v>
          </cell>
          <cell r="T209">
            <v>45394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15280</v>
          </cell>
          <cell r="AB209">
            <v>0</v>
          </cell>
          <cell r="AC209">
            <v>15280</v>
          </cell>
          <cell r="AD209">
            <v>15260</v>
          </cell>
          <cell r="AE209">
            <v>0</v>
          </cell>
          <cell r="AF209">
            <v>15260</v>
          </cell>
          <cell r="AG209" t="str">
            <v>ENGR. MICHAEL C. SALARDA
MS. LEONARDA M. LATOR
MS. CARMENCITA VALDEZ
MS. SORAYA P. VERGARA</v>
          </cell>
          <cell r="AH209" t="str">
            <v>N/A</v>
          </cell>
          <cell r="AI209" t="str">
            <v>N/A</v>
          </cell>
          <cell r="AJ209" t="str">
            <v>N/A</v>
          </cell>
          <cell r="AK209" t="str">
            <v>N/A</v>
          </cell>
          <cell r="AL209" t="str">
            <v>N/A</v>
          </cell>
          <cell r="AM209" t="str">
            <v>N/A</v>
          </cell>
          <cell r="AN209">
            <v>0</v>
          </cell>
          <cell r="AO209">
            <v>0</v>
          </cell>
        </row>
        <row r="210">
          <cell r="A210" t="str">
            <v>24-0529</v>
          </cell>
          <cell r="B210" t="str">
            <v>LABORATORY SUPPLIES</v>
          </cell>
          <cell r="C210" t="str">
            <v>PDRRMO</v>
          </cell>
          <cell r="D210" t="str">
            <v>No</v>
          </cell>
          <cell r="E210" t="str">
            <v>NP-53.9 - Small Value Procurement</v>
          </cell>
          <cell r="F210" t="str">
            <v>N/A</v>
          </cell>
          <cell r="G210">
            <v>45352</v>
          </cell>
          <cell r="H210">
            <v>0</v>
          </cell>
          <cell r="I210" t="str">
            <v>N/A</v>
          </cell>
          <cell r="J210">
            <v>45370</v>
          </cell>
          <cell r="K210">
            <v>45370</v>
          </cell>
          <cell r="L210">
            <v>0</v>
          </cell>
          <cell r="M210" t="str">
            <v>N/A</v>
          </cell>
          <cell r="N210" t="str">
            <v>N/A</v>
          </cell>
          <cell r="O210">
            <v>45372</v>
          </cell>
          <cell r="P210">
            <v>0</v>
          </cell>
          <cell r="Q210">
            <v>0</v>
          </cell>
          <cell r="R210">
            <v>0</v>
          </cell>
          <cell r="S210" t="str">
            <v>N/A</v>
          </cell>
          <cell r="T210">
            <v>45386</v>
          </cell>
          <cell r="U210">
            <v>45394</v>
          </cell>
          <cell r="V210">
            <v>0</v>
          </cell>
          <cell r="W210">
            <v>0</v>
          </cell>
          <cell r="X210">
            <v>45426</v>
          </cell>
          <cell r="Y210">
            <v>0</v>
          </cell>
          <cell r="Z210">
            <v>0</v>
          </cell>
          <cell r="AA210">
            <v>10200</v>
          </cell>
          <cell r="AB210">
            <v>0</v>
          </cell>
          <cell r="AC210">
            <v>10200</v>
          </cell>
          <cell r="AD210">
            <v>10183</v>
          </cell>
          <cell r="AE210">
            <v>0</v>
          </cell>
          <cell r="AF210">
            <v>10183</v>
          </cell>
          <cell r="AG210" t="str">
            <v>ENGR. MICHAEL C. SALARDA
MS. LEONARDA M. LATOR
MS. CARMENCITA VALDEZ
MS. SORAYA P. VERGARA</v>
          </cell>
          <cell r="AH210" t="str">
            <v>N/A</v>
          </cell>
          <cell r="AI210" t="str">
            <v>N/A</v>
          </cell>
          <cell r="AJ210" t="str">
            <v>N/A</v>
          </cell>
          <cell r="AK210" t="str">
            <v>N/A</v>
          </cell>
          <cell r="AL210" t="str">
            <v>N/A</v>
          </cell>
          <cell r="AM210" t="str">
            <v>N/A</v>
          </cell>
          <cell r="AN210">
            <v>0</v>
          </cell>
          <cell r="AO210">
            <v>0</v>
          </cell>
        </row>
        <row r="211">
          <cell r="A211" t="str">
            <v>24-0032</v>
          </cell>
          <cell r="B211" t="str">
            <v>SAFETY GEARS &amp; EQUIPMENT</v>
          </cell>
          <cell r="C211" t="str">
            <v>PTO</v>
          </cell>
          <cell r="D211" t="str">
            <v>No</v>
          </cell>
          <cell r="E211" t="str">
            <v>NP-53.9 - Small Value Procurement</v>
          </cell>
          <cell r="F211" t="str">
            <v>N/A</v>
          </cell>
          <cell r="G211">
            <v>45352</v>
          </cell>
          <cell r="H211">
            <v>0</v>
          </cell>
          <cell r="I211" t="str">
            <v>N/A</v>
          </cell>
          <cell r="J211">
            <v>45370</v>
          </cell>
          <cell r="K211">
            <v>45370</v>
          </cell>
          <cell r="L211">
            <v>0</v>
          </cell>
          <cell r="M211" t="str">
            <v>N/A</v>
          </cell>
          <cell r="N211" t="str">
            <v>N/A</v>
          </cell>
          <cell r="O211">
            <v>45372</v>
          </cell>
          <cell r="P211">
            <v>0</v>
          </cell>
          <cell r="Q211">
            <v>0</v>
          </cell>
          <cell r="R211">
            <v>0</v>
          </cell>
          <cell r="S211" t="str">
            <v>N/A</v>
          </cell>
          <cell r="T211">
            <v>45390</v>
          </cell>
          <cell r="U211">
            <v>45394</v>
          </cell>
          <cell r="V211">
            <v>0</v>
          </cell>
          <cell r="W211">
            <v>0</v>
          </cell>
          <cell r="X211" t="e">
            <v>#N/A</v>
          </cell>
          <cell r="Y211">
            <v>0</v>
          </cell>
          <cell r="Z211">
            <v>0</v>
          </cell>
          <cell r="AA211">
            <v>18480</v>
          </cell>
          <cell r="AB211">
            <v>0</v>
          </cell>
          <cell r="AC211">
            <v>18480</v>
          </cell>
          <cell r="AD211">
            <v>18441.5</v>
          </cell>
          <cell r="AE211">
            <v>0</v>
          </cell>
          <cell r="AF211">
            <v>18441.5</v>
          </cell>
          <cell r="AG211" t="str">
            <v>ENGR. MICHAEL C. SALARDA
MS. LEONARDA M. LATOR
MS. CARMENCITA VALDEZ
MS. SORAYA P. VERGARA</v>
          </cell>
          <cell r="AH211" t="str">
            <v>N/A</v>
          </cell>
          <cell r="AI211" t="str">
            <v>N/A</v>
          </cell>
          <cell r="AJ211" t="str">
            <v>N/A</v>
          </cell>
          <cell r="AK211" t="str">
            <v>N/A</v>
          </cell>
          <cell r="AL211" t="str">
            <v>N/A</v>
          </cell>
          <cell r="AM211" t="str">
            <v>N/A</v>
          </cell>
          <cell r="AN211">
            <v>0</v>
          </cell>
          <cell r="AO211">
            <v>0</v>
          </cell>
        </row>
        <row r="212">
          <cell r="A212" t="str">
            <v>24-1246</v>
          </cell>
          <cell r="B212" t="str">
            <v>FOOD/CATERING SERVICES</v>
          </cell>
          <cell r="C212" t="str">
            <v>PGO</v>
          </cell>
          <cell r="D212" t="str">
            <v>No</v>
          </cell>
          <cell r="E212" t="str">
            <v>NP-53.9 - Small Value Procurement</v>
          </cell>
          <cell r="F212" t="str">
            <v>N/A</v>
          </cell>
          <cell r="G212">
            <v>45352</v>
          </cell>
          <cell r="H212">
            <v>0</v>
          </cell>
          <cell r="I212" t="str">
            <v>N/A</v>
          </cell>
          <cell r="J212">
            <v>45370</v>
          </cell>
          <cell r="K212">
            <v>45370</v>
          </cell>
          <cell r="L212">
            <v>0</v>
          </cell>
          <cell r="M212" t="str">
            <v>N/A</v>
          </cell>
          <cell r="N212" t="str">
            <v>N/A</v>
          </cell>
          <cell r="O212">
            <v>45372</v>
          </cell>
          <cell r="P212">
            <v>0</v>
          </cell>
          <cell r="Q212">
            <v>0</v>
          </cell>
          <cell r="R212">
            <v>0</v>
          </cell>
          <cell r="S212" t="str">
            <v>N/A</v>
          </cell>
          <cell r="T212">
            <v>45387</v>
          </cell>
          <cell r="U212">
            <v>45397</v>
          </cell>
          <cell r="V212">
            <v>0</v>
          </cell>
          <cell r="W212">
            <v>0</v>
          </cell>
          <cell r="X212" t="e">
            <v>#N/A</v>
          </cell>
          <cell r="Y212">
            <v>0</v>
          </cell>
          <cell r="Z212">
            <v>0</v>
          </cell>
          <cell r="AA212">
            <v>32500</v>
          </cell>
          <cell r="AB212">
            <v>0</v>
          </cell>
          <cell r="AC212">
            <v>32500</v>
          </cell>
          <cell r="AD212">
            <v>32435</v>
          </cell>
          <cell r="AE212">
            <v>0</v>
          </cell>
          <cell r="AF212">
            <v>32435</v>
          </cell>
          <cell r="AG212" t="str">
            <v>ENGR. MICHAEL C. SALARDA
MS. LEONARDA M. LATOR
MS. CARMENCITA VALDEZ
MS. SORAYA P. VERGARA</v>
          </cell>
          <cell r="AH212" t="str">
            <v>N/A</v>
          </cell>
          <cell r="AI212" t="str">
            <v>N/A</v>
          </cell>
          <cell r="AJ212" t="str">
            <v>N/A</v>
          </cell>
          <cell r="AK212" t="str">
            <v>N/A</v>
          </cell>
          <cell r="AL212" t="str">
            <v>N/A</v>
          </cell>
          <cell r="AM212" t="str">
            <v>N/A</v>
          </cell>
          <cell r="AN212">
            <v>0</v>
          </cell>
          <cell r="AO212">
            <v>0</v>
          </cell>
        </row>
        <row r="213">
          <cell r="A213" t="str">
            <v>24-1238</v>
          </cell>
          <cell r="B213" t="str">
            <v>FOOD/CATERING SERVICES</v>
          </cell>
          <cell r="C213" t="str">
            <v>PGO</v>
          </cell>
          <cell r="D213" t="str">
            <v>No</v>
          </cell>
          <cell r="E213" t="str">
            <v>NP-53.9 - Small Value Procurement</v>
          </cell>
          <cell r="F213" t="str">
            <v>N/A</v>
          </cell>
          <cell r="G213">
            <v>45352</v>
          </cell>
          <cell r="H213">
            <v>0</v>
          </cell>
          <cell r="I213" t="str">
            <v>N/A</v>
          </cell>
          <cell r="J213">
            <v>45370</v>
          </cell>
          <cell r="K213">
            <v>45370</v>
          </cell>
          <cell r="L213">
            <v>0</v>
          </cell>
          <cell r="M213" t="str">
            <v>N/A</v>
          </cell>
          <cell r="N213" t="str">
            <v>N/A</v>
          </cell>
          <cell r="O213">
            <v>45372</v>
          </cell>
          <cell r="P213">
            <v>0</v>
          </cell>
          <cell r="Q213">
            <v>0</v>
          </cell>
          <cell r="R213">
            <v>0</v>
          </cell>
          <cell r="S213">
            <v>45376</v>
          </cell>
          <cell r="T213">
            <v>45386</v>
          </cell>
          <cell r="U213">
            <v>45397</v>
          </cell>
          <cell r="V213">
            <v>0</v>
          </cell>
          <cell r="W213">
            <v>0</v>
          </cell>
          <cell r="X213" t="e">
            <v>#N/A</v>
          </cell>
          <cell r="Y213">
            <v>0</v>
          </cell>
          <cell r="Z213">
            <v>0</v>
          </cell>
          <cell r="AA213">
            <v>129000</v>
          </cell>
          <cell r="AB213">
            <v>0</v>
          </cell>
          <cell r="AC213">
            <v>129000</v>
          </cell>
          <cell r="AD213">
            <v>128625</v>
          </cell>
          <cell r="AE213">
            <v>0</v>
          </cell>
          <cell r="AF213">
            <v>128625</v>
          </cell>
          <cell r="AG213" t="str">
            <v>ENGR. MICHAEL C. SALARDA
MS. LEONARDA M. LATOR
MS. CARMENCITA VALDEZ
MS. SORAYA P. VERGARA</v>
          </cell>
          <cell r="AH213" t="str">
            <v>N/A</v>
          </cell>
          <cell r="AI213" t="str">
            <v>N/A</v>
          </cell>
          <cell r="AJ213" t="str">
            <v>N/A</v>
          </cell>
          <cell r="AK213" t="str">
            <v>N/A</v>
          </cell>
          <cell r="AL213" t="str">
            <v>N/A</v>
          </cell>
          <cell r="AM213" t="str">
            <v>N/A</v>
          </cell>
          <cell r="AN213">
            <v>0</v>
          </cell>
          <cell r="AO213">
            <v>0</v>
          </cell>
        </row>
        <row r="214">
          <cell r="A214" t="str">
            <v>24-1245</v>
          </cell>
          <cell r="B214" t="str">
            <v>FOOD/CATERING SERVICES</v>
          </cell>
          <cell r="C214" t="str">
            <v>PGO</v>
          </cell>
          <cell r="D214" t="str">
            <v>No</v>
          </cell>
          <cell r="E214" t="str">
            <v>NP-53.9 - Small Value Procurement</v>
          </cell>
          <cell r="F214" t="str">
            <v>N/A</v>
          </cell>
          <cell r="G214">
            <v>45352</v>
          </cell>
          <cell r="H214">
            <v>0</v>
          </cell>
          <cell r="I214" t="str">
            <v>N/A</v>
          </cell>
          <cell r="J214">
            <v>45370</v>
          </cell>
          <cell r="K214">
            <v>45370</v>
          </cell>
          <cell r="L214">
            <v>0</v>
          </cell>
          <cell r="M214" t="str">
            <v>N/A</v>
          </cell>
          <cell r="N214" t="str">
            <v>N/A</v>
          </cell>
          <cell r="O214">
            <v>45372</v>
          </cell>
          <cell r="P214">
            <v>0</v>
          </cell>
          <cell r="Q214">
            <v>0</v>
          </cell>
          <cell r="R214">
            <v>0</v>
          </cell>
          <cell r="S214" t="str">
            <v>N/A</v>
          </cell>
          <cell r="T214">
            <v>45386</v>
          </cell>
          <cell r="U214">
            <v>45397</v>
          </cell>
          <cell r="V214">
            <v>0</v>
          </cell>
          <cell r="W214">
            <v>0</v>
          </cell>
          <cell r="X214" t="e">
            <v>#N/A</v>
          </cell>
          <cell r="Y214">
            <v>0</v>
          </cell>
          <cell r="Z214">
            <v>0</v>
          </cell>
          <cell r="AA214">
            <v>16350</v>
          </cell>
          <cell r="AB214">
            <v>0</v>
          </cell>
          <cell r="AC214">
            <v>16350</v>
          </cell>
          <cell r="AD214">
            <v>16329.75</v>
          </cell>
          <cell r="AE214">
            <v>0</v>
          </cell>
          <cell r="AF214">
            <v>16329.75</v>
          </cell>
          <cell r="AG214" t="str">
            <v>ENGR. MICHAEL C. SALARDA
MS. LEONARDA M. LATOR
MS. CARMENCITA VALDEZ
MS. SORAYA P. VERGARA</v>
          </cell>
          <cell r="AH214" t="str">
            <v>N/A</v>
          </cell>
          <cell r="AI214" t="str">
            <v>N/A</v>
          </cell>
          <cell r="AJ214" t="str">
            <v>N/A</v>
          </cell>
          <cell r="AK214" t="str">
            <v>N/A</v>
          </cell>
          <cell r="AL214" t="str">
            <v>N/A</v>
          </cell>
          <cell r="AM214" t="str">
            <v>N/A</v>
          </cell>
          <cell r="AN214">
            <v>0</v>
          </cell>
          <cell r="AO214">
            <v>0</v>
          </cell>
        </row>
        <row r="215">
          <cell r="A215" t="str">
            <v>24-1247</v>
          </cell>
          <cell r="B215" t="str">
            <v>FOOD/CATERING SERVICES</v>
          </cell>
          <cell r="C215" t="str">
            <v>PGO</v>
          </cell>
          <cell r="D215" t="str">
            <v>No</v>
          </cell>
          <cell r="E215" t="str">
            <v>NP-53.9 - Small Value Procurement</v>
          </cell>
          <cell r="F215" t="str">
            <v>N/A</v>
          </cell>
          <cell r="G215">
            <v>45352</v>
          </cell>
          <cell r="H215">
            <v>0</v>
          </cell>
          <cell r="I215" t="str">
            <v>N/A</v>
          </cell>
          <cell r="J215">
            <v>45370</v>
          </cell>
          <cell r="K215">
            <v>45370</v>
          </cell>
          <cell r="L215">
            <v>0</v>
          </cell>
          <cell r="M215" t="str">
            <v>N/A</v>
          </cell>
          <cell r="N215" t="str">
            <v>N/A</v>
          </cell>
          <cell r="O215">
            <v>45372</v>
          </cell>
          <cell r="P215">
            <v>0</v>
          </cell>
          <cell r="Q215">
            <v>0</v>
          </cell>
          <cell r="R215">
            <v>0</v>
          </cell>
          <cell r="S215" t="str">
            <v>N/A</v>
          </cell>
          <cell r="T215">
            <v>45387</v>
          </cell>
          <cell r="U215">
            <v>45397</v>
          </cell>
          <cell r="V215">
            <v>0</v>
          </cell>
          <cell r="W215">
            <v>0</v>
          </cell>
          <cell r="X215" t="e">
            <v>#N/A</v>
          </cell>
          <cell r="Y215">
            <v>0</v>
          </cell>
          <cell r="Z215">
            <v>0</v>
          </cell>
          <cell r="AA215">
            <v>39520</v>
          </cell>
          <cell r="AB215">
            <v>0</v>
          </cell>
          <cell r="AC215">
            <v>39520</v>
          </cell>
          <cell r="AD215">
            <v>39460</v>
          </cell>
          <cell r="AE215">
            <v>0</v>
          </cell>
          <cell r="AF215">
            <v>39460</v>
          </cell>
          <cell r="AG215" t="str">
            <v>ENGR. MICHAEL C. SALARDA
MS. LEONARDA M. LATOR
MS. CARMENCITA VALDEZ
MS. SORAYA P. VERGARA</v>
          </cell>
          <cell r="AH215" t="str">
            <v>N/A</v>
          </cell>
          <cell r="AI215" t="str">
            <v>N/A</v>
          </cell>
          <cell r="AJ215" t="str">
            <v>N/A</v>
          </cell>
          <cell r="AK215" t="str">
            <v>N/A</v>
          </cell>
          <cell r="AL215" t="str">
            <v>N/A</v>
          </cell>
          <cell r="AM215" t="str">
            <v>N/A</v>
          </cell>
          <cell r="AN215">
            <v>0</v>
          </cell>
          <cell r="AO215">
            <v>0</v>
          </cell>
        </row>
        <row r="216">
          <cell r="A216" t="str">
            <v>24-1301</v>
          </cell>
          <cell r="B216" t="str">
            <v>OFFICE EQUIPMENT</v>
          </cell>
          <cell r="C216" t="str">
            <v>PAO-ADMIN</v>
          </cell>
          <cell r="D216" t="str">
            <v>No</v>
          </cell>
          <cell r="E216" t="str">
            <v>NP-53.9 - Small Value Procurement</v>
          </cell>
          <cell r="F216" t="str">
            <v>N/A</v>
          </cell>
          <cell r="G216">
            <v>45352</v>
          </cell>
          <cell r="H216">
            <v>0</v>
          </cell>
          <cell r="I216" t="str">
            <v>N/A</v>
          </cell>
          <cell r="J216">
            <v>45370</v>
          </cell>
          <cell r="K216">
            <v>45370</v>
          </cell>
          <cell r="L216">
            <v>0</v>
          </cell>
          <cell r="M216" t="str">
            <v>N/A</v>
          </cell>
          <cell r="N216" t="str">
            <v>N/A</v>
          </cell>
          <cell r="O216">
            <v>45372</v>
          </cell>
          <cell r="P216">
            <v>0</v>
          </cell>
          <cell r="Q216">
            <v>0</v>
          </cell>
          <cell r="R216">
            <v>0</v>
          </cell>
          <cell r="S216">
            <v>45378</v>
          </cell>
          <cell r="T216">
            <v>45386</v>
          </cell>
          <cell r="U216">
            <v>45394</v>
          </cell>
          <cell r="V216">
            <v>0</v>
          </cell>
          <cell r="W216">
            <v>0</v>
          </cell>
          <cell r="X216" t="e">
            <v>#N/A</v>
          </cell>
          <cell r="Y216">
            <v>0</v>
          </cell>
          <cell r="Z216">
            <v>0</v>
          </cell>
          <cell r="AA216">
            <v>53790</v>
          </cell>
          <cell r="AB216">
            <v>0</v>
          </cell>
          <cell r="AC216">
            <v>53790</v>
          </cell>
          <cell r="AD216">
            <v>52989</v>
          </cell>
          <cell r="AE216">
            <v>0</v>
          </cell>
          <cell r="AF216">
            <v>52989</v>
          </cell>
          <cell r="AG216" t="str">
            <v>ENGR. MICHAEL C. SALARDA
MS. LEONARDA M. LATOR
MS. CARMENCITA VALDEZ
MS. SORAYA P. VERGARA</v>
          </cell>
          <cell r="AH216" t="str">
            <v>N/A</v>
          </cell>
          <cell r="AI216" t="str">
            <v>N/A</v>
          </cell>
          <cell r="AJ216" t="str">
            <v>N/A</v>
          </cell>
          <cell r="AK216" t="str">
            <v>N/A</v>
          </cell>
          <cell r="AL216" t="str">
            <v>N/A</v>
          </cell>
          <cell r="AM216" t="str">
            <v>N/A</v>
          </cell>
          <cell r="AN216">
            <v>0</v>
          </cell>
          <cell r="AO216">
            <v>0</v>
          </cell>
        </row>
        <row r="217">
          <cell r="A217" t="str">
            <v>24-1394</v>
          </cell>
          <cell r="B217" t="str">
            <v>PRINTERS</v>
          </cell>
          <cell r="C217" t="str">
            <v>PTO</v>
          </cell>
          <cell r="D217" t="str">
            <v>No</v>
          </cell>
          <cell r="E217" t="str">
            <v>NP-53.9 - Small Value Procurement</v>
          </cell>
          <cell r="F217" t="str">
            <v>N/A</v>
          </cell>
          <cell r="G217">
            <v>45352</v>
          </cell>
          <cell r="H217">
            <v>0</v>
          </cell>
          <cell r="I217" t="str">
            <v>N/A</v>
          </cell>
          <cell r="J217">
            <v>45370</v>
          </cell>
          <cell r="K217">
            <v>45370</v>
          </cell>
          <cell r="L217">
            <v>0</v>
          </cell>
          <cell r="M217" t="str">
            <v>N/A</v>
          </cell>
          <cell r="N217" t="str">
            <v>N/A</v>
          </cell>
          <cell r="O217">
            <v>45372</v>
          </cell>
          <cell r="P217">
            <v>0</v>
          </cell>
          <cell r="Q217">
            <v>0</v>
          </cell>
          <cell r="R217">
            <v>0</v>
          </cell>
          <cell r="S217" t="str">
            <v>N/A</v>
          </cell>
          <cell r="T217">
            <v>45390</v>
          </cell>
          <cell r="U217">
            <v>45394</v>
          </cell>
          <cell r="V217">
            <v>0</v>
          </cell>
          <cell r="W217">
            <v>0</v>
          </cell>
          <cell r="X217" t="e">
            <v>#N/A</v>
          </cell>
          <cell r="Y217">
            <v>0</v>
          </cell>
          <cell r="Z217">
            <v>0</v>
          </cell>
          <cell r="AA217">
            <v>14500</v>
          </cell>
          <cell r="AB217">
            <v>0</v>
          </cell>
          <cell r="AC217">
            <v>14500</v>
          </cell>
          <cell r="AD217">
            <v>14406</v>
          </cell>
          <cell r="AE217">
            <v>0</v>
          </cell>
          <cell r="AF217">
            <v>14406</v>
          </cell>
          <cell r="AG217" t="str">
            <v>ENGR. MICHAEL C. SALARDA
MS. LEONARDA M. LATOR
MS. CARMENCITA VALDEZ
MS. SORAYA P. VERGARA</v>
          </cell>
          <cell r="AH217" t="str">
            <v>N/A</v>
          </cell>
          <cell r="AI217" t="str">
            <v>N/A</v>
          </cell>
          <cell r="AJ217" t="str">
            <v>N/A</v>
          </cell>
          <cell r="AK217" t="str">
            <v>N/A</v>
          </cell>
          <cell r="AL217" t="str">
            <v>N/A</v>
          </cell>
          <cell r="AM217" t="str">
            <v>N/A</v>
          </cell>
          <cell r="AN217">
            <v>0</v>
          </cell>
          <cell r="AO217">
            <v>0</v>
          </cell>
        </row>
        <row r="218">
          <cell r="A218" t="str">
            <v>24-0077</v>
          </cell>
          <cell r="B218" t="str">
            <v>TARPAULIN</v>
          </cell>
          <cell r="C218" t="str">
            <v>PBO</v>
          </cell>
          <cell r="D218" t="str">
            <v>No</v>
          </cell>
          <cell r="E218" t="str">
            <v>NP-53.9 - Small Value Procurement</v>
          </cell>
          <cell r="F218" t="str">
            <v>N/A</v>
          </cell>
          <cell r="G218">
            <v>45352</v>
          </cell>
          <cell r="H218">
            <v>0</v>
          </cell>
          <cell r="I218" t="str">
            <v>N/A</v>
          </cell>
          <cell r="J218">
            <v>45370</v>
          </cell>
          <cell r="K218">
            <v>45370</v>
          </cell>
          <cell r="L218">
            <v>0</v>
          </cell>
          <cell r="M218" t="str">
            <v>N/A</v>
          </cell>
          <cell r="N218" t="str">
            <v>N/A</v>
          </cell>
          <cell r="O218">
            <v>45372</v>
          </cell>
          <cell r="P218">
            <v>0</v>
          </cell>
          <cell r="Q218">
            <v>0</v>
          </cell>
          <cell r="R218">
            <v>0</v>
          </cell>
          <cell r="S218" t="str">
            <v>N/A</v>
          </cell>
          <cell r="T218">
            <v>45390</v>
          </cell>
          <cell r="U218">
            <v>45394</v>
          </cell>
          <cell r="V218">
            <v>0</v>
          </cell>
          <cell r="W218">
            <v>0</v>
          </cell>
          <cell r="X218" t="e">
            <v>#N/A</v>
          </cell>
          <cell r="Y218">
            <v>0</v>
          </cell>
          <cell r="Z218">
            <v>0</v>
          </cell>
          <cell r="AA218">
            <v>2800</v>
          </cell>
          <cell r="AB218">
            <v>0</v>
          </cell>
          <cell r="AC218">
            <v>2800</v>
          </cell>
          <cell r="AD218">
            <v>2800</v>
          </cell>
          <cell r="AE218">
            <v>0</v>
          </cell>
          <cell r="AF218">
            <v>2800</v>
          </cell>
          <cell r="AG218" t="str">
            <v>ENGR. MICHAEL C. SALARDA
MS. LEONARDA M. LATOR
MS. CARMENCITA VALDEZ
MS. SORAYA P. VERGARA</v>
          </cell>
          <cell r="AH218" t="str">
            <v>N/A</v>
          </cell>
          <cell r="AI218" t="str">
            <v>N/A</v>
          </cell>
          <cell r="AJ218" t="str">
            <v>N/A</v>
          </cell>
          <cell r="AK218" t="str">
            <v>N/A</v>
          </cell>
          <cell r="AL218" t="str">
            <v>N/A</v>
          </cell>
          <cell r="AM218" t="str">
            <v>N/A</v>
          </cell>
          <cell r="AN218">
            <v>0</v>
          </cell>
          <cell r="AO218">
            <v>0</v>
          </cell>
        </row>
        <row r="219">
          <cell r="A219" t="str">
            <v>24-1228</v>
          </cell>
          <cell r="B219" t="str">
            <v>TARPAULIN</v>
          </cell>
          <cell r="C219" t="str">
            <v>PAO</v>
          </cell>
          <cell r="D219" t="str">
            <v>No</v>
          </cell>
          <cell r="E219" t="str">
            <v>NP-53.9 - Small Value Procurement</v>
          </cell>
          <cell r="F219" t="str">
            <v>N/A</v>
          </cell>
          <cell r="G219">
            <v>45352</v>
          </cell>
          <cell r="H219">
            <v>0</v>
          </cell>
          <cell r="I219" t="str">
            <v>N/A</v>
          </cell>
          <cell r="J219">
            <v>45370</v>
          </cell>
          <cell r="K219">
            <v>45370</v>
          </cell>
          <cell r="L219">
            <v>0</v>
          </cell>
          <cell r="M219" t="str">
            <v>N/A</v>
          </cell>
          <cell r="N219" t="str">
            <v>N/A</v>
          </cell>
          <cell r="O219">
            <v>45372</v>
          </cell>
          <cell r="P219">
            <v>0</v>
          </cell>
          <cell r="Q219">
            <v>0</v>
          </cell>
          <cell r="R219">
            <v>0</v>
          </cell>
          <cell r="S219" t="str">
            <v>N/A</v>
          </cell>
          <cell r="T219">
            <v>45386</v>
          </cell>
          <cell r="U219">
            <v>45394</v>
          </cell>
          <cell r="V219">
            <v>0</v>
          </cell>
          <cell r="W219">
            <v>0</v>
          </cell>
          <cell r="X219" t="e">
            <v>#N/A</v>
          </cell>
          <cell r="Y219">
            <v>0</v>
          </cell>
          <cell r="Z219">
            <v>0</v>
          </cell>
          <cell r="AA219">
            <v>9800</v>
          </cell>
          <cell r="AB219">
            <v>0</v>
          </cell>
          <cell r="AC219">
            <v>9800</v>
          </cell>
          <cell r="AD219">
            <v>9800</v>
          </cell>
          <cell r="AE219">
            <v>0</v>
          </cell>
          <cell r="AF219">
            <v>9800</v>
          </cell>
          <cell r="AG219" t="str">
            <v>ENGR. MICHAEL C. SALARDA
MS. LEONARDA M. LATOR
MS. CARMENCITA VALDEZ
MS. SORAYA P. VERGARA</v>
          </cell>
          <cell r="AH219" t="str">
            <v>N/A</v>
          </cell>
          <cell r="AI219" t="str">
            <v>N/A</v>
          </cell>
          <cell r="AJ219" t="str">
            <v>N/A</v>
          </cell>
          <cell r="AK219" t="str">
            <v>N/A</v>
          </cell>
          <cell r="AL219" t="str">
            <v>N/A</v>
          </cell>
          <cell r="AM219" t="str">
            <v>N/A</v>
          </cell>
          <cell r="AN219">
            <v>0</v>
          </cell>
          <cell r="AO219">
            <v>0</v>
          </cell>
        </row>
        <row r="220">
          <cell r="A220" t="str">
            <v>24-0530</v>
          </cell>
          <cell r="B220" t="str">
            <v>PLAQUE/TROPHIES/MEDAL</v>
          </cell>
          <cell r="C220" t="str">
            <v>PDRRMO</v>
          </cell>
          <cell r="D220" t="str">
            <v>No</v>
          </cell>
          <cell r="E220" t="str">
            <v>NP-53.9 - Small Value Procurement</v>
          </cell>
          <cell r="F220" t="str">
            <v>N/A</v>
          </cell>
          <cell r="G220">
            <v>45352</v>
          </cell>
          <cell r="H220">
            <v>0</v>
          </cell>
          <cell r="I220" t="str">
            <v>N/A</v>
          </cell>
          <cell r="J220">
            <v>45370</v>
          </cell>
          <cell r="K220">
            <v>45370</v>
          </cell>
          <cell r="L220">
            <v>0</v>
          </cell>
          <cell r="M220" t="str">
            <v>N/A</v>
          </cell>
          <cell r="N220" t="str">
            <v>N/A</v>
          </cell>
          <cell r="O220">
            <v>45372</v>
          </cell>
          <cell r="P220">
            <v>0</v>
          </cell>
          <cell r="Q220">
            <v>0</v>
          </cell>
          <cell r="R220">
            <v>0</v>
          </cell>
          <cell r="S220" t="str">
            <v>N/A</v>
          </cell>
          <cell r="T220">
            <v>45387</v>
          </cell>
          <cell r="U220">
            <v>45394</v>
          </cell>
          <cell r="V220">
            <v>0</v>
          </cell>
          <cell r="W220">
            <v>0</v>
          </cell>
          <cell r="X220" t="e">
            <v>#N/A</v>
          </cell>
          <cell r="Y220">
            <v>0</v>
          </cell>
          <cell r="Z220">
            <v>0</v>
          </cell>
          <cell r="AA220">
            <v>26400</v>
          </cell>
          <cell r="AB220">
            <v>0</v>
          </cell>
          <cell r="AC220">
            <v>26400</v>
          </cell>
          <cell r="AD220">
            <v>26400</v>
          </cell>
          <cell r="AE220">
            <v>0</v>
          </cell>
          <cell r="AF220">
            <v>26400</v>
          </cell>
          <cell r="AG220" t="str">
            <v>ENGR. MICHAEL C. SALARDA
MS. LEONARDA M. LATOR
MS. CARMENCITA VALDEZ
MS. SORAYA P. VERGARA</v>
          </cell>
          <cell r="AH220" t="str">
            <v>N/A</v>
          </cell>
          <cell r="AI220" t="str">
            <v>N/A</v>
          </cell>
          <cell r="AJ220" t="str">
            <v>N/A</v>
          </cell>
          <cell r="AK220" t="str">
            <v>N/A</v>
          </cell>
          <cell r="AL220" t="str">
            <v>N/A</v>
          </cell>
          <cell r="AM220" t="str">
            <v>N/A</v>
          </cell>
          <cell r="AN220">
            <v>0</v>
          </cell>
          <cell r="AO220">
            <v>0</v>
          </cell>
        </row>
        <row r="221">
          <cell r="A221" t="str">
            <v>24-0706</v>
          </cell>
          <cell r="B221" t="str">
            <v>FOOD/CATERING SERVICES</v>
          </cell>
          <cell r="C221" t="str">
            <v>PAO-ADMIN</v>
          </cell>
          <cell r="D221" t="str">
            <v>No</v>
          </cell>
          <cell r="E221" t="str">
            <v>NP-53.9 - Small Value Procurement</v>
          </cell>
          <cell r="F221" t="str">
            <v>N/A</v>
          </cell>
          <cell r="G221">
            <v>45352</v>
          </cell>
          <cell r="H221">
            <v>0</v>
          </cell>
          <cell r="I221" t="str">
            <v>N/A</v>
          </cell>
          <cell r="J221">
            <v>45370</v>
          </cell>
          <cell r="K221">
            <v>45370</v>
          </cell>
          <cell r="L221">
            <v>0</v>
          </cell>
          <cell r="M221" t="str">
            <v>N/A</v>
          </cell>
          <cell r="N221" t="str">
            <v>N/A</v>
          </cell>
          <cell r="O221">
            <v>45372</v>
          </cell>
          <cell r="P221">
            <v>0</v>
          </cell>
          <cell r="Q221">
            <v>0</v>
          </cell>
          <cell r="R221">
            <v>0</v>
          </cell>
          <cell r="S221">
            <v>45376</v>
          </cell>
          <cell r="T221">
            <v>45386</v>
          </cell>
          <cell r="U221">
            <v>45398</v>
          </cell>
          <cell r="V221">
            <v>0</v>
          </cell>
          <cell r="W221">
            <v>0</v>
          </cell>
          <cell r="X221" t="e">
            <v>#N/A</v>
          </cell>
          <cell r="Y221">
            <v>0</v>
          </cell>
          <cell r="Z221">
            <v>0</v>
          </cell>
          <cell r="AA221">
            <v>100000</v>
          </cell>
          <cell r="AB221">
            <v>0</v>
          </cell>
          <cell r="AC221">
            <v>100000</v>
          </cell>
          <cell r="AD221">
            <v>97200</v>
          </cell>
          <cell r="AE221">
            <v>0</v>
          </cell>
          <cell r="AF221">
            <v>97200</v>
          </cell>
          <cell r="AG221" t="str">
            <v>ENGR. MICHAEL C. SALARDA
MS. LEONARDA M. LATOR
MS. CARMENCITA VALDEZ
MS. SORAYA P. VERGARA</v>
          </cell>
          <cell r="AH221" t="str">
            <v>N/A</v>
          </cell>
          <cell r="AI221" t="str">
            <v>N/A</v>
          </cell>
          <cell r="AJ221" t="str">
            <v>N/A</v>
          </cell>
          <cell r="AK221" t="str">
            <v>N/A</v>
          </cell>
          <cell r="AL221" t="str">
            <v>N/A</v>
          </cell>
          <cell r="AM221" t="str">
            <v>N/A</v>
          </cell>
          <cell r="AN221">
            <v>0</v>
          </cell>
          <cell r="AO221">
            <v>0</v>
          </cell>
        </row>
        <row r="222">
          <cell r="A222" t="str">
            <v>24-1303</v>
          </cell>
          <cell r="B222" t="str">
            <v>FOOD/CATERING SERVICES</v>
          </cell>
          <cell r="C222" t="str">
            <v>PICTO</v>
          </cell>
          <cell r="D222" t="str">
            <v>No</v>
          </cell>
          <cell r="E222" t="str">
            <v>NP-53.9 - Small Value Procurement</v>
          </cell>
          <cell r="F222" t="str">
            <v>N/A</v>
          </cell>
          <cell r="G222">
            <v>45352</v>
          </cell>
          <cell r="H222">
            <v>0</v>
          </cell>
          <cell r="I222" t="str">
            <v>N/A</v>
          </cell>
          <cell r="J222">
            <v>45370</v>
          </cell>
          <cell r="K222">
            <v>45370</v>
          </cell>
          <cell r="L222">
            <v>0</v>
          </cell>
          <cell r="M222" t="str">
            <v>N/A</v>
          </cell>
          <cell r="N222" t="str">
            <v>N/A</v>
          </cell>
          <cell r="O222">
            <v>45372</v>
          </cell>
          <cell r="P222">
            <v>0</v>
          </cell>
          <cell r="Q222">
            <v>0</v>
          </cell>
          <cell r="R222">
            <v>0</v>
          </cell>
          <cell r="S222" t="str">
            <v>N/A</v>
          </cell>
          <cell r="T222">
            <v>45387</v>
          </cell>
          <cell r="U222">
            <v>45393</v>
          </cell>
          <cell r="V222">
            <v>0</v>
          </cell>
          <cell r="W222">
            <v>0</v>
          </cell>
          <cell r="X222" t="e">
            <v>#N/A</v>
          </cell>
          <cell r="Y222">
            <v>0</v>
          </cell>
          <cell r="Z222">
            <v>0</v>
          </cell>
          <cell r="AA222">
            <v>23400</v>
          </cell>
          <cell r="AB222">
            <v>0</v>
          </cell>
          <cell r="AC222">
            <v>23400</v>
          </cell>
          <cell r="AD222">
            <v>22980</v>
          </cell>
          <cell r="AE222">
            <v>0</v>
          </cell>
          <cell r="AF222">
            <v>22980</v>
          </cell>
          <cell r="AG222" t="str">
            <v>ENGR. MICHAEL C. SALARDA
MS. LEONARDA M. LATOR
MS. CARMENCITA VALDEZ
MS. SORAYA P. VERGARA</v>
          </cell>
          <cell r="AH222" t="str">
            <v>N/A</v>
          </cell>
          <cell r="AI222" t="str">
            <v>N/A</v>
          </cell>
          <cell r="AJ222" t="str">
            <v>N/A</v>
          </cell>
          <cell r="AK222" t="str">
            <v>N/A</v>
          </cell>
          <cell r="AL222" t="str">
            <v>N/A</v>
          </cell>
          <cell r="AM222" t="str">
            <v>N/A</v>
          </cell>
          <cell r="AN222">
            <v>0</v>
          </cell>
          <cell r="AO222">
            <v>0</v>
          </cell>
        </row>
        <row r="223">
          <cell r="A223" t="str">
            <v>24-1342</v>
          </cell>
          <cell r="B223" t="str">
            <v>WATER</v>
          </cell>
          <cell r="C223" t="str">
            <v>PGO</v>
          </cell>
          <cell r="D223" t="str">
            <v>No</v>
          </cell>
          <cell r="E223" t="str">
            <v>NP-53.9 - Small Value Procurement</v>
          </cell>
          <cell r="F223" t="str">
            <v>N/A</v>
          </cell>
          <cell r="G223">
            <v>45352</v>
          </cell>
          <cell r="H223">
            <v>0</v>
          </cell>
          <cell r="I223" t="str">
            <v>N/A</v>
          </cell>
          <cell r="J223">
            <v>45370</v>
          </cell>
          <cell r="K223">
            <v>45370</v>
          </cell>
          <cell r="L223">
            <v>0</v>
          </cell>
          <cell r="M223" t="str">
            <v>N/A</v>
          </cell>
          <cell r="N223" t="str">
            <v>N/A</v>
          </cell>
          <cell r="O223">
            <v>45372</v>
          </cell>
          <cell r="P223">
            <v>0</v>
          </cell>
          <cell r="Q223">
            <v>0</v>
          </cell>
          <cell r="R223">
            <v>0</v>
          </cell>
          <cell r="S223" t="str">
            <v>N/A</v>
          </cell>
          <cell r="T223">
            <v>45386</v>
          </cell>
          <cell r="U223">
            <v>45393</v>
          </cell>
          <cell r="V223">
            <v>0</v>
          </cell>
          <cell r="W223">
            <v>0</v>
          </cell>
          <cell r="X223" t="e">
            <v>#N/A</v>
          </cell>
          <cell r="Y223">
            <v>0</v>
          </cell>
          <cell r="Z223">
            <v>0</v>
          </cell>
          <cell r="AA223">
            <v>10575</v>
          </cell>
          <cell r="AB223">
            <v>0</v>
          </cell>
          <cell r="AC223">
            <v>10575</v>
          </cell>
          <cell r="AD223">
            <v>10000</v>
          </cell>
          <cell r="AE223">
            <v>0</v>
          </cell>
          <cell r="AF223">
            <v>10000</v>
          </cell>
          <cell r="AG223" t="str">
            <v>ENGR. MICHAEL C. SALARDA
MS. LEONARDA M. LATOR
MS. CARMENCITA VALDEZ
MS. SORAYA P. VERGARA</v>
          </cell>
          <cell r="AH223" t="str">
            <v>N/A</v>
          </cell>
          <cell r="AI223" t="str">
            <v>N/A</v>
          </cell>
          <cell r="AJ223" t="str">
            <v>N/A</v>
          </cell>
          <cell r="AK223" t="str">
            <v>N/A</v>
          </cell>
          <cell r="AL223" t="str">
            <v>N/A</v>
          </cell>
          <cell r="AM223" t="str">
            <v>N/A</v>
          </cell>
          <cell r="AN223">
            <v>0</v>
          </cell>
          <cell r="AO223">
            <v>0</v>
          </cell>
        </row>
        <row r="224">
          <cell r="A224" t="str">
            <v>24-C1098</v>
          </cell>
          <cell r="B224" t="str">
            <v>OTHER SUPPLIES &amp; MATERIALS</v>
          </cell>
          <cell r="C224" t="str">
            <v>PGO</v>
          </cell>
          <cell r="D224" t="str">
            <v>No</v>
          </cell>
          <cell r="E224" t="str">
            <v>NP-53.9 - Small Value Procurement</v>
          </cell>
          <cell r="F224" t="str">
            <v>N/A</v>
          </cell>
          <cell r="G224">
            <v>45352</v>
          </cell>
          <cell r="H224">
            <v>0</v>
          </cell>
          <cell r="I224" t="str">
            <v>N/A</v>
          </cell>
          <cell r="J224">
            <v>45370</v>
          </cell>
          <cell r="K224">
            <v>45370</v>
          </cell>
          <cell r="L224">
            <v>0</v>
          </cell>
          <cell r="M224" t="str">
            <v>N/A</v>
          </cell>
          <cell r="N224" t="str">
            <v>N/A</v>
          </cell>
          <cell r="O224">
            <v>45372</v>
          </cell>
          <cell r="P224">
            <v>0</v>
          </cell>
          <cell r="Q224">
            <v>0</v>
          </cell>
          <cell r="R224">
            <v>0</v>
          </cell>
          <cell r="S224">
            <v>45378</v>
          </cell>
          <cell r="T224">
            <v>45386</v>
          </cell>
          <cell r="U224">
            <v>45397</v>
          </cell>
          <cell r="V224">
            <v>0</v>
          </cell>
          <cell r="W224">
            <v>0</v>
          </cell>
          <cell r="X224">
            <v>45415</v>
          </cell>
          <cell r="Y224">
            <v>0</v>
          </cell>
          <cell r="Z224">
            <v>0</v>
          </cell>
          <cell r="AA224">
            <v>459943.2</v>
          </cell>
          <cell r="AB224">
            <v>0</v>
          </cell>
          <cell r="AC224">
            <v>459943.2</v>
          </cell>
          <cell r="AD224">
            <v>439600</v>
          </cell>
          <cell r="AE224">
            <v>0</v>
          </cell>
          <cell r="AF224">
            <v>439600</v>
          </cell>
          <cell r="AG224" t="str">
            <v>ENGR. MICHAEL C. SALARDA
MS. LEONARDA M. LATOR
MS. CARMENCITA VALDEZ
MS. SORAYA P. VERGARA</v>
          </cell>
          <cell r="AH224" t="str">
            <v>N/A</v>
          </cell>
          <cell r="AI224" t="str">
            <v>N/A</v>
          </cell>
          <cell r="AJ224" t="str">
            <v>N/A</v>
          </cell>
          <cell r="AK224" t="str">
            <v>N/A</v>
          </cell>
          <cell r="AL224" t="str">
            <v>N/A</v>
          </cell>
          <cell r="AM224" t="str">
            <v>N/A</v>
          </cell>
          <cell r="AN224">
            <v>0</v>
          </cell>
          <cell r="AO224">
            <v>0</v>
          </cell>
        </row>
        <row r="225">
          <cell r="A225" t="str">
            <v>24-0907</v>
          </cell>
          <cell r="B225" t="str">
            <v>SPAREPARTS (LIGHT VEHICLES)</v>
          </cell>
          <cell r="C225" t="str">
            <v>PVGO</v>
          </cell>
          <cell r="D225" t="str">
            <v>No</v>
          </cell>
          <cell r="E225" t="str">
            <v>NP-53.9 - Small Value Procurement</v>
          </cell>
          <cell r="F225">
            <v>45342</v>
          </cell>
          <cell r="G225">
            <v>45344</v>
          </cell>
          <cell r="H225">
            <v>0</v>
          </cell>
          <cell r="I225" t="str">
            <v>N/A</v>
          </cell>
          <cell r="J225">
            <v>45370</v>
          </cell>
          <cell r="K225">
            <v>45370</v>
          </cell>
          <cell r="L225">
            <v>0</v>
          </cell>
          <cell r="M225" t="str">
            <v>N/A</v>
          </cell>
          <cell r="N225" t="str">
            <v>N/A</v>
          </cell>
          <cell r="O225">
            <v>45372</v>
          </cell>
          <cell r="P225">
            <v>0</v>
          </cell>
          <cell r="Q225">
            <v>0</v>
          </cell>
          <cell r="R225">
            <v>0</v>
          </cell>
          <cell r="S225" t="str">
            <v>N/A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 t="e">
            <v>#N/A</v>
          </cell>
          <cell r="Y225">
            <v>0</v>
          </cell>
          <cell r="Z225">
            <v>0</v>
          </cell>
          <cell r="AA225">
            <v>21880</v>
          </cell>
          <cell r="AB225">
            <v>0</v>
          </cell>
          <cell r="AC225">
            <v>21880</v>
          </cell>
          <cell r="AD225">
            <v>21600</v>
          </cell>
          <cell r="AE225">
            <v>0</v>
          </cell>
          <cell r="AF225">
            <v>21600</v>
          </cell>
          <cell r="AG225" t="str">
            <v>ENGR. MICHAEL C. SALARDA
MS. LEONARDA M. LATOR
MS. CARMENCITA VALDEZ
MS. SORAYA P. VERGARA</v>
          </cell>
          <cell r="AH225" t="str">
            <v>N/A</v>
          </cell>
          <cell r="AI225" t="str">
            <v>N/A</v>
          </cell>
          <cell r="AJ225" t="str">
            <v>N/A</v>
          </cell>
          <cell r="AK225" t="str">
            <v>N/A</v>
          </cell>
          <cell r="AL225" t="str">
            <v>N/A</v>
          </cell>
          <cell r="AM225" t="str">
            <v>N/A</v>
          </cell>
          <cell r="AN225">
            <v>0</v>
          </cell>
          <cell r="AO225">
            <v>0</v>
          </cell>
        </row>
        <row r="226">
          <cell r="A226" t="str">
            <v>24-1170</v>
          </cell>
          <cell r="B226" t="str">
            <v>FOOD/CATERING SERVICES</v>
          </cell>
          <cell r="C226" t="str">
            <v>PAO-ADMIN</v>
          </cell>
          <cell r="D226" t="str">
            <v>No</v>
          </cell>
          <cell r="E226" t="str">
            <v>NP-53.9 - Small Value Procurement</v>
          </cell>
          <cell r="F226">
            <v>45356</v>
          </cell>
          <cell r="G226">
            <v>45359</v>
          </cell>
          <cell r="H226">
            <v>0</v>
          </cell>
          <cell r="I226" t="str">
            <v>N/A</v>
          </cell>
          <cell r="J226">
            <v>45370</v>
          </cell>
          <cell r="K226">
            <v>45370</v>
          </cell>
          <cell r="L226">
            <v>0</v>
          </cell>
          <cell r="M226" t="str">
            <v>N/A</v>
          </cell>
          <cell r="N226" t="str">
            <v>N/A</v>
          </cell>
          <cell r="O226">
            <v>45372</v>
          </cell>
          <cell r="P226">
            <v>0</v>
          </cell>
          <cell r="Q226">
            <v>0</v>
          </cell>
          <cell r="R226">
            <v>0</v>
          </cell>
          <cell r="S226">
            <v>45376</v>
          </cell>
          <cell r="T226">
            <v>45386</v>
          </cell>
          <cell r="U226">
            <v>45398</v>
          </cell>
          <cell r="V226">
            <v>0</v>
          </cell>
          <cell r="W226">
            <v>0</v>
          </cell>
          <cell r="X226" t="e">
            <v>#N/A</v>
          </cell>
          <cell r="Y226">
            <v>0</v>
          </cell>
          <cell r="Z226">
            <v>0</v>
          </cell>
          <cell r="AA226">
            <v>63750</v>
          </cell>
          <cell r="AB226">
            <v>0</v>
          </cell>
          <cell r="AC226">
            <v>63750</v>
          </cell>
          <cell r="AD226">
            <v>61125</v>
          </cell>
          <cell r="AE226">
            <v>0</v>
          </cell>
          <cell r="AF226">
            <v>61125</v>
          </cell>
          <cell r="AG226" t="str">
            <v>ENGR. MICHAEL C. SALARDA
MS. LEONARDA M. LATOR
MS. CARMENCITA VALDEZ
MS. SORAYA P. VERGARA</v>
          </cell>
          <cell r="AH226" t="str">
            <v>N/A</v>
          </cell>
          <cell r="AI226" t="str">
            <v>N/A</v>
          </cell>
          <cell r="AJ226" t="str">
            <v>N/A</v>
          </cell>
          <cell r="AK226" t="str">
            <v>N/A</v>
          </cell>
          <cell r="AL226" t="str">
            <v>N/A</v>
          </cell>
          <cell r="AM226" t="str">
            <v>N/A</v>
          </cell>
          <cell r="AN226">
            <v>0</v>
          </cell>
          <cell r="AO226">
            <v>0</v>
          </cell>
        </row>
        <row r="227">
          <cell r="A227" t="str">
            <v>24-C1137</v>
          </cell>
          <cell r="B227" t="str">
            <v>FOOD/CATERING SERVICES</v>
          </cell>
          <cell r="C227" t="str">
            <v>PGO</v>
          </cell>
          <cell r="D227" t="str">
            <v>No</v>
          </cell>
          <cell r="E227" t="str">
            <v>NP-53.9 - Small Value Procurement</v>
          </cell>
          <cell r="F227">
            <v>45356</v>
          </cell>
          <cell r="G227">
            <v>45359</v>
          </cell>
          <cell r="H227">
            <v>0</v>
          </cell>
          <cell r="I227" t="str">
            <v>N/A</v>
          </cell>
          <cell r="J227">
            <v>45370</v>
          </cell>
          <cell r="K227">
            <v>45370</v>
          </cell>
          <cell r="L227">
            <v>0</v>
          </cell>
          <cell r="M227" t="str">
            <v>N/A</v>
          </cell>
          <cell r="N227" t="str">
            <v>N/A</v>
          </cell>
          <cell r="O227">
            <v>45372</v>
          </cell>
          <cell r="P227">
            <v>0</v>
          </cell>
          <cell r="Q227">
            <v>0</v>
          </cell>
          <cell r="R227">
            <v>0</v>
          </cell>
          <cell r="S227">
            <v>45376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45376</v>
          </cell>
          <cell r="Y227">
            <v>0</v>
          </cell>
          <cell r="Z227">
            <v>0</v>
          </cell>
          <cell r="AA227">
            <v>251000</v>
          </cell>
          <cell r="AB227">
            <v>0</v>
          </cell>
          <cell r="AC227">
            <v>251000</v>
          </cell>
          <cell r="AD227">
            <v>251000</v>
          </cell>
          <cell r="AE227">
            <v>0</v>
          </cell>
          <cell r="AF227">
            <v>251000</v>
          </cell>
          <cell r="AG227" t="str">
            <v>ENGR. MICHAEL C. SALARDA
MS. LEONARDA M. LATOR
MS. CARMENCITA VALDEZ
MS. SORAYA P. VERGARA</v>
          </cell>
          <cell r="AH227" t="str">
            <v>N/A</v>
          </cell>
          <cell r="AI227" t="str">
            <v>N/A</v>
          </cell>
          <cell r="AJ227" t="str">
            <v>N/A</v>
          </cell>
          <cell r="AK227" t="str">
            <v>N/A</v>
          </cell>
          <cell r="AL227" t="str">
            <v>N/A</v>
          </cell>
          <cell r="AM227" t="str">
            <v>N/A</v>
          </cell>
          <cell r="AN227">
            <v>0</v>
          </cell>
          <cell r="AO227">
            <v>0</v>
          </cell>
        </row>
        <row r="228">
          <cell r="A228" t="str">
            <v>24-C0990</v>
          </cell>
          <cell r="B228" t="str">
            <v>FOOD/CATERING SERVICES</v>
          </cell>
          <cell r="C228" t="str">
            <v>PENRO</v>
          </cell>
          <cell r="D228" t="str">
            <v>No</v>
          </cell>
          <cell r="E228" t="str">
            <v>NP-53.9 - Small Value Procurement</v>
          </cell>
          <cell r="F228">
            <v>45356</v>
          </cell>
          <cell r="G228">
            <v>45359</v>
          </cell>
          <cell r="H228">
            <v>0</v>
          </cell>
          <cell r="I228" t="str">
            <v>N/A</v>
          </cell>
          <cell r="J228">
            <v>45370</v>
          </cell>
          <cell r="K228">
            <v>45370</v>
          </cell>
          <cell r="L228">
            <v>0</v>
          </cell>
          <cell r="M228" t="str">
            <v>N/A</v>
          </cell>
          <cell r="N228" t="str">
            <v>N/A</v>
          </cell>
          <cell r="O228">
            <v>45372</v>
          </cell>
          <cell r="P228">
            <v>0</v>
          </cell>
          <cell r="Q228">
            <v>0</v>
          </cell>
          <cell r="R228">
            <v>0</v>
          </cell>
          <cell r="S228">
            <v>45376</v>
          </cell>
          <cell r="T228">
            <v>45390</v>
          </cell>
          <cell r="U228">
            <v>45393</v>
          </cell>
          <cell r="V228">
            <v>0</v>
          </cell>
          <cell r="W228">
            <v>0</v>
          </cell>
          <cell r="X228">
            <v>45414</v>
          </cell>
          <cell r="Y228">
            <v>0</v>
          </cell>
          <cell r="Z228">
            <v>0</v>
          </cell>
          <cell r="AA228">
            <v>160260</v>
          </cell>
          <cell r="AB228">
            <v>0</v>
          </cell>
          <cell r="AC228">
            <v>160260</v>
          </cell>
          <cell r="AD228">
            <v>160260</v>
          </cell>
          <cell r="AE228">
            <v>0</v>
          </cell>
          <cell r="AF228">
            <v>160260</v>
          </cell>
          <cell r="AG228" t="str">
            <v>ENGR. MICHAEL C. SALARDA
MS. LEONARDA M. LATOR
MS. CARMENCITA VALDEZ
MS. SORAYA P. VERGARA</v>
          </cell>
          <cell r="AH228" t="str">
            <v>N/A</v>
          </cell>
          <cell r="AI228" t="str">
            <v>N/A</v>
          </cell>
          <cell r="AJ228" t="str">
            <v>N/A</v>
          </cell>
          <cell r="AK228" t="str">
            <v>N/A</v>
          </cell>
          <cell r="AL228" t="str">
            <v>N/A</v>
          </cell>
          <cell r="AM228" t="str">
            <v>N/A</v>
          </cell>
          <cell r="AN228">
            <v>0</v>
          </cell>
          <cell r="AO228">
            <v>0</v>
          </cell>
        </row>
        <row r="229">
          <cell r="A229" t="str">
            <v>24-C0996</v>
          </cell>
          <cell r="B229" t="str">
            <v>FOOD/CATERING SERVICES</v>
          </cell>
          <cell r="C229" t="str">
            <v>PHRMDO</v>
          </cell>
          <cell r="D229" t="str">
            <v>No</v>
          </cell>
          <cell r="E229" t="str">
            <v>NP-53.9 - Small Value Procurement</v>
          </cell>
          <cell r="F229">
            <v>45356</v>
          </cell>
          <cell r="G229">
            <v>45359</v>
          </cell>
          <cell r="H229">
            <v>0</v>
          </cell>
          <cell r="I229" t="str">
            <v>N/A</v>
          </cell>
          <cell r="J229">
            <v>45370</v>
          </cell>
          <cell r="K229">
            <v>45370</v>
          </cell>
          <cell r="L229">
            <v>0</v>
          </cell>
          <cell r="M229" t="str">
            <v>N/A</v>
          </cell>
          <cell r="N229" t="str">
            <v>N/A</v>
          </cell>
          <cell r="O229">
            <v>45372</v>
          </cell>
          <cell r="P229">
            <v>0</v>
          </cell>
          <cell r="Q229">
            <v>0</v>
          </cell>
          <cell r="R229">
            <v>0</v>
          </cell>
          <cell r="S229">
            <v>45376</v>
          </cell>
          <cell r="T229">
            <v>45385</v>
          </cell>
          <cell r="U229">
            <v>45385</v>
          </cell>
          <cell r="V229">
            <v>0</v>
          </cell>
          <cell r="W229">
            <v>0</v>
          </cell>
          <cell r="X229">
            <v>45377</v>
          </cell>
          <cell r="Y229">
            <v>0</v>
          </cell>
          <cell r="Z229">
            <v>0</v>
          </cell>
          <cell r="AA229">
            <v>242990</v>
          </cell>
          <cell r="AB229">
            <v>0</v>
          </cell>
          <cell r="AC229">
            <v>242990</v>
          </cell>
          <cell r="AD229">
            <v>242990</v>
          </cell>
          <cell r="AE229">
            <v>0</v>
          </cell>
          <cell r="AF229">
            <v>242990</v>
          </cell>
          <cell r="AG229" t="str">
            <v>ENGR. MICHAEL C. SALARDA
MS. LEONARDA M. LATOR
MS. CARMENCITA VALDEZ
MS. SORAYA P. VERGARA</v>
          </cell>
          <cell r="AH229" t="str">
            <v>N/A</v>
          </cell>
          <cell r="AI229" t="str">
            <v>N/A</v>
          </cell>
          <cell r="AJ229" t="str">
            <v>N/A</v>
          </cell>
          <cell r="AK229" t="str">
            <v>N/A</v>
          </cell>
          <cell r="AL229" t="str">
            <v>N/A</v>
          </cell>
          <cell r="AM229" t="str">
            <v>N/A</v>
          </cell>
          <cell r="AN229">
            <v>0</v>
          </cell>
          <cell r="AO229">
            <v>0</v>
          </cell>
        </row>
        <row r="230">
          <cell r="A230" t="str">
            <v>24-1451</v>
          </cell>
          <cell r="B230" t="str">
            <v>WATER</v>
          </cell>
          <cell r="C230" t="str">
            <v>PLO</v>
          </cell>
          <cell r="D230" t="str">
            <v>No</v>
          </cell>
          <cell r="E230" t="str">
            <v>NP-53.9 - Small Value Procurement</v>
          </cell>
          <cell r="F230" t="str">
            <v>N/A</v>
          </cell>
          <cell r="G230">
            <v>45359</v>
          </cell>
          <cell r="H230">
            <v>0</v>
          </cell>
          <cell r="I230" t="str">
            <v>N/A</v>
          </cell>
          <cell r="J230">
            <v>45370</v>
          </cell>
          <cell r="K230">
            <v>45370</v>
          </cell>
          <cell r="L230">
            <v>0</v>
          </cell>
          <cell r="M230" t="str">
            <v>N/A</v>
          </cell>
          <cell r="N230" t="str">
            <v>N/A</v>
          </cell>
          <cell r="O230">
            <v>45372</v>
          </cell>
          <cell r="P230">
            <v>0</v>
          </cell>
          <cell r="Q230">
            <v>0</v>
          </cell>
          <cell r="R230">
            <v>0</v>
          </cell>
          <cell r="S230" t="str">
            <v>N/A</v>
          </cell>
          <cell r="T230">
            <v>45386</v>
          </cell>
          <cell r="U230">
            <v>45393</v>
          </cell>
          <cell r="V230">
            <v>0</v>
          </cell>
          <cell r="W230">
            <v>0</v>
          </cell>
          <cell r="X230" t="e">
            <v>#N/A</v>
          </cell>
          <cell r="Y230">
            <v>0</v>
          </cell>
          <cell r="Z230">
            <v>0</v>
          </cell>
          <cell r="AA230">
            <v>2870</v>
          </cell>
          <cell r="AB230">
            <v>0</v>
          </cell>
          <cell r="AC230">
            <v>2870</v>
          </cell>
          <cell r="AD230">
            <v>2800</v>
          </cell>
          <cell r="AE230">
            <v>0</v>
          </cell>
          <cell r="AF230">
            <v>2800</v>
          </cell>
          <cell r="AG230" t="str">
            <v>ENGR. MICHAEL C. SALARDA
MS. LEONARDA M. LATOR
MS. CARMENCITA VALDEZ
MS. SORAYA P. VERGARA</v>
          </cell>
          <cell r="AH230" t="str">
            <v>N/A</v>
          </cell>
          <cell r="AI230" t="str">
            <v>N/A</v>
          </cell>
          <cell r="AJ230" t="str">
            <v>N/A</v>
          </cell>
          <cell r="AK230" t="str">
            <v>N/A</v>
          </cell>
          <cell r="AL230" t="str">
            <v>N/A</v>
          </cell>
          <cell r="AM230" t="str">
            <v>N/A</v>
          </cell>
          <cell r="AN230">
            <v>0</v>
          </cell>
          <cell r="AO230">
            <v>0</v>
          </cell>
        </row>
        <row r="231">
          <cell r="A231" t="str">
            <v>24-C0947</v>
          </cell>
          <cell r="B231" t="str">
            <v>MINERAL WATER</v>
          </cell>
          <cell r="C231" t="str">
            <v>PGO</v>
          </cell>
          <cell r="D231" t="str">
            <v>No</v>
          </cell>
          <cell r="E231" t="str">
            <v>NP-53.9 - Small Value Procurement</v>
          </cell>
          <cell r="F231">
            <v>45356</v>
          </cell>
          <cell r="G231">
            <v>45359</v>
          </cell>
          <cell r="H231">
            <v>0</v>
          </cell>
          <cell r="I231" t="str">
            <v>N/A</v>
          </cell>
          <cell r="J231">
            <v>45370</v>
          </cell>
          <cell r="K231">
            <v>45370</v>
          </cell>
          <cell r="L231">
            <v>0</v>
          </cell>
          <cell r="M231" t="str">
            <v>N/A</v>
          </cell>
          <cell r="N231" t="str">
            <v>N/A</v>
          </cell>
          <cell r="O231">
            <v>45372</v>
          </cell>
          <cell r="P231">
            <v>0</v>
          </cell>
          <cell r="Q231">
            <v>0</v>
          </cell>
          <cell r="R231">
            <v>0</v>
          </cell>
          <cell r="S231">
            <v>45376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160802</v>
          </cell>
          <cell r="AB231">
            <v>0</v>
          </cell>
          <cell r="AC231">
            <v>160802</v>
          </cell>
          <cell r="AD231">
            <v>156880</v>
          </cell>
          <cell r="AE231">
            <v>0</v>
          </cell>
          <cell r="AF231">
            <v>156880</v>
          </cell>
          <cell r="AG231" t="str">
            <v>ENGR. MICHAEL C. SALARDA
MS. LEONARDA M. LATOR
MS. CARMENCITA VALDEZ
MS. SORAYA P. VERGARA</v>
          </cell>
          <cell r="AH231" t="str">
            <v>N/A</v>
          </cell>
          <cell r="AI231" t="str">
            <v>N/A</v>
          </cell>
          <cell r="AJ231" t="str">
            <v>N/A</v>
          </cell>
          <cell r="AK231" t="str">
            <v>N/A</v>
          </cell>
          <cell r="AL231" t="str">
            <v>N/A</v>
          </cell>
          <cell r="AM231" t="str">
            <v>N/A</v>
          </cell>
          <cell r="AN231">
            <v>0</v>
          </cell>
          <cell r="AO231">
            <v>0</v>
          </cell>
        </row>
        <row r="232">
          <cell r="A232" t="str">
            <v>24-0924</v>
          </cell>
          <cell r="B232" t="str">
            <v>FOOD/CATERING SERVICES</v>
          </cell>
          <cell r="C232" t="str">
            <v>PGSO</v>
          </cell>
          <cell r="D232" t="str">
            <v>No</v>
          </cell>
          <cell r="E232" t="str">
            <v>NP-53.9 - Small Value Procurement</v>
          </cell>
          <cell r="F232" t="str">
            <v>N/A</v>
          </cell>
          <cell r="G232">
            <v>45359</v>
          </cell>
          <cell r="H232">
            <v>0</v>
          </cell>
          <cell r="I232" t="str">
            <v>N/A</v>
          </cell>
          <cell r="J232">
            <v>45370</v>
          </cell>
          <cell r="K232">
            <v>45370</v>
          </cell>
          <cell r="L232">
            <v>0</v>
          </cell>
          <cell r="M232" t="str">
            <v>N/A</v>
          </cell>
          <cell r="N232" t="str">
            <v>N/A</v>
          </cell>
          <cell r="O232">
            <v>45372</v>
          </cell>
          <cell r="P232">
            <v>0</v>
          </cell>
          <cell r="Q232">
            <v>0</v>
          </cell>
          <cell r="R232">
            <v>0</v>
          </cell>
          <cell r="S232" t="str">
            <v>N/A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 t="e">
            <v>#N/A</v>
          </cell>
          <cell r="Y232">
            <v>0</v>
          </cell>
          <cell r="Z232">
            <v>0</v>
          </cell>
          <cell r="AA232">
            <v>7500</v>
          </cell>
          <cell r="AB232">
            <v>0</v>
          </cell>
          <cell r="AC232">
            <v>7500</v>
          </cell>
          <cell r="AD232">
            <v>7200</v>
          </cell>
          <cell r="AE232">
            <v>0</v>
          </cell>
          <cell r="AF232">
            <v>7200</v>
          </cell>
          <cell r="AG232" t="str">
            <v>ENGR. MICHAEL C. SALARDA
MS. LEONARDA M. LATOR
MS. CARMENCITA VALDEZ
MS. SORAYA P. VERGARA</v>
          </cell>
          <cell r="AH232" t="str">
            <v>N/A</v>
          </cell>
          <cell r="AI232" t="str">
            <v>N/A</v>
          </cell>
          <cell r="AJ232" t="str">
            <v>N/A</v>
          </cell>
          <cell r="AK232" t="str">
            <v>N/A</v>
          </cell>
          <cell r="AL232" t="str">
            <v>N/A</v>
          </cell>
          <cell r="AM232" t="str">
            <v>N/A</v>
          </cell>
          <cell r="AN232">
            <v>0</v>
          </cell>
          <cell r="AO232">
            <v>0</v>
          </cell>
        </row>
        <row r="233">
          <cell r="A233" t="str">
            <v>24-1406</v>
          </cell>
          <cell r="B233" t="str">
            <v>FOOD/CATERING SERVICES</v>
          </cell>
          <cell r="C233" t="str">
            <v>PGO</v>
          </cell>
          <cell r="D233" t="str">
            <v>No</v>
          </cell>
          <cell r="E233" t="str">
            <v>NP-53.9 - Small Value Procurement</v>
          </cell>
          <cell r="F233" t="str">
            <v>N/A</v>
          </cell>
          <cell r="G233">
            <v>45359</v>
          </cell>
          <cell r="H233">
            <v>0</v>
          </cell>
          <cell r="I233" t="str">
            <v>N/A</v>
          </cell>
          <cell r="J233">
            <v>45370</v>
          </cell>
          <cell r="K233">
            <v>45370</v>
          </cell>
          <cell r="L233">
            <v>0</v>
          </cell>
          <cell r="M233" t="str">
            <v>N/A</v>
          </cell>
          <cell r="N233" t="str">
            <v>N/A</v>
          </cell>
          <cell r="O233">
            <v>45372</v>
          </cell>
          <cell r="P233">
            <v>0</v>
          </cell>
          <cell r="Q233">
            <v>0</v>
          </cell>
          <cell r="R233">
            <v>0</v>
          </cell>
          <cell r="S233" t="str">
            <v>N/A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 t="e">
            <v>#N/A</v>
          </cell>
          <cell r="Y233">
            <v>0</v>
          </cell>
          <cell r="Z233">
            <v>0</v>
          </cell>
          <cell r="AA233">
            <v>4500</v>
          </cell>
          <cell r="AB233">
            <v>0</v>
          </cell>
          <cell r="AC233">
            <v>4500</v>
          </cell>
          <cell r="AD233">
            <v>4477.5</v>
          </cell>
          <cell r="AE233">
            <v>0</v>
          </cell>
          <cell r="AF233">
            <v>4477.5</v>
          </cell>
          <cell r="AG233" t="str">
            <v>ENGR. MICHAEL C. SALARDA
MS. LEONARDA M. LATOR
MS. CARMENCITA VALDEZ
MS. SORAYA P. VERGARA</v>
          </cell>
          <cell r="AH233" t="str">
            <v>N/A</v>
          </cell>
          <cell r="AI233" t="str">
            <v>N/A</v>
          </cell>
          <cell r="AJ233" t="str">
            <v>N/A</v>
          </cell>
          <cell r="AK233" t="str">
            <v>N/A</v>
          </cell>
          <cell r="AL233" t="str">
            <v>N/A</v>
          </cell>
          <cell r="AM233" t="str">
            <v>N/A</v>
          </cell>
          <cell r="AN233">
            <v>0</v>
          </cell>
          <cell r="AO233">
            <v>0</v>
          </cell>
        </row>
        <row r="234">
          <cell r="A234" t="str">
            <v>24-1391</v>
          </cell>
          <cell r="B234" t="str">
            <v>FOOD CATERING/SERVICES</v>
          </cell>
          <cell r="C234" t="str">
            <v>PGO</v>
          </cell>
          <cell r="D234" t="str">
            <v>No</v>
          </cell>
          <cell r="E234" t="str">
            <v>NP-53.9 - Small Value Procurement</v>
          </cell>
          <cell r="F234" t="str">
            <v>N/A</v>
          </cell>
          <cell r="G234">
            <v>45359</v>
          </cell>
          <cell r="H234">
            <v>0</v>
          </cell>
          <cell r="I234" t="str">
            <v>N/A</v>
          </cell>
          <cell r="J234">
            <v>45370</v>
          </cell>
          <cell r="K234">
            <v>45370</v>
          </cell>
          <cell r="L234">
            <v>0</v>
          </cell>
          <cell r="M234" t="str">
            <v>N/A</v>
          </cell>
          <cell r="N234" t="str">
            <v>N/A</v>
          </cell>
          <cell r="O234">
            <v>45372</v>
          </cell>
          <cell r="P234">
            <v>0</v>
          </cell>
          <cell r="Q234">
            <v>0</v>
          </cell>
          <cell r="R234">
            <v>0</v>
          </cell>
          <cell r="S234">
            <v>45385</v>
          </cell>
          <cell r="T234">
            <v>45386</v>
          </cell>
          <cell r="U234">
            <v>45397</v>
          </cell>
          <cell r="V234">
            <v>0</v>
          </cell>
          <cell r="W234">
            <v>0</v>
          </cell>
          <cell r="X234" t="e">
            <v>#N/A</v>
          </cell>
          <cell r="Y234">
            <v>0</v>
          </cell>
          <cell r="Z234">
            <v>0</v>
          </cell>
          <cell r="AA234">
            <v>180000</v>
          </cell>
          <cell r="AB234">
            <v>0</v>
          </cell>
          <cell r="AC234">
            <v>180000</v>
          </cell>
          <cell r="AD234">
            <v>179798.75</v>
          </cell>
          <cell r="AE234">
            <v>0</v>
          </cell>
          <cell r="AF234">
            <v>179798.75</v>
          </cell>
          <cell r="AG234" t="str">
            <v>ENGR. MICHAEL C. SALARDA
MS. LEONARDA M. LATOR
MS. CARMENCITA VALDEZ
MS. SORAYA P. VERGARA</v>
          </cell>
          <cell r="AH234" t="str">
            <v>N/A</v>
          </cell>
          <cell r="AI234" t="str">
            <v>N/A</v>
          </cell>
          <cell r="AJ234" t="str">
            <v>N/A</v>
          </cell>
          <cell r="AK234" t="str">
            <v>N/A</v>
          </cell>
          <cell r="AL234" t="str">
            <v>N/A</v>
          </cell>
          <cell r="AM234" t="str">
            <v>N/A</v>
          </cell>
          <cell r="AN234">
            <v>0</v>
          </cell>
          <cell r="AO234">
            <v>0</v>
          </cell>
        </row>
        <row r="235">
          <cell r="A235" t="str">
            <v>24-1381</v>
          </cell>
          <cell r="B235" t="str">
            <v>FOOD CATERING/SERVICES</v>
          </cell>
          <cell r="C235" t="str">
            <v>PGO</v>
          </cell>
          <cell r="D235" t="str">
            <v>No</v>
          </cell>
          <cell r="E235" t="str">
            <v>NP-53.9 - Small Value Procurement</v>
          </cell>
          <cell r="F235">
            <v>45356</v>
          </cell>
          <cell r="G235">
            <v>45359</v>
          </cell>
          <cell r="H235">
            <v>0</v>
          </cell>
          <cell r="I235" t="str">
            <v>N/A</v>
          </cell>
          <cell r="J235">
            <v>45370</v>
          </cell>
          <cell r="K235">
            <v>45370</v>
          </cell>
          <cell r="L235">
            <v>0</v>
          </cell>
          <cell r="M235" t="str">
            <v>N/A</v>
          </cell>
          <cell r="N235" t="str">
            <v>N/A</v>
          </cell>
          <cell r="O235">
            <v>45372</v>
          </cell>
          <cell r="P235">
            <v>0</v>
          </cell>
          <cell r="Q235">
            <v>0</v>
          </cell>
          <cell r="R235">
            <v>0</v>
          </cell>
          <cell r="S235">
            <v>45385</v>
          </cell>
          <cell r="T235">
            <v>45386</v>
          </cell>
          <cell r="U235">
            <v>45397</v>
          </cell>
          <cell r="V235">
            <v>0</v>
          </cell>
          <cell r="W235">
            <v>0</v>
          </cell>
          <cell r="X235" t="e">
            <v>#N/A</v>
          </cell>
          <cell r="Y235">
            <v>0</v>
          </cell>
          <cell r="Z235">
            <v>0</v>
          </cell>
          <cell r="AA235">
            <v>52000</v>
          </cell>
          <cell r="AB235">
            <v>0</v>
          </cell>
          <cell r="AC235">
            <v>52000</v>
          </cell>
          <cell r="AD235">
            <v>51920</v>
          </cell>
          <cell r="AE235">
            <v>0</v>
          </cell>
          <cell r="AF235">
            <v>51920</v>
          </cell>
          <cell r="AG235" t="str">
            <v>ENGR. MICHAEL C. SALARDA
MS. LEONARDA M. LATOR
MS. CARMENCITA VALDEZ
MS. SORAYA P. VERGARA</v>
          </cell>
          <cell r="AH235" t="str">
            <v>N/A</v>
          </cell>
          <cell r="AI235" t="str">
            <v>N/A</v>
          </cell>
          <cell r="AJ235" t="str">
            <v>N/A</v>
          </cell>
          <cell r="AK235" t="str">
            <v>N/A</v>
          </cell>
          <cell r="AL235" t="str">
            <v>N/A</v>
          </cell>
          <cell r="AM235" t="str">
            <v>N/A</v>
          </cell>
          <cell r="AN235">
            <v>0</v>
          </cell>
          <cell r="AO235">
            <v>0</v>
          </cell>
        </row>
        <row r="236">
          <cell r="A236" t="str">
            <v>24-C1127</v>
          </cell>
          <cell r="B236" t="str">
            <v>FOOD CATERING/SERVICES</v>
          </cell>
          <cell r="C236" t="str">
            <v>PTO</v>
          </cell>
          <cell r="D236" t="str">
            <v>No</v>
          </cell>
          <cell r="E236" t="str">
            <v>NP-53.9 - Small Value Procurement</v>
          </cell>
          <cell r="F236">
            <v>45356</v>
          </cell>
          <cell r="G236">
            <v>45359</v>
          </cell>
          <cell r="H236">
            <v>0</v>
          </cell>
          <cell r="I236" t="str">
            <v>N/A</v>
          </cell>
          <cell r="J236">
            <v>45370</v>
          </cell>
          <cell r="K236">
            <v>45370</v>
          </cell>
          <cell r="L236">
            <v>0</v>
          </cell>
          <cell r="M236" t="str">
            <v>N/A</v>
          </cell>
          <cell r="N236" t="str">
            <v>N/A</v>
          </cell>
          <cell r="O236">
            <v>45372</v>
          </cell>
          <cell r="P236">
            <v>0</v>
          </cell>
          <cell r="Q236">
            <v>0</v>
          </cell>
          <cell r="R236">
            <v>0</v>
          </cell>
          <cell r="S236">
            <v>45376</v>
          </cell>
          <cell r="T236">
            <v>45387</v>
          </cell>
          <cell r="U236">
            <v>45397</v>
          </cell>
          <cell r="V236">
            <v>0</v>
          </cell>
          <cell r="W236">
            <v>0</v>
          </cell>
          <cell r="X236">
            <v>45398</v>
          </cell>
          <cell r="Y236">
            <v>0</v>
          </cell>
          <cell r="Z236">
            <v>0</v>
          </cell>
          <cell r="AA236">
            <v>117300</v>
          </cell>
          <cell r="AB236">
            <v>0</v>
          </cell>
          <cell r="AC236">
            <v>117300</v>
          </cell>
          <cell r="AD236">
            <v>117300</v>
          </cell>
          <cell r="AE236">
            <v>0</v>
          </cell>
          <cell r="AF236">
            <v>117300</v>
          </cell>
          <cell r="AG236" t="str">
            <v>ENGR. MICHAEL C. SALARDA
MS. LEONARDA M. LATOR
MS. CARMENCITA VALDEZ
MS. SORAYA P. VERGARA</v>
          </cell>
          <cell r="AH236" t="str">
            <v>N/A</v>
          </cell>
          <cell r="AI236" t="str">
            <v>N/A</v>
          </cell>
          <cell r="AJ236" t="str">
            <v>N/A</v>
          </cell>
          <cell r="AK236" t="str">
            <v>N/A</v>
          </cell>
          <cell r="AL236" t="str">
            <v>N/A</v>
          </cell>
          <cell r="AM236" t="str">
            <v>N/A</v>
          </cell>
          <cell r="AN236">
            <v>0</v>
          </cell>
          <cell r="AO236">
            <v>0</v>
          </cell>
        </row>
        <row r="237">
          <cell r="A237" t="str">
            <v>24-0676</v>
          </cell>
          <cell r="B237" t="str">
            <v>FOOD CATERING/SERVICES</v>
          </cell>
          <cell r="C237" t="str">
            <v>PHRMDO</v>
          </cell>
          <cell r="D237" t="str">
            <v>No</v>
          </cell>
          <cell r="E237" t="str">
            <v>NP-53.9 - Small Value Procurement</v>
          </cell>
          <cell r="F237">
            <v>45356</v>
          </cell>
          <cell r="G237">
            <v>45359</v>
          </cell>
          <cell r="H237">
            <v>0</v>
          </cell>
          <cell r="I237" t="str">
            <v>N/A</v>
          </cell>
          <cell r="J237">
            <v>45370</v>
          </cell>
          <cell r="K237">
            <v>45370</v>
          </cell>
          <cell r="L237">
            <v>0</v>
          </cell>
          <cell r="M237" t="str">
            <v>N/A</v>
          </cell>
          <cell r="N237" t="str">
            <v>N/A</v>
          </cell>
          <cell r="O237">
            <v>45372</v>
          </cell>
          <cell r="P237">
            <v>0</v>
          </cell>
          <cell r="Q237">
            <v>0</v>
          </cell>
          <cell r="R237">
            <v>0</v>
          </cell>
          <cell r="S237">
            <v>45376</v>
          </cell>
          <cell r="T237">
            <v>45378</v>
          </cell>
          <cell r="U237">
            <v>45384</v>
          </cell>
          <cell r="V237">
            <v>0</v>
          </cell>
          <cell r="W237">
            <v>0</v>
          </cell>
          <cell r="X237" t="e">
            <v>#N/A</v>
          </cell>
          <cell r="Y237">
            <v>0</v>
          </cell>
          <cell r="Z237">
            <v>0</v>
          </cell>
          <cell r="AA237">
            <v>115800</v>
          </cell>
          <cell r="AB237">
            <v>0</v>
          </cell>
          <cell r="AC237">
            <v>115800</v>
          </cell>
          <cell r="AD237">
            <v>111360</v>
          </cell>
          <cell r="AE237">
            <v>0</v>
          </cell>
          <cell r="AF237">
            <v>111360</v>
          </cell>
          <cell r="AG237" t="str">
            <v>ENGR. MICHAEL C. SALARDA
MS. LEONARDA M. LATOR
MS. CARMENCITA VALDEZ
MS. SORAYA P. VERGARA</v>
          </cell>
          <cell r="AH237" t="str">
            <v>N/A</v>
          </cell>
          <cell r="AI237" t="str">
            <v>N/A</v>
          </cell>
          <cell r="AJ237" t="str">
            <v>N/A</v>
          </cell>
          <cell r="AK237" t="str">
            <v>N/A</v>
          </cell>
          <cell r="AL237" t="str">
            <v>N/A</v>
          </cell>
          <cell r="AM237" t="str">
            <v>N/A</v>
          </cell>
          <cell r="AN237">
            <v>0</v>
          </cell>
          <cell r="AO237">
            <v>0</v>
          </cell>
        </row>
        <row r="238">
          <cell r="A238" t="str">
            <v>24-1053</v>
          </cell>
          <cell r="B238" t="str">
            <v>FOOD/CATERING SERVICES</v>
          </cell>
          <cell r="C238" t="str">
            <v>PHO</v>
          </cell>
          <cell r="D238" t="str">
            <v>No</v>
          </cell>
          <cell r="E238" t="str">
            <v>NP-53.9 - Small Value Procurement</v>
          </cell>
          <cell r="F238" t="str">
            <v>N/A</v>
          </cell>
          <cell r="G238">
            <v>45359</v>
          </cell>
          <cell r="H238">
            <v>0</v>
          </cell>
          <cell r="I238" t="str">
            <v>N/A</v>
          </cell>
          <cell r="J238">
            <v>45370</v>
          </cell>
          <cell r="K238">
            <v>45370</v>
          </cell>
          <cell r="L238">
            <v>0</v>
          </cell>
          <cell r="M238" t="str">
            <v>N/A</v>
          </cell>
          <cell r="N238" t="str">
            <v>N/A</v>
          </cell>
          <cell r="O238">
            <v>45372</v>
          </cell>
          <cell r="P238">
            <v>0</v>
          </cell>
          <cell r="Q238">
            <v>0</v>
          </cell>
          <cell r="R238">
            <v>0</v>
          </cell>
          <cell r="S238" t="str">
            <v>N/A</v>
          </cell>
          <cell r="T238">
            <v>45387</v>
          </cell>
          <cell r="U238">
            <v>45394</v>
          </cell>
          <cell r="V238">
            <v>0</v>
          </cell>
          <cell r="W238">
            <v>0</v>
          </cell>
          <cell r="X238" t="e">
            <v>#N/A</v>
          </cell>
          <cell r="Y238">
            <v>0</v>
          </cell>
          <cell r="Z238">
            <v>0</v>
          </cell>
          <cell r="AA238">
            <v>35000</v>
          </cell>
          <cell r="AB238">
            <v>0</v>
          </cell>
          <cell r="AC238">
            <v>35000</v>
          </cell>
          <cell r="AD238">
            <v>32500</v>
          </cell>
          <cell r="AE238">
            <v>0</v>
          </cell>
          <cell r="AF238">
            <v>32500</v>
          </cell>
          <cell r="AG238" t="str">
            <v>ENGR. MICHAEL C. SALARDA
MS. LEONARDA M. LATOR
MS. CARMENCITA VALDEZ
MS. SORAYA P. VERGARA</v>
          </cell>
          <cell r="AH238" t="str">
            <v>N/A</v>
          </cell>
          <cell r="AI238" t="str">
            <v>N/A</v>
          </cell>
          <cell r="AJ238" t="str">
            <v>N/A</v>
          </cell>
          <cell r="AK238" t="str">
            <v>N/A</v>
          </cell>
          <cell r="AL238" t="str">
            <v>N/A</v>
          </cell>
          <cell r="AM238" t="str">
            <v>N/A</v>
          </cell>
          <cell r="AN238">
            <v>0</v>
          </cell>
          <cell r="AO238">
            <v>0</v>
          </cell>
        </row>
        <row r="239">
          <cell r="A239" t="str">
            <v>24-0250</v>
          </cell>
          <cell r="B239" t="str">
            <v>FOOD/CATERING SERVICES</v>
          </cell>
          <cell r="C239" t="str">
            <v>PPDO</v>
          </cell>
          <cell r="D239" t="str">
            <v>No</v>
          </cell>
          <cell r="E239" t="str">
            <v>NP-53.9 - Small Value Procurement</v>
          </cell>
          <cell r="F239" t="str">
            <v>N/A</v>
          </cell>
          <cell r="G239">
            <v>45359</v>
          </cell>
          <cell r="H239">
            <v>0</v>
          </cell>
          <cell r="I239" t="str">
            <v>N/A</v>
          </cell>
          <cell r="J239">
            <v>45370</v>
          </cell>
          <cell r="K239">
            <v>45370</v>
          </cell>
          <cell r="L239">
            <v>0</v>
          </cell>
          <cell r="M239" t="str">
            <v>N/A</v>
          </cell>
          <cell r="N239" t="str">
            <v>N/A</v>
          </cell>
          <cell r="O239">
            <v>45372</v>
          </cell>
          <cell r="P239">
            <v>0</v>
          </cell>
          <cell r="Q239">
            <v>0</v>
          </cell>
          <cell r="R239">
            <v>0</v>
          </cell>
          <cell r="S239">
            <v>45376</v>
          </cell>
          <cell r="T239">
            <v>45390</v>
          </cell>
          <cell r="U239">
            <v>45394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52500</v>
          </cell>
          <cell r="AB239">
            <v>0</v>
          </cell>
          <cell r="AC239">
            <v>52500</v>
          </cell>
          <cell r="AD239">
            <v>52500</v>
          </cell>
          <cell r="AE239">
            <v>0</v>
          </cell>
          <cell r="AF239">
            <v>52500</v>
          </cell>
          <cell r="AG239" t="str">
            <v>ENGR. MICHAEL C. SALARDA
MS. LEONARDA M. LATOR
MS. CARMENCITA VALDEZ
MS. SORAYA P. VERGARA</v>
          </cell>
          <cell r="AH239" t="str">
            <v>N/A</v>
          </cell>
          <cell r="AI239" t="str">
            <v>N/A</v>
          </cell>
          <cell r="AJ239" t="str">
            <v>N/A</v>
          </cell>
          <cell r="AK239" t="str">
            <v>N/A</v>
          </cell>
          <cell r="AL239" t="str">
            <v>N/A</v>
          </cell>
          <cell r="AM239" t="str">
            <v>N/A</v>
          </cell>
          <cell r="AN239">
            <v>0</v>
          </cell>
          <cell r="AO239">
            <v>0</v>
          </cell>
        </row>
        <row r="240">
          <cell r="A240" t="str">
            <v>24-C1116</v>
          </cell>
          <cell r="B240" t="str">
            <v>JANITORIAL SUPPLIES</v>
          </cell>
          <cell r="C240" t="str">
            <v>PDRRMO</v>
          </cell>
          <cell r="D240" t="str">
            <v>No</v>
          </cell>
          <cell r="E240" t="str">
            <v>NP-53.9 - Small Value Procurement</v>
          </cell>
          <cell r="F240">
            <v>45356</v>
          </cell>
          <cell r="G240">
            <v>45359</v>
          </cell>
          <cell r="H240">
            <v>0</v>
          </cell>
          <cell r="I240" t="str">
            <v>N/A</v>
          </cell>
          <cell r="J240">
            <v>45370</v>
          </cell>
          <cell r="K240">
            <v>45370</v>
          </cell>
          <cell r="L240">
            <v>0</v>
          </cell>
          <cell r="M240" t="str">
            <v>N/A</v>
          </cell>
          <cell r="N240" t="str">
            <v>N/A</v>
          </cell>
          <cell r="O240">
            <v>45372</v>
          </cell>
          <cell r="P240">
            <v>0</v>
          </cell>
          <cell r="Q240">
            <v>0</v>
          </cell>
          <cell r="R240">
            <v>0</v>
          </cell>
          <cell r="S240">
            <v>45383</v>
          </cell>
          <cell r="T240">
            <v>45387</v>
          </cell>
          <cell r="U240">
            <v>45394</v>
          </cell>
          <cell r="V240">
            <v>0</v>
          </cell>
          <cell r="W240">
            <v>0</v>
          </cell>
          <cell r="X240">
            <v>45406</v>
          </cell>
          <cell r="Y240">
            <v>0</v>
          </cell>
          <cell r="Z240">
            <v>0</v>
          </cell>
          <cell r="AA240">
            <v>174490</v>
          </cell>
          <cell r="AB240">
            <v>0</v>
          </cell>
          <cell r="AC240">
            <v>174490</v>
          </cell>
          <cell r="AD240">
            <v>174240</v>
          </cell>
          <cell r="AE240">
            <v>0</v>
          </cell>
          <cell r="AF240">
            <v>174240</v>
          </cell>
          <cell r="AG240" t="str">
            <v>ENGR. MICHAEL C. SALARDA
MS. LEONARDA M. LATOR
MS. CARMENCITA VALDEZ
MS. SORAYA P. VERGARA</v>
          </cell>
          <cell r="AH240" t="str">
            <v>N/A</v>
          </cell>
          <cell r="AI240" t="str">
            <v>N/A</v>
          </cell>
          <cell r="AJ240" t="str">
            <v>N/A</v>
          </cell>
          <cell r="AK240" t="str">
            <v>N/A</v>
          </cell>
          <cell r="AL240" t="str">
            <v>N/A</v>
          </cell>
          <cell r="AM240" t="str">
            <v>N/A</v>
          </cell>
          <cell r="AN240">
            <v>0</v>
          </cell>
          <cell r="AO240">
            <v>0</v>
          </cell>
        </row>
        <row r="241">
          <cell r="A241" t="str">
            <v>24-1555</v>
          </cell>
          <cell r="B241" t="str">
            <v>OFFICE EQUIPMENT</v>
          </cell>
          <cell r="C241" t="str">
            <v>PGO</v>
          </cell>
          <cell r="D241" t="str">
            <v>No</v>
          </cell>
          <cell r="E241" t="str">
            <v>NP-53.9 - Small Value Procurement</v>
          </cell>
          <cell r="F241" t="str">
            <v>N/A</v>
          </cell>
          <cell r="G241">
            <v>45363</v>
          </cell>
          <cell r="H241">
            <v>0</v>
          </cell>
          <cell r="I241" t="str">
            <v>N/A</v>
          </cell>
          <cell r="J241">
            <v>45370</v>
          </cell>
          <cell r="K241">
            <v>45370</v>
          </cell>
          <cell r="L241">
            <v>0</v>
          </cell>
          <cell r="M241" t="str">
            <v>N/A</v>
          </cell>
          <cell r="N241" t="str">
            <v>N/A</v>
          </cell>
          <cell r="O241">
            <v>45372</v>
          </cell>
          <cell r="P241">
            <v>0</v>
          </cell>
          <cell r="Q241">
            <v>0</v>
          </cell>
          <cell r="R241">
            <v>0</v>
          </cell>
          <cell r="S241" t="str">
            <v>N/A</v>
          </cell>
          <cell r="T241">
            <v>45387</v>
          </cell>
          <cell r="U241">
            <v>45394</v>
          </cell>
          <cell r="V241">
            <v>0</v>
          </cell>
          <cell r="W241">
            <v>0</v>
          </cell>
          <cell r="X241" t="e">
            <v>#N/A</v>
          </cell>
          <cell r="Y241">
            <v>0</v>
          </cell>
          <cell r="Z241">
            <v>0</v>
          </cell>
          <cell r="AA241">
            <v>26400</v>
          </cell>
          <cell r="AB241">
            <v>0</v>
          </cell>
          <cell r="AC241">
            <v>26400</v>
          </cell>
          <cell r="AD241">
            <v>26200</v>
          </cell>
          <cell r="AE241">
            <v>0</v>
          </cell>
          <cell r="AF241">
            <v>26200</v>
          </cell>
          <cell r="AG241" t="str">
            <v>ENGR. MICHAEL C. SALARDA
MS. LEONARDA M. LATOR
MS. CARMENCITA VALDEZ
MS. SORAYA P. VERGARA</v>
          </cell>
          <cell r="AH241" t="str">
            <v>N/A</v>
          </cell>
          <cell r="AI241" t="str">
            <v>N/A</v>
          </cell>
          <cell r="AJ241" t="str">
            <v>N/A</v>
          </cell>
          <cell r="AK241" t="str">
            <v>N/A</v>
          </cell>
          <cell r="AL241" t="str">
            <v>N/A</v>
          </cell>
          <cell r="AM241" t="str">
            <v>N/A</v>
          </cell>
          <cell r="AN241">
            <v>0</v>
          </cell>
          <cell r="AO241">
            <v>0</v>
          </cell>
        </row>
        <row r="242">
          <cell r="A242" t="str">
            <v>24-C1078</v>
          </cell>
          <cell r="B242" t="str">
            <v>JANITORIAL SUPPLIES</v>
          </cell>
          <cell r="C242" t="str">
            <v>PAO-ADMIN</v>
          </cell>
          <cell r="D242" t="str">
            <v>No</v>
          </cell>
          <cell r="E242" t="str">
            <v>NP-53.9 - Small Value Procurement</v>
          </cell>
          <cell r="F242" t="str">
            <v>N/A</v>
          </cell>
          <cell r="G242">
            <v>45359</v>
          </cell>
          <cell r="H242">
            <v>0</v>
          </cell>
          <cell r="I242" t="str">
            <v>N/A</v>
          </cell>
          <cell r="J242">
            <v>45370</v>
          </cell>
          <cell r="K242">
            <v>45370</v>
          </cell>
          <cell r="L242">
            <v>0</v>
          </cell>
          <cell r="M242" t="str">
            <v>N/A</v>
          </cell>
          <cell r="N242" t="str">
            <v>N/A</v>
          </cell>
          <cell r="O242">
            <v>45372</v>
          </cell>
          <cell r="P242">
            <v>0</v>
          </cell>
          <cell r="Q242">
            <v>0</v>
          </cell>
          <cell r="R242">
            <v>0</v>
          </cell>
          <cell r="S242">
            <v>45378</v>
          </cell>
          <cell r="T242">
            <v>45387</v>
          </cell>
          <cell r="U242">
            <v>45394</v>
          </cell>
          <cell r="V242">
            <v>0</v>
          </cell>
          <cell r="W242">
            <v>0</v>
          </cell>
          <cell r="X242">
            <v>45407</v>
          </cell>
          <cell r="Y242">
            <v>0</v>
          </cell>
          <cell r="Z242">
            <v>0</v>
          </cell>
          <cell r="AA242">
            <v>54864</v>
          </cell>
          <cell r="AB242">
            <v>0</v>
          </cell>
          <cell r="AC242">
            <v>54864</v>
          </cell>
          <cell r="AD242">
            <v>54665</v>
          </cell>
          <cell r="AE242">
            <v>0</v>
          </cell>
          <cell r="AF242">
            <v>54665</v>
          </cell>
          <cell r="AG242" t="str">
            <v>ENGR. MICHAEL C. SALARDA
MS. LEONARDA M. LATOR
MS. CARMENCITA VALDEZ
MS. SORAYA P. VERGARA</v>
          </cell>
          <cell r="AH242" t="str">
            <v>N/A</v>
          </cell>
          <cell r="AI242" t="str">
            <v>N/A</v>
          </cell>
          <cell r="AJ242" t="str">
            <v>N/A</v>
          </cell>
          <cell r="AK242" t="str">
            <v>N/A</v>
          </cell>
          <cell r="AL242" t="str">
            <v>N/A</v>
          </cell>
          <cell r="AM242" t="str">
            <v>N/A</v>
          </cell>
          <cell r="AN242">
            <v>0</v>
          </cell>
          <cell r="AO242">
            <v>0</v>
          </cell>
        </row>
        <row r="243">
          <cell r="A243" t="str">
            <v>24-C1111</v>
          </cell>
          <cell r="B243" t="str">
            <v>COMPUTER SUPPLIES</v>
          </cell>
          <cell r="C243" t="str">
            <v>PENRO</v>
          </cell>
          <cell r="D243" t="str">
            <v>No</v>
          </cell>
          <cell r="E243" t="str">
            <v>NP-53.9 - Small Value Procurement</v>
          </cell>
          <cell r="F243" t="str">
            <v>N/A</v>
          </cell>
          <cell r="G243">
            <v>45352</v>
          </cell>
          <cell r="H243">
            <v>0</v>
          </cell>
          <cell r="I243" t="str">
            <v>N/A</v>
          </cell>
          <cell r="J243">
            <v>45370</v>
          </cell>
          <cell r="K243">
            <v>45370</v>
          </cell>
          <cell r="L243">
            <v>0</v>
          </cell>
          <cell r="M243" t="str">
            <v>N/A</v>
          </cell>
          <cell r="N243" t="str">
            <v>N/A</v>
          </cell>
          <cell r="O243">
            <v>45372</v>
          </cell>
          <cell r="P243">
            <v>0</v>
          </cell>
          <cell r="Q243">
            <v>0</v>
          </cell>
          <cell r="R243">
            <v>0</v>
          </cell>
          <cell r="S243" t="str">
            <v>N/A</v>
          </cell>
          <cell r="T243">
            <v>45387</v>
          </cell>
          <cell r="U243">
            <v>45394</v>
          </cell>
          <cell r="V243">
            <v>0</v>
          </cell>
          <cell r="W243">
            <v>0</v>
          </cell>
          <cell r="X243">
            <v>45440</v>
          </cell>
          <cell r="Y243">
            <v>0</v>
          </cell>
          <cell r="Z243">
            <v>0</v>
          </cell>
          <cell r="AA243">
            <v>18995</v>
          </cell>
          <cell r="AB243">
            <v>0</v>
          </cell>
          <cell r="AC243">
            <v>18995</v>
          </cell>
          <cell r="AD243">
            <v>18991</v>
          </cell>
          <cell r="AE243">
            <v>0</v>
          </cell>
          <cell r="AF243">
            <v>18991</v>
          </cell>
          <cell r="AG243" t="str">
            <v>ENGR. MICHAEL C. SALARDA
MS. LEONARDA M. LATOR
MS. CARMENCITA VALDEZ
MS. SORAYA P. VERGARA</v>
          </cell>
          <cell r="AH243" t="str">
            <v>N/A</v>
          </cell>
          <cell r="AI243" t="str">
            <v>N/A</v>
          </cell>
          <cell r="AJ243" t="str">
            <v>N/A</v>
          </cell>
          <cell r="AK243" t="str">
            <v>N/A</v>
          </cell>
          <cell r="AL243" t="str">
            <v>N/A</v>
          </cell>
          <cell r="AM243" t="str">
            <v>N/A</v>
          </cell>
          <cell r="AN243">
            <v>0</v>
          </cell>
          <cell r="AO243">
            <v>0</v>
          </cell>
        </row>
        <row r="244">
          <cell r="A244" t="str">
            <v>24-0148</v>
          </cell>
          <cell r="B244" t="str">
            <v>OFFICE EQUIPMENT</v>
          </cell>
          <cell r="C244" t="str">
            <v>PPDO</v>
          </cell>
          <cell r="D244" t="str">
            <v>No</v>
          </cell>
          <cell r="E244" t="str">
            <v>NP-53.9 - Small Value Procurement</v>
          </cell>
          <cell r="F244">
            <v>45356</v>
          </cell>
          <cell r="G244">
            <v>45359</v>
          </cell>
          <cell r="H244">
            <v>0</v>
          </cell>
          <cell r="I244" t="str">
            <v>N/A</v>
          </cell>
          <cell r="J244">
            <v>45370</v>
          </cell>
          <cell r="K244">
            <v>45370</v>
          </cell>
          <cell r="L244">
            <v>0</v>
          </cell>
          <cell r="M244" t="str">
            <v>N/A</v>
          </cell>
          <cell r="N244" t="str">
            <v>N/A</v>
          </cell>
          <cell r="O244">
            <v>45372</v>
          </cell>
          <cell r="P244">
            <v>0</v>
          </cell>
          <cell r="Q244">
            <v>0</v>
          </cell>
          <cell r="R244">
            <v>0</v>
          </cell>
          <cell r="S244" t="str">
            <v>N/A</v>
          </cell>
          <cell r="T244">
            <v>45390</v>
          </cell>
          <cell r="U244">
            <v>45394</v>
          </cell>
          <cell r="V244">
            <v>0</v>
          </cell>
          <cell r="W244">
            <v>0</v>
          </cell>
          <cell r="X244" t="e">
            <v>#N/A</v>
          </cell>
          <cell r="Y244">
            <v>0</v>
          </cell>
          <cell r="Z244">
            <v>0</v>
          </cell>
          <cell r="AA244">
            <v>26840</v>
          </cell>
          <cell r="AB244">
            <v>0</v>
          </cell>
          <cell r="AC244">
            <v>26840</v>
          </cell>
          <cell r="AD244">
            <v>26840</v>
          </cell>
          <cell r="AE244">
            <v>0</v>
          </cell>
          <cell r="AF244">
            <v>26840</v>
          </cell>
          <cell r="AG244" t="str">
            <v>ENGR. MICHAEL C. SALARDA
MS. LEONARDA M. LATOR
MS. CARMENCITA VALDEZ
MS. SORAYA P. VERGARA</v>
          </cell>
          <cell r="AH244" t="str">
            <v>N/A</v>
          </cell>
          <cell r="AI244" t="str">
            <v>N/A</v>
          </cell>
          <cell r="AJ244" t="str">
            <v>N/A</v>
          </cell>
          <cell r="AK244" t="str">
            <v>N/A</v>
          </cell>
          <cell r="AL244" t="str">
            <v>N/A</v>
          </cell>
          <cell r="AM244" t="str">
            <v>N/A</v>
          </cell>
          <cell r="AN244">
            <v>0</v>
          </cell>
          <cell r="AO244">
            <v>0</v>
          </cell>
        </row>
        <row r="245">
          <cell r="A245" t="str">
            <v>24-0539</v>
          </cell>
          <cell r="B245" t="str">
            <v>OTHER SUPPLIES/MATERIALS</v>
          </cell>
          <cell r="C245" t="str">
            <v>PDRRMO</v>
          </cell>
          <cell r="D245" t="str">
            <v>No</v>
          </cell>
          <cell r="E245" t="str">
            <v>NP-53.9 - Small Value Procurement</v>
          </cell>
          <cell r="F245" t="str">
            <v>N/A</v>
          </cell>
          <cell r="G245">
            <v>45359</v>
          </cell>
          <cell r="H245">
            <v>0</v>
          </cell>
          <cell r="I245" t="str">
            <v>N/A</v>
          </cell>
          <cell r="J245">
            <v>45370</v>
          </cell>
          <cell r="K245">
            <v>45370</v>
          </cell>
          <cell r="L245">
            <v>0</v>
          </cell>
          <cell r="M245" t="str">
            <v>N/A</v>
          </cell>
          <cell r="N245" t="str">
            <v>N/A</v>
          </cell>
          <cell r="O245">
            <v>45372</v>
          </cell>
          <cell r="P245">
            <v>0</v>
          </cell>
          <cell r="Q245">
            <v>0</v>
          </cell>
          <cell r="R245">
            <v>0</v>
          </cell>
          <cell r="S245" t="str">
            <v>N/A</v>
          </cell>
          <cell r="T245">
            <v>45387</v>
          </cell>
          <cell r="U245">
            <v>45394</v>
          </cell>
          <cell r="V245">
            <v>0</v>
          </cell>
          <cell r="W245">
            <v>0</v>
          </cell>
          <cell r="X245" t="e">
            <v>#N/A</v>
          </cell>
          <cell r="Y245">
            <v>0</v>
          </cell>
          <cell r="Z245">
            <v>0</v>
          </cell>
          <cell r="AA245">
            <v>25000</v>
          </cell>
          <cell r="AB245">
            <v>0</v>
          </cell>
          <cell r="AC245">
            <v>25000</v>
          </cell>
          <cell r="AD245">
            <v>25000</v>
          </cell>
          <cell r="AE245">
            <v>0</v>
          </cell>
          <cell r="AF245">
            <v>25000</v>
          </cell>
          <cell r="AG245" t="str">
            <v>ENGR. MICHAEL C. SALARDA
MS. LEONARDA M. LATOR
MS. CARMENCITA VALDEZ
MS. SORAYA P. VERGARA</v>
          </cell>
          <cell r="AH245" t="str">
            <v>N/A</v>
          </cell>
          <cell r="AI245" t="str">
            <v>N/A</v>
          </cell>
          <cell r="AJ245" t="str">
            <v>N/A</v>
          </cell>
          <cell r="AK245" t="str">
            <v>N/A</v>
          </cell>
          <cell r="AL245" t="str">
            <v>N/A</v>
          </cell>
          <cell r="AM245" t="str">
            <v>N/A</v>
          </cell>
          <cell r="AN245">
            <v>0</v>
          </cell>
          <cell r="AO245">
            <v>0</v>
          </cell>
        </row>
        <row r="246">
          <cell r="A246" t="str">
            <v>24-1346</v>
          </cell>
          <cell r="B246" t="str">
            <v>OFFICE EQUIPMENT</v>
          </cell>
          <cell r="C246" t="str">
            <v>PPDO</v>
          </cell>
          <cell r="D246" t="str">
            <v>No</v>
          </cell>
          <cell r="E246" t="str">
            <v>NP-53.9 - Small Value Procurement</v>
          </cell>
          <cell r="F246">
            <v>45356</v>
          </cell>
          <cell r="G246">
            <v>45359</v>
          </cell>
          <cell r="H246">
            <v>0</v>
          </cell>
          <cell r="I246" t="str">
            <v>N/A</v>
          </cell>
          <cell r="J246">
            <v>45370</v>
          </cell>
          <cell r="K246">
            <v>45370</v>
          </cell>
          <cell r="L246">
            <v>0</v>
          </cell>
          <cell r="M246" t="str">
            <v>N/A</v>
          </cell>
          <cell r="N246" t="str">
            <v>N/A</v>
          </cell>
          <cell r="O246">
            <v>45372</v>
          </cell>
          <cell r="P246">
            <v>0</v>
          </cell>
          <cell r="Q246">
            <v>0</v>
          </cell>
          <cell r="R246">
            <v>0</v>
          </cell>
          <cell r="S246" t="str">
            <v>N/A</v>
          </cell>
          <cell r="T246">
            <v>45390</v>
          </cell>
          <cell r="U246">
            <v>45394</v>
          </cell>
          <cell r="V246">
            <v>0</v>
          </cell>
          <cell r="W246">
            <v>0</v>
          </cell>
          <cell r="X246" t="e">
            <v>#N/A</v>
          </cell>
          <cell r="Y246">
            <v>0</v>
          </cell>
          <cell r="Z246">
            <v>0</v>
          </cell>
          <cell r="AA246">
            <v>7800</v>
          </cell>
          <cell r="AB246">
            <v>0</v>
          </cell>
          <cell r="AC246">
            <v>7800</v>
          </cell>
          <cell r="AD246">
            <v>7800</v>
          </cell>
          <cell r="AE246">
            <v>0</v>
          </cell>
          <cell r="AF246">
            <v>7800</v>
          </cell>
          <cell r="AG246" t="str">
            <v>ENGR. MICHAEL C. SALARDA
MS. LEONARDA M. LATOR
MS. CARMENCITA VALDEZ
MS. SORAYA P. VERGARA</v>
          </cell>
          <cell r="AH246" t="str">
            <v>N/A</v>
          </cell>
          <cell r="AI246" t="str">
            <v>N/A</v>
          </cell>
          <cell r="AJ246" t="str">
            <v>N/A</v>
          </cell>
          <cell r="AK246" t="str">
            <v>N/A</v>
          </cell>
          <cell r="AL246" t="str">
            <v>N/A</v>
          </cell>
          <cell r="AM246" t="str">
            <v>N/A</v>
          </cell>
          <cell r="AN246">
            <v>0</v>
          </cell>
          <cell r="AO246">
            <v>0</v>
          </cell>
        </row>
        <row r="247">
          <cell r="A247" t="str">
            <v>24-1450</v>
          </cell>
          <cell r="B247" t="str">
            <v>JANITORIAL SUPPLIES/HOUSEKEEPING</v>
          </cell>
          <cell r="C247" t="str">
            <v>PLO</v>
          </cell>
          <cell r="D247" t="str">
            <v>No</v>
          </cell>
          <cell r="E247" t="str">
            <v>NP-53.9 - Small Value Procurement</v>
          </cell>
          <cell r="F247" t="str">
            <v>N/A</v>
          </cell>
          <cell r="G247">
            <v>45359</v>
          </cell>
          <cell r="H247">
            <v>0</v>
          </cell>
          <cell r="I247" t="str">
            <v>N/A</v>
          </cell>
          <cell r="J247">
            <v>45370</v>
          </cell>
          <cell r="K247">
            <v>45370</v>
          </cell>
          <cell r="L247">
            <v>0</v>
          </cell>
          <cell r="M247" t="str">
            <v>N/A</v>
          </cell>
          <cell r="N247" t="str">
            <v>N/A</v>
          </cell>
          <cell r="O247">
            <v>45372</v>
          </cell>
          <cell r="P247">
            <v>0</v>
          </cell>
          <cell r="Q247">
            <v>0</v>
          </cell>
          <cell r="R247">
            <v>0</v>
          </cell>
          <cell r="S247" t="str">
            <v>N/A</v>
          </cell>
          <cell r="T247">
            <v>45387</v>
          </cell>
          <cell r="U247">
            <v>45394</v>
          </cell>
          <cell r="V247">
            <v>0</v>
          </cell>
          <cell r="W247">
            <v>0</v>
          </cell>
          <cell r="X247" t="e">
            <v>#N/A</v>
          </cell>
          <cell r="Y247">
            <v>0</v>
          </cell>
          <cell r="Z247">
            <v>0</v>
          </cell>
          <cell r="AA247">
            <v>15193</v>
          </cell>
          <cell r="AB247">
            <v>0</v>
          </cell>
          <cell r="AC247">
            <v>15193</v>
          </cell>
          <cell r="AD247">
            <v>15141</v>
          </cell>
          <cell r="AE247">
            <v>0</v>
          </cell>
          <cell r="AF247">
            <v>15141</v>
          </cell>
          <cell r="AG247" t="str">
            <v>ENGR. MICHAEL C. SALARDA
MS. LEONARDA M. LATOR
MS. CARMENCITA VALDEZ
MS. SORAYA P. VERGARA</v>
          </cell>
          <cell r="AH247" t="str">
            <v>N/A</v>
          </cell>
          <cell r="AI247" t="str">
            <v>N/A</v>
          </cell>
          <cell r="AJ247" t="str">
            <v>N/A</v>
          </cell>
          <cell r="AK247" t="str">
            <v>N/A</v>
          </cell>
          <cell r="AL247" t="str">
            <v>N/A</v>
          </cell>
          <cell r="AM247" t="str">
            <v>N/A</v>
          </cell>
          <cell r="AN247">
            <v>0</v>
          </cell>
          <cell r="AO247">
            <v>0</v>
          </cell>
        </row>
        <row r="248">
          <cell r="A248" t="str">
            <v>24-C1117</v>
          </cell>
          <cell r="B248" t="str">
            <v>SAFETY GEARS</v>
          </cell>
          <cell r="C248" t="str">
            <v>PENRO</v>
          </cell>
          <cell r="D248" t="str">
            <v>No</v>
          </cell>
          <cell r="E248" t="str">
            <v>NP-53.9 - Small Value Procurement</v>
          </cell>
          <cell r="F248" t="str">
            <v>N/A</v>
          </cell>
          <cell r="G248">
            <v>45359</v>
          </cell>
          <cell r="H248">
            <v>0</v>
          </cell>
          <cell r="I248" t="str">
            <v>N/A</v>
          </cell>
          <cell r="J248">
            <v>45370</v>
          </cell>
          <cell r="K248">
            <v>45370</v>
          </cell>
          <cell r="L248">
            <v>0</v>
          </cell>
          <cell r="M248" t="str">
            <v>N/A</v>
          </cell>
          <cell r="N248" t="str">
            <v>N/A</v>
          </cell>
          <cell r="O248">
            <v>45372</v>
          </cell>
          <cell r="P248">
            <v>0</v>
          </cell>
          <cell r="Q248">
            <v>0</v>
          </cell>
          <cell r="R248">
            <v>0</v>
          </cell>
          <cell r="S248" t="str">
            <v>N/A</v>
          </cell>
          <cell r="T248">
            <v>45386</v>
          </cell>
          <cell r="U248">
            <v>45397</v>
          </cell>
          <cell r="V248">
            <v>0</v>
          </cell>
          <cell r="W248">
            <v>0</v>
          </cell>
          <cell r="X248">
            <v>45418</v>
          </cell>
          <cell r="Y248">
            <v>0</v>
          </cell>
          <cell r="Z248">
            <v>0</v>
          </cell>
          <cell r="AA248">
            <v>46680</v>
          </cell>
          <cell r="AB248">
            <v>0</v>
          </cell>
          <cell r="AC248">
            <v>46680</v>
          </cell>
          <cell r="AD248">
            <v>46331</v>
          </cell>
          <cell r="AE248">
            <v>0</v>
          </cell>
          <cell r="AF248">
            <v>46331</v>
          </cell>
          <cell r="AG248" t="str">
            <v>ENGR. MICHAEL C. SALARDA
MS. LEONARDA M. LATOR
MS. CARMENCITA VALDEZ
MS. SORAYA P. VERGARA</v>
          </cell>
          <cell r="AH248" t="str">
            <v>N/A</v>
          </cell>
          <cell r="AI248" t="str">
            <v>N/A</v>
          </cell>
          <cell r="AJ248" t="str">
            <v>N/A</v>
          </cell>
          <cell r="AK248" t="str">
            <v>N/A</v>
          </cell>
          <cell r="AL248" t="str">
            <v>N/A</v>
          </cell>
          <cell r="AM248" t="str">
            <v>N/A</v>
          </cell>
          <cell r="AN248">
            <v>0</v>
          </cell>
          <cell r="AO248">
            <v>0</v>
          </cell>
        </row>
        <row r="249">
          <cell r="A249" t="str">
            <v>24-1858</v>
          </cell>
          <cell r="B249" t="str">
            <v>GARMENTS</v>
          </cell>
          <cell r="C249" t="str">
            <v>PGO</v>
          </cell>
          <cell r="D249" t="str">
            <v>No</v>
          </cell>
          <cell r="E249" t="str">
            <v>NP-53.9 - Small Value Procurement</v>
          </cell>
          <cell r="F249" t="str">
            <v>N/A</v>
          </cell>
          <cell r="G249">
            <v>45366</v>
          </cell>
          <cell r="H249">
            <v>0</v>
          </cell>
          <cell r="I249" t="str">
            <v>N/A</v>
          </cell>
          <cell r="J249">
            <v>45370</v>
          </cell>
          <cell r="K249">
            <v>45370</v>
          </cell>
          <cell r="L249">
            <v>0</v>
          </cell>
          <cell r="M249" t="str">
            <v>N/A</v>
          </cell>
          <cell r="N249" t="str">
            <v>N/A</v>
          </cell>
          <cell r="O249">
            <v>45370</v>
          </cell>
          <cell r="P249">
            <v>0</v>
          </cell>
          <cell r="Q249">
            <v>0</v>
          </cell>
          <cell r="R249">
            <v>0</v>
          </cell>
          <cell r="S249">
            <v>45370</v>
          </cell>
          <cell r="T249">
            <v>45370</v>
          </cell>
          <cell r="U249">
            <v>45370</v>
          </cell>
          <cell r="V249">
            <v>0</v>
          </cell>
          <cell r="W249">
            <v>0</v>
          </cell>
          <cell r="X249" t="e">
            <v>#N/A</v>
          </cell>
          <cell r="Y249">
            <v>0</v>
          </cell>
          <cell r="Z249">
            <v>0</v>
          </cell>
          <cell r="AA249">
            <v>25000</v>
          </cell>
          <cell r="AB249">
            <v>0</v>
          </cell>
          <cell r="AC249">
            <v>25000</v>
          </cell>
          <cell r="AD249">
            <v>25000</v>
          </cell>
          <cell r="AE249">
            <v>0</v>
          </cell>
          <cell r="AF249">
            <v>25000</v>
          </cell>
          <cell r="AG249" t="str">
            <v>ENGR. MICHAEL C. SALARDA
MS. LEONARDA M. LATOR
MS. CARMENCITA VALDEZ
MS. SORAYA P. VERGARA</v>
          </cell>
          <cell r="AH249" t="str">
            <v>N/A</v>
          </cell>
          <cell r="AI249" t="str">
            <v>N/A</v>
          </cell>
          <cell r="AJ249" t="str">
            <v>N/A</v>
          </cell>
          <cell r="AK249" t="str">
            <v>N/A</v>
          </cell>
          <cell r="AL249" t="str">
            <v>N/A</v>
          </cell>
          <cell r="AM249" t="str">
            <v>N/A</v>
          </cell>
          <cell r="AN249">
            <v>0</v>
          </cell>
          <cell r="AO249">
            <v>0</v>
          </cell>
        </row>
        <row r="250">
          <cell r="A250" t="str">
            <v>24-0781</v>
          </cell>
          <cell r="B250" t="str">
            <v>PRINTED FORMS</v>
          </cell>
          <cell r="C250" t="str">
            <v>PTO</v>
          </cell>
          <cell r="D250" t="str">
            <v>No</v>
          </cell>
          <cell r="E250" t="str">
            <v>NP-53.5 Agency-to-Agency</v>
          </cell>
          <cell r="F250">
            <v>45342</v>
          </cell>
          <cell r="G250">
            <v>45352</v>
          </cell>
          <cell r="H250">
            <v>0</v>
          </cell>
          <cell r="I250" t="str">
            <v>N/A</v>
          </cell>
          <cell r="J250">
            <v>45370</v>
          </cell>
          <cell r="K250">
            <v>45370</v>
          </cell>
          <cell r="L250">
            <v>0</v>
          </cell>
          <cell r="M250" t="str">
            <v>N/A</v>
          </cell>
          <cell r="N250" t="str">
            <v>N/A</v>
          </cell>
          <cell r="O250">
            <v>45372</v>
          </cell>
          <cell r="P250">
            <v>0</v>
          </cell>
          <cell r="Q250">
            <v>0</v>
          </cell>
          <cell r="R250">
            <v>0</v>
          </cell>
          <cell r="S250">
            <v>45383</v>
          </cell>
          <cell r="T250">
            <v>45390</v>
          </cell>
          <cell r="U250">
            <v>0</v>
          </cell>
          <cell r="V250">
            <v>0</v>
          </cell>
          <cell r="W250">
            <v>0</v>
          </cell>
          <cell r="X250" t="e">
            <v>#N/A</v>
          </cell>
          <cell r="Y250">
            <v>0</v>
          </cell>
          <cell r="Z250">
            <v>0</v>
          </cell>
          <cell r="AA250">
            <v>3635000</v>
          </cell>
          <cell r="AB250">
            <v>0</v>
          </cell>
          <cell r="AC250">
            <v>3635000</v>
          </cell>
          <cell r="AD250">
            <v>3070000</v>
          </cell>
          <cell r="AE250">
            <v>0</v>
          </cell>
          <cell r="AF250">
            <v>3070000</v>
          </cell>
          <cell r="AG250" t="str">
            <v>ENGR. MICHAEL C. SALARDA
MS. LEONARDA M. LATOR
MS. CARMENCITA VALDEZ
MS. SORAYA P. VERGARA</v>
          </cell>
          <cell r="AH250" t="str">
            <v>N/A</v>
          </cell>
          <cell r="AI250" t="str">
            <v>N/A</v>
          </cell>
          <cell r="AJ250" t="str">
            <v>N/A</v>
          </cell>
          <cell r="AK250" t="str">
            <v>N/A</v>
          </cell>
          <cell r="AL250" t="str">
            <v>N/A</v>
          </cell>
          <cell r="AM250" t="str">
            <v>N/A</v>
          </cell>
          <cell r="AN250">
            <v>0</v>
          </cell>
          <cell r="AO250">
            <v>0</v>
          </cell>
        </row>
        <row r="251">
          <cell r="A251" t="str">
            <v>23-C0803
LOT 1</v>
          </cell>
          <cell r="B251" t="str">
            <v>FOOD/CATERING SERVICES</v>
          </cell>
          <cell r="C251" t="str">
            <v>PAGRO</v>
          </cell>
          <cell r="D251" t="str">
            <v>No</v>
          </cell>
          <cell r="E251" t="str">
            <v>NP-53.1 Two Failed Biddings</v>
          </cell>
          <cell r="F251" t="str">
            <v>N/A</v>
          </cell>
          <cell r="G251">
            <v>45331</v>
          </cell>
          <cell r="H251">
            <v>0</v>
          </cell>
          <cell r="I251" t="str">
            <v>N/A</v>
          </cell>
          <cell r="J251">
            <v>45370</v>
          </cell>
          <cell r="K251">
            <v>45370</v>
          </cell>
          <cell r="L251">
            <v>0</v>
          </cell>
          <cell r="M251" t="str">
            <v>N/A</v>
          </cell>
          <cell r="N251" t="str">
            <v>N/A</v>
          </cell>
          <cell r="O251">
            <v>45372</v>
          </cell>
          <cell r="P251">
            <v>0</v>
          </cell>
          <cell r="Q251">
            <v>0</v>
          </cell>
          <cell r="R251">
            <v>0</v>
          </cell>
          <cell r="S251">
            <v>45376</v>
          </cell>
          <cell r="T251">
            <v>45401</v>
          </cell>
          <cell r="U251">
            <v>45405</v>
          </cell>
          <cell r="V251">
            <v>0</v>
          </cell>
          <cell r="W251">
            <v>0</v>
          </cell>
          <cell r="X251" t="e">
            <v>#N/A</v>
          </cell>
          <cell r="Y251">
            <v>0</v>
          </cell>
          <cell r="Z251">
            <v>0</v>
          </cell>
          <cell r="AA251">
            <v>351500</v>
          </cell>
          <cell r="AB251">
            <v>0</v>
          </cell>
          <cell r="AC251">
            <v>351500</v>
          </cell>
          <cell r="AD251">
            <v>316750</v>
          </cell>
          <cell r="AE251">
            <v>0</v>
          </cell>
          <cell r="AF251">
            <v>316750</v>
          </cell>
          <cell r="AG251" t="str">
            <v>ENGR. MICHAEL C. SALARDA
MS. LEONARDA M. LATOR
MS. CARMENCITA VALDEZ
MS. SORAYA P. VERGARA</v>
          </cell>
          <cell r="AH251" t="str">
            <v>N/A</v>
          </cell>
          <cell r="AI251" t="str">
            <v>N/A</v>
          </cell>
          <cell r="AJ251" t="str">
            <v>N/A</v>
          </cell>
          <cell r="AK251" t="str">
            <v>N/A</v>
          </cell>
          <cell r="AL251" t="str">
            <v>N/A</v>
          </cell>
          <cell r="AM251" t="str">
            <v>N/A</v>
          </cell>
          <cell r="AN251">
            <v>0</v>
          </cell>
          <cell r="AO251">
            <v>0</v>
          </cell>
        </row>
        <row r="252">
          <cell r="A252" t="str">
            <v>24-C1035</v>
          </cell>
          <cell r="B252" t="str">
            <v>OFFICE SUPPLIES</v>
          </cell>
          <cell r="C252" t="str">
            <v>PEO-GA</v>
          </cell>
          <cell r="D252" t="str">
            <v>No</v>
          </cell>
          <cell r="E252" t="str">
            <v>Shopping 52.1(b) - Regular Office Supplies and Equipment no available in PS</v>
          </cell>
          <cell r="F252" t="str">
            <v>N/A</v>
          </cell>
          <cell r="G252">
            <v>45352</v>
          </cell>
          <cell r="H252">
            <v>0</v>
          </cell>
          <cell r="I252" t="str">
            <v>N/A</v>
          </cell>
          <cell r="J252">
            <v>45370</v>
          </cell>
          <cell r="K252">
            <v>45370</v>
          </cell>
          <cell r="L252">
            <v>0</v>
          </cell>
          <cell r="M252" t="str">
            <v>N/A</v>
          </cell>
          <cell r="N252" t="str">
            <v>N/A</v>
          </cell>
          <cell r="O252">
            <v>45372</v>
          </cell>
          <cell r="P252">
            <v>0</v>
          </cell>
          <cell r="Q252">
            <v>0</v>
          </cell>
          <cell r="R252">
            <v>0</v>
          </cell>
          <cell r="S252">
            <v>45378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45418</v>
          </cell>
          <cell r="Y252">
            <v>0</v>
          </cell>
          <cell r="Z252">
            <v>0</v>
          </cell>
          <cell r="AA252">
            <v>70535</v>
          </cell>
          <cell r="AB252">
            <v>0</v>
          </cell>
          <cell r="AC252">
            <v>70535</v>
          </cell>
          <cell r="AD252">
            <v>69128</v>
          </cell>
          <cell r="AE252">
            <v>0</v>
          </cell>
          <cell r="AF252">
            <v>69128</v>
          </cell>
          <cell r="AG252" t="str">
            <v>ENGR. MICHAEL C. SALARDA
MS. LEONARDA M. LATOR
MS. CARMENCITA VALDEZ
MS. SORAYA P. VERGARA</v>
          </cell>
          <cell r="AH252" t="str">
            <v>N/A</v>
          </cell>
          <cell r="AI252" t="str">
            <v>N/A</v>
          </cell>
          <cell r="AJ252" t="str">
            <v>N/A</v>
          </cell>
          <cell r="AK252" t="str">
            <v>N/A</v>
          </cell>
          <cell r="AL252" t="str">
            <v>N/A</v>
          </cell>
          <cell r="AM252" t="str">
            <v>N/A</v>
          </cell>
          <cell r="AN252">
            <v>0</v>
          </cell>
          <cell r="AO252">
            <v>0</v>
          </cell>
        </row>
        <row r="253">
          <cell r="A253" t="str">
            <v>24-1332</v>
          </cell>
          <cell r="B253" t="str">
            <v>OFFICE SUPPLIES</v>
          </cell>
          <cell r="C253" t="str">
            <v>PGO</v>
          </cell>
          <cell r="D253" t="str">
            <v>No</v>
          </cell>
          <cell r="E253" t="str">
            <v>Shopping 52.1(b) - Regular Office Supplies and Equipment no available in PS</v>
          </cell>
          <cell r="F253">
            <v>45356</v>
          </cell>
          <cell r="G253">
            <v>45359</v>
          </cell>
          <cell r="H253">
            <v>0</v>
          </cell>
          <cell r="I253" t="str">
            <v>N/A</v>
          </cell>
          <cell r="J253">
            <v>45370</v>
          </cell>
          <cell r="K253">
            <v>45370</v>
          </cell>
          <cell r="L253">
            <v>0</v>
          </cell>
          <cell r="M253" t="str">
            <v>N/A</v>
          </cell>
          <cell r="N253" t="str">
            <v>N/A</v>
          </cell>
          <cell r="O253">
            <v>45372</v>
          </cell>
          <cell r="P253">
            <v>0</v>
          </cell>
          <cell r="Q253">
            <v>0</v>
          </cell>
          <cell r="R253">
            <v>0</v>
          </cell>
          <cell r="S253" t="str">
            <v>N/A</v>
          </cell>
          <cell r="T253">
            <v>45393</v>
          </cell>
          <cell r="U253">
            <v>45394</v>
          </cell>
          <cell r="V253">
            <v>0</v>
          </cell>
          <cell r="W253">
            <v>0</v>
          </cell>
          <cell r="X253" t="e">
            <v>#N/A</v>
          </cell>
          <cell r="Y253">
            <v>0</v>
          </cell>
          <cell r="Z253">
            <v>0</v>
          </cell>
          <cell r="AA253">
            <v>28060</v>
          </cell>
          <cell r="AB253">
            <v>0</v>
          </cell>
          <cell r="AC253">
            <v>28060</v>
          </cell>
          <cell r="AD253">
            <v>28020</v>
          </cell>
          <cell r="AE253">
            <v>0</v>
          </cell>
          <cell r="AF253">
            <v>28020</v>
          </cell>
          <cell r="AG253" t="str">
            <v>ENGR. MICHAEL C. SALARDA
MS. LEONARDA M. LATOR
MS. CARMENCITA VALDEZ
MS. SORAYA P. VERGARA</v>
          </cell>
          <cell r="AH253" t="str">
            <v>N/A</v>
          </cell>
          <cell r="AI253" t="str">
            <v>N/A</v>
          </cell>
          <cell r="AJ253" t="str">
            <v>N/A</v>
          </cell>
          <cell r="AK253" t="str">
            <v>N/A</v>
          </cell>
          <cell r="AL253" t="str">
            <v>N/A</v>
          </cell>
          <cell r="AM253" t="str">
            <v>N/A</v>
          </cell>
          <cell r="AN253">
            <v>0</v>
          </cell>
          <cell r="AO253">
            <v>0</v>
          </cell>
        </row>
        <row r="254">
          <cell r="A254" t="str">
            <v>24-C1092</v>
          </cell>
          <cell r="B254" t="str">
            <v>OFFICE SUPPLIES</v>
          </cell>
          <cell r="C254" t="str">
            <v>PICTO</v>
          </cell>
          <cell r="D254" t="str">
            <v>No</v>
          </cell>
          <cell r="E254" t="str">
            <v>Shopping 52.1(b) - Regular Office Supplies and Equipment no available in PS</v>
          </cell>
          <cell r="F254">
            <v>45356</v>
          </cell>
          <cell r="G254">
            <v>45359</v>
          </cell>
          <cell r="H254">
            <v>0</v>
          </cell>
          <cell r="I254" t="str">
            <v>N/A</v>
          </cell>
          <cell r="J254">
            <v>45370</v>
          </cell>
          <cell r="K254">
            <v>45370</v>
          </cell>
          <cell r="L254">
            <v>0</v>
          </cell>
          <cell r="M254" t="str">
            <v>N/A</v>
          </cell>
          <cell r="N254" t="str">
            <v>N/A</v>
          </cell>
          <cell r="O254">
            <v>45372</v>
          </cell>
          <cell r="P254">
            <v>0</v>
          </cell>
          <cell r="Q254">
            <v>0</v>
          </cell>
          <cell r="R254">
            <v>0</v>
          </cell>
          <cell r="S254">
            <v>45383</v>
          </cell>
          <cell r="T254">
            <v>45387</v>
          </cell>
          <cell r="U254">
            <v>45394</v>
          </cell>
          <cell r="V254">
            <v>0</v>
          </cell>
          <cell r="W254">
            <v>0</v>
          </cell>
          <cell r="X254">
            <v>45411</v>
          </cell>
          <cell r="Y254">
            <v>0</v>
          </cell>
          <cell r="Z254">
            <v>0</v>
          </cell>
          <cell r="AA254">
            <v>76638</v>
          </cell>
          <cell r="AB254">
            <v>0</v>
          </cell>
          <cell r="AC254">
            <v>76638</v>
          </cell>
          <cell r="AD254">
            <v>76525</v>
          </cell>
          <cell r="AE254">
            <v>0</v>
          </cell>
          <cell r="AF254">
            <v>76525</v>
          </cell>
          <cell r="AG254" t="str">
            <v>ENGR. MICHAEL C. SALARDA
MS. LEONARDA M. LATOR
MS. CARMENCITA VALDEZ
MS. SORAYA P. VERGARA</v>
          </cell>
          <cell r="AH254" t="str">
            <v>N/A</v>
          </cell>
          <cell r="AI254" t="str">
            <v>N/A</v>
          </cell>
          <cell r="AJ254" t="str">
            <v>N/A</v>
          </cell>
          <cell r="AK254" t="str">
            <v>N/A</v>
          </cell>
          <cell r="AL254" t="str">
            <v>N/A</v>
          </cell>
          <cell r="AM254" t="str">
            <v>N/A</v>
          </cell>
          <cell r="AN254">
            <v>0</v>
          </cell>
          <cell r="AO254">
            <v>0</v>
          </cell>
        </row>
        <row r="255">
          <cell r="A255" t="str">
            <v>24-0887</v>
          </cell>
          <cell r="B255" t="str">
            <v>OFFICE SUPPLIES</v>
          </cell>
          <cell r="C255" t="str">
            <v>PVGO</v>
          </cell>
          <cell r="D255" t="str">
            <v>No</v>
          </cell>
          <cell r="E255" t="str">
            <v>Shopping 52.1(b) - Regular Office Supplies and Equipment no available in PS</v>
          </cell>
          <cell r="F255" t="str">
            <v>N/A</v>
          </cell>
          <cell r="G255">
            <v>45344</v>
          </cell>
          <cell r="H255">
            <v>0</v>
          </cell>
          <cell r="I255" t="str">
            <v>N/A</v>
          </cell>
          <cell r="J255">
            <v>45370</v>
          </cell>
          <cell r="K255">
            <v>45370</v>
          </cell>
          <cell r="L255">
            <v>0</v>
          </cell>
          <cell r="M255" t="str">
            <v>N/A</v>
          </cell>
          <cell r="N255" t="str">
            <v>N/A</v>
          </cell>
          <cell r="O255">
            <v>45372</v>
          </cell>
          <cell r="P255">
            <v>0</v>
          </cell>
          <cell r="Q255">
            <v>0</v>
          </cell>
          <cell r="R255">
            <v>0</v>
          </cell>
          <cell r="S255" t="str">
            <v>N/A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39995</v>
          </cell>
          <cell r="AB255">
            <v>0</v>
          </cell>
          <cell r="AC255">
            <v>39995</v>
          </cell>
          <cell r="AD255">
            <v>39995</v>
          </cell>
          <cell r="AE255">
            <v>0</v>
          </cell>
          <cell r="AF255">
            <v>39995</v>
          </cell>
          <cell r="AG255" t="str">
            <v>ENGR. MICHAEL C. SALARDA
MS. LEONARDA M. LATOR
MS. CARMENCITA VALDEZ
MS. SORAYA P. VERGARA</v>
          </cell>
          <cell r="AH255" t="str">
            <v>N/A</v>
          </cell>
          <cell r="AI255" t="str">
            <v>N/A</v>
          </cell>
          <cell r="AJ255" t="str">
            <v>N/A</v>
          </cell>
          <cell r="AK255" t="str">
            <v>N/A</v>
          </cell>
          <cell r="AL255" t="str">
            <v>N/A</v>
          </cell>
          <cell r="AM255" t="str">
            <v>N/A</v>
          </cell>
          <cell r="AN255">
            <v>0</v>
          </cell>
          <cell r="AO255">
            <v>0</v>
          </cell>
        </row>
        <row r="256">
          <cell r="A256" t="str">
            <v>24-1376</v>
          </cell>
          <cell r="B256" t="str">
            <v>OFFICE SUPPLIES</v>
          </cell>
          <cell r="C256" t="str">
            <v>PGO</v>
          </cell>
          <cell r="D256" t="str">
            <v>No</v>
          </cell>
          <cell r="E256" t="str">
            <v>Shopping 52.1(b) - Regular Office Supplies and Equipment no available in PS</v>
          </cell>
          <cell r="F256" t="str">
            <v>N/A</v>
          </cell>
          <cell r="G256">
            <v>45359</v>
          </cell>
          <cell r="H256">
            <v>0</v>
          </cell>
          <cell r="I256" t="str">
            <v>N/A</v>
          </cell>
          <cell r="J256">
            <v>45370</v>
          </cell>
          <cell r="K256">
            <v>45370</v>
          </cell>
          <cell r="L256">
            <v>0</v>
          </cell>
          <cell r="M256" t="str">
            <v>N/A</v>
          </cell>
          <cell r="N256" t="str">
            <v>N/A</v>
          </cell>
          <cell r="O256">
            <v>45372</v>
          </cell>
          <cell r="P256">
            <v>0</v>
          </cell>
          <cell r="Q256">
            <v>0</v>
          </cell>
          <cell r="R256">
            <v>0</v>
          </cell>
          <cell r="S256" t="str">
            <v>N/A</v>
          </cell>
          <cell r="T256">
            <v>45387</v>
          </cell>
          <cell r="U256">
            <v>45394</v>
          </cell>
          <cell r="V256">
            <v>0</v>
          </cell>
          <cell r="W256">
            <v>0</v>
          </cell>
          <cell r="X256" t="e">
            <v>#N/A</v>
          </cell>
          <cell r="Y256">
            <v>0</v>
          </cell>
          <cell r="Z256">
            <v>0</v>
          </cell>
          <cell r="AA256">
            <v>5540</v>
          </cell>
          <cell r="AB256">
            <v>0</v>
          </cell>
          <cell r="AC256">
            <v>5540</v>
          </cell>
          <cell r="AD256">
            <v>5540</v>
          </cell>
          <cell r="AE256">
            <v>0</v>
          </cell>
          <cell r="AF256">
            <v>5540</v>
          </cell>
          <cell r="AG256" t="str">
            <v>ENGR. MICHAEL C. SALARDA
MS. LEONARDA M. LATOR
MS. CARMENCITA VALDEZ
MS. SORAYA P. VERGARA</v>
          </cell>
          <cell r="AH256" t="str">
            <v>N/A</v>
          </cell>
          <cell r="AI256" t="str">
            <v>N/A</v>
          </cell>
          <cell r="AJ256" t="str">
            <v>N/A</v>
          </cell>
          <cell r="AK256" t="str">
            <v>N/A</v>
          </cell>
          <cell r="AL256" t="str">
            <v>N/A</v>
          </cell>
          <cell r="AM256" t="str">
            <v>N/A</v>
          </cell>
          <cell r="AN256">
            <v>0</v>
          </cell>
          <cell r="AO256">
            <v>0</v>
          </cell>
        </row>
        <row r="257">
          <cell r="A257" t="str">
            <v>24-1331</v>
          </cell>
          <cell r="B257" t="str">
            <v>OFFICE SUPPLIES</v>
          </cell>
          <cell r="C257" t="str">
            <v>PGO</v>
          </cell>
          <cell r="D257" t="str">
            <v>No</v>
          </cell>
          <cell r="E257" t="str">
            <v>Shopping 52.1(b) - Regular Office Supplies and Equipment no available in PS</v>
          </cell>
          <cell r="F257">
            <v>45356</v>
          </cell>
          <cell r="G257">
            <v>45359</v>
          </cell>
          <cell r="H257">
            <v>0</v>
          </cell>
          <cell r="I257" t="str">
            <v>N/A</v>
          </cell>
          <cell r="J257">
            <v>45370</v>
          </cell>
          <cell r="K257">
            <v>45370</v>
          </cell>
          <cell r="L257">
            <v>0</v>
          </cell>
          <cell r="M257" t="str">
            <v>N/A</v>
          </cell>
          <cell r="N257" t="str">
            <v>N/A</v>
          </cell>
          <cell r="O257">
            <v>45372</v>
          </cell>
          <cell r="P257">
            <v>0</v>
          </cell>
          <cell r="Q257">
            <v>0</v>
          </cell>
          <cell r="R257">
            <v>0</v>
          </cell>
          <cell r="S257">
            <v>45383</v>
          </cell>
          <cell r="T257">
            <v>45393</v>
          </cell>
          <cell r="U257">
            <v>45394</v>
          </cell>
          <cell r="V257">
            <v>0</v>
          </cell>
          <cell r="W257">
            <v>0</v>
          </cell>
          <cell r="X257" t="e">
            <v>#N/A</v>
          </cell>
          <cell r="Y257">
            <v>0</v>
          </cell>
          <cell r="Z257">
            <v>0</v>
          </cell>
          <cell r="AA257">
            <v>68168</v>
          </cell>
          <cell r="AB257">
            <v>0</v>
          </cell>
          <cell r="AC257">
            <v>68168</v>
          </cell>
          <cell r="AD257">
            <v>67949</v>
          </cell>
          <cell r="AE257">
            <v>0</v>
          </cell>
          <cell r="AF257">
            <v>67949</v>
          </cell>
          <cell r="AG257" t="str">
            <v>ENGR. MICHAEL C. SALARDA
MS. LEONARDA M. LATOR
MS. CARMENCITA VALDEZ
MS. SORAYA P. VERGARA</v>
          </cell>
          <cell r="AH257" t="str">
            <v>N/A</v>
          </cell>
          <cell r="AI257" t="str">
            <v>N/A</v>
          </cell>
          <cell r="AJ257" t="str">
            <v>N/A</v>
          </cell>
          <cell r="AK257" t="str">
            <v>N/A</v>
          </cell>
          <cell r="AL257" t="str">
            <v>N/A</v>
          </cell>
          <cell r="AM257" t="str">
            <v>N/A</v>
          </cell>
          <cell r="AN257">
            <v>0</v>
          </cell>
          <cell r="AO257">
            <v>0</v>
          </cell>
        </row>
        <row r="258">
          <cell r="A258" t="str">
            <v>24-C1096</v>
          </cell>
          <cell r="B258" t="str">
            <v>OFFICE SUPPLIES</v>
          </cell>
          <cell r="C258" t="str">
            <v>PGO</v>
          </cell>
          <cell r="D258" t="str">
            <v>No</v>
          </cell>
          <cell r="E258" t="str">
            <v>Shopping 52.1(b) - Regular Office Supplies and Equipment no available in PS</v>
          </cell>
          <cell r="F258" t="str">
            <v>N/A</v>
          </cell>
          <cell r="G258">
            <v>45359</v>
          </cell>
          <cell r="H258">
            <v>0</v>
          </cell>
          <cell r="I258" t="str">
            <v>N/A</v>
          </cell>
          <cell r="J258">
            <v>45370</v>
          </cell>
          <cell r="K258">
            <v>45370</v>
          </cell>
          <cell r="L258">
            <v>0</v>
          </cell>
          <cell r="M258" t="str">
            <v>N/A</v>
          </cell>
          <cell r="N258" t="str">
            <v>N/A</v>
          </cell>
          <cell r="O258">
            <v>45372</v>
          </cell>
          <cell r="P258">
            <v>0</v>
          </cell>
          <cell r="Q258">
            <v>0</v>
          </cell>
          <cell r="R258">
            <v>0</v>
          </cell>
          <cell r="S258">
            <v>45383</v>
          </cell>
          <cell r="T258">
            <v>45393</v>
          </cell>
          <cell r="U258">
            <v>45394</v>
          </cell>
          <cell r="V258">
            <v>0</v>
          </cell>
          <cell r="W258">
            <v>0</v>
          </cell>
          <cell r="X258">
            <v>45404</v>
          </cell>
          <cell r="Y258">
            <v>0</v>
          </cell>
          <cell r="Z258">
            <v>0</v>
          </cell>
          <cell r="AA258">
            <v>94976</v>
          </cell>
          <cell r="AB258">
            <v>0</v>
          </cell>
          <cell r="AC258">
            <v>94976</v>
          </cell>
          <cell r="AD258">
            <v>93273</v>
          </cell>
          <cell r="AE258">
            <v>0</v>
          </cell>
          <cell r="AF258">
            <v>93273</v>
          </cell>
          <cell r="AG258" t="str">
            <v>ENGR. MICHAEL C. SALARDA
MS. LEONARDA M. LATOR
MS. CARMENCITA VALDEZ
MS. SORAYA P. VERGARA</v>
          </cell>
          <cell r="AH258" t="str">
            <v>N/A</v>
          </cell>
          <cell r="AI258" t="str">
            <v>N/A</v>
          </cell>
          <cell r="AJ258" t="str">
            <v>N/A</v>
          </cell>
          <cell r="AK258" t="str">
            <v>N/A</v>
          </cell>
          <cell r="AL258" t="str">
            <v>N/A</v>
          </cell>
          <cell r="AM258" t="str">
            <v>N/A</v>
          </cell>
          <cell r="AN258">
            <v>0</v>
          </cell>
          <cell r="AO258">
            <v>0</v>
          </cell>
        </row>
        <row r="259">
          <cell r="A259" t="str">
            <v>24-0877</v>
          </cell>
          <cell r="B259" t="str">
            <v>SPAREPARTS (PHOTOCOPIER MACHINE)</v>
          </cell>
          <cell r="C259" t="str">
            <v>SPO</v>
          </cell>
          <cell r="D259" t="str">
            <v>No</v>
          </cell>
          <cell r="E259" t="str">
            <v>Direct Contracting</v>
          </cell>
          <cell r="F259">
            <v>45356</v>
          </cell>
          <cell r="G259">
            <v>45359</v>
          </cell>
          <cell r="H259">
            <v>0</v>
          </cell>
          <cell r="I259" t="str">
            <v>N/A</v>
          </cell>
          <cell r="J259">
            <v>45370</v>
          </cell>
          <cell r="K259">
            <v>45370</v>
          </cell>
          <cell r="L259">
            <v>0</v>
          </cell>
          <cell r="M259" t="str">
            <v>N/A</v>
          </cell>
          <cell r="N259" t="str">
            <v>N/A</v>
          </cell>
          <cell r="O259">
            <v>45372</v>
          </cell>
          <cell r="P259">
            <v>0</v>
          </cell>
          <cell r="Q259">
            <v>0</v>
          </cell>
          <cell r="R259">
            <v>0</v>
          </cell>
          <cell r="S259" t="str">
            <v>N/A</v>
          </cell>
          <cell r="T259">
            <v>45398</v>
          </cell>
          <cell r="U259">
            <v>45405</v>
          </cell>
          <cell r="V259">
            <v>0</v>
          </cell>
          <cell r="W259">
            <v>0</v>
          </cell>
          <cell r="X259" t="e">
            <v>#N/A</v>
          </cell>
          <cell r="Y259">
            <v>0</v>
          </cell>
          <cell r="Z259">
            <v>0</v>
          </cell>
          <cell r="AA259">
            <v>3750</v>
          </cell>
          <cell r="AB259">
            <v>0</v>
          </cell>
          <cell r="AC259">
            <v>3750</v>
          </cell>
          <cell r="AD259">
            <v>3750</v>
          </cell>
          <cell r="AE259">
            <v>0</v>
          </cell>
          <cell r="AF259">
            <v>3750</v>
          </cell>
          <cell r="AG259" t="str">
            <v>ENGR. MICHAEL C. SALARDA
MS. LEONARDA M. LATOR
MS. CARMENCITA VALDEZ
MS. SORAYA P. VERGARA</v>
          </cell>
          <cell r="AH259" t="str">
            <v>N/A</v>
          </cell>
          <cell r="AI259" t="str">
            <v>N/A</v>
          </cell>
          <cell r="AJ259" t="str">
            <v>N/A</v>
          </cell>
          <cell r="AK259" t="str">
            <v>N/A</v>
          </cell>
          <cell r="AL259" t="str">
            <v>N/A</v>
          </cell>
          <cell r="AM259" t="str">
            <v>N/A</v>
          </cell>
          <cell r="AN259">
            <v>0</v>
          </cell>
          <cell r="AO259">
            <v>0</v>
          </cell>
        </row>
        <row r="260">
          <cell r="A260" t="str">
            <v>24-0073</v>
          </cell>
          <cell r="B260" t="str">
            <v>DUPLICATING PRODUCTS/SPAREPARTS</v>
          </cell>
          <cell r="C260" t="str">
            <v>PACCO</v>
          </cell>
          <cell r="D260" t="str">
            <v>No</v>
          </cell>
          <cell r="E260" t="str">
            <v>Direct Contracting</v>
          </cell>
          <cell r="F260" t="str">
            <v>N/A</v>
          </cell>
          <cell r="G260">
            <v>45352</v>
          </cell>
          <cell r="H260">
            <v>0</v>
          </cell>
          <cell r="I260" t="str">
            <v>N/A</v>
          </cell>
          <cell r="J260">
            <v>45370</v>
          </cell>
          <cell r="K260">
            <v>45370</v>
          </cell>
          <cell r="L260">
            <v>0</v>
          </cell>
          <cell r="M260" t="str">
            <v>N/A</v>
          </cell>
          <cell r="N260" t="str">
            <v>N/A</v>
          </cell>
          <cell r="O260">
            <v>45372</v>
          </cell>
          <cell r="P260">
            <v>0</v>
          </cell>
          <cell r="Q260">
            <v>0</v>
          </cell>
          <cell r="R260">
            <v>0</v>
          </cell>
          <cell r="S260" t="str">
            <v>N/A</v>
          </cell>
          <cell r="T260">
            <v>45405</v>
          </cell>
          <cell r="U260">
            <v>0</v>
          </cell>
          <cell r="V260">
            <v>0</v>
          </cell>
          <cell r="W260">
            <v>0</v>
          </cell>
          <cell r="X260" t="e">
            <v>#N/A</v>
          </cell>
          <cell r="Y260">
            <v>0</v>
          </cell>
          <cell r="Z260">
            <v>0</v>
          </cell>
          <cell r="AA260">
            <v>35400</v>
          </cell>
          <cell r="AB260">
            <v>0</v>
          </cell>
          <cell r="AC260">
            <v>35400</v>
          </cell>
          <cell r="AD260">
            <v>35400</v>
          </cell>
          <cell r="AE260">
            <v>0</v>
          </cell>
          <cell r="AF260">
            <v>35400</v>
          </cell>
          <cell r="AG260" t="str">
            <v>ENGR. MICHAEL C. SALARDA
MS. LEONARDA M. LATOR
MS. CARMENCITA VALDEZ
MS. SORAYA P. VERGARA</v>
          </cell>
          <cell r="AH260" t="str">
            <v>N/A</v>
          </cell>
          <cell r="AI260" t="str">
            <v>N/A</v>
          </cell>
          <cell r="AJ260" t="str">
            <v>N/A</v>
          </cell>
          <cell r="AK260" t="str">
            <v>N/A</v>
          </cell>
          <cell r="AL260" t="str">
            <v>N/A</v>
          </cell>
          <cell r="AM260" t="str">
            <v>N/A</v>
          </cell>
          <cell r="AN260">
            <v>0</v>
          </cell>
          <cell r="AO260">
            <v>0</v>
          </cell>
        </row>
        <row r="261">
          <cell r="A261" t="str">
            <v>24-0896</v>
          </cell>
          <cell r="B261" t="str">
            <v>JANITORIAL SUPPLIES</v>
          </cell>
          <cell r="C261" t="str">
            <v>PVGO</v>
          </cell>
          <cell r="D261" t="str">
            <v>No</v>
          </cell>
          <cell r="E261" t="str">
            <v>NP-53.9 - Small Value Procurement</v>
          </cell>
          <cell r="F261" t="str">
            <v>N/A</v>
          </cell>
          <cell r="G261">
            <v>45344</v>
          </cell>
          <cell r="H261">
            <v>0</v>
          </cell>
          <cell r="I261" t="str">
            <v>N/A</v>
          </cell>
          <cell r="J261">
            <v>45373</v>
          </cell>
          <cell r="K261">
            <v>45373</v>
          </cell>
          <cell r="L261">
            <v>0</v>
          </cell>
          <cell r="M261" t="str">
            <v>N/A</v>
          </cell>
          <cell r="N261" t="str">
            <v>N/A</v>
          </cell>
          <cell r="O261">
            <v>45376</v>
          </cell>
          <cell r="P261">
            <v>0</v>
          </cell>
          <cell r="Q261">
            <v>0</v>
          </cell>
          <cell r="R261">
            <v>0</v>
          </cell>
          <cell r="S261" t="str">
            <v>N/A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 t="e">
            <v>#N/A</v>
          </cell>
          <cell r="Y261">
            <v>0</v>
          </cell>
          <cell r="Z261">
            <v>0</v>
          </cell>
          <cell r="AA261">
            <v>39995</v>
          </cell>
          <cell r="AB261">
            <v>0</v>
          </cell>
          <cell r="AC261">
            <v>39995</v>
          </cell>
          <cell r="AD261">
            <v>39830</v>
          </cell>
          <cell r="AE261">
            <v>0</v>
          </cell>
          <cell r="AF261">
            <v>39830</v>
          </cell>
          <cell r="AG261" t="str">
            <v>ENGR. MICHAEL C. SALARDA
MS. LEONARDA M. LATOR
MS. CARMENCITA VALDEZ
MS. SORAYA P. VERGARA</v>
          </cell>
          <cell r="AH261" t="str">
            <v>N/A</v>
          </cell>
          <cell r="AI261" t="str">
            <v>N/A</v>
          </cell>
          <cell r="AJ261" t="str">
            <v>N/A</v>
          </cell>
          <cell r="AK261" t="str">
            <v>N/A</v>
          </cell>
          <cell r="AL261" t="str">
            <v>N/A</v>
          </cell>
          <cell r="AM261" t="str">
            <v>N/A</v>
          </cell>
          <cell r="AN261">
            <v>0</v>
          </cell>
          <cell r="AO261">
            <v>0</v>
          </cell>
        </row>
        <row r="262">
          <cell r="A262" t="str">
            <v>24-1051</v>
          </cell>
          <cell r="B262" t="str">
            <v>SPORTS SUPPLIES &amp; EQUIPMENT</v>
          </cell>
          <cell r="C262" t="str">
            <v>SEF</v>
          </cell>
          <cell r="D262" t="str">
            <v>No</v>
          </cell>
          <cell r="E262" t="str">
            <v>NP-53.9 - Small Value Procurement</v>
          </cell>
          <cell r="F262" t="str">
            <v>N/A</v>
          </cell>
          <cell r="G262">
            <v>45344</v>
          </cell>
          <cell r="H262">
            <v>0</v>
          </cell>
          <cell r="I262" t="str">
            <v>N/A</v>
          </cell>
          <cell r="J262">
            <v>45373</v>
          </cell>
          <cell r="K262">
            <v>45373</v>
          </cell>
          <cell r="L262">
            <v>0</v>
          </cell>
          <cell r="M262" t="str">
            <v>N/A</v>
          </cell>
          <cell r="N262" t="str">
            <v>N/A</v>
          </cell>
          <cell r="O262">
            <v>45376</v>
          </cell>
          <cell r="P262">
            <v>0</v>
          </cell>
          <cell r="Q262">
            <v>0</v>
          </cell>
          <cell r="R262">
            <v>0</v>
          </cell>
          <cell r="S262">
            <v>45384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 t="e">
            <v>#N/A</v>
          </cell>
          <cell r="Y262">
            <v>0</v>
          </cell>
          <cell r="Z262">
            <v>0</v>
          </cell>
          <cell r="AA262">
            <v>381709</v>
          </cell>
          <cell r="AB262">
            <v>0</v>
          </cell>
          <cell r="AC262">
            <v>381709</v>
          </cell>
          <cell r="AD262">
            <v>380983</v>
          </cell>
          <cell r="AE262">
            <v>0</v>
          </cell>
          <cell r="AF262">
            <v>380983</v>
          </cell>
          <cell r="AG262" t="str">
            <v>ENGR. MICHAEL C. SALARDA
MS. LEONARDA M. LATOR
MS. CARMENCITA VALDEZ
MS. SORAYA P. VERGARA</v>
          </cell>
          <cell r="AH262" t="str">
            <v>N/A</v>
          </cell>
          <cell r="AI262" t="str">
            <v>N/A</v>
          </cell>
          <cell r="AJ262" t="str">
            <v>N/A</v>
          </cell>
          <cell r="AK262" t="str">
            <v>N/A</v>
          </cell>
          <cell r="AL262" t="str">
            <v>N/A</v>
          </cell>
          <cell r="AM262" t="str">
            <v>N/A</v>
          </cell>
          <cell r="AN262">
            <v>0</v>
          </cell>
          <cell r="AO262">
            <v>0</v>
          </cell>
        </row>
        <row r="263">
          <cell r="A263" t="str">
            <v>24-C1097</v>
          </cell>
          <cell r="B263" t="str">
            <v>JANITORIAL SUPPLIES</v>
          </cell>
          <cell r="C263" t="str">
            <v>PGO</v>
          </cell>
          <cell r="D263" t="str">
            <v>No</v>
          </cell>
          <cell r="E263" t="str">
            <v>NP-53.9 - Small Value Procurement</v>
          </cell>
          <cell r="F263" t="str">
            <v>N/A</v>
          </cell>
          <cell r="G263">
            <v>45344</v>
          </cell>
          <cell r="H263">
            <v>0</v>
          </cell>
          <cell r="I263" t="str">
            <v>N/A</v>
          </cell>
          <cell r="J263">
            <v>45373</v>
          </cell>
          <cell r="K263">
            <v>45373</v>
          </cell>
          <cell r="L263">
            <v>0</v>
          </cell>
          <cell r="M263" t="str">
            <v>N/A</v>
          </cell>
          <cell r="N263" t="str">
            <v>N/A</v>
          </cell>
          <cell r="O263">
            <v>45376</v>
          </cell>
          <cell r="P263">
            <v>0</v>
          </cell>
          <cell r="Q263">
            <v>0</v>
          </cell>
          <cell r="R263">
            <v>0</v>
          </cell>
          <cell r="S263">
            <v>45384</v>
          </cell>
          <cell r="T263">
            <v>45393</v>
          </cell>
          <cell r="U263">
            <v>0</v>
          </cell>
          <cell r="V263">
            <v>0</v>
          </cell>
          <cell r="W263">
            <v>0</v>
          </cell>
          <cell r="X263">
            <v>45419</v>
          </cell>
          <cell r="Y263">
            <v>0</v>
          </cell>
          <cell r="Z263">
            <v>0</v>
          </cell>
          <cell r="AA263">
            <v>60718.5</v>
          </cell>
          <cell r="AB263">
            <v>0</v>
          </cell>
          <cell r="AC263">
            <v>60718.5</v>
          </cell>
          <cell r="AD263">
            <v>60256</v>
          </cell>
          <cell r="AE263">
            <v>0</v>
          </cell>
          <cell r="AF263">
            <v>60256</v>
          </cell>
          <cell r="AG263" t="str">
            <v>ENGR. MICHAEL C. SALARDA
MS. LEONARDA M. LATOR
MS. CARMENCITA VALDEZ
MS. SORAYA P. VERGARA</v>
          </cell>
          <cell r="AH263" t="str">
            <v>N/A</v>
          </cell>
          <cell r="AI263" t="str">
            <v>N/A</v>
          </cell>
          <cell r="AJ263" t="str">
            <v>N/A</v>
          </cell>
          <cell r="AK263" t="str">
            <v>N/A</v>
          </cell>
          <cell r="AL263" t="str">
            <v>N/A</v>
          </cell>
          <cell r="AM263" t="str">
            <v>N/A</v>
          </cell>
          <cell r="AN263">
            <v>0</v>
          </cell>
          <cell r="AO263">
            <v>0</v>
          </cell>
        </row>
        <row r="264">
          <cell r="A264" t="str">
            <v>24-C1063</v>
          </cell>
          <cell r="B264" t="str">
            <v>TARPAULIN</v>
          </cell>
          <cell r="C264" t="str">
            <v>PSWDO</v>
          </cell>
          <cell r="D264" t="str">
            <v>No</v>
          </cell>
          <cell r="E264" t="str">
            <v>NP-53.9 - Small Value Procurement</v>
          </cell>
          <cell r="F264" t="str">
            <v>N/A</v>
          </cell>
          <cell r="G264">
            <v>45363</v>
          </cell>
          <cell r="H264">
            <v>0</v>
          </cell>
          <cell r="I264" t="str">
            <v>N/A</v>
          </cell>
          <cell r="J264">
            <v>45373</v>
          </cell>
          <cell r="K264">
            <v>45373</v>
          </cell>
          <cell r="L264">
            <v>0</v>
          </cell>
          <cell r="M264" t="str">
            <v>N/A</v>
          </cell>
          <cell r="N264" t="str">
            <v>N/A</v>
          </cell>
          <cell r="O264">
            <v>45376</v>
          </cell>
          <cell r="P264">
            <v>0</v>
          </cell>
          <cell r="Q264">
            <v>0</v>
          </cell>
          <cell r="R264">
            <v>0</v>
          </cell>
          <cell r="S264" t="str">
            <v>N/A</v>
          </cell>
          <cell r="T264">
            <v>45390</v>
          </cell>
          <cell r="U264">
            <v>45394</v>
          </cell>
          <cell r="V264">
            <v>0</v>
          </cell>
          <cell r="W264">
            <v>0</v>
          </cell>
          <cell r="X264">
            <v>45404</v>
          </cell>
          <cell r="Y264">
            <v>0</v>
          </cell>
          <cell r="Z264">
            <v>0</v>
          </cell>
          <cell r="AA264">
            <v>34692</v>
          </cell>
          <cell r="AB264">
            <v>0</v>
          </cell>
          <cell r="AC264">
            <v>34692</v>
          </cell>
          <cell r="AD264">
            <v>34692</v>
          </cell>
          <cell r="AE264">
            <v>0</v>
          </cell>
          <cell r="AF264">
            <v>34692</v>
          </cell>
          <cell r="AG264" t="str">
            <v>ENGR. MICHAEL C. SALARDA
MS. LEONARDA M. LATOR
MS. CARMENCITA VALDEZ
MS. SORAYA P. VERGARA</v>
          </cell>
          <cell r="AH264" t="str">
            <v>N/A</v>
          </cell>
          <cell r="AI264" t="str">
            <v>N/A</v>
          </cell>
          <cell r="AJ264" t="str">
            <v>N/A</v>
          </cell>
          <cell r="AK264" t="str">
            <v>N/A</v>
          </cell>
          <cell r="AL264" t="str">
            <v>N/A</v>
          </cell>
          <cell r="AM264" t="str">
            <v>N/A</v>
          </cell>
          <cell r="AN264">
            <v>0</v>
          </cell>
          <cell r="AO264">
            <v>0</v>
          </cell>
        </row>
        <row r="265">
          <cell r="A265" t="str">
            <v>24-C1012</v>
          </cell>
          <cell r="B265" t="str">
            <v>PLUMBING SUPPLIES</v>
          </cell>
          <cell r="C265" t="str">
            <v>PEEMO</v>
          </cell>
          <cell r="D265" t="str">
            <v>No</v>
          </cell>
          <cell r="E265" t="str">
            <v>NP-53.9 - Small Value Procurement</v>
          </cell>
          <cell r="F265" t="str">
            <v>N/A</v>
          </cell>
          <cell r="G265">
            <v>45359</v>
          </cell>
          <cell r="H265">
            <v>0</v>
          </cell>
          <cell r="I265" t="str">
            <v>N/A</v>
          </cell>
          <cell r="J265">
            <v>45373</v>
          </cell>
          <cell r="K265">
            <v>45373</v>
          </cell>
          <cell r="L265">
            <v>0</v>
          </cell>
          <cell r="M265" t="str">
            <v>N/A</v>
          </cell>
          <cell r="N265" t="str">
            <v>N/A</v>
          </cell>
          <cell r="O265">
            <v>45376</v>
          </cell>
          <cell r="P265">
            <v>0</v>
          </cell>
          <cell r="Q265">
            <v>0</v>
          </cell>
          <cell r="R265">
            <v>0</v>
          </cell>
          <cell r="S265">
            <v>45386</v>
          </cell>
          <cell r="T265">
            <v>45394</v>
          </cell>
          <cell r="U265">
            <v>0</v>
          </cell>
          <cell r="V265">
            <v>0</v>
          </cell>
          <cell r="W265">
            <v>0</v>
          </cell>
          <cell r="X265">
            <v>45422</v>
          </cell>
          <cell r="Y265">
            <v>0</v>
          </cell>
          <cell r="Z265">
            <v>0</v>
          </cell>
          <cell r="AA265">
            <v>62860</v>
          </cell>
          <cell r="AB265">
            <v>0</v>
          </cell>
          <cell r="AC265">
            <v>62860</v>
          </cell>
          <cell r="AD265">
            <v>62504</v>
          </cell>
          <cell r="AE265">
            <v>0</v>
          </cell>
          <cell r="AF265">
            <v>62504</v>
          </cell>
          <cell r="AG265" t="str">
            <v>ENGR. MICHAEL C. SALARDA
MS. LEONARDA M. LATOR
MS. CARMENCITA VALDEZ
MS. SORAYA P. VERGARA</v>
          </cell>
          <cell r="AH265" t="str">
            <v>N/A</v>
          </cell>
          <cell r="AI265" t="str">
            <v>N/A</v>
          </cell>
          <cell r="AJ265" t="str">
            <v>N/A</v>
          </cell>
          <cell r="AK265" t="str">
            <v>N/A</v>
          </cell>
          <cell r="AL265" t="str">
            <v>N/A</v>
          </cell>
          <cell r="AM265" t="str">
            <v>N/A</v>
          </cell>
          <cell r="AN265">
            <v>0</v>
          </cell>
          <cell r="AO265">
            <v>0</v>
          </cell>
        </row>
        <row r="266">
          <cell r="A266" t="str">
            <v>24-C1112</v>
          </cell>
          <cell r="B266" t="str">
            <v>LAMINATING MACHINE</v>
          </cell>
          <cell r="C266" t="str">
            <v>PENRO</v>
          </cell>
          <cell r="D266" t="str">
            <v>No</v>
          </cell>
          <cell r="E266" t="str">
            <v>NP-53.9 - Small Value Procurement</v>
          </cell>
          <cell r="F266" t="str">
            <v>N/A</v>
          </cell>
          <cell r="G266">
            <v>45359</v>
          </cell>
          <cell r="H266">
            <v>0</v>
          </cell>
          <cell r="I266" t="str">
            <v>N/A</v>
          </cell>
          <cell r="J266">
            <v>45373</v>
          </cell>
          <cell r="K266">
            <v>45373</v>
          </cell>
          <cell r="L266">
            <v>0</v>
          </cell>
          <cell r="M266" t="str">
            <v>N/A</v>
          </cell>
          <cell r="N266" t="str">
            <v>N/A</v>
          </cell>
          <cell r="O266">
            <v>45376</v>
          </cell>
          <cell r="P266">
            <v>0</v>
          </cell>
          <cell r="Q266">
            <v>0</v>
          </cell>
          <cell r="R266">
            <v>0</v>
          </cell>
          <cell r="S266">
            <v>45386</v>
          </cell>
          <cell r="T266">
            <v>45387</v>
          </cell>
          <cell r="U266">
            <v>45397</v>
          </cell>
          <cell r="V266">
            <v>0</v>
          </cell>
          <cell r="W266">
            <v>0</v>
          </cell>
          <cell r="X266">
            <v>45406</v>
          </cell>
          <cell r="Y266">
            <v>0</v>
          </cell>
          <cell r="Z266">
            <v>0</v>
          </cell>
          <cell r="AA266">
            <v>51070</v>
          </cell>
          <cell r="AB266">
            <v>0</v>
          </cell>
          <cell r="AC266">
            <v>51070</v>
          </cell>
          <cell r="AD266">
            <v>51000</v>
          </cell>
          <cell r="AE266">
            <v>0</v>
          </cell>
          <cell r="AF266">
            <v>51000</v>
          </cell>
          <cell r="AG266" t="str">
            <v>ENGR. MICHAEL C. SALARDA
MS. LEONARDA M. LATOR
MS. CARMENCITA VALDEZ
MS. SORAYA P. VERGARA</v>
          </cell>
          <cell r="AH266" t="str">
            <v>N/A</v>
          </cell>
          <cell r="AI266" t="str">
            <v>N/A</v>
          </cell>
          <cell r="AJ266" t="str">
            <v>N/A</v>
          </cell>
          <cell r="AK266" t="str">
            <v>N/A</v>
          </cell>
          <cell r="AL266" t="str">
            <v>N/A</v>
          </cell>
          <cell r="AM266" t="str">
            <v>N/A</v>
          </cell>
          <cell r="AN266">
            <v>0</v>
          </cell>
          <cell r="AO266">
            <v>0</v>
          </cell>
        </row>
        <row r="267">
          <cell r="A267" t="str">
            <v>24-1703</v>
          </cell>
          <cell r="B267" t="str">
            <v>COMPUTER SUPPLIES/SPAREPARTS</v>
          </cell>
          <cell r="C267" t="str">
            <v>PGO</v>
          </cell>
          <cell r="D267" t="str">
            <v>No</v>
          </cell>
          <cell r="E267" t="str">
            <v>NP-53.9 - Small Value Procurement</v>
          </cell>
          <cell r="F267" t="str">
            <v>N/A</v>
          </cell>
          <cell r="G267">
            <v>45363</v>
          </cell>
          <cell r="H267">
            <v>0</v>
          </cell>
          <cell r="I267" t="str">
            <v>N/A</v>
          </cell>
          <cell r="J267">
            <v>45373</v>
          </cell>
          <cell r="K267">
            <v>45373</v>
          </cell>
          <cell r="L267">
            <v>0</v>
          </cell>
          <cell r="M267" t="str">
            <v>N/A</v>
          </cell>
          <cell r="N267" t="str">
            <v>N/A</v>
          </cell>
          <cell r="O267">
            <v>45376</v>
          </cell>
          <cell r="P267">
            <v>0</v>
          </cell>
          <cell r="Q267">
            <v>0</v>
          </cell>
          <cell r="R267">
            <v>0</v>
          </cell>
          <cell r="S267" t="str">
            <v>N/A</v>
          </cell>
          <cell r="T267">
            <v>45393</v>
          </cell>
          <cell r="U267">
            <v>45397</v>
          </cell>
          <cell r="V267">
            <v>0</v>
          </cell>
          <cell r="W267">
            <v>0</v>
          </cell>
          <cell r="X267" t="e">
            <v>#N/A</v>
          </cell>
          <cell r="Y267">
            <v>0</v>
          </cell>
          <cell r="Z267">
            <v>0</v>
          </cell>
          <cell r="AA267">
            <v>13312</v>
          </cell>
          <cell r="AB267">
            <v>0</v>
          </cell>
          <cell r="AC267">
            <v>13312</v>
          </cell>
          <cell r="AD267">
            <v>13280</v>
          </cell>
          <cell r="AE267">
            <v>0</v>
          </cell>
          <cell r="AF267">
            <v>13280</v>
          </cell>
          <cell r="AG267" t="str">
            <v>ENGR. MICHAEL C. SALARDA
MS. LEONARDA M. LATOR
MS. CARMENCITA VALDEZ
MS. SORAYA P. VERGARA</v>
          </cell>
          <cell r="AH267" t="str">
            <v>N/A</v>
          </cell>
          <cell r="AI267" t="str">
            <v>N/A</v>
          </cell>
          <cell r="AJ267" t="str">
            <v>N/A</v>
          </cell>
          <cell r="AK267" t="str">
            <v>N/A</v>
          </cell>
          <cell r="AL267" t="str">
            <v>N/A</v>
          </cell>
          <cell r="AM267" t="str">
            <v>N/A</v>
          </cell>
          <cell r="AN267">
            <v>0</v>
          </cell>
          <cell r="AO267">
            <v>0</v>
          </cell>
        </row>
        <row r="268">
          <cell r="A268" t="str">
            <v>24-1669</v>
          </cell>
          <cell r="B268" t="str">
            <v>JANITORIAL SUPPLIES/HOUSEKEEPING</v>
          </cell>
          <cell r="C268" t="str">
            <v>PAO</v>
          </cell>
          <cell r="D268" t="str">
            <v>No</v>
          </cell>
          <cell r="E268" t="str">
            <v>NP-53.9 - Small Value Procurement</v>
          </cell>
          <cell r="F268" t="str">
            <v>N/A</v>
          </cell>
          <cell r="G268">
            <v>45363</v>
          </cell>
          <cell r="H268">
            <v>0</v>
          </cell>
          <cell r="I268" t="str">
            <v>N/A</v>
          </cell>
          <cell r="J268">
            <v>45373</v>
          </cell>
          <cell r="K268">
            <v>45373</v>
          </cell>
          <cell r="L268">
            <v>0</v>
          </cell>
          <cell r="M268" t="str">
            <v>N/A</v>
          </cell>
          <cell r="N268" t="str">
            <v>N/A</v>
          </cell>
          <cell r="O268">
            <v>45376</v>
          </cell>
          <cell r="P268">
            <v>0</v>
          </cell>
          <cell r="Q268">
            <v>0</v>
          </cell>
          <cell r="R268">
            <v>0</v>
          </cell>
          <cell r="S268" t="str">
            <v>N/A</v>
          </cell>
          <cell r="T268">
            <v>45393</v>
          </cell>
          <cell r="U268">
            <v>45397</v>
          </cell>
          <cell r="V268">
            <v>0</v>
          </cell>
          <cell r="W268">
            <v>0</v>
          </cell>
          <cell r="X268" t="e">
            <v>#N/A</v>
          </cell>
          <cell r="Y268">
            <v>0</v>
          </cell>
          <cell r="Z268">
            <v>0</v>
          </cell>
          <cell r="AA268">
            <v>6048</v>
          </cell>
          <cell r="AB268">
            <v>0</v>
          </cell>
          <cell r="AC268">
            <v>6048</v>
          </cell>
          <cell r="AD268">
            <v>5878</v>
          </cell>
          <cell r="AE268">
            <v>0</v>
          </cell>
          <cell r="AF268">
            <v>5878</v>
          </cell>
          <cell r="AG268" t="str">
            <v>ENGR. MICHAEL C. SALARDA
MS. LEONARDA M. LATOR
MS. CARMENCITA VALDEZ
MS. SORAYA P. VERGARA</v>
          </cell>
          <cell r="AH268" t="str">
            <v>N/A</v>
          </cell>
          <cell r="AI268" t="str">
            <v>N/A</v>
          </cell>
          <cell r="AJ268" t="str">
            <v>N/A</v>
          </cell>
          <cell r="AK268" t="str">
            <v>N/A</v>
          </cell>
          <cell r="AL268" t="str">
            <v>N/A</v>
          </cell>
          <cell r="AM268" t="str">
            <v>N/A</v>
          </cell>
          <cell r="AN268">
            <v>0</v>
          </cell>
          <cell r="AO268">
            <v>0</v>
          </cell>
        </row>
        <row r="269">
          <cell r="A269" t="str">
            <v>24-C1170</v>
          </cell>
          <cell r="B269" t="str">
            <v>COMPUTER SUPPLIES</v>
          </cell>
          <cell r="C269" t="str">
            <v>PAO</v>
          </cell>
          <cell r="D269" t="str">
            <v>No</v>
          </cell>
          <cell r="E269" t="str">
            <v>NP-53.9 - Small Value Procurement</v>
          </cell>
          <cell r="F269" t="str">
            <v>N/A</v>
          </cell>
          <cell r="G269">
            <v>45363</v>
          </cell>
          <cell r="H269">
            <v>0</v>
          </cell>
          <cell r="I269" t="str">
            <v>N/A</v>
          </cell>
          <cell r="J269">
            <v>45373</v>
          </cell>
          <cell r="K269">
            <v>45373</v>
          </cell>
          <cell r="L269">
            <v>0</v>
          </cell>
          <cell r="M269" t="str">
            <v>N/A</v>
          </cell>
          <cell r="N269" t="str">
            <v>N/A</v>
          </cell>
          <cell r="O269">
            <v>45376</v>
          </cell>
          <cell r="P269">
            <v>0</v>
          </cell>
          <cell r="Q269">
            <v>0</v>
          </cell>
          <cell r="R269">
            <v>0</v>
          </cell>
          <cell r="S269" t="str">
            <v>N/A</v>
          </cell>
          <cell r="T269">
            <v>45393</v>
          </cell>
          <cell r="U269">
            <v>45397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13740</v>
          </cell>
          <cell r="AB269">
            <v>0</v>
          </cell>
          <cell r="AC269">
            <v>13740</v>
          </cell>
          <cell r="AD269">
            <v>13690</v>
          </cell>
          <cell r="AE269">
            <v>0</v>
          </cell>
          <cell r="AF269">
            <v>13690</v>
          </cell>
          <cell r="AG269" t="str">
            <v>ENGR. MICHAEL C. SALARDA
MS. LEONARDA M. LATOR
MS. CARMENCITA VALDEZ
MS. SORAYA P. VERGARA</v>
          </cell>
          <cell r="AH269" t="str">
            <v>N/A</v>
          </cell>
          <cell r="AI269" t="str">
            <v>N/A</v>
          </cell>
          <cell r="AJ269" t="str">
            <v>N/A</v>
          </cell>
          <cell r="AK269" t="str">
            <v>N/A</v>
          </cell>
          <cell r="AL269" t="str">
            <v>N/A</v>
          </cell>
          <cell r="AM269" t="str">
            <v>N/A</v>
          </cell>
          <cell r="AN269">
            <v>0</v>
          </cell>
          <cell r="AO269">
            <v>0</v>
          </cell>
        </row>
        <row r="270">
          <cell r="A270" t="str">
            <v>24-C1138</v>
          </cell>
          <cell r="B270" t="str">
            <v>MINERAL WATER</v>
          </cell>
          <cell r="C270" t="str">
            <v>PSWDO</v>
          </cell>
          <cell r="D270" t="str">
            <v>No</v>
          </cell>
          <cell r="E270" t="str">
            <v>NP-53.9 - Small Value Procurement</v>
          </cell>
          <cell r="F270" t="str">
            <v>N/A</v>
          </cell>
          <cell r="G270">
            <v>45363</v>
          </cell>
          <cell r="H270">
            <v>0</v>
          </cell>
          <cell r="I270" t="str">
            <v>N/A</v>
          </cell>
          <cell r="J270">
            <v>45373</v>
          </cell>
          <cell r="K270">
            <v>45373</v>
          </cell>
          <cell r="L270">
            <v>0</v>
          </cell>
          <cell r="M270" t="str">
            <v>N/A</v>
          </cell>
          <cell r="N270" t="str">
            <v>N/A</v>
          </cell>
          <cell r="O270">
            <v>45376</v>
          </cell>
          <cell r="P270">
            <v>0</v>
          </cell>
          <cell r="Q270">
            <v>0</v>
          </cell>
          <cell r="R270">
            <v>0</v>
          </cell>
          <cell r="S270" t="str">
            <v>N/A</v>
          </cell>
          <cell r="T270">
            <v>45393</v>
          </cell>
          <cell r="U270">
            <v>45397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8979</v>
          </cell>
          <cell r="AB270">
            <v>0</v>
          </cell>
          <cell r="AC270">
            <v>8979</v>
          </cell>
          <cell r="AD270">
            <v>8760</v>
          </cell>
          <cell r="AE270">
            <v>0</v>
          </cell>
          <cell r="AF270">
            <v>8760</v>
          </cell>
          <cell r="AG270" t="str">
            <v>ENGR. MICHAEL C. SALARDA
MS. LEONARDA M. LATOR
MS. CARMENCITA VALDEZ
MS. SORAYA P. VERGARA</v>
          </cell>
          <cell r="AH270" t="str">
            <v>N/A</v>
          </cell>
          <cell r="AI270" t="str">
            <v>N/A</v>
          </cell>
          <cell r="AJ270" t="str">
            <v>N/A</v>
          </cell>
          <cell r="AK270" t="str">
            <v>N/A</v>
          </cell>
          <cell r="AL270" t="str">
            <v>N/A</v>
          </cell>
          <cell r="AM270" t="str">
            <v>N/A</v>
          </cell>
          <cell r="AN270">
            <v>0</v>
          </cell>
          <cell r="AO270">
            <v>0</v>
          </cell>
        </row>
        <row r="271">
          <cell r="A271" t="str">
            <v>24-1466</v>
          </cell>
          <cell r="B271" t="str">
            <v>WATER</v>
          </cell>
          <cell r="C271" t="str">
            <v>PGO</v>
          </cell>
          <cell r="D271" t="str">
            <v>No</v>
          </cell>
          <cell r="E271" t="str">
            <v>NP-53.9 - Small Value Procurement</v>
          </cell>
          <cell r="F271" t="str">
            <v>N/A</v>
          </cell>
          <cell r="G271">
            <v>45363</v>
          </cell>
          <cell r="H271">
            <v>0</v>
          </cell>
          <cell r="I271" t="str">
            <v>N/A</v>
          </cell>
          <cell r="J271">
            <v>45373</v>
          </cell>
          <cell r="K271">
            <v>45373</v>
          </cell>
          <cell r="L271">
            <v>0</v>
          </cell>
          <cell r="M271" t="str">
            <v>N/A</v>
          </cell>
          <cell r="N271" t="str">
            <v>N/A</v>
          </cell>
          <cell r="O271">
            <v>45376</v>
          </cell>
          <cell r="P271">
            <v>0</v>
          </cell>
          <cell r="Q271">
            <v>0</v>
          </cell>
          <cell r="R271">
            <v>0</v>
          </cell>
          <cell r="S271" t="str">
            <v>N/A</v>
          </cell>
          <cell r="T271">
            <v>45387</v>
          </cell>
          <cell r="U271">
            <v>45393</v>
          </cell>
          <cell r="V271">
            <v>0</v>
          </cell>
          <cell r="W271">
            <v>0</v>
          </cell>
          <cell r="X271" t="e">
            <v>#N/A</v>
          </cell>
          <cell r="Y271">
            <v>0</v>
          </cell>
          <cell r="Z271">
            <v>0</v>
          </cell>
          <cell r="AA271">
            <v>1845</v>
          </cell>
          <cell r="AB271">
            <v>0</v>
          </cell>
          <cell r="AC271">
            <v>1845</v>
          </cell>
          <cell r="AD271">
            <v>1800</v>
          </cell>
          <cell r="AE271">
            <v>0</v>
          </cell>
          <cell r="AF271">
            <v>1800</v>
          </cell>
          <cell r="AG271" t="str">
            <v>ENGR. MICHAEL C. SALARDA
MS. LEONARDA M. LATOR
MS. CARMENCITA VALDEZ
MS. SORAYA P. VERGARA</v>
          </cell>
          <cell r="AH271" t="str">
            <v>N/A</v>
          </cell>
          <cell r="AI271" t="str">
            <v>N/A</v>
          </cell>
          <cell r="AJ271" t="str">
            <v>N/A</v>
          </cell>
          <cell r="AK271" t="str">
            <v>N/A</v>
          </cell>
          <cell r="AL271" t="str">
            <v>N/A</v>
          </cell>
          <cell r="AM271" t="str">
            <v>N/A</v>
          </cell>
          <cell r="AN271">
            <v>0</v>
          </cell>
          <cell r="AO271">
            <v>0</v>
          </cell>
        </row>
        <row r="272">
          <cell r="A272" t="str">
            <v>24-1454</v>
          </cell>
          <cell r="B272" t="str">
            <v>GEMELINA LUMBER</v>
          </cell>
          <cell r="C272" t="str">
            <v>PEO-GA</v>
          </cell>
          <cell r="D272" t="str">
            <v>No</v>
          </cell>
          <cell r="E272" t="str">
            <v>NP-53.9 - Small Value Procurement</v>
          </cell>
          <cell r="F272">
            <v>45356</v>
          </cell>
          <cell r="G272">
            <v>45359</v>
          </cell>
          <cell r="H272">
            <v>0</v>
          </cell>
          <cell r="I272" t="str">
            <v>N/A</v>
          </cell>
          <cell r="J272">
            <v>45373</v>
          </cell>
          <cell r="K272">
            <v>45373</v>
          </cell>
          <cell r="L272">
            <v>0</v>
          </cell>
          <cell r="M272" t="str">
            <v>N/A</v>
          </cell>
          <cell r="N272" t="str">
            <v>N/A</v>
          </cell>
          <cell r="O272">
            <v>45376</v>
          </cell>
          <cell r="P272">
            <v>0</v>
          </cell>
          <cell r="Q272">
            <v>0</v>
          </cell>
          <cell r="R272">
            <v>0</v>
          </cell>
          <cell r="S272" t="str">
            <v>N/A</v>
          </cell>
          <cell r="T272">
            <v>45394</v>
          </cell>
          <cell r="U272">
            <v>0</v>
          </cell>
          <cell r="V272">
            <v>0</v>
          </cell>
          <cell r="W272">
            <v>0</v>
          </cell>
          <cell r="X272" t="e">
            <v>#N/A</v>
          </cell>
          <cell r="Y272">
            <v>0</v>
          </cell>
          <cell r="Z272">
            <v>0</v>
          </cell>
          <cell r="AA272">
            <v>2256</v>
          </cell>
          <cell r="AB272">
            <v>0</v>
          </cell>
          <cell r="AC272">
            <v>2256</v>
          </cell>
          <cell r="AD272">
            <v>2244</v>
          </cell>
          <cell r="AE272">
            <v>0</v>
          </cell>
          <cell r="AF272">
            <v>2244</v>
          </cell>
          <cell r="AG272" t="str">
            <v>ENGR. MICHAEL C. SALARDA
MS. LEONARDA M. LATOR
MS. CARMENCITA VALDEZ
MS. SORAYA P. VERGARA</v>
          </cell>
          <cell r="AH272" t="str">
            <v>N/A</v>
          </cell>
          <cell r="AI272" t="str">
            <v>N/A</v>
          </cell>
          <cell r="AJ272" t="str">
            <v>N/A</v>
          </cell>
          <cell r="AK272" t="str">
            <v>N/A</v>
          </cell>
          <cell r="AL272" t="str">
            <v>N/A</v>
          </cell>
          <cell r="AM272" t="str">
            <v>N/A</v>
          </cell>
          <cell r="AN272">
            <v>0</v>
          </cell>
          <cell r="AO272">
            <v>0</v>
          </cell>
        </row>
        <row r="273">
          <cell r="A273" t="str">
            <v>24-C1103</v>
          </cell>
          <cell r="B273" t="str">
            <v>SPAREPARTS  AND BATTERY FOR GEN SET</v>
          </cell>
          <cell r="C273" t="str">
            <v>PHO</v>
          </cell>
          <cell r="D273" t="str">
            <v>No</v>
          </cell>
          <cell r="E273" t="str">
            <v>NP-53.9 - Small Value Procurement</v>
          </cell>
          <cell r="F273" t="str">
            <v>N/A</v>
          </cell>
          <cell r="G273">
            <v>45363</v>
          </cell>
          <cell r="H273">
            <v>0</v>
          </cell>
          <cell r="I273" t="str">
            <v>N/A</v>
          </cell>
          <cell r="J273">
            <v>45373</v>
          </cell>
          <cell r="K273">
            <v>45373</v>
          </cell>
          <cell r="L273">
            <v>0</v>
          </cell>
          <cell r="M273" t="str">
            <v>N/A</v>
          </cell>
          <cell r="N273" t="str">
            <v>N/A</v>
          </cell>
          <cell r="O273">
            <v>45376</v>
          </cell>
          <cell r="P273">
            <v>0</v>
          </cell>
          <cell r="Q273">
            <v>0</v>
          </cell>
          <cell r="R273">
            <v>0</v>
          </cell>
          <cell r="S273" t="str">
            <v>N/A</v>
          </cell>
          <cell r="T273">
            <v>45390</v>
          </cell>
          <cell r="U273">
            <v>45394</v>
          </cell>
          <cell r="V273">
            <v>0</v>
          </cell>
          <cell r="W273">
            <v>0</v>
          </cell>
          <cell r="X273">
            <v>45428</v>
          </cell>
          <cell r="Y273">
            <v>0</v>
          </cell>
          <cell r="Z273">
            <v>0</v>
          </cell>
          <cell r="AA273">
            <v>19239.32</v>
          </cell>
          <cell r="AB273">
            <v>0</v>
          </cell>
          <cell r="AC273">
            <v>19239.32</v>
          </cell>
          <cell r="AD273">
            <v>19221.400000000001</v>
          </cell>
          <cell r="AE273">
            <v>0</v>
          </cell>
          <cell r="AF273">
            <v>19221.400000000001</v>
          </cell>
          <cell r="AG273" t="str">
            <v>ENGR. MICHAEL C. SALARDA
MS. LEONARDA M. LATOR
MS. CARMENCITA VALDEZ
MS. SORAYA P. VERGARA</v>
          </cell>
          <cell r="AH273" t="str">
            <v>N/A</v>
          </cell>
          <cell r="AI273" t="str">
            <v>N/A</v>
          </cell>
          <cell r="AJ273" t="str">
            <v>N/A</v>
          </cell>
          <cell r="AK273" t="str">
            <v>N/A</v>
          </cell>
          <cell r="AL273" t="str">
            <v>N/A</v>
          </cell>
          <cell r="AM273" t="str">
            <v>N/A</v>
          </cell>
          <cell r="AN273">
            <v>0</v>
          </cell>
          <cell r="AO273">
            <v>0</v>
          </cell>
        </row>
        <row r="274">
          <cell r="A274" t="str">
            <v>24-C1118</v>
          </cell>
          <cell r="B274" t="str">
            <v>PORTLAND CEMENT &amp; PULLITUFF BODY FILLER</v>
          </cell>
          <cell r="C274" t="str">
            <v>PDRRMO</v>
          </cell>
          <cell r="D274" t="str">
            <v>No</v>
          </cell>
          <cell r="E274" t="str">
            <v>NP-53.9 - Small Value Procurement</v>
          </cell>
          <cell r="F274" t="str">
            <v>N/A</v>
          </cell>
          <cell r="G274">
            <v>45359</v>
          </cell>
          <cell r="H274">
            <v>0</v>
          </cell>
          <cell r="I274" t="str">
            <v>N/A</v>
          </cell>
          <cell r="J274">
            <v>45373</v>
          </cell>
          <cell r="K274">
            <v>45373</v>
          </cell>
          <cell r="L274">
            <v>0</v>
          </cell>
          <cell r="M274" t="str">
            <v>N/A</v>
          </cell>
          <cell r="N274" t="str">
            <v>N/A</v>
          </cell>
          <cell r="O274">
            <v>45376</v>
          </cell>
          <cell r="P274">
            <v>0</v>
          </cell>
          <cell r="Q274">
            <v>0</v>
          </cell>
          <cell r="R274">
            <v>0</v>
          </cell>
          <cell r="S274" t="str">
            <v>N/A</v>
          </cell>
          <cell r="T274">
            <v>45390</v>
          </cell>
          <cell r="U274">
            <v>45394</v>
          </cell>
          <cell r="V274">
            <v>0</v>
          </cell>
          <cell r="W274">
            <v>0</v>
          </cell>
          <cell r="X274">
            <v>45428</v>
          </cell>
          <cell r="Y274">
            <v>0</v>
          </cell>
          <cell r="Z274">
            <v>0</v>
          </cell>
          <cell r="AA274">
            <v>7780</v>
          </cell>
          <cell r="AB274">
            <v>0</v>
          </cell>
          <cell r="AC274">
            <v>7780</v>
          </cell>
          <cell r="AD274">
            <v>7770.5</v>
          </cell>
          <cell r="AE274">
            <v>0</v>
          </cell>
          <cell r="AF274">
            <v>7770.5</v>
          </cell>
          <cell r="AG274" t="str">
            <v>ENGR. MICHAEL C. SALARDA
MS. LEONARDA M. LATOR
MS. CARMENCITA VALDEZ
MS. SORAYA P. VERGARA</v>
          </cell>
          <cell r="AH274" t="str">
            <v>N/A</v>
          </cell>
          <cell r="AI274" t="str">
            <v>N/A</v>
          </cell>
          <cell r="AJ274" t="str">
            <v>N/A</v>
          </cell>
          <cell r="AK274" t="str">
            <v>N/A</v>
          </cell>
          <cell r="AL274" t="str">
            <v>N/A</v>
          </cell>
          <cell r="AM274" t="str">
            <v>N/A</v>
          </cell>
          <cell r="AN274">
            <v>0</v>
          </cell>
          <cell r="AO274">
            <v>0</v>
          </cell>
        </row>
        <row r="275">
          <cell r="A275" t="str">
            <v>24-1708</v>
          </cell>
          <cell r="B275" t="str">
            <v>PADLOCK</v>
          </cell>
          <cell r="C275" t="str">
            <v>PGO</v>
          </cell>
          <cell r="D275" t="str">
            <v>No</v>
          </cell>
          <cell r="E275" t="str">
            <v>NP-53.9 - Small Value Procurement</v>
          </cell>
          <cell r="F275" t="str">
            <v>N/A</v>
          </cell>
          <cell r="G275">
            <v>45363</v>
          </cell>
          <cell r="H275">
            <v>0</v>
          </cell>
          <cell r="I275" t="str">
            <v>N/A</v>
          </cell>
          <cell r="J275">
            <v>45373</v>
          </cell>
          <cell r="K275">
            <v>45373</v>
          </cell>
          <cell r="L275">
            <v>0</v>
          </cell>
          <cell r="M275" t="str">
            <v>N/A</v>
          </cell>
          <cell r="N275" t="str">
            <v>N/A</v>
          </cell>
          <cell r="O275">
            <v>45376</v>
          </cell>
          <cell r="P275">
            <v>0</v>
          </cell>
          <cell r="Q275">
            <v>0</v>
          </cell>
          <cell r="R275">
            <v>0</v>
          </cell>
          <cell r="S275" t="str">
            <v>N/A</v>
          </cell>
          <cell r="T275">
            <v>45393</v>
          </cell>
          <cell r="U275">
            <v>45394</v>
          </cell>
          <cell r="V275">
            <v>0</v>
          </cell>
          <cell r="W275">
            <v>0</v>
          </cell>
          <cell r="X275" t="e">
            <v>#N/A</v>
          </cell>
          <cell r="Y275">
            <v>0</v>
          </cell>
          <cell r="Z275">
            <v>0</v>
          </cell>
          <cell r="AA275">
            <v>2200</v>
          </cell>
          <cell r="AB275">
            <v>0</v>
          </cell>
          <cell r="AC275">
            <v>2200</v>
          </cell>
          <cell r="AD275">
            <v>2198</v>
          </cell>
          <cell r="AE275">
            <v>0</v>
          </cell>
          <cell r="AF275">
            <v>2198</v>
          </cell>
          <cell r="AG275" t="str">
            <v>ENGR. MICHAEL C. SALARDA
MS. LEONARDA M. LATOR
MS. CARMENCITA VALDEZ
MS. SORAYA P. VERGARA</v>
          </cell>
          <cell r="AH275" t="str">
            <v>N/A</v>
          </cell>
          <cell r="AI275" t="str">
            <v>N/A</v>
          </cell>
          <cell r="AJ275" t="str">
            <v>N/A</v>
          </cell>
          <cell r="AK275" t="str">
            <v>N/A</v>
          </cell>
          <cell r="AL275" t="str">
            <v>N/A</v>
          </cell>
          <cell r="AM275" t="str">
            <v>N/A</v>
          </cell>
          <cell r="AN275">
            <v>0</v>
          </cell>
          <cell r="AO275">
            <v>0</v>
          </cell>
        </row>
        <row r="276">
          <cell r="A276" t="str">
            <v>24-1309</v>
          </cell>
          <cell r="B276" t="str">
            <v>TARPAULIN</v>
          </cell>
          <cell r="C276" t="str">
            <v>PDRRMO</v>
          </cell>
          <cell r="D276" t="str">
            <v>No</v>
          </cell>
          <cell r="E276" t="str">
            <v>NP-53.9 - Small Value Procurement</v>
          </cell>
          <cell r="F276">
            <v>45356</v>
          </cell>
          <cell r="G276">
            <v>45359</v>
          </cell>
          <cell r="H276">
            <v>0</v>
          </cell>
          <cell r="I276" t="str">
            <v>N/A</v>
          </cell>
          <cell r="J276">
            <v>45373</v>
          </cell>
          <cell r="K276">
            <v>45373</v>
          </cell>
          <cell r="L276">
            <v>0</v>
          </cell>
          <cell r="M276" t="str">
            <v>N/A</v>
          </cell>
          <cell r="N276" t="str">
            <v>N/A</v>
          </cell>
          <cell r="O276">
            <v>45376</v>
          </cell>
          <cell r="P276">
            <v>0</v>
          </cell>
          <cell r="Q276">
            <v>0</v>
          </cell>
          <cell r="R276">
            <v>0</v>
          </cell>
          <cell r="S276">
            <v>45384</v>
          </cell>
          <cell r="T276">
            <v>45390</v>
          </cell>
          <cell r="U276">
            <v>45394</v>
          </cell>
          <cell r="V276">
            <v>0</v>
          </cell>
          <cell r="W276">
            <v>0</v>
          </cell>
          <cell r="X276" t="e">
            <v>#N/A</v>
          </cell>
          <cell r="Y276">
            <v>0</v>
          </cell>
          <cell r="Z276">
            <v>0</v>
          </cell>
          <cell r="AA276">
            <v>140000</v>
          </cell>
          <cell r="AB276">
            <v>0</v>
          </cell>
          <cell r="AC276">
            <v>140000</v>
          </cell>
          <cell r="AD276">
            <v>125000</v>
          </cell>
          <cell r="AE276">
            <v>0</v>
          </cell>
          <cell r="AF276">
            <v>125000</v>
          </cell>
          <cell r="AG276" t="str">
            <v>ENGR. MICHAEL C. SALARDA
MS. LEONARDA M. LATOR
MS. CARMENCITA VALDEZ
MS. SORAYA P. VERGARA</v>
          </cell>
          <cell r="AH276" t="str">
            <v>N/A</v>
          </cell>
          <cell r="AI276" t="str">
            <v>N/A</v>
          </cell>
          <cell r="AJ276" t="str">
            <v>N/A</v>
          </cell>
          <cell r="AK276" t="str">
            <v>N/A</v>
          </cell>
          <cell r="AL276" t="str">
            <v>N/A</v>
          </cell>
          <cell r="AM276" t="str">
            <v>N/A</v>
          </cell>
          <cell r="AN276">
            <v>0</v>
          </cell>
          <cell r="AO276">
            <v>0</v>
          </cell>
        </row>
        <row r="277">
          <cell r="A277" t="str">
            <v>24-C1051</v>
          </cell>
          <cell r="B277" t="str">
            <v>OFFICE SUPPLIES</v>
          </cell>
          <cell r="C277" t="str">
            <v>PHRMDO</v>
          </cell>
          <cell r="D277" t="str">
            <v>No</v>
          </cell>
          <cell r="E277" t="str">
            <v>Shopping 52.1(b) - Regular Office Supplies and Equipment no available in PS</v>
          </cell>
          <cell r="F277">
            <v>45342</v>
          </cell>
          <cell r="G277">
            <v>45344</v>
          </cell>
          <cell r="H277">
            <v>0</v>
          </cell>
          <cell r="I277" t="str">
            <v>N/A</v>
          </cell>
          <cell r="J277">
            <v>45373</v>
          </cell>
          <cell r="K277">
            <v>45373</v>
          </cell>
          <cell r="L277">
            <v>0</v>
          </cell>
          <cell r="M277" t="str">
            <v>N/A</v>
          </cell>
          <cell r="N277" t="str">
            <v>N/A</v>
          </cell>
          <cell r="O277">
            <v>45376</v>
          </cell>
          <cell r="P277">
            <v>0</v>
          </cell>
          <cell r="Q277">
            <v>0</v>
          </cell>
          <cell r="R277">
            <v>0</v>
          </cell>
          <cell r="S277">
            <v>45384</v>
          </cell>
          <cell r="T277">
            <v>45387</v>
          </cell>
          <cell r="U277">
            <v>0</v>
          </cell>
          <cell r="V277">
            <v>0</v>
          </cell>
          <cell r="W277">
            <v>0</v>
          </cell>
          <cell r="X277">
            <v>45406</v>
          </cell>
          <cell r="Y277">
            <v>0</v>
          </cell>
          <cell r="Z277">
            <v>0</v>
          </cell>
          <cell r="AA277">
            <v>270846</v>
          </cell>
          <cell r="AB277">
            <v>0</v>
          </cell>
          <cell r="AC277">
            <v>270846</v>
          </cell>
          <cell r="AD277">
            <v>266761.95</v>
          </cell>
          <cell r="AE277">
            <v>0</v>
          </cell>
          <cell r="AF277">
            <v>266761.95</v>
          </cell>
          <cell r="AG277" t="str">
            <v>ENGR. MICHAEL C. SALARDA
MS. LEONARDA M. LATOR
MS. CARMENCITA VALDEZ
MS. SORAYA P. VERGARA</v>
          </cell>
          <cell r="AH277" t="str">
            <v>N/A</v>
          </cell>
          <cell r="AI277" t="str">
            <v>N/A</v>
          </cell>
          <cell r="AJ277" t="str">
            <v>N/A</v>
          </cell>
          <cell r="AK277" t="str">
            <v>N/A</v>
          </cell>
          <cell r="AL277" t="str">
            <v>N/A</v>
          </cell>
          <cell r="AM277" t="str">
            <v>N/A</v>
          </cell>
          <cell r="AN277">
            <v>0</v>
          </cell>
          <cell r="AO277">
            <v>0</v>
          </cell>
        </row>
        <row r="278">
          <cell r="A278" t="str">
            <v>24-C1055</v>
          </cell>
          <cell r="B278" t="str">
            <v>OFFICE SUPPLIES</v>
          </cell>
          <cell r="C278" t="str">
            <v>PSWDO</v>
          </cell>
          <cell r="D278" t="str">
            <v>No</v>
          </cell>
          <cell r="E278" t="str">
            <v>Shopping 52.1(b) - Regular Office Supplies and Equipment no available in PS</v>
          </cell>
          <cell r="F278" t="str">
            <v>N/A</v>
          </cell>
          <cell r="G278">
            <v>45344</v>
          </cell>
          <cell r="H278">
            <v>0</v>
          </cell>
          <cell r="I278" t="str">
            <v>N/A</v>
          </cell>
          <cell r="J278">
            <v>45373</v>
          </cell>
          <cell r="K278">
            <v>45373</v>
          </cell>
          <cell r="L278">
            <v>0</v>
          </cell>
          <cell r="M278" t="str">
            <v>N/A</v>
          </cell>
          <cell r="N278" t="str">
            <v>N/A</v>
          </cell>
          <cell r="O278">
            <v>45376</v>
          </cell>
          <cell r="P278">
            <v>0</v>
          </cell>
          <cell r="Q278">
            <v>0</v>
          </cell>
          <cell r="R278">
            <v>0</v>
          </cell>
          <cell r="S278">
            <v>45386</v>
          </cell>
          <cell r="T278">
            <v>45390</v>
          </cell>
          <cell r="U278">
            <v>0</v>
          </cell>
          <cell r="V278">
            <v>0</v>
          </cell>
          <cell r="W278">
            <v>0</v>
          </cell>
          <cell r="X278">
            <v>45404</v>
          </cell>
          <cell r="Y278">
            <v>0</v>
          </cell>
          <cell r="Z278">
            <v>0</v>
          </cell>
          <cell r="AA278">
            <v>57597.4</v>
          </cell>
          <cell r="AB278">
            <v>0</v>
          </cell>
          <cell r="AC278">
            <v>57597.4</v>
          </cell>
          <cell r="AD278">
            <v>56023</v>
          </cell>
          <cell r="AE278">
            <v>0</v>
          </cell>
          <cell r="AF278">
            <v>56023</v>
          </cell>
          <cell r="AG278" t="str">
            <v>ENGR. MICHAEL C. SALARDA
MS. LEONARDA M. LATOR
MS. CARMENCITA VALDEZ
MS. SORAYA P. VERGARA</v>
          </cell>
          <cell r="AH278" t="str">
            <v>N/A</v>
          </cell>
          <cell r="AI278" t="str">
            <v>N/A</v>
          </cell>
          <cell r="AJ278" t="str">
            <v>N/A</v>
          </cell>
          <cell r="AK278" t="str">
            <v>N/A</v>
          </cell>
          <cell r="AL278" t="str">
            <v>N/A</v>
          </cell>
          <cell r="AM278" t="str">
            <v>N/A</v>
          </cell>
          <cell r="AN278">
            <v>0</v>
          </cell>
          <cell r="AO278">
            <v>0</v>
          </cell>
        </row>
        <row r="279">
          <cell r="A279" t="str">
            <v>24-0114</v>
          </cell>
          <cell r="B279" t="str">
            <v>OFFICE SUPPLIES</v>
          </cell>
          <cell r="C279" t="str">
            <v>PGO</v>
          </cell>
          <cell r="D279" t="str">
            <v>No</v>
          </cell>
          <cell r="E279" t="str">
            <v>Shopping 52.1(b) - Regular Office Supplies and Equipment no available in PS</v>
          </cell>
          <cell r="F279" t="str">
            <v>N/A</v>
          </cell>
          <cell r="G279">
            <v>45344</v>
          </cell>
          <cell r="H279">
            <v>0</v>
          </cell>
          <cell r="I279" t="str">
            <v>N/A</v>
          </cell>
          <cell r="J279">
            <v>45373</v>
          </cell>
          <cell r="K279">
            <v>45373</v>
          </cell>
          <cell r="L279">
            <v>0</v>
          </cell>
          <cell r="M279" t="str">
            <v>N/A</v>
          </cell>
          <cell r="N279" t="str">
            <v>N/A</v>
          </cell>
          <cell r="O279">
            <v>45376</v>
          </cell>
          <cell r="P279">
            <v>0</v>
          </cell>
          <cell r="Q279">
            <v>0</v>
          </cell>
          <cell r="R279">
            <v>0</v>
          </cell>
          <cell r="S279" t="str">
            <v>N/A</v>
          </cell>
          <cell r="T279">
            <v>45387</v>
          </cell>
          <cell r="U279">
            <v>45397</v>
          </cell>
          <cell r="V279">
            <v>0</v>
          </cell>
          <cell r="W279">
            <v>0</v>
          </cell>
          <cell r="X279" t="e">
            <v>#N/A</v>
          </cell>
          <cell r="Y279">
            <v>0</v>
          </cell>
          <cell r="Z279">
            <v>0</v>
          </cell>
          <cell r="AA279">
            <v>5414</v>
          </cell>
          <cell r="AB279">
            <v>0</v>
          </cell>
          <cell r="AC279">
            <v>5414</v>
          </cell>
          <cell r="AD279">
            <v>5260</v>
          </cell>
          <cell r="AE279">
            <v>0</v>
          </cell>
          <cell r="AF279">
            <v>5260</v>
          </cell>
          <cell r="AG279" t="str">
            <v>ENGR. MICHAEL C. SALARDA
MS. LEONARDA M. LATOR
MS. CARMENCITA VALDEZ
MS. SORAYA P. VERGARA</v>
          </cell>
          <cell r="AH279" t="str">
            <v>N/A</v>
          </cell>
          <cell r="AI279" t="str">
            <v>N/A</v>
          </cell>
          <cell r="AJ279" t="str">
            <v>N/A</v>
          </cell>
          <cell r="AK279" t="str">
            <v>N/A</v>
          </cell>
          <cell r="AL279" t="str">
            <v>N/A</v>
          </cell>
          <cell r="AM279" t="str">
            <v>N/A</v>
          </cell>
          <cell r="AN279">
            <v>0</v>
          </cell>
          <cell r="AO279">
            <v>0</v>
          </cell>
        </row>
        <row r="280">
          <cell r="A280" t="str">
            <v>24-C1135</v>
          </cell>
          <cell r="B280" t="str">
            <v>OFFICE SUPPLIES</v>
          </cell>
          <cell r="C280" t="str">
            <v>PSWDO</v>
          </cell>
          <cell r="D280" t="str">
            <v>No</v>
          </cell>
          <cell r="E280" t="str">
            <v>Shopping 52.1(b) - Regular Office Supplies and Equipment no available in PS</v>
          </cell>
          <cell r="F280">
            <v>45356</v>
          </cell>
          <cell r="G280">
            <v>45359</v>
          </cell>
          <cell r="H280">
            <v>0</v>
          </cell>
          <cell r="I280" t="str">
            <v>N/A</v>
          </cell>
          <cell r="J280">
            <v>45373</v>
          </cell>
          <cell r="K280">
            <v>45373</v>
          </cell>
          <cell r="L280">
            <v>0</v>
          </cell>
          <cell r="M280" t="str">
            <v>N/A</v>
          </cell>
          <cell r="N280" t="str">
            <v>N/A</v>
          </cell>
          <cell r="O280">
            <v>45376</v>
          </cell>
          <cell r="P280">
            <v>0</v>
          </cell>
          <cell r="Q280">
            <v>0</v>
          </cell>
          <cell r="R280">
            <v>0</v>
          </cell>
          <cell r="S280">
            <v>45384</v>
          </cell>
          <cell r="T280">
            <v>45390</v>
          </cell>
          <cell r="U280">
            <v>45394</v>
          </cell>
          <cell r="V280">
            <v>0</v>
          </cell>
          <cell r="W280">
            <v>0</v>
          </cell>
          <cell r="X280">
            <v>45404</v>
          </cell>
          <cell r="Y280">
            <v>0</v>
          </cell>
          <cell r="Z280">
            <v>0</v>
          </cell>
          <cell r="AA280">
            <v>80912</v>
          </cell>
          <cell r="AB280">
            <v>0</v>
          </cell>
          <cell r="AC280">
            <v>80912</v>
          </cell>
          <cell r="AD280">
            <v>80912</v>
          </cell>
          <cell r="AE280">
            <v>0</v>
          </cell>
          <cell r="AF280">
            <v>80912</v>
          </cell>
          <cell r="AG280" t="str">
            <v>ENGR. MICHAEL C. SALARDA
MS. LEONARDA M. LATOR
MS. CARMENCITA VALDEZ
MS. SORAYA P. VERGARA</v>
          </cell>
          <cell r="AH280" t="str">
            <v>N/A</v>
          </cell>
          <cell r="AI280" t="str">
            <v>N/A</v>
          </cell>
          <cell r="AJ280" t="str">
            <v>N/A</v>
          </cell>
          <cell r="AK280" t="str">
            <v>N/A</v>
          </cell>
          <cell r="AL280" t="str">
            <v>N/A</v>
          </cell>
          <cell r="AM280" t="str">
            <v>N/A</v>
          </cell>
          <cell r="AN280">
            <v>0</v>
          </cell>
          <cell r="AO280">
            <v>0</v>
          </cell>
        </row>
        <row r="281">
          <cell r="A281" t="str">
            <v>24-C1109</v>
          </cell>
          <cell r="B281" t="str">
            <v>OFFICE SUPPLIES</v>
          </cell>
          <cell r="C281" t="str">
            <v>PDRRMO</v>
          </cell>
          <cell r="D281" t="str">
            <v>No</v>
          </cell>
          <cell r="E281" t="str">
            <v>Shopping 52.1(b) - Regular Office Supplies and Equipment no available in PS</v>
          </cell>
          <cell r="F281" t="str">
            <v>N/A</v>
          </cell>
          <cell r="G281">
            <v>45363</v>
          </cell>
          <cell r="H281">
            <v>0</v>
          </cell>
          <cell r="I281" t="str">
            <v>N/A</v>
          </cell>
          <cell r="J281">
            <v>45373</v>
          </cell>
          <cell r="K281">
            <v>45373</v>
          </cell>
          <cell r="L281">
            <v>0</v>
          </cell>
          <cell r="M281" t="str">
            <v>N/A</v>
          </cell>
          <cell r="N281" t="str">
            <v>N/A</v>
          </cell>
          <cell r="O281">
            <v>45376</v>
          </cell>
          <cell r="P281">
            <v>0</v>
          </cell>
          <cell r="Q281">
            <v>0</v>
          </cell>
          <cell r="R281">
            <v>0</v>
          </cell>
          <cell r="S281" t="str">
            <v>N/A</v>
          </cell>
          <cell r="T281">
            <v>45377</v>
          </cell>
          <cell r="U281">
            <v>0</v>
          </cell>
          <cell r="V281">
            <v>0</v>
          </cell>
          <cell r="W281">
            <v>0</v>
          </cell>
          <cell r="X281">
            <v>45406</v>
          </cell>
          <cell r="Y281">
            <v>0</v>
          </cell>
          <cell r="Z281">
            <v>0</v>
          </cell>
          <cell r="AA281">
            <v>21336</v>
          </cell>
          <cell r="AB281">
            <v>0</v>
          </cell>
          <cell r="AC281">
            <v>21336</v>
          </cell>
          <cell r="AD281">
            <v>21268</v>
          </cell>
          <cell r="AE281">
            <v>0</v>
          </cell>
          <cell r="AF281">
            <v>21268</v>
          </cell>
          <cell r="AG281" t="str">
            <v>ENGR. MICHAEL C. SALARDA
MS. LEONARDA M. LATOR
MS. CARMENCITA VALDEZ
MS. SORAYA P. VERGARA</v>
          </cell>
          <cell r="AH281" t="str">
            <v>N/A</v>
          </cell>
          <cell r="AI281" t="str">
            <v>N/A</v>
          </cell>
          <cell r="AJ281" t="str">
            <v>N/A</v>
          </cell>
          <cell r="AK281" t="str">
            <v>N/A</v>
          </cell>
          <cell r="AL281" t="str">
            <v>N/A</v>
          </cell>
          <cell r="AM281" t="str">
            <v>N/A</v>
          </cell>
          <cell r="AN281">
            <v>0</v>
          </cell>
          <cell r="AO281">
            <v>0</v>
          </cell>
        </row>
        <row r="282">
          <cell r="A282" t="str">
            <v>24-C1166</v>
          </cell>
          <cell r="B282" t="str">
            <v>OFFICE SUPPLIES</v>
          </cell>
          <cell r="C282" t="str">
            <v>PBO</v>
          </cell>
          <cell r="D282" t="str">
            <v>No</v>
          </cell>
          <cell r="E282" t="str">
            <v>Shopping 52.1(b) - Regular Office Supplies and Equipment no available in PS</v>
          </cell>
          <cell r="F282" t="str">
            <v>N/A</v>
          </cell>
          <cell r="G282">
            <v>45363</v>
          </cell>
          <cell r="H282">
            <v>0</v>
          </cell>
          <cell r="I282" t="str">
            <v>N/A</v>
          </cell>
          <cell r="J282">
            <v>45373</v>
          </cell>
          <cell r="K282">
            <v>45373</v>
          </cell>
          <cell r="L282">
            <v>0</v>
          </cell>
          <cell r="M282" t="str">
            <v>N/A</v>
          </cell>
          <cell r="N282" t="str">
            <v>N/A</v>
          </cell>
          <cell r="O282">
            <v>45376</v>
          </cell>
          <cell r="P282">
            <v>0</v>
          </cell>
          <cell r="Q282">
            <v>0</v>
          </cell>
          <cell r="R282">
            <v>0</v>
          </cell>
          <cell r="S282" t="str">
            <v>N/A</v>
          </cell>
          <cell r="T282">
            <v>45390</v>
          </cell>
          <cell r="U282">
            <v>45397</v>
          </cell>
          <cell r="V282">
            <v>0</v>
          </cell>
          <cell r="W282">
            <v>0</v>
          </cell>
          <cell r="X282">
            <v>45408</v>
          </cell>
          <cell r="Y282">
            <v>0</v>
          </cell>
          <cell r="Z282">
            <v>0</v>
          </cell>
          <cell r="AA282">
            <v>27301</v>
          </cell>
          <cell r="AB282">
            <v>0</v>
          </cell>
          <cell r="AC282">
            <v>27301</v>
          </cell>
          <cell r="AD282">
            <v>27046</v>
          </cell>
          <cell r="AE282">
            <v>0</v>
          </cell>
          <cell r="AF282">
            <v>27046</v>
          </cell>
          <cell r="AG282" t="str">
            <v>ENGR. MICHAEL C. SALARDA
MS. LEONARDA M. LATOR
MS. CARMENCITA VALDEZ
MS. SORAYA P. VERGARA</v>
          </cell>
          <cell r="AH282" t="str">
            <v>N/A</v>
          </cell>
          <cell r="AI282" t="str">
            <v>N/A</v>
          </cell>
          <cell r="AJ282" t="str">
            <v>N/A</v>
          </cell>
          <cell r="AK282" t="str">
            <v>N/A</v>
          </cell>
          <cell r="AL282" t="str">
            <v>N/A</v>
          </cell>
          <cell r="AM282" t="str">
            <v>N/A</v>
          </cell>
          <cell r="AN282">
            <v>0</v>
          </cell>
          <cell r="AO282">
            <v>0</v>
          </cell>
        </row>
        <row r="283">
          <cell r="A283" t="str">
            <v>24-C1162</v>
          </cell>
          <cell r="B283" t="str">
            <v>OFFICE SUPPLIES</v>
          </cell>
          <cell r="C283" t="str">
            <v>PLO</v>
          </cell>
          <cell r="D283" t="str">
            <v>No</v>
          </cell>
          <cell r="E283" t="str">
            <v>Shopping 52.1(b) - Regular Office Supplies and Equipment no available in PS</v>
          </cell>
          <cell r="F283" t="str">
            <v>N/A</v>
          </cell>
          <cell r="G283">
            <v>45363</v>
          </cell>
          <cell r="H283">
            <v>0</v>
          </cell>
          <cell r="I283" t="str">
            <v>N/A</v>
          </cell>
          <cell r="J283">
            <v>45373</v>
          </cell>
          <cell r="K283">
            <v>45373</v>
          </cell>
          <cell r="L283">
            <v>0</v>
          </cell>
          <cell r="M283" t="str">
            <v>N/A</v>
          </cell>
          <cell r="N283" t="str">
            <v>N/A</v>
          </cell>
          <cell r="O283">
            <v>45376</v>
          </cell>
          <cell r="P283">
            <v>0</v>
          </cell>
          <cell r="Q283">
            <v>0</v>
          </cell>
          <cell r="R283">
            <v>0</v>
          </cell>
          <cell r="S283">
            <v>45377</v>
          </cell>
          <cell r="T283">
            <v>45387</v>
          </cell>
          <cell r="U283">
            <v>45397</v>
          </cell>
          <cell r="V283">
            <v>0</v>
          </cell>
          <cell r="W283">
            <v>0</v>
          </cell>
          <cell r="X283">
            <v>45404</v>
          </cell>
          <cell r="Y283">
            <v>0</v>
          </cell>
          <cell r="Z283">
            <v>0</v>
          </cell>
          <cell r="AA283">
            <v>78020</v>
          </cell>
          <cell r="AB283">
            <v>0</v>
          </cell>
          <cell r="AC283">
            <v>78020</v>
          </cell>
          <cell r="AD283">
            <v>76924</v>
          </cell>
          <cell r="AE283">
            <v>0</v>
          </cell>
          <cell r="AF283">
            <v>76924</v>
          </cell>
          <cell r="AG283" t="str">
            <v>ENGR. MICHAEL C. SALARDA
MS. LEONARDA M. LATOR
MS. CARMENCITA VALDEZ
MS. SORAYA P. VERGARA</v>
          </cell>
          <cell r="AH283" t="str">
            <v>N/A</v>
          </cell>
          <cell r="AI283" t="str">
            <v>N/A</v>
          </cell>
          <cell r="AJ283" t="str">
            <v>N/A</v>
          </cell>
          <cell r="AK283" t="str">
            <v>N/A</v>
          </cell>
          <cell r="AL283" t="str">
            <v>N/A</v>
          </cell>
          <cell r="AM283" t="str">
            <v>N/A</v>
          </cell>
          <cell r="AN283">
            <v>0</v>
          </cell>
          <cell r="AO283">
            <v>0</v>
          </cell>
        </row>
        <row r="284">
          <cell r="A284" t="str">
            <v>24-C1145</v>
          </cell>
          <cell r="B284" t="str">
            <v>OFFICE SUPPLIES</v>
          </cell>
          <cell r="C284" t="str">
            <v>PGO</v>
          </cell>
          <cell r="D284" t="str">
            <v>No</v>
          </cell>
          <cell r="E284" t="str">
            <v>Shopping 52.1(b) - Regular Office Supplies and Equipment no available in PS</v>
          </cell>
          <cell r="F284" t="str">
            <v>N/A</v>
          </cell>
          <cell r="G284">
            <v>45363</v>
          </cell>
          <cell r="H284">
            <v>0</v>
          </cell>
          <cell r="I284" t="str">
            <v>N/A</v>
          </cell>
          <cell r="J284">
            <v>45373</v>
          </cell>
          <cell r="K284">
            <v>45373</v>
          </cell>
          <cell r="L284">
            <v>0</v>
          </cell>
          <cell r="M284" t="str">
            <v>N/A</v>
          </cell>
          <cell r="N284" t="str">
            <v>N/A</v>
          </cell>
          <cell r="O284">
            <v>45376</v>
          </cell>
          <cell r="P284">
            <v>0</v>
          </cell>
          <cell r="Q284">
            <v>0</v>
          </cell>
          <cell r="R284">
            <v>0</v>
          </cell>
          <cell r="S284">
            <v>45383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45425</v>
          </cell>
          <cell r="Y284">
            <v>0</v>
          </cell>
          <cell r="Z284">
            <v>0</v>
          </cell>
          <cell r="AA284">
            <v>66552</v>
          </cell>
          <cell r="AB284">
            <v>0</v>
          </cell>
          <cell r="AC284">
            <v>66552</v>
          </cell>
          <cell r="AD284">
            <v>64724</v>
          </cell>
          <cell r="AE284">
            <v>0</v>
          </cell>
          <cell r="AF284">
            <v>64724</v>
          </cell>
          <cell r="AG284" t="str">
            <v>ENGR. MICHAEL C. SALARDA
MS. LEONARDA M. LATOR
MS. CARMENCITA VALDEZ
MS. SORAYA P. VERGARA</v>
          </cell>
          <cell r="AH284" t="str">
            <v>N/A</v>
          </cell>
          <cell r="AI284" t="str">
            <v>N/A</v>
          </cell>
          <cell r="AJ284" t="str">
            <v>N/A</v>
          </cell>
          <cell r="AK284" t="str">
            <v>N/A</v>
          </cell>
          <cell r="AL284" t="str">
            <v>N/A</v>
          </cell>
          <cell r="AM284" t="str">
            <v>N/A</v>
          </cell>
          <cell r="AN284">
            <v>0</v>
          </cell>
          <cell r="AO284">
            <v>0</v>
          </cell>
        </row>
        <row r="285">
          <cell r="A285" t="str">
            <v>24-1713</v>
          </cell>
          <cell r="B285" t="str">
            <v>JOB OUT</v>
          </cell>
          <cell r="C285" t="str">
            <v>PGSO</v>
          </cell>
          <cell r="D285" t="str">
            <v>No</v>
          </cell>
          <cell r="E285" t="str">
            <v>Shopping 52.1(a) - Unforeseen Contingency</v>
          </cell>
          <cell r="F285" t="str">
            <v>N/A</v>
          </cell>
          <cell r="G285">
            <v>45376</v>
          </cell>
          <cell r="H285">
            <v>0</v>
          </cell>
          <cell r="I285" t="str">
            <v>N/A</v>
          </cell>
          <cell r="J285">
            <v>45384</v>
          </cell>
          <cell r="K285">
            <v>45384</v>
          </cell>
          <cell r="L285">
            <v>45384</v>
          </cell>
          <cell r="M285" t="str">
            <v>N/A</v>
          </cell>
          <cell r="N285" t="str">
            <v>N/A</v>
          </cell>
          <cell r="O285">
            <v>45386</v>
          </cell>
          <cell r="P285">
            <v>0</v>
          </cell>
          <cell r="Q285">
            <v>0</v>
          </cell>
          <cell r="R285">
            <v>0</v>
          </cell>
          <cell r="S285" t="str">
            <v>N/A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#N/A</v>
          </cell>
          <cell r="Y285">
            <v>0</v>
          </cell>
          <cell r="Z285">
            <v>0</v>
          </cell>
          <cell r="AA285">
            <v>3500</v>
          </cell>
          <cell r="AB285">
            <v>0</v>
          </cell>
          <cell r="AC285">
            <v>3500</v>
          </cell>
          <cell r="AD285">
            <v>3500</v>
          </cell>
          <cell r="AE285">
            <v>0</v>
          </cell>
          <cell r="AF285">
            <v>3500</v>
          </cell>
          <cell r="AG285" t="str">
            <v>ENGR. MICHAEL C. SALARDA
MS. LEONARDA M. LATOR
MS. CARMENCITA VALDEZ
MS. SORAYA P. VERGARA</v>
          </cell>
          <cell r="AH285" t="str">
            <v>N/A</v>
          </cell>
          <cell r="AI285" t="str">
            <v>N/A</v>
          </cell>
          <cell r="AJ285" t="str">
            <v>N/A</v>
          </cell>
          <cell r="AK285" t="str">
            <v>N/A</v>
          </cell>
          <cell r="AL285" t="str">
            <v>N/A</v>
          </cell>
          <cell r="AM285" t="str">
            <v>N/A</v>
          </cell>
          <cell r="AN285">
            <v>0</v>
          </cell>
          <cell r="AO285">
            <v>0</v>
          </cell>
        </row>
        <row r="286">
          <cell r="A286" t="str">
            <v>24-1786</v>
          </cell>
          <cell r="B286" t="str">
            <v>SPAREPARTS (HEAVY EQUIPT)</v>
          </cell>
          <cell r="C286" t="str">
            <v>PGSO</v>
          </cell>
          <cell r="D286" t="str">
            <v>No</v>
          </cell>
          <cell r="E286" t="str">
            <v>Shopping 52.1(a) - Unforeseen Contingency</v>
          </cell>
          <cell r="F286" t="str">
            <v>N/A</v>
          </cell>
          <cell r="G286">
            <v>45376</v>
          </cell>
          <cell r="H286">
            <v>0</v>
          </cell>
          <cell r="I286" t="str">
            <v>N/A</v>
          </cell>
          <cell r="J286">
            <v>45384</v>
          </cell>
          <cell r="K286">
            <v>45384</v>
          </cell>
          <cell r="L286">
            <v>45384</v>
          </cell>
          <cell r="M286" t="str">
            <v>N/A</v>
          </cell>
          <cell r="N286" t="str">
            <v>N/A</v>
          </cell>
          <cell r="O286">
            <v>45386</v>
          </cell>
          <cell r="P286">
            <v>0</v>
          </cell>
          <cell r="Q286">
            <v>0</v>
          </cell>
          <cell r="R286">
            <v>0</v>
          </cell>
          <cell r="S286" t="str">
            <v>N/A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 t="e">
            <v>#N/A</v>
          </cell>
          <cell r="Y286">
            <v>0</v>
          </cell>
          <cell r="Z286">
            <v>0</v>
          </cell>
          <cell r="AA286">
            <v>1500</v>
          </cell>
          <cell r="AB286">
            <v>0</v>
          </cell>
          <cell r="AC286">
            <v>1500</v>
          </cell>
          <cell r="AD286">
            <v>1500</v>
          </cell>
          <cell r="AE286">
            <v>0</v>
          </cell>
          <cell r="AF286">
            <v>1500</v>
          </cell>
          <cell r="AG286" t="str">
            <v>ENGR. MICHAEL C. SALARDA
MS. LEONARDA M. LATOR
MS. CARMENCITA VALDEZ
MS. SORAYA P. VERGARA</v>
          </cell>
          <cell r="AH286" t="str">
            <v>N/A</v>
          </cell>
          <cell r="AI286" t="str">
            <v>N/A</v>
          </cell>
          <cell r="AJ286" t="str">
            <v>N/A</v>
          </cell>
          <cell r="AK286" t="str">
            <v>N/A</v>
          </cell>
          <cell r="AL286" t="str">
            <v>N/A</v>
          </cell>
          <cell r="AM286" t="str">
            <v>N/A</v>
          </cell>
          <cell r="AN286">
            <v>0</v>
          </cell>
          <cell r="AO286">
            <v>0</v>
          </cell>
        </row>
        <row r="287">
          <cell r="A287" t="str">
            <v>24-1234</v>
          </cell>
          <cell r="B287" t="str">
            <v>SPAREPARTS (MOTORCYCLE)</v>
          </cell>
          <cell r="C287" t="str">
            <v>SPO</v>
          </cell>
          <cell r="D287" t="str">
            <v>No</v>
          </cell>
          <cell r="E287" t="str">
            <v>Shopping 52.1(a) - Unforeseen Contingency</v>
          </cell>
          <cell r="F287" t="str">
            <v>N/A</v>
          </cell>
          <cell r="G287">
            <v>45376</v>
          </cell>
          <cell r="H287">
            <v>0</v>
          </cell>
          <cell r="I287" t="str">
            <v>N/A</v>
          </cell>
          <cell r="J287">
            <v>45384</v>
          </cell>
          <cell r="K287">
            <v>45384</v>
          </cell>
          <cell r="L287">
            <v>45384</v>
          </cell>
          <cell r="M287" t="str">
            <v>N/A</v>
          </cell>
          <cell r="N287" t="str">
            <v>N/A</v>
          </cell>
          <cell r="O287">
            <v>45386</v>
          </cell>
          <cell r="P287">
            <v>0</v>
          </cell>
          <cell r="Q287">
            <v>0</v>
          </cell>
          <cell r="R287">
            <v>0</v>
          </cell>
          <cell r="S287" t="str">
            <v>N/A</v>
          </cell>
          <cell r="T287">
            <v>45406</v>
          </cell>
          <cell r="U287">
            <v>0</v>
          </cell>
          <cell r="V287">
            <v>0</v>
          </cell>
          <cell r="W287">
            <v>0</v>
          </cell>
          <cell r="X287" t="e">
            <v>#N/A</v>
          </cell>
          <cell r="Y287">
            <v>0</v>
          </cell>
          <cell r="Z287">
            <v>0</v>
          </cell>
          <cell r="AA287">
            <v>1100</v>
          </cell>
          <cell r="AB287">
            <v>0</v>
          </cell>
          <cell r="AC287">
            <v>1100</v>
          </cell>
          <cell r="AD287">
            <v>1100</v>
          </cell>
          <cell r="AE287">
            <v>0</v>
          </cell>
          <cell r="AF287">
            <v>1100</v>
          </cell>
          <cell r="AG287" t="str">
            <v>ENGR. MICHAEL C. SALARDA
MS. LEONARDA M. LATOR
MS. CARMENCITA VALDEZ
MS. SORAYA P. VERGARA</v>
          </cell>
          <cell r="AH287" t="str">
            <v>N/A</v>
          </cell>
          <cell r="AI287" t="str">
            <v>N/A</v>
          </cell>
          <cell r="AJ287" t="str">
            <v>N/A</v>
          </cell>
          <cell r="AK287" t="str">
            <v>N/A</v>
          </cell>
          <cell r="AL287" t="str">
            <v>N/A</v>
          </cell>
          <cell r="AM287" t="str">
            <v>N/A</v>
          </cell>
          <cell r="AN287">
            <v>0</v>
          </cell>
          <cell r="AO287">
            <v>0</v>
          </cell>
        </row>
        <row r="288">
          <cell r="A288" t="str">
            <v>24-0264</v>
          </cell>
          <cell r="B288" t="str">
            <v>BOX FILE TOP AND SIDE OPENING</v>
          </cell>
          <cell r="C288" t="str">
            <v>PGO</v>
          </cell>
          <cell r="D288" t="str">
            <v>No</v>
          </cell>
          <cell r="E288" t="str">
            <v>NP-53.9 - Small Value Procurement</v>
          </cell>
          <cell r="F288" t="str">
            <v>N/A</v>
          </cell>
          <cell r="G288">
            <v>45344</v>
          </cell>
          <cell r="H288">
            <v>0</v>
          </cell>
          <cell r="I288" t="str">
            <v>N/A</v>
          </cell>
          <cell r="J288">
            <v>45384</v>
          </cell>
          <cell r="K288">
            <v>45384</v>
          </cell>
          <cell r="L288">
            <v>45384</v>
          </cell>
          <cell r="M288" t="str">
            <v>N/A</v>
          </cell>
          <cell r="N288" t="str">
            <v>N/A</v>
          </cell>
          <cell r="O288">
            <v>45386</v>
          </cell>
          <cell r="P288">
            <v>0</v>
          </cell>
          <cell r="Q288">
            <v>0</v>
          </cell>
          <cell r="R288">
            <v>0</v>
          </cell>
          <cell r="S288" t="str">
            <v>N/A</v>
          </cell>
          <cell r="T288">
            <v>45406</v>
          </cell>
          <cell r="U288">
            <v>0</v>
          </cell>
          <cell r="V288">
            <v>0</v>
          </cell>
          <cell r="W288">
            <v>0</v>
          </cell>
          <cell r="X288" t="e">
            <v>#N/A</v>
          </cell>
          <cell r="Y288">
            <v>0</v>
          </cell>
          <cell r="Z288">
            <v>0</v>
          </cell>
          <cell r="AA288">
            <v>1180</v>
          </cell>
          <cell r="AB288">
            <v>0</v>
          </cell>
          <cell r="AC288">
            <v>1180</v>
          </cell>
          <cell r="AD288">
            <v>1178</v>
          </cell>
          <cell r="AE288">
            <v>0</v>
          </cell>
          <cell r="AF288">
            <v>1178</v>
          </cell>
          <cell r="AG288" t="str">
            <v>ENGR. MICHAEL C. SALARDA
MS. LEONARDA M. LATOR
MS. CARMENCITA VALDEZ
MS. SORAYA P. VERGARA</v>
          </cell>
          <cell r="AH288" t="str">
            <v>N/A</v>
          </cell>
          <cell r="AI288" t="str">
            <v>N/A</v>
          </cell>
          <cell r="AJ288" t="str">
            <v>N/A</v>
          </cell>
          <cell r="AK288" t="str">
            <v>N/A</v>
          </cell>
          <cell r="AL288" t="str">
            <v>N/A</v>
          </cell>
          <cell r="AM288" t="str">
            <v>N/A</v>
          </cell>
          <cell r="AN288">
            <v>0</v>
          </cell>
          <cell r="AO288">
            <v>0</v>
          </cell>
        </row>
        <row r="289">
          <cell r="A289" t="str">
            <v>24-C1099</v>
          </cell>
          <cell r="B289" t="str">
            <v>JANITORIAL SUPPLIES</v>
          </cell>
          <cell r="C289" t="str">
            <v>PASSO</v>
          </cell>
          <cell r="D289" t="str">
            <v>No</v>
          </cell>
          <cell r="E289" t="str">
            <v>NP-53.9 - Small Value Procurement</v>
          </cell>
          <cell r="F289" t="str">
            <v>N/A</v>
          </cell>
          <cell r="G289">
            <v>45352</v>
          </cell>
          <cell r="H289">
            <v>0</v>
          </cell>
          <cell r="I289" t="str">
            <v>N/A</v>
          </cell>
          <cell r="J289">
            <v>45384</v>
          </cell>
          <cell r="K289">
            <v>45384</v>
          </cell>
          <cell r="L289">
            <v>45384</v>
          </cell>
          <cell r="M289" t="str">
            <v>N/A</v>
          </cell>
          <cell r="N289" t="str">
            <v>N/A</v>
          </cell>
          <cell r="O289">
            <v>45386</v>
          </cell>
          <cell r="P289">
            <v>0</v>
          </cell>
          <cell r="Q289">
            <v>0</v>
          </cell>
          <cell r="R289">
            <v>0</v>
          </cell>
          <cell r="S289" t="str">
            <v>N/A</v>
          </cell>
          <cell r="T289">
            <v>45405</v>
          </cell>
          <cell r="U289">
            <v>0</v>
          </cell>
          <cell r="V289">
            <v>0</v>
          </cell>
          <cell r="W289">
            <v>0</v>
          </cell>
          <cell r="X289">
            <v>45440</v>
          </cell>
          <cell r="Y289">
            <v>0</v>
          </cell>
          <cell r="Z289">
            <v>0</v>
          </cell>
          <cell r="AA289">
            <v>41732</v>
          </cell>
          <cell r="AB289">
            <v>0</v>
          </cell>
          <cell r="AC289">
            <v>41732</v>
          </cell>
          <cell r="AD289">
            <v>41610.5</v>
          </cell>
          <cell r="AE289">
            <v>0</v>
          </cell>
          <cell r="AF289">
            <v>41610.5</v>
          </cell>
          <cell r="AG289" t="str">
            <v>ENGR. MICHAEL C. SALARDA
MS. LEONARDA M. LATOR
MS. CARMENCITA VALDEZ
MS. SORAYA P. VERGARA</v>
          </cell>
          <cell r="AH289" t="str">
            <v>N/A</v>
          </cell>
          <cell r="AI289" t="str">
            <v>N/A</v>
          </cell>
          <cell r="AJ289" t="str">
            <v>N/A</v>
          </cell>
          <cell r="AK289" t="str">
            <v>N/A</v>
          </cell>
          <cell r="AL289" t="str">
            <v>N/A</v>
          </cell>
          <cell r="AM289" t="str">
            <v>N/A</v>
          </cell>
          <cell r="AN289">
            <v>0</v>
          </cell>
          <cell r="AO289">
            <v>0</v>
          </cell>
        </row>
        <row r="290">
          <cell r="A290" t="str">
            <v>24-0527</v>
          </cell>
          <cell r="B290" t="str">
            <v>GLOVES, LAUNDRY</v>
          </cell>
          <cell r="C290" t="str">
            <v>PDRRMO</v>
          </cell>
          <cell r="D290" t="str">
            <v>No</v>
          </cell>
          <cell r="E290" t="str">
            <v>NP-53.9 - Small Value Procurement</v>
          </cell>
          <cell r="F290" t="str">
            <v>N/A</v>
          </cell>
          <cell r="G290">
            <v>45352</v>
          </cell>
          <cell r="H290">
            <v>0</v>
          </cell>
          <cell r="I290" t="str">
            <v>N/A</v>
          </cell>
          <cell r="J290">
            <v>45384</v>
          </cell>
          <cell r="K290">
            <v>45384</v>
          </cell>
          <cell r="L290">
            <v>45384</v>
          </cell>
          <cell r="M290" t="str">
            <v>N/A</v>
          </cell>
          <cell r="N290" t="str">
            <v>N/A</v>
          </cell>
          <cell r="O290">
            <v>45386</v>
          </cell>
          <cell r="P290">
            <v>0</v>
          </cell>
          <cell r="Q290">
            <v>0</v>
          </cell>
          <cell r="R290">
            <v>0</v>
          </cell>
          <cell r="S290" t="str">
            <v>N/A</v>
          </cell>
          <cell r="T290">
            <v>45406</v>
          </cell>
          <cell r="U290">
            <v>0</v>
          </cell>
          <cell r="V290">
            <v>0</v>
          </cell>
          <cell r="W290">
            <v>0</v>
          </cell>
          <cell r="X290" t="e">
            <v>#N/A</v>
          </cell>
          <cell r="Y290">
            <v>0</v>
          </cell>
          <cell r="Z290">
            <v>0</v>
          </cell>
          <cell r="AA290">
            <v>1104</v>
          </cell>
          <cell r="AB290">
            <v>0</v>
          </cell>
          <cell r="AC290">
            <v>1104</v>
          </cell>
          <cell r="AD290">
            <v>1080</v>
          </cell>
          <cell r="AE290">
            <v>0</v>
          </cell>
          <cell r="AF290">
            <v>1080</v>
          </cell>
          <cell r="AG290" t="str">
            <v>ENGR. MICHAEL C. SALARDA
MS. LEONARDA M. LATOR
MS. CARMENCITA VALDEZ
MS. SORAYA P. VERGARA</v>
          </cell>
          <cell r="AH290" t="str">
            <v>N/A</v>
          </cell>
          <cell r="AI290" t="str">
            <v>N/A</v>
          </cell>
          <cell r="AJ290" t="str">
            <v>N/A</v>
          </cell>
          <cell r="AK290" t="str">
            <v>N/A</v>
          </cell>
          <cell r="AL290" t="str">
            <v>N/A</v>
          </cell>
          <cell r="AM290" t="str">
            <v>N/A</v>
          </cell>
          <cell r="AN290">
            <v>0</v>
          </cell>
          <cell r="AO290">
            <v>0</v>
          </cell>
        </row>
        <row r="291">
          <cell r="A291" t="str">
            <v>24-0031</v>
          </cell>
          <cell r="B291" t="str">
            <v>TRAINING FOLDING TABLE</v>
          </cell>
          <cell r="C291" t="str">
            <v>PTO</v>
          </cell>
          <cell r="D291" t="str">
            <v>No</v>
          </cell>
          <cell r="E291" t="str">
            <v>NP-53.9 - Small Value Procurement</v>
          </cell>
          <cell r="F291" t="str">
            <v>N/A</v>
          </cell>
          <cell r="G291">
            <v>45352</v>
          </cell>
          <cell r="H291">
            <v>0</v>
          </cell>
          <cell r="I291" t="str">
            <v>N/A</v>
          </cell>
          <cell r="J291">
            <v>45384</v>
          </cell>
          <cell r="K291">
            <v>45384</v>
          </cell>
          <cell r="L291">
            <v>45384</v>
          </cell>
          <cell r="M291" t="str">
            <v>N/A</v>
          </cell>
          <cell r="N291" t="str">
            <v>N/A</v>
          </cell>
          <cell r="O291">
            <v>45386</v>
          </cell>
          <cell r="P291">
            <v>0</v>
          </cell>
          <cell r="Q291">
            <v>0</v>
          </cell>
          <cell r="R291">
            <v>0</v>
          </cell>
          <cell r="S291" t="str">
            <v>N/A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 t="e">
            <v>#N/A</v>
          </cell>
          <cell r="Y291">
            <v>0</v>
          </cell>
          <cell r="Z291">
            <v>0</v>
          </cell>
          <cell r="AA291">
            <v>13860</v>
          </cell>
          <cell r="AB291">
            <v>0</v>
          </cell>
          <cell r="AC291">
            <v>13860</v>
          </cell>
          <cell r="AD291">
            <v>13500</v>
          </cell>
          <cell r="AE291">
            <v>0</v>
          </cell>
          <cell r="AF291">
            <v>13500</v>
          </cell>
          <cell r="AG291" t="str">
            <v>ENGR. MICHAEL C. SALARDA
MS. LEONARDA M. LATOR
MS. CARMENCITA VALDEZ
MS. SORAYA P. VERGARA</v>
          </cell>
          <cell r="AH291" t="str">
            <v>N/A</v>
          </cell>
          <cell r="AI291" t="str">
            <v>N/A</v>
          </cell>
          <cell r="AJ291" t="str">
            <v>N/A</v>
          </cell>
          <cell r="AK291" t="str">
            <v>N/A</v>
          </cell>
          <cell r="AL291" t="str">
            <v>N/A</v>
          </cell>
          <cell r="AM291" t="str">
            <v>N/A</v>
          </cell>
          <cell r="AN291">
            <v>0</v>
          </cell>
          <cell r="AO291">
            <v>0</v>
          </cell>
        </row>
        <row r="292">
          <cell r="A292" t="str">
            <v>24-C1086</v>
          </cell>
          <cell r="B292" t="str">
            <v xml:space="preserve">BRAKE FLUID </v>
          </cell>
          <cell r="C292" t="str">
            <v>PDRRMO</v>
          </cell>
          <cell r="D292" t="str">
            <v>No</v>
          </cell>
          <cell r="E292" t="str">
            <v>NP-53.9 - Small Value Procurement</v>
          </cell>
          <cell r="F292" t="str">
            <v>N/A</v>
          </cell>
          <cell r="G292">
            <v>45352</v>
          </cell>
          <cell r="H292">
            <v>0</v>
          </cell>
          <cell r="I292" t="str">
            <v>N/A</v>
          </cell>
          <cell r="J292">
            <v>45384</v>
          </cell>
          <cell r="K292">
            <v>45384</v>
          </cell>
          <cell r="L292">
            <v>45384</v>
          </cell>
          <cell r="M292" t="str">
            <v>N/A</v>
          </cell>
          <cell r="N292" t="str">
            <v>N/A</v>
          </cell>
          <cell r="O292">
            <v>45386</v>
          </cell>
          <cell r="P292">
            <v>0</v>
          </cell>
          <cell r="Q292">
            <v>0</v>
          </cell>
          <cell r="R292">
            <v>0</v>
          </cell>
          <cell r="S292" t="str">
            <v>N/A</v>
          </cell>
          <cell r="T292">
            <v>45406</v>
          </cell>
          <cell r="U292">
            <v>0</v>
          </cell>
          <cell r="V292">
            <v>0</v>
          </cell>
          <cell r="W292">
            <v>0</v>
          </cell>
          <cell r="X292">
            <v>45428</v>
          </cell>
          <cell r="Y292">
            <v>0</v>
          </cell>
          <cell r="Z292">
            <v>0</v>
          </cell>
          <cell r="AA292">
            <v>19592</v>
          </cell>
          <cell r="AB292">
            <v>0</v>
          </cell>
          <cell r="AC292">
            <v>19592</v>
          </cell>
          <cell r="AD292">
            <v>19260</v>
          </cell>
          <cell r="AE292">
            <v>0</v>
          </cell>
          <cell r="AF292">
            <v>19260</v>
          </cell>
          <cell r="AG292" t="str">
            <v>ENGR. MICHAEL C. SALARDA
MS. LEONARDA M. LATOR
MS. CARMENCITA VALDEZ
MS. SORAYA P. VERGARA</v>
          </cell>
          <cell r="AH292" t="str">
            <v>N/A</v>
          </cell>
          <cell r="AI292" t="str">
            <v>N/A</v>
          </cell>
          <cell r="AJ292" t="str">
            <v>N/A</v>
          </cell>
          <cell r="AK292" t="str">
            <v>N/A</v>
          </cell>
          <cell r="AL292" t="str">
            <v>N/A</v>
          </cell>
          <cell r="AM292" t="str">
            <v>N/A</v>
          </cell>
          <cell r="AN292">
            <v>0</v>
          </cell>
          <cell r="AO292">
            <v>0</v>
          </cell>
        </row>
        <row r="293">
          <cell r="A293" t="str">
            <v>24-1698</v>
          </cell>
          <cell r="B293" t="str">
            <v>PRINTING</v>
          </cell>
          <cell r="C293" t="str">
            <v>PAO</v>
          </cell>
          <cell r="D293" t="str">
            <v>No</v>
          </cell>
          <cell r="E293" t="str">
            <v>NP-53.9 - Small Value Procurement</v>
          </cell>
          <cell r="F293" t="str">
            <v>N/A</v>
          </cell>
          <cell r="G293">
            <v>45371</v>
          </cell>
          <cell r="H293">
            <v>0</v>
          </cell>
          <cell r="I293" t="str">
            <v>N/A</v>
          </cell>
          <cell r="J293">
            <v>45384</v>
          </cell>
          <cell r="K293">
            <v>45384</v>
          </cell>
          <cell r="L293">
            <v>45384</v>
          </cell>
          <cell r="M293" t="str">
            <v>N/A</v>
          </cell>
          <cell r="N293" t="str">
            <v>N/A</v>
          </cell>
          <cell r="O293">
            <v>45386</v>
          </cell>
          <cell r="P293">
            <v>0</v>
          </cell>
          <cell r="Q293">
            <v>0</v>
          </cell>
          <cell r="R293">
            <v>0</v>
          </cell>
          <cell r="S293">
            <v>45387</v>
          </cell>
          <cell r="T293">
            <v>45406</v>
          </cell>
          <cell r="U293">
            <v>0</v>
          </cell>
          <cell r="V293">
            <v>0</v>
          </cell>
          <cell r="W293">
            <v>0</v>
          </cell>
          <cell r="X293" t="e">
            <v>#N/A</v>
          </cell>
          <cell r="Y293">
            <v>0</v>
          </cell>
          <cell r="Z293">
            <v>0</v>
          </cell>
          <cell r="AA293">
            <v>120000</v>
          </cell>
          <cell r="AB293">
            <v>0</v>
          </cell>
          <cell r="AC293">
            <v>120000</v>
          </cell>
          <cell r="AD293">
            <v>118500</v>
          </cell>
          <cell r="AE293">
            <v>0</v>
          </cell>
          <cell r="AF293">
            <v>118500</v>
          </cell>
          <cell r="AG293" t="str">
            <v>ENGR. MICHAEL C. SALARDA
MS. LEONARDA M. LATOR
MS. CARMENCITA VALDEZ
MS. SORAYA P. VERGARA</v>
          </cell>
          <cell r="AH293" t="str">
            <v>N/A</v>
          </cell>
          <cell r="AI293" t="str">
            <v>N/A</v>
          </cell>
          <cell r="AJ293" t="str">
            <v>N/A</v>
          </cell>
          <cell r="AK293" t="str">
            <v>N/A</v>
          </cell>
          <cell r="AL293" t="str">
            <v>N/A</v>
          </cell>
          <cell r="AM293" t="str">
            <v>N/A</v>
          </cell>
          <cell r="AN293">
            <v>0</v>
          </cell>
          <cell r="AO293">
            <v>0</v>
          </cell>
        </row>
        <row r="294">
          <cell r="A294" t="str">
            <v>24-0269</v>
          </cell>
          <cell r="B294" t="str">
            <v>GARMENTS</v>
          </cell>
          <cell r="C294" t="str">
            <v>PENRO</v>
          </cell>
          <cell r="D294" t="str">
            <v>No</v>
          </cell>
          <cell r="E294" t="str">
            <v>NP-53.9 - Small Value Procurement</v>
          </cell>
          <cell r="F294" t="str">
            <v>N/A</v>
          </cell>
          <cell r="G294">
            <v>45371</v>
          </cell>
          <cell r="H294">
            <v>0</v>
          </cell>
          <cell r="I294" t="str">
            <v>N/A</v>
          </cell>
          <cell r="J294">
            <v>45384</v>
          </cell>
          <cell r="K294">
            <v>45384</v>
          </cell>
          <cell r="L294">
            <v>45384</v>
          </cell>
          <cell r="M294" t="str">
            <v>N/A</v>
          </cell>
          <cell r="N294" t="str">
            <v>N/A</v>
          </cell>
          <cell r="O294">
            <v>45386</v>
          </cell>
          <cell r="P294">
            <v>0</v>
          </cell>
          <cell r="Q294">
            <v>0</v>
          </cell>
          <cell r="R294">
            <v>0</v>
          </cell>
          <cell r="S294" t="str">
            <v>N/A</v>
          </cell>
          <cell r="T294">
            <v>45406</v>
          </cell>
          <cell r="U294">
            <v>0</v>
          </cell>
          <cell r="V294">
            <v>0</v>
          </cell>
          <cell r="W294">
            <v>0</v>
          </cell>
          <cell r="X294" t="e">
            <v>#N/A</v>
          </cell>
          <cell r="Y294">
            <v>0</v>
          </cell>
          <cell r="Z294">
            <v>0</v>
          </cell>
          <cell r="AA294">
            <v>12000</v>
          </cell>
          <cell r="AB294">
            <v>0</v>
          </cell>
          <cell r="AC294">
            <v>12000</v>
          </cell>
          <cell r="AD294">
            <v>11400</v>
          </cell>
          <cell r="AE294">
            <v>0</v>
          </cell>
          <cell r="AF294">
            <v>11400</v>
          </cell>
          <cell r="AG294" t="str">
            <v>ENGR. MICHAEL C. SALARDA
MS. LEONARDA M. LATOR
MS. CARMENCITA VALDEZ
MS. SORAYA P. VERGARA</v>
          </cell>
          <cell r="AH294" t="str">
            <v>N/A</v>
          </cell>
          <cell r="AI294" t="str">
            <v>N/A</v>
          </cell>
          <cell r="AJ294" t="str">
            <v>N/A</v>
          </cell>
          <cell r="AK294" t="str">
            <v>N/A</v>
          </cell>
          <cell r="AL294" t="str">
            <v>N/A</v>
          </cell>
          <cell r="AM294" t="str">
            <v>N/A</v>
          </cell>
          <cell r="AN294">
            <v>0</v>
          </cell>
          <cell r="AO294">
            <v>0</v>
          </cell>
        </row>
        <row r="295">
          <cell r="A295" t="str">
            <v>24-0987</v>
          </cell>
          <cell r="B295" t="str">
            <v>PLAQUE/TROPHIES/MEDAL</v>
          </cell>
          <cell r="C295" t="str">
            <v>PAGRO</v>
          </cell>
          <cell r="D295" t="str">
            <v>No</v>
          </cell>
          <cell r="E295" t="str">
            <v>NP-53.9 - Small Value Procurement</v>
          </cell>
          <cell r="F295" t="str">
            <v>N/A</v>
          </cell>
          <cell r="G295">
            <v>45371</v>
          </cell>
          <cell r="H295">
            <v>0</v>
          </cell>
          <cell r="I295" t="str">
            <v>N/A</v>
          </cell>
          <cell r="J295">
            <v>45384</v>
          </cell>
          <cell r="K295">
            <v>45384</v>
          </cell>
          <cell r="L295">
            <v>45384</v>
          </cell>
          <cell r="M295" t="str">
            <v>N/A</v>
          </cell>
          <cell r="N295" t="str">
            <v>N/A</v>
          </cell>
          <cell r="O295">
            <v>45386</v>
          </cell>
          <cell r="P295">
            <v>0</v>
          </cell>
          <cell r="Q295">
            <v>0</v>
          </cell>
          <cell r="R295">
            <v>0</v>
          </cell>
          <cell r="S295">
            <v>45406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8250</v>
          </cell>
          <cell r="AB295">
            <v>0</v>
          </cell>
          <cell r="AC295">
            <v>8250</v>
          </cell>
          <cell r="AD295">
            <v>6500</v>
          </cell>
          <cell r="AE295">
            <v>0</v>
          </cell>
          <cell r="AF295">
            <v>6500</v>
          </cell>
          <cell r="AG295" t="str">
            <v>ENGR. MICHAEL C. SALARDA
MS. LEONARDA M. LATOR
MS. CARMENCITA VALDEZ
MS. SORAYA P. VERGARA</v>
          </cell>
          <cell r="AH295" t="str">
            <v>N/A</v>
          </cell>
          <cell r="AI295" t="str">
            <v>N/A</v>
          </cell>
          <cell r="AJ295" t="str">
            <v>N/A</v>
          </cell>
          <cell r="AK295" t="str">
            <v>N/A</v>
          </cell>
          <cell r="AL295" t="str">
            <v>N/A</v>
          </cell>
          <cell r="AM295" t="str">
            <v>N/A</v>
          </cell>
          <cell r="AN295">
            <v>0</v>
          </cell>
          <cell r="AO295">
            <v>0</v>
          </cell>
        </row>
        <row r="296">
          <cell r="A296" t="str">
            <v>24-0997</v>
          </cell>
          <cell r="B296" t="str">
            <v>PRINTING</v>
          </cell>
          <cell r="C296" t="str">
            <v>PAGRO</v>
          </cell>
          <cell r="D296" t="str">
            <v>No</v>
          </cell>
          <cell r="E296" t="str">
            <v>NP-53.9 - Small Value Procurement</v>
          </cell>
          <cell r="F296" t="str">
            <v>N/A</v>
          </cell>
          <cell r="G296">
            <v>45371</v>
          </cell>
          <cell r="H296">
            <v>0</v>
          </cell>
          <cell r="I296" t="str">
            <v>N/A</v>
          </cell>
          <cell r="J296">
            <v>45384</v>
          </cell>
          <cell r="K296">
            <v>45384</v>
          </cell>
          <cell r="L296">
            <v>45384</v>
          </cell>
          <cell r="M296" t="str">
            <v>N/A</v>
          </cell>
          <cell r="N296" t="str">
            <v>N/A</v>
          </cell>
          <cell r="O296">
            <v>45386</v>
          </cell>
          <cell r="P296">
            <v>0</v>
          </cell>
          <cell r="Q296">
            <v>0</v>
          </cell>
          <cell r="R296">
            <v>0</v>
          </cell>
          <cell r="S296">
            <v>45406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 t="e">
            <v>#N/A</v>
          </cell>
          <cell r="Y296">
            <v>0</v>
          </cell>
          <cell r="Z296">
            <v>0</v>
          </cell>
          <cell r="AA296">
            <v>3500</v>
          </cell>
          <cell r="AB296">
            <v>0</v>
          </cell>
          <cell r="AC296">
            <v>3500</v>
          </cell>
          <cell r="AD296">
            <v>3500</v>
          </cell>
          <cell r="AE296">
            <v>0</v>
          </cell>
          <cell r="AF296">
            <v>3500</v>
          </cell>
          <cell r="AG296" t="str">
            <v>ENGR. MICHAEL C. SALARDA
MS. LEONARDA M. LATOR
MS. CARMENCITA VALDEZ
MS. SORAYA P. VERGARA</v>
          </cell>
          <cell r="AH296" t="str">
            <v>N/A</v>
          </cell>
          <cell r="AI296" t="str">
            <v>N/A</v>
          </cell>
          <cell r="AJ296" t="str">
            <v>N/A</v>
          </cell>
          <cell r="AK296" t="str">
            <v>N/A</v>
          </cell>
          <cell r="AL296" t="str">
            <v>N/A</v>
          </cell>
          <cell r="AM296" t="str">
            <v>N/A</v>
          </cell>
          <cell r="AN296">
            <v>0</v>
          </cell>
          <cell r="AO296">
            <v>0</v>
          </cell>
        </row>
        <row r="297">
          <cell r="A297" t="str">
            <v>24-1756</v>
          </cell>
          <cell r="B297" t="str">
            <v>FOOD/CATERING SERVICES</v>
          </cell>
          <cell r="C297" t="str">
            <v>PAO</v>
          </cell>
          <cell r="D297" t="str">
            <v>No</v>
          </cell>
          <cell r="E297" t="str">
            <v>NP-53.9 - Small Value Procurement</v>
          </cell>
          <cell r="F297" t="str">
            <v>N/A</v>
          </cell>
          <cell r="G297">
            <v>45371</v>
          </cell>
          <cell r="H297">
            <v>0</v>
          </cell>
          <cell r="I297" t="str">
            <v>N/A</v>
          </cell>
          <cell r="J297">
            <v>45384</v>
          </cell>
          <cell r="K297">
            <v>45384</v>
          </cell>
          <cell r="L297">
            <v>45384</v>
          </cell>
          <cell r="M297" t="str">
            <v>N/A</v>
          </cell>
          <cell r="N297" t="str">
            <v>N/A</v>
          </cell>
          <cell r="O297">
            <v>45386</v>
          </cell>
          <cell r="P297">
            <v>0</v>
          </cell>
          <cell r="Q297">
            <v>0</v>
          </cell>
          <cell r="R297">
            <v>0</v>
          </cell>
          <cell r="S297">
            <v>45400</v>
          </cell>
          <cell r="T297">
            <v>45400</v>
          </cell>
          <cell r="U297">
            <v>0</v>
          </cell>
          <cell r="V297">
            <v>0</v>
          </cell>
          <cell r="W297">
            <v>0</v>
          </cell>
          <cell r="X297" t="e">
            <v>#N/A</v>
          </cell>
          <cell r="Y297">
            <v>0</v>
          </cell>
          <cell r="Z297">
            <v>0</v>
          </cell>
          <cell r="AA297">
            <v>30000</v>
          </cell>
          <cell r="AB297">
            <v>0</v>
          </cell>
          <cell r="AC297">
            <v>30000</v>
          </cell>
          <cell r="AD297">
            <v>30000</v>
          </cell>
          <cell r="AE297">
            <v>0</v>
          </cell>
          <cell r="AF297">
            <v>30000</v>
          </cell>
          <cell r="AG297" t="str">
            <v>ENGR. MICHAEL C. SALARDA
MS. LEONARDA M. LATOR
MS. CARMENCITA VALDEZ
MS. SORAYA P. VERGARA</v>
          </cell>
          <cell r="AH297" t="str">
            <v>N/A</v>
          </cell>
          <cell r="AI297" t="str">
            <v>N/A</v>
          </cell>
          <cell r="AJ297" t="str">
            <v>N/A</v>
          </cell>
          <cell r="AK297" t="str">
            <v>N/A</v>
          </cell>
          <cell r="AL297" t="str">
            <v>N/A</v>
          </cell>
          <cell r="AM297" t="str">
            <v>N/A</v>
          </cell>
          <cell r="AN297">
            <v>0</v>
          </cell>
          <cell r="AO297">
            <v>0</v>
          </cell>
        </row>
        <row r="298">
          <cell r="A298" t="str">
            <v>24-C0965</v>
          </cell>
          <cell r="B298" t="str">
            <v>FOOD/CATERING SERVICES</v>
          </cell>
          <cell r="C298" t="str">
            <v>PASSO</v>
          </cell>
          <cell r="D298" t="str">
            <v>No</v>
          </cell>
          <cell r="E298" t="str">
            <v>NP-53.9 - Small Value Procurement</v>
          </cell>
          <cell r="F298" t="str">
            <v>N/A</v>
          </cell>
          <cell r="G298">
            <v>45371</v>
          </cell>
          <cell r="H298">
            <v>0</v>
          </cell>
          <cell r="I298" t="str">
            <v>N/A</v>
          </cell>
          <cell r="J298">
            <v>45384</v>
          </cell>
          <cell r="K298">
            <v>45384</v>
          </cell>
          <cell r="L298">
            <v>45384</v>
          </cell>
          <cell r="M298" t="str">
            <v>N/A</v>
          </cell>
          <cell r="N298" t="str">
            <v>N/A</v>
          </cell>
          <cell r="O298">
            <v>45386</v>
          </cell>
          <cell r="P298">
            <v>0</v>
          </cell>
          <cell r="Q298">
            <v>0</v>
          </cell>
          <cell r="R298">
            <v>0</v>
          </cell>
          <cell r="S298" t="str">
            <v>N/A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36250</v>
          </cell>
          <cell r="AB298">
            <v>0</v>
          </cell>
          <cell r="AC298">
            <v>36250</v>
          </cell>
          <cell r="AD298">
            <v>36250</v>
          </cell>
          <cell r="AE298">
            <v>0</v>
          </cell>
          <cell r="AF298">
            <v>36250</v>
          </cell>
          <cell r="AG298" t="str">
            <v>ENGR. MICHAEL C. SALARDA
MS. LEONARDA M. LATOR
MS. CARMENCITA VALDEZ
MS. SORAYA P. VERGARA</v>
          </cell>
          <cell r="AH298" t="str">
            <v>N/A</v>
          </cell>
          <cell r="AI298" t="str">
            <v>N/A</v>
          </cell>
          <cell r="AJ298" t="str">
            <v>N/A</v>
          </cell>
          <cell r="AK298" t="str">
            <v>N/A</v>
          </cell>
          <cell r="AL298" t="str">
            <v>N/A</v>
          </cell>
          <cell r="AM298" t="str">
            <v>N/A</v>
          </cell>
          <cell r="AN298">
            <v>0</v>
          </cell>
          <cell r="AO298">
            <v>0</v>
          </cell>
        </row>
        <row r="299">
          <cell r="A299" t="str">
            <v>24-1735</v>
          </cell>
          <cell r="B299" t="str">
            <v>FOOD/CATERING SERVICES</v>
          </cell>
          <cell r="C299" t="str">
            <v>PAO</v>
          </cell>
          <cell r="D299" t="str">
            <v>No</v>
          </cell>
          <cell r="E299" t="str">
            <v>NP-53.9 - Small Value Procurement</v>
          </cell>
          <cell r="F299" t="str">
            <v>N/A</v>
          </cell>
          <cell r="G299">
            <v>45371</v>
          </cell>
          <cell r="H299">
            <v>0</v>
          </cell>
          <cell r="I299" t="str">
            <v>N/A</v>
          </cell>
          <cell r="J299">
            <v>45384</v>
          </cell>
          <cell r="K299">
            <v>45384</v>
          </cell>
          <cell r="L299">
            <v>45384</v>
          </cell>
          <cell r="M299" t="str">
            <v>N/A</v>
          </cell>
          <cell r="N299" t="str">
            <v>N/A</v>
          </cell>
          <cell r="O299">
            <v>45386</v>
          </cell>
          <cell r="P299">
            <v>0</v>
          </cell>
          <cell r="Q299">
            <v>0</v>
          </cell>
          <cell r="R299">
            <v>0</v>
          </cell>
          <cell r="S299">
            <v>45390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 t="e">
            <v>#N/A</v>
          </cell>
          <cell r="Y299">
            <v>0</v>
          </cell>
          <cell r="Z299">
            <v>0</v>
          </cell>
          <cell r="AA299">
            <v>150000</v>
          </cell>
          <cell r="AB299">
            <v>0</v>
          </cell>
          <cell r="AC299">
            <v>150000</v>
          </cell>
          <cell r="AD299">
            <v>148250</v>
          </cell>
          <cell r="AE299">
            <v>0</v>
          </cell>
          <cell r="AF299">
            <v>148250</v>
          </cell>
          <cell r="AG299" t="str">
            <v>ENGR. MICHAEL C. SALARDA
MS. LEONARDA M. LATOR
MS. CARMENCITA VALDEZ
MS. SORAYA P. VERGARA</v>
          </cell>
          <cell r="AH299" t="str">
            <v>N/A</v>
          </cell>
          <cell r="AI299" t="str">
            <v>N/A</v>
          </cell>
          <cell r="AJ299" t="str">
            <v>N/A</v>
          </cell>
          <cell r="AK299" t="str">
            <v>N/A</v>
          </cell>
          <cell r="AL299" t="str">
            <v>N/A</v>
          </cell>
          <cell r="AM299" t="str">
            <v>N/A</v>
          </cell>
          <cell r="AN299">
            <v>0</v>
          </cell>
          <cell r="AO299">
            <v>0</v>
          </cell>
        </row>
        <row r="300">
          <cell r="A300" t="str">
            <v>24-1212</v>
          </cell>
          <cell r="B300" t="str">
            <v>ELECTRICAL SUPPLIES</v>
          </cell>
          <cell r="C300" t="str">
            <v>PHO</v>
          </cell>
          <cell r="D300" t="str">
            <v>No</v>
          </cell>
          <cell r="E300" t="str">
            <v>NP-53.9 - Small Value Procurement</v>
          </cell>
          <cell r="F300" t="str">
            <v>N/A</v>
          </cell>
          <cell r="G300">
            <v>45371</v>
          </cell>
          <cell r="H300">
            <v>0</v>
          </cell>
          <cell r="I300" t="str">
            <v>N/A</v>
          </cell>
          <cell r="J300">
            <v>45384</v>
          </cell>
          <cell r="K300">
            <v>45384</v>
          </cell>
          <cell r="L300">
            <v>45384</v>
          </cell>
          <cell r="M300" t="str">
            <v>N/A</v>
          </cell>
          <cell r="N300" t="str">
            <v>N/A</v>
          </cell>
          <cell r="O300">
            <v>45386</v>
          </cell>
          <cell r="P300">
            <v>0</v>
          </cell>
          <cell r="Q300">
            <v>0</v>
          </cell>
          <cell r="R300">
            <v>0</v>
          </cell>
          <cell r="S300">
            <v>45393</v>
          </cell>
          <cell r="T300">
            <v>45405</v>
          </cell>
          <cell r="U300">
            <v>0</v>
          </cell>
          <cell r="V300">
            <v>0</v>
          </cell>
          <cell r="W300">
            <v>0</v>
          </cell>
          <cell r="X300" t="e">
            <v>#N/A</v>
          </cell>
          <cell r="Y300">
            <v>0</v>
          </cell>
          <cell r="Z300">
            <v>0</v>
          </cell>
          <cell r="AA300">
            <v>65650</v>
          </cell>
          <cell r="AB300">
            <v>0</v>
          </cell>
          <cell r="AC300">
            <v>65650</v>
          </cell>
          <cell r="AD300">
            <v>40400</v>
          </cell>
          <cell r="AE300">
            <v>0</v>
          </cell>
          <cell r="AF300">
            <v>40400</v>
          </cell>
          <cell r="AG300" t="str">
            <v>ENGR. MICHAEL C. SALARDA
MS. LEONARDA M. LATOR
MS. CARMENCITA VALDEZ
MS. SORAYA P. VERGARA</v>
          </cell>
          <cell r="AH300" t="str">
            <v>N/A</v>
          </cell>
          <cell r="AI300" t="str">
            <v>N/A</v>
          </cell>
          <cell r="AJ300" t="str">
            <v>N/A</v>
          </cell>
          <cell r="AK300" t="str">
            <v>N/A</v>
          </cell>
          <cell r="AL300" t="str">
            <v>N/A</v>
          </cell>
          <cell r="AM300" t="str">
            <v>N/A</v>
          </cell>
          <cell r="AN300">
            <v>0</v>
          </cell>
          <cell r="AO300">
            <v>0</v>
          </cell>
        </row>
        <row r="301">
          <cell r="A301" t="str">
            <v>24-1798</v>
          </cell>
          <cell r="B301" t="str">
            <v>FOOD/CATERING SERVICES</v>
          </cell>
          <cell r="C301" t="str">
            <v>PIAO</v>
          </cell>
          <cell r="D301" t="str">
            <v>No</v>
          </cell>
          <cell r="E301" t="str">
            <v>NP-53.9 - Small Value Procurement</v>
          </cell>
          <cell r="F301" t="str">
            <v>N/A</v>
          </cell>
          <cell r="G301">
            <v>45371</v>
          </cell>
          <cell r="H301">
            <v>0</v>
          </cell>
          <cell r="I301" t="str">
            <v>N/A</v>
          </cell>
          <cell r="J301">
            <v>45384</v>
          </cell>
          <cell r="K301">
            <v>45384</v>
          </cell>
          <cell r="L301">
            <v>45384</v>
          </cell>
          <cell r="M301" t="str">
            <v>N/A</v>
          </cell>
          <cell r="N301" t="str">
            <v>N/A</v>
          </cell>
          <cell r="O301">
            <v>45386</v>
          </cell>
          <cell r="P301">
            <v>0</v>
          </cell>
          <cell r="Q301">
            <v>0</v>
          </cell>
          <cell r="R301">
            <v>0</v>
          </cell>
          <cell r="S301" t="str">
            <v>N/A</v>
          </cell>
          <cell r="T301">
            <v>45405</v>
          </cell>
          <cell r="U301">
            <v>0</v>
          </cell>
          <cell r="V301">
            <v>0</v>
          </cell>
          <cell r="W301">
            <v>0</v>
          </cell>
          <cell r="X301" t="e">
            <v>#N/A</v>
          </cell>
          <cell r="Y301">
            <v>0</v>
          </cell>
          <cell r="Z301">
            <v>0</v>
          </cell>
          <cell r="AA301">
            <v>17000</v>
          </cell>
          <cell r="AB301">
            <v>0</v>
          </cell>
          <cell r="AC301">
            <v>17000</v>
          </cell>
          <cell r="AD301">
            <v>16500</v>
          </cell>
          <cell r="AE301">
            <v>0</v>
          </cell>
          <cell r="AF301">
            <v>16500</v>
          </cell>
          <cell r="AG301" t="str">
            <v>ENGR. MICHAEL C. SALARDA
MS. LEONARDA M. LATOR
MS. CARMENCITA VALDEZ
MS. SORAYA P. VERGARA</v>
          </cell>
          <cell r="AH301" t="str">
            <v>N/A</v>
          </cell>
          <cell r="AI301" t="str">
            <v>N/A</v>
          </cell>
          <cell r="AJ301" t="str">
            <v>N/A</v>
          </cell>
          <cell r="AK301" t="str">
            <v>N/A</v>
          </cell>
          <cell r="AL301" t="str">
            <v>N/A</v>
          </cell>
          <cell r="AM301" t="str">
            <v>N/A</v>
          </cell>
          <cell r="AN301">
            <v>0</v>
          </cell>
          <cell r="AO301">
            <v>0</v>
          </cell>
        </row>
        <row r="302">
          <cell r="A302" t="str">
            <v>24-1523</v>
          </cell>
          <cell r="B302" t="str">
            <v>KITCHENWARE &amp; UTENSILS</v>
          </cell>
          <cell r="C302" t="str">
            <v>PAO</v>
          </cell>
          <cell r="D302" t="str">
            <v>No</v>
          </cell>
          <cell r="E302" t="str">
            <v>NP-53.9 - Small Value Procurement</v>
          </cell>
          <cell r="F302" t="str">
            <v>N/A</v>
          </cell>
          <cell r="G302">
            <v>45371</v>
          </cell>
          <cell r="H302">
            <v>0</v>
          </cell>
          <cell r="I302" t="str">
            <v>N/A</v>
          </cell>
          <cell r="J302">
            <v>45384</v>
          </cell>
          <cell r="K302">
            <v>45384</v>
          </cell>
          <cell r="L302">
            <v>45384</v>
          </cell>
          <cell r="M302" t="str">
            <v>N/A</v>
          </cell>
          <cell r="N302" t="str">
            <v>N/A</v>
          </cell>
          <cell r="O302">
            <v>45386</v>
          </cell>
          <cell r="P302">
            <v>0</v>
          </cell>
          <cell r="Q302">
            <v>0</v>
          </cell>
          <cell r="R302">
            <v>0</v>
          </cell>
          <cell r="S302" t="str">
            <v>N/A</v>
          </cell>
          <cell r="T302">
            <v>45406</v>
          </cell>
          <cell r="U302">
            <v>0</v>
          </cell>
          <cell r="V302">
            <v>0</v>
          </cell>
          <cell r="W302">
            <v>0</v>
          </cell>
          <cell r="X302" t="e">
            <v>#N/A</v>
          </cell>
          <cell r="Y302">
            <v>0</v>
          </cell>
          <cell r="Z302">
            <v>0</v>
          </cell>
          <cell r="AA302">
            <v>17680</v>
          </cell>
          <cell r="AB302">
            <v>0</v>
          </cell>
          <cell r="AC302">
            <v>17680</v>
          </cell>
          <cell r="AD302">
            <v>17670</v>
          </cell>
          <cell r="AE302">
            <v>0</v>
          </cell>
          <cell r="AF302">
            <v>17670</v>
          </cell>
          <cell r="AG302" t="str">
            <v>ENGR. MICHAEL C. SALARDA
MS. LEONARDA M. LATOR
MS. CARMENCITA VALDEZ
MS. SORAYA P. VERGARA</v>
          </cell>
          <cell r="AH302" t="str">
            <v>N/A</v>
          </cell>
          <cell r="AI302" t="str">
            <v>N/A</v>
          </cell>
          <cell r="AJ302" t="str">
            <v>N/A</v>
          </cell>
          <cell r="AK302" t="str">
            <v>N/A</v>
          </cell>
          <cell r="AL302" t="str">
            <v>N/A</v>
          </cell>
          <cell r="AM302" t="str">
            <v>N/A</v>
          </cell>
          <cell r="AN302">
            <v>0</v>
          </cell>
          <cell r="AO302">
            <v>0</v>
          </cell>
        </row>
        <row r="303">
          <cell r="A303" t="str">
            <v>24-C1108</v>
          </cell>
          <cell r="B303" t="str">
            <v>AGRICULTURAL SUPPLIES</v>
          </cell>
          <cell r="C303" t="str">
            <v>PDRRMO</v>
          </cell>
          <cell r="D303" t="str">
            <v>No</v>
          </cell>
          <cell r="E303" t="str">
            <v>NP-53.9 - Small Value Procurement</v>
          </cell>
          <cell r="F303" t="str">
            <v>N/A</v>
          </cell>
          <cell r="G303">
            <v>45371</v>
          </cell>
          <cell r="H303">
            <v>0</v>
          </cell>
          <cell r="I303" t="str">
            <v>N/A</v>
          </cell>
          <cell r="J303">
            <v>45384</v>
          </cell>
          <cell r="K303">
            <v>45384</v>
          </cell>
          <cell r="L303">
            <v>45384</v>
          </cell>
          <cell r="M303" t="str">
            <v>N/A</v>
          </cell>
          <cell r="N303" t="str">
            <v>N/A</v>
          </cell>
          <cell r="O303">
            <v>45386</v>
          </cell>
          <cell r="P303">
            <v>0</v>
          </cell>
          <cell r="Q303">
            <v>0</v>
          </cell>
          <cell r="R303">
            <v>0</v>
          </cell>
          <cell r="S303" t="str">
            <v>N/A</v>
          </cell>
          <cell r="T303">
            <v>45406</v>
          </cell>
          <cell r="U303">
            <v>0</v>
          </cell>
          <cell r="V303">
            <v>0</v>
          </cell>
          <cell r="W303">
            <v>0</v>
          </cell>
          <cell r="X303">
            <v>45440</v>
          </cell>
          <cell r="Y303">
            <v>0</v>
          </cell>
          <cell r="Z303">
            <v>0</v>
          </cell>
          <cell r="AA303">
            <v>12320</v>
          </cell>
          <cell r="AB303">
            <v>0</v>
          </cell>
          <cell r="AC303">
            <v>12320</v>
          </cell>
          <cell r="AD303">
            <v>12316</v>
          </cell>
          <cell r="AE303">
            <v>0</v>
          </cell>
          <cell r="AF303">
            <v>12316</v>
          </cell>
          <cell r="AG303" t="str">
            <v>ENGR. MICHAEL C. SALARDA
MS. LEONARDA M. LATOR
MS. CARMENCITA VALDEZ
MS. SORAYA P. VERGARA</v>
          </cell>
          <cell r="AH303" t="str">
            <v>N/A</v>
          </cell>
          <cell r="AI303" t="str">
            <v>N/A</v>
          </cell>
          <cell r="AJ303" t="str">
            <v>N/A</v>
          </cell>
          <cell r="AK303" t="str">
            <v>N/A</v>
          </cell>
          <cell r="AL303" t="str">
            <v>N/A</v>
          </cell>
          <cell r="AM303" t="str">
            <v>N/A</v>
          </cell>
          <cell r="AN303">
            <v>0</v>
          </cell>
          <cell r="AO303">
            <v>0</v>
          </cell>
        </row>
        <row r="304">
          <cell r="A304" t="str">
            <v>24-C1188</v>
          </cell>
          <cell r="B304" t="str">
            <v>VETERINARY DRUGS AND BIOLOGICS</v>
          </cell>
          <cell r="C304" t="str">
            <v>PGO</v>
          </cell>
          <cell r="D304" t="str">
            <v>No</v>
          </cell>
          <cell r="E304" t="str">
            <v>NP-53.9 - Small Value Procurement</v>
          </cell>
          <cell r="F304" t="str">
            <v>N/A</v>
          </cell>
          <cell r="G304">
            <v>45371</v>
          </cell>
          <cell r="H304">
            <v>0</v>
          </cell>
          <cell r="I304" t="str">
            <v>N/A</v>
          </cell>
          <cell r="J304">
            <v>45384</v>
          </cell>
          <cell r="K304">
            <v>45384</v>
          </cell>
          <cell r="L304">
            <v>45384</v>
          </cell>
          <cell r="M304" t="str">
            <v>N/A</v>
          </cell>
          <cell r="N304" t="str">
            <v>N/A</v>
          </cell>
          <cell r="O304">
            <v>45386</v>
          </cell>
          <cell r="P304">
            <v>0</v>
          </cell>
          <cell r="Q304">
            <v>0</v>
          </cell>
          <cell r="R304">
            <v>0</v>
          </cell>
          <cell r="S304">
            <v>45387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45433</v>
          </cell>
          <cell r="Y304">
            <v>0</v>
          </cell>
          <cell r="Z304">
            <v>0</v>
          </cell>
          <cell r="AA304">
            <v>83500</v>
          </cell>
          <cell r="AB304">
            <v>0</v>
          </cell>
          <cell r="AC304">
            <v>83500</v>
          </cell>
          <cell r="AD304">
            <v>83266</v>
          </cell>
          <cell r="AE304">
            <v>0</v>
          </cell>
          <cell r="AF304">
            <v>83266</v>
          </cell>
          <cell r="AG304" t="str">
            <v>ENGR. MICHAEL C. SALARDA
MS. LEONARDA M. LATOR
MS. CARMENCITA VALDEZ
MS. SORAYA P. VERGARA</v>
          </cell>
          <cell r="AH304" t="str">
            <v>N/A</v>
          </cell>
          <cell r="AI304" t="str">
            <v>N/A</v>
          </cell>
          <cell r="AJ304" t="str">
            <v>N/A</v>
          </cell>
          <cell r="AK304" t="str">
            <v>N/A</v>
          </cell>
          <cell r="AL304" t="str">
            <v>N/A</v>
          </cell>
          <cell r="AM304" t="str">
            <v>N/A</v>
          </cell>
          <cell r="AN304">
            <v>0</v>
          </cell>
          <cell r="AO304">
            <v>0</v>
          </cell>
        </row>
        <row r="305">
          <cell r="A305" t="str">
            <v>24-1617</v>
          </cell>
          <cell r="B305" t="str">
            <v>FOOD/CATERING SERVICES</v>
          </cell>
          <cell r="C305" t="str">
            <v>PBO</v>
          </cell>
          <cell r="D305" t="str">
            <v>No</v>
          </cell>
          <cell r="E305" t="str">
            <v>NP-53.9 - Small Value Procurement</v>
          </cell>
          <cell r="F305" t="str">
            <v>N/A</v>
          </cell>
          <cell r="G305">
            <v>45371</v>
          </cell>
          <cell r="H305">
            <v>0</v>
          </cell>
          <cell r="I305" t="str">
            <v>N/A</v>
          </cell>
          <cell r="J305">
            <v>45384</v>
          </cell>
          <cell r="K305">
            <v>45384</v>
          </cell>
          <cell r="L305">
            <v>45384</v>
          </cell>
          <cell r="M305" t="str">
            <v>N/A</v>
          </cell>
          <cell r="N305" t="str">
            <v>N/A</v>
          </cell>
          <cell r="O305">
            <v>45386</v>
          </cell>
          <cell r="P305">
            <v>0</v>
          </cell>
          <cell r="Q305">
            <v>0</v>
          </cell>
          <cell r="R305">
            <v>0</v>
          </cell>
          <cell r="S305" t="str">
            <v>N/A</v>
          </cell>
          <cell r="T305">
            <v>45406</v>
          </cell>
          <cell r="U305">
            <v>0</v>
          </cell>
          <cell r="V305">
            <v>0</v>
          </cell>
          <cell r="W305">
            <v>0</v>
          </cell>
          <cell r="X305" t="e">
            <v>#N/A</v>
          </cell>
          <cell r="Y305">
            <v>0</v>
          </cell>
          <cell r="Z305">
            <v>0</v>
          </cell>
          <cell r="AA305">
            <v>25500</v>
          </cell>
          <cell r="AB305">
            <v>0</v>
          </cell>
          <cell r="AC305">
            <v>25500</v>
          </cell>
          <cell r="AD305">
            <v>24975</v>
          </cell>
          <cell r="AE305">
            <v>0</v>
          </cell>
          <cell r="AF305">
            <v>24975</v>
          </cell>
          <cell r="AG305" t="str">
            <v>ENGR. MICHAEL C. SALARDA
MS. LEONARDA M. LATOR
MS. CARMENCITA VALDEZ
MS. SORAYA P. VERGARA</v>
          </cell>
          <cell r="AH305" t="str">
            <v>N/A</v>
          </cell>
          <cell r="AI305" t="str">
            <v>N/A</v>
          </cell>
          <cell r="AJ305" t="str">
            <v>N/A</v>
          </cell>
          <cell r="AK305" t="str">
            <v>N/A</v>
          </cell>
          <cell r="AL305" t="str">
            <v>N/A</v>
          </cell>
          <cell r="AM305" t="str">
            <v>N/A</v>
          </cell>
          <cell r="AN305">
            <v>0</v>
          </cell>
          <cell r="AO305">
            <v>0</v>
          </cell>
        </row>
        <row r="306">
          <cell r="A306" t="str">
            <v>24-1297</v>
          </cell>
          <cell r="B306" t="str">
            <v>ELECTRICAL SUPPLIES</v>
          </cell>
          <cell r="C306" t="str">
            <v>PGSO</v>
          </cell>
          <cell r="D306" t="str">
            <v>No</v>
          </cell>
          <cell r="E306" t="str">
            <v>NP-53.9 - Small Value Procurement</v>
          </cell>
          <cell r="F306" t="str">
            <v>N/A</v>
          </cell>
          <cell r="G306">
            <v>45371</v>
          </cell>
          <cell r="H306">
            <v>0</v>
          </cell>
          <cell r="I306" t="str">
            <v>N/A</v>
          </cell>
          <cell r="J306">
            <v>45384</v>
          </cell>
          <cell r="K306">
            <v>45384</v>
          </cell>
          <cell r="L306">
            <v>45384</v>
          </cell>
          <cell r="M306" t="str">
            <v>N/A</v>
          </cell>
          <cell r="N306" t="str">
            <v>N/A</v>
          </cell>
          <cell r="O306">
            <v>45386</v>
          </cell>
          <cell r="P306">
            <v>0</v>
          </cell>
          <cell r="Q306">
            <v>0</v>
          </cell>
          <cell r="R306">
            <v>0</v>
          </cell>
          <cell r="S306" t="str">
            <v>N/A</v>
          </cell>
          <cell r="T306">
            <v>45405</v>
          </cell>
          <cell r="U306">
            <v>0</v>
          </cell>
          <cell r="V306">
            <v>0</v>
          </cell>
          <cell r="W306">
            <v>0</v>
          </cell>
          <cell r="X306" t="e">
            <v>#N/A</v>
          </cell>
          <cell r="Y306">
            <v>0</v>
          </cell>
          <cell r="Z306">
            <v>0</v>
          </cell>
          <cell r="AA306">
            <v>20400</v>
          </cell>
          <cell r="AB306">
            <v>0</v>
          </cell>
          <cell r="AC306">
            <v>20400</v>
          </cell>
          <cell r="AD306">
            <v>20388</v>
          </cell>
          <cell r="AE306">
            <v>0</v>
          </cell>
          <cell r="AF306">
            <v>20388</v>
          </cell>
          <cell r="AG306" t="str">
            <v>ENGR. MICHAEL C. SALARDA
MS. LEONARDA M. LATOR
MS. CARMENCITA VALDEZ
MS. SORAYA P. VERGARA</v>
          </cell>
          <cell r="AH306" t="str">
            <v>N/A</v>
          </cell>
          <cell r="AI306" t="str">
            <v>N/A</v>
          </cell>
          <cell r="AJ306" t="str">
            <v>N/A</v>
          </cell>
          <cell r="AK306" t="str">
            <v>N/A</v>
          </cell>
          <cell r="AL306" t="str">
            <v>N/A</v>
          </cell>
          <cell r="AM306" t="str">
            <v>N/A</v>
          </cell>
          <cell r="AN306">
            <v>0</v>
          </cell>
          <cell r="AO306">
            <v>0</v>
          </cell>
        </row>
        <row r="307">
          <cell r="A307" t="str">
            <v>24-C1131</v>
          </cell>
          <cell r="B307" t="str">
            <v>SAFETY GEARS</v>
          </cell>
          <cell r="C307" t="str">
            <v>PGSO</v>
          </cell>
          <cell r="D307" t="str">
            <v>No</v>
          </cell>
          <cell r="E307" t="str">
            <v>NP-53.9 - Small Value Procurement</v>
          </cell>
          <cell r="F307" t="str">
            <v>N/A</v>
          </cell>
          <cell r="G307">
            <v>45371</v>
          </cell>
          <cell r="H307">
            <v>0</v>
          </cell>
          <cell r="I307" t="str">
            <v>N/A</v>
          </cell>
          <cell r="J307">
            <v>45384</v>
          </cell>
          <cell r="K307">
            <v>45384</v>
          </cell>
          <cell r="L307">
            <v>45384</v>
          </cell>
          <cell r="M307" t="str">
            <v>N/A</v>
          </cell>
          <cell r="N307" t="str">
            <v>N/A</v>
          </cell>
          <cell r="O307">
            <v>45386</v>
          </cell>
          <cell r="P307">
            <v>0</v>
          </cell>
          <cell r="Q307">
            <v>0</v>
          </cell>
          <cell r="R307">
            <v>0</v>
          </cell>
          <cell r="S307" t="str">
            <v>N/A</v>
          </cell>
          <cell r="T307">
            <v>45405</v>
          </cell>
          <cell r="U307">
            <v>0</v>
          </cell>
          <cell r="V307">
            <v>0</v>
          </cell>
          <cell r="W307">
            <v>0</v>
          </cell>
          <cell r="X307">
            <v>45446</v>
          </cell>
          <cell r="Y307">
            <v>0</v>
          </cell>
          <cell r="Z307">
            <v>0</v>
          </cell>
          <cell r="AA307">
            <v>37641.300000000003</v>
          </cell>
          <cell r="AB307">
            <v>0</v>
          </cell>
          <cell r="AC307">
            <v>37641.300000000003</v>
          </cell>
          <cell r="AD307">
            <v>24750</v>
          </cell>
          <cell r="AE307">
            <v>0</v>
          </cell>
          <cell r="AF307">
            <v>24750</v>
          </cell>
          <cell r="AG307" t="str">
            <v>ENGR. MICHAEL C. SALARDA
MS. LEONARDA M. LATOR
MS. CARMENCITA VALDEZ
MS. SORAYA P. VERGARA</v>
          </cell>
          <cell r="AH307" t="str">
            <v>N/A</v>
          </cell>
          <cell r="AI307" t="str">
            <v>N/A</v>
          </cell>
          <cell r="AJ307" t="str">
            <v>N/A</v>
          </cell>
          <cell r="AK307" t="str">
            <v>N/A</v>
          </cell>
          <cell r="AL307" t="str">
            <v>N/A</v>
          </cell>
          <cell r="AM307" t="str">
            <v>N/A</v>
          </cell>
          <cell r="AN307">
            <v>0</v>
          </cell>
          <cell r="AO307">
            <v>0</v>
          </cell>
        </row>
        <row r="308">
          <cell r="A308" t="str">
            <v>24-1473</v>
          </cell>
          <cell r="B308" t="str">
            <v>FURNITURE &amp; FIXTURES</v>
          </cell>
          <cell r="C308" t="str">
            <v>PAO</v>
          </cell>
          <cell r="D308" t="str">
            <v>No</v>
          </cell>
          <cell r="E308" t="str">
            <v>NP-53.9 - Small Value Procurement</v>
          </cell>
          <cell r="F308" t="str">
            <v>N/A</v>
          </cell>
          <cell r="G308">
            <v>45363</v>
          </cell>
          <cell r="H308">
            <v>0</v>
          </cell>
          <cell r="I308" t="str">
            <v>N/A</v>
          </cell>
          <cell r="J308">
            <v>45384</v>
          </cell>
          <cell r="K308">
            <v>45384</v>
          </cell>
          <cell r="L308">
            <v>0</v>
          </cell>
          <cell r="M308" t="str">
            <v>N/A</v>
          </cell>
          <cell r="N308" t="str">
            <v>N/A</v>
          </cell>
          <cell r="O308">
            <v>45386</v>
          </cell>
          <cell r="P308">
            <v>0</v>
          </cell>
          <cell r="Q308">
            <v>0</v>
          </cell>
          <cell r="R308">
            <v>0</v>
          </cell>
          <cell r="S308">
            <v>45406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 t="e">
            <v>#N/A</v>
          </cell>
          <cell r="Y308">
            <v>0</v>
          </cell>
          <cell r="Z308">
            <v>0</v>
          </cell>
          <cell r="AA308">
            <v>64400</v>
          </cell>
          <cell r="AB308">
            <v>0</v>
          </cell>
          <cell r="AC308">
            <v>64400</v>
          </cell>
          <cell r="AD308">
            <v>64395</v>
          </cell>
          <cell r="AE308">
            <v>0</v>
          </cell>
          <cell r="AF308">
            <v>64395</v>
          </cell>
          <cell r="AG308" t="str">
            <v>ENGR. MICHAEL C. SALARDA
MS. LEONARDA M. LATOR
MS. CARMENCITA VALDEZ
MS. SORAYA P. VERGARA</v>
          </cell>
          <cell r="AH308" t="str">
            <v>N/A</v>
          </cell>
          <cell r="AI308" t="str">
            <v>N/A</v>
          </cell>
          <cell r="AJ308" t="str">
            <v>N/A</v>
          </cell>
          <cell r="AK308" t="str">
            <v>N/A</v>
          </cell>
          <cell r="AL308" t="str">
            <v>N/A</v>
          </cell>
          <cell r="AM308" t="str">
            <v>N/A</v>
          </cell>
          <cell r="AN308">
            <v>0</v>
          </cell>
          <cell r="AO308">
            <v>0</v>
          </cell>
        </row>
        <row r="309">
          <cell r="A309" t="str">
            <v>24-1652</v>
          </cell>
          <cell r="B309" t="str">
            <v>JANITORIAL SUPPLIES/HOUSEKEEPING</v>
          </cell>
          <cell r="C309" t="str">
            <v>PTO</v>
          </cell>
          <cell r="D309" t="str">
            <v>No</v>
          </cell>
          <cell r="E309" t="str">
            <v>NP-53.9 - Small Value Procurement</v>
          </cell>
          <cell r="F309" t="str">
            <v>N/A</v>
          </cell>
          <cell r="G309">
            <v>45371</v>
          </cell>
          <cell r="H309">
            <v>0</v>
          </cell>
          <cell r="I309" t="str">
            <v>N/A</v>
          </cell>
          <cell r="J309">
            <v>45384</v>
          </cell>
          <cell r="K309">
            <v>45384</v>
          </cell>
          <cell r="L309">
            <v>0</v>
          </cell>
          <cell r="M309" t="str">
            <v>N/A</v>
          </cell>
          <cell r="N309" t="str">
            <v>N/A</v>
          </cell>
          <cell r="O309">
            <v>45386</v>
          </cell>
          <cell r="P309">
            <v>0</v>
          </cell>
          <cell r="Q309">
            <v>0</v>
          </cell>
          <cell r="R309">
            <v>0</v>
          </cell>
          <cell r="S309" t="str">
            <v>N/A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 t="e">
            <v>#N/A</v>
          </cell>
          <cell r="Y309">
            <v>0</v>
          </cell>
          <cell r="Z309">
            <v>0</v>
          </cell>
          <cell r="AA309">
            <v>14457</v>
          </cell>
          <cell r="AB309">
            <v>0</v>
          </cell>
          <cell r="AC309">
            <v>14457</v>
          </cell>
          <cell r="AD309">
            <v>14077</v>
          </cell>
          <cell r="AE309">
            <v>0</v>
          </cell>
          <cell r="AF309">
            <v>14077</v>
          </cell>
          <cell r="AG309" t="str">
            <v>ENGR. MICHAEL C. SALARDA
MS. LEONARDA M. LATOR
MS. CARMENCITA VALDEZ
MS. SORAYA P. VERGARA</v>
          </cell>
          <cell r="AH309" t="str">
            <v>N/A</v>
          </cell>
          <cell r="AI309" t="str">
            <v>N/A</v>
          </cell>
          <cell r="AJ309" t="str">
            <v>N/A</v>
          </cell>
          <cell r="AK309" t="str">
            <v>N/A</v>
          </cell>
          <cell r="AL309" t="str">
            <v>N/A</v>
          </cell>
          <cell r="AM309" t="str">
            <v>N/A</v>
          </cell>
          <cell r="AN309">
            <v>0</v>
          </cell>
          <cell r="AO309">
            <v>0</v>
          </cell>
        </row>
        <row r="310">
          <cell r="A310" t="str">
            <v>24-C1069</v>
          </cell>
          <cell r="B310" t="str">
            <v>LUBRICANTS</v>
          </cell>
          <cell r="C310" t="str">
            <v>PDRRMO</v>
          </cell>
          <cell r="D310" t="str">
            <v>No</v>
          </cell>
          <cell r="E310" t="str">
            <v>NP-53.9 - Small Value Procurement</v>
          </cell>
          <cell r="F310">
            <v>45356</v>
          </cell>
          <cell r="G310">
            <v>45359</v>
          </cell>
          <cell r="H310">
            <v>0</v>
          </cell>
          <cell r="I310" t="str">
            <v>N/A</v>
          </cell>
          <cell r="J310">
            <v>45384</v>
          </cell>
          <cell r="K310">
            <v>45384</v>
          </cell>
          <cell r="L310">
            <v>0</v>
          </cell>
          <cell r="M310" t="str">
            <v>N/A</v>
          </cell>
          <cell r="N310" t="str">
            <v>N/A</v>
          </cell>
          <cell r="O310">
            <v>45386</v>
          </cell>
          <cell r="P310">
            <v>0</v>
          </cell>
          <cell r="Q310">
            <v>0</v>
          </cell>
          <cell r="R310">
            <v>0</v>
          </cell>
          <cell r="S310">
            <v>45390</v>
          </cell>
          <cell r="T310">
            <v>45394</v>
          </cell>
          <cell r="U310">
            <v>0</v>
          </cell>
          <cell r="V310">
            <v>0</v>
          </cell>
          <cell r="W310">
            <v>0</v>
          </cell>
          <cell r="X310">
            <v>45421</v>
          </cell>
          <cell r="Y310">
            <v>0</v>
          </cell>
          <cell r="Z310">
            <v>0</v>
          </cell>
          <cell r="AA310">
            <v>133717</v>
          </cell>
          <cell r="AB310">
            <v>0</v>
          </cell>
          <cell r="AC310">
            <v>133717</v>
          </cell>
          <cell r="AD310">
            <v>131105</v>
          </cell>
          <cell r="AE310">
            <v>0</v>
          </cell>
          <cell r="AF310">
            <v>131105</v>
          </cell>
          <cell r="AG310" t="str">
            <v>ENGR. MICHAEL C. SALARDA
MS. LEONARDA M. LATOR
MS. CARMENCITA VALDEZ
MS. SORAYA P. VERGARA</v>
          </cell>
          <cell r="AH310" t="str">
            <v>N/A</v>
          </cell>
          <cell r="AI310" t="str">
            <v>N/A</v>
          </cell>
          <cell r="AJ310" t="str">
            <v>N/A</v>
          </cell>
          <cell r="AK310" t="str">
            <v>N/A</v>
          </cell>
          <cell r="AL310" t="str">
            <v>N/A</v>
          </cell>
          <cell r="AM310" t="str">
            <v>N/A</v>
          </cell>
          <cell r="AN310">
            <v>0</v>
          </cell>
          <cell r="AO310">
            <v>0</v>
          </cell>
        </row>
        <row r="311">
          <cell r="A311" t="str">
            <v>24-C1182</v>
          </cell>
          <cell r="B311" t="str">
            <v>BATTERY  &amp; EXTENSION WIRE</v>
          </cell>
          <cell r="C311" t="str">
            <v>PAGRO</v>
          </cell>
          <cell r="D311" t="str">
            <v>No</v>
          </cell>
          <cell r="E311" t="str">
            <v>NP-53.9 - Small Value Procurement</v>
          </cell>
          <cell r="F311" t="str">
            <v>N/A</v>
          </cell>
          <cell r="G311">
            <v>45371</v>
          </cell>
          <cell r="H311">
            <v>0</v>
          </cell>
          <cell r="I311" t="str">
            <v>N/A</v>
          </cell>
          <cell r="J311">
            <v>45384</v>
          </cell>
          <cell r="K311">
            <v>45384</v>
          </cell>
          <cell r="L311">
            <v>0</v>
          </cell>
          <cell r="M311" t="str">
            <v>N/A</v>
          </cell>
          <cell r="N311" t="str">
            <v>N/A</v>
          </cell>
          <cell r="O311">
            <v>45386</v>
          </cell>
          <cell r="P311">
            <v>0</v>
          </cell>
          <cell r="Q311">
            <v>0</v>
          </cell>
          <cell r="R311">
            <v>0</v>
          </cell>
          <cell r="S311" t="str">
            <v>N/A</v>
          </cell>
          <cell r="T311">
            <v>45401</v>
          </cell>
          <cell r="U311">
            <v>45402</v>
          </cell>
          <cell r="V311">
            <v>0</v>
          </cell>
          <cell r="W311">
            <v>0</v>
          </cell>
          <cell r="X311">
            <v>45415</v>
          </cell>
          <cell r="Y311">
            <v>0</v>
          </cell>
          <cell r="Z311">
            <v>0</v>
          </cell>
          <cell r="AA311">
            <v>5004</v>
          </cell>
          <cell r="AB311">
            <v>0</v>
          </cell>
          <cell r="AC311">
            <v>5004</v>
          </cell>
          <cell r="AD311">
            <v>4978</v>
          </cell>
          <cell r="AE311">
            <v>0</v>
          </cell>
          <cell r="AF311">
            <v>4978</v>
          </cell>
          <cell r="AG311" t="str">
            <v>ENGR. MICHAEL C. SALARDA
MS. LEONARDA M. LATOR
MS. CARMENCITA VALDEZ
MS. SORAYA P. VERGARA</v>
          </cell>
          <cell r="AH311" t="str">
            <v>N/A</v>
          </cell>
          <cell r="AI311" t="str">
            <v>N/A</v>
          </cell>
          <cell r="AJ311" t="str">
            <v>N/A</v>
          </cell>
          <cell r="AK311" t="str">
            <v>N/A</v>
          </cell>
          <cell r="AL311" t="str">
            <v>N/A</v>
          </cell>
          <cell r="AM311" t="str">
            <v>N/A</v>
          </cell>
          <cell r="AN311">
            <v>0</v>
          </cell>
          <cell r="AO311">
            <v>0</v>
          </cell>
        </row>
        <row r="312">
          <cell r="A312" t="str">
            <v>24-1801</v>
          </cell>
          <cell r="B312" t="str">
            <v>JANITORIAL SUPPLIES/HOUSEKEEPING</v>
          </cell>
          <cell r="C312" t="str">
            <v>PIAO</v>
          </cell>
          <cell r="D312" t="str">
            <v>No</v>
          </cell>
          <cell r="E312" t="str">
            <v>NP-53.9 - Small Value Procurement</v>
          </cell>
          <cell r="F312" t="str">
            <v>N/A</v>
          </cell>
          <cell r="G312">
            <v>45371</v>
          </cell>
          <cell r="H312">
            <v>0</v>
          </cell>
          <cell r="I312" t="str">
            <v>N/A</v>
          </cell>
          <cell r="J312">
            <v>45384</v>
          </cell>
          <cell r="K312">
            <v>45384</v>
          </cell>
          <cell r="L312">
            <v>0</v>
          </cell>
          <cell r="M312" t="str">
            <v>N/A</v>
          </cell>
          <cell r="N312" t="str">
            <v>N/A</v>
          </cell>
          <cell r="O312">
            <v>45386</v>
          </cell>
          <cell r="P312">
            <v>0</v>
          </cell>
          <cell r="Q312">
            <v>0</v>
          </cell>
          <cell r="R312">
            <v>0</v>
          </cell>
          <cell r="S312" t="str">
            <v>N/A</v>
          </cell>
          <cell r="T312">
            <v>45406</v>
          </cell>
          <cell r="U312">
            <v>0</v>
          </cell>
          <cell r="V312">
            <v>0</v>
          </cell>
          <cell r="W312">
            <v>0</v>
          </cell>
          <cell r="X312" t="e">
            <v>#N/A</v>
          </cell>
          <cell r="Y312">
            <v>0</v>
          </cell>
          <cell r="Z312">
            <v>0</v>
          </cell>
          <cell r="AA312">
            <v>6397</v>
          </cell>
          <cell r="AB312">
            <v>0</v>
          </cell>
          <cell r="AC312">
            <v>6397</v>
          </cell>
          <cell r="AD312">
            <v>6170</v>
          </cell>
          <cell r="AE312">
            <v>0</v>
          </cell>
          <cell r="AF312">
            <v>6170</v>
          </cell>
          <cell r="AG312" t="str">
            <v>ENGR. MICHAEL C. SALARDA
MS. LEONARDA M. LATOR
MS. CARMENCITA VALDEZ
MS. SORAYA P. VERGARA</v>
          </cell>
          <cell r="AH312" t="str">
            <v>N/A</v>
          </cell>
          <cell r="AI312" t="str">
            <v>N/A</v>
          </cell>
          <cell r="AJ312" t="str">
            <v>N/A</v>
          </cell>
          <cell r="AK312" t="str">
            <v>N/A</v>
          </cell>
          <cell r="AL312" t="str">
            <v>N/A</v>
          </cell>
          <cell r="AM312" t="str">
            <v>N/A</v>
          </cell>
          <cell r="AN312">
            <v>0</v>
          </cell>
          <cell r="AO312">
            <v>0</v>
          </cell>
        </row>
        <row r="313">
          <cell r="A313" t="str">
            <v>24-1684</v>
          </cell>
          <cell r="B313" t="str">
            <v>JANITORIAL SUPPLIES/HOUSEKEEPING</v>
          </cell>
          <cell r="C313" t="str">
            <v>PAO</v>
          </cell>
          <cell r="D313" t="str">
            <v>No</v>
          </cell>
          <cell r="E313" t="str">
            <v>NP-53.9 - Small Value Procurement</v>
          </cell>
          <cell r="F313" t="str">
            <v>N/A</v>
          </cell>
          <cell r="G313">
            <v>45371</v>
          </cell>
          <cell r="H313">
            <v>0</v>
          </cell>
          <cell r="I313" t="str">
            <v>N/A</v>
          </cell>
          <cell r="J313">
            <v>45384</v>
          </cell>
          <cell r="K313">
            <v>45384</v>
          </cell>
          <cell r="L313">
            <v>0</v>
          </cell>
          <cell r="M313" t="str">
            <v>N/A</v>
          </cell>
          <cell r="N313" t="str">
            <v>N/A</v>
          </cell>
          <cell r="O313">
            <v>45386</v>
          </cell>
          <cell r="P313">
            <v>0</v>
          </cell>
          <cell r="Q313">
            <v>0</v>
          </cell>
          <cell r="R313">
            <v>0</v>
          </cell>
          <cell r="S313" t="str">
            <v>N/A</v>
          </cell>
          <cell r="T313">
            <v>45406</v>
          </cell>
          <cell r="U313">
            <v>0</v>
          </cell>
          <cell r="V313">
            <v>0</v>
          </cell>
          <cell r="W313">
            <v>0</v>
          </cell>
          <cell r="X313" t="e">
            <v>#N/A</v>
          </cell>
          <cell r="Y313">
            <v>0</v>
          </cell>
          <cell r="Z313">
            <v>0</v>
          </cell>
          <cell r="AA313">
            <v>8120.5</v>
          </cell>
          <cell r="AB313">
            <v>0</v>
          </cell>
          <cell r="AC313">
            <v>8120.5</v>
          </cell>
          <cell r="AD313">
            <v>8055</v>
          </cell>
          <cell r="AE313">
            <v>0</v>
          </cell>
          <cell r="AF313">
            <v>8055</v>
          </cell>
          <cell r="AG313" t="str">
            <v>ENGR. MICHAEL C. SALARDA
MS. LEONARDA M. LATOR
MS. CARMENCITA VALDEZ
MS. SORAYA P. VERGARA</v>
          </cell>
          <cell r="AH313" t="str">
            <v>N/A</v>
          </cell>
          <cell r="AI313" t="str">
            <v>N/A</v>
          </cell>
          <cell r="AJ313" t="str">
            <v>N/A</v>
          </cell>
          <cell r="AK313" t="str">
            <v>N/A</v>
          </cell>
          <cell r="AL313" t="str">
            <v>N/A</v>
          </cell>
          <cell r="AM313" t="str">
            <v>N/A</v>
          </cell>
          <cell r="AN313">
            <v>0</v>
          </cell>
          <cell r="AO313">
            <v>0</v>
          </cell>
        </row>
        <row r="314">
          <cell r="A314" t="str">
            <v>24-1686</v>
          </cell>
          <cell r="B314" t="str">
            <v>CONSTRUCTION SUPPLIES</v>
          </cell>
          <cell r="C314" t="str">
            <v>PAO</v>
          </cell>
          <cell r="D314" t="str">
            <v>No</v>
          </cell>
          <cell r="E314" t="str">
            <v>NP-53.9 - Small Value Procurement</v>
          </cell>
          <cell r="F314" t="str">
            <v>N/A</v>
          </cell>
          <cell r="G314">
            <v>45371</v>
          </cell>
          <cell r="H314">
            <v>0</v>
          </cell>
          <cell r="I314" t="str">
            <v>N/A</v>
          </cell>
          <cell r="J314">
            <v>45384</v>
          </cell>
          <cell r="K314">
            <v>45384</v>
          </cell>
          <cell r="L314">
            <v>0</v>
          </cell>
          <cell r="M314" t="str">
            <v>N/A</v>
          </cell>
          <cell r="N314" t="str">
            <v>N/A</v>
          </cell>
          <cell r="O314">
            <v>45386</v>
          </cell>
          <cell r="P314">
            <v>0</v>
          </cell>
          <cell r="Q314">
            <v>0</v>
          </cell>
          <cell r="R314">
            <v>0</v>
          </cell>
          <cell r="S314" t="str">
            <v>N/A</v>
          </cell>
          <cell r="T314">
            <v>45406</v>
          </cell>
          <cell r="U314">
            <v>0</v>
          </cell>
          <cell r="V314">
            <v>0</v>
          </cell>
          <cell r="W314">
            <v>0</v>
          </cell>
          <cell r="X314" t="e">
            <v>#N/A</v>
          </cell>
          <cell r="Y314">
            <v>0</v>
          </cell>
          <cell r="Z314">
            <v>0</v>
          </cell>
          <cell r="AA314">
            <v>1350</v>
          </cell>
          <cell r="AB314">
            <v>0</v>
          </cell>
          <cell r="AC314">
            <v>1350</v>
          </cell>
          <cell r="AD314">
            <v>1340</v>
          </cell>
          <cell r="AE314">
            <v>0</v>
          </cell>
          <cell r="AF314">
            <v>1340</v>
          </cell>
          <cell r="AG314" t="str">
            <v>ENGR. MICHAEL C. SALARDA
MS. LEONARDA M. LATOR
MS. CARMENCITA VALDEZ
MS. SORAYA P. VERGARA</v>
          </cell>
          <cell r="AH314" t="str">
            <v>N/A</v>
          </cell>
          <cell r="AI314" t="str">
            <v>N/A</v>
          </cell>
          <cell r="AJ314" t="str">
            <v>N/A</v>
          </cell>
          <cell r="AK314" t="str">
            <v>N/A</v>
          </cell>
          <cell r="AL314" t="str">
            <v>N/A</v>
          </cell>
          <cell r="AM314" t="str">
            <v>N/A</v>
          </cell>
          <cell r="AN314">
            <v>0</v>
          </cell>
          <cell r="AO314">
            <v>0</v>
          </cell>
        </row>
        <row r="315">
          <cell r="A315" t="str">
            <v>24-C1100</v>
          </cell>
          <cell r="B315" t="str">
            <v>CONSTRUCTION SUPPLIES</v>
          </cell>
          <cell r="C315" t="str">
            <v>PAGRO</v>
          </cell>
          <cell r="D315" t="str">
            <v>No</v>
          </cell>
          <cell r="E315" t="str">
            <v>NP-53.9 - Small Value Procurement</v>
          </cell>
          <cell r="F315" t="str">
            <v>N/A</v>
          </cell>
          <cell r="G315">
            <v>45371</v>
          </cell>
          <cell r="H315">
            <v>0</v>
          </cell>
          <cell r="I315" t="str">
            <v>N/A</v>
          </cell>
          <cell r="J315">
            <v>45384</v>
          </cell>
          <cell r="K315">
            <v>45384</v>
          </cell>
          <cell r="L315">
            <v>0</v>
          </cell>
          <cell r="M315" t="str">
            <v>N/A</v>
          </cell>
          <cell r="N315" t="str">
            <v>N/A</v>
          </cell>
          <cell r="O315">
            <v>45386</v>
          </cell>
          <cell r="P315">
            <v>0</v>
          </cell>
          <cell r="Q315">
            <v>0</v>
          </cell>
          <cell r="R315">
            <v>0</v>
          </cell>
          <cell r="S315" t="str">
            <v>N/A</v>
          </cell>
          <cell r="T315">
            <v>45406</v>
          </cell>
          <cell r="U315">
            <v>0</v>
          </cell>
          <cell r="V315">
            <v>0</v>
          </cell>
          <cell r="W315">
            <v>0</v>
          </cell>
          <cell r="X315">
            <v>45418</v>
          </cell>
          <cell r="Y315">
            <v>0</v>
          </cell>
          <cell r="Z315">
            <v>0</v>
          </cell>
          <cell r="AA315">
            <v>5905</v>
          </cell>
          <cell r="AB315">
            <v>0</v>
          </cell>
          <cell r="AC315">
            <v>5905</v>
          </cell>
          <cell r="AD315">
            <v>5773</v>
          </cell>
          <cell r="AE315">
            <v>0</v>
          </cell>
          <cell r="AF315">
            <v>5773</v>
          </cell>
          <cell r="AG315" t="str">
            <v>ENGR. MICHAEL C. SALARDA
MS. LEONARDA M. LATOR
MS. CARMENCITA VALDEZ
MS. SORAYA P. VERGARA</v>
          </cell>
          <cell r="AH315" t="str">
            <v>N/A</v>
          </cell>
          <cell r="AI315" t="str">
            <v>N/A</v>
          </cell>
          <cell r="AJ315" t="str">
            <v>N/A</v>
          </cell>
          <cell r="AK315" t="str">
            <v>N/A</v>
          </cell>
          <cell r="AL315" t="str">
            <v>N/A</v>
          </cell>
          <cell r="AM315" t="str">
            <v>N/A</v>
          </cell>
          <cell r="AN315">
            <v>0</v>
          </cell>
          <cell r="AO315">
            <v>0</v>
          </cell>
        </row>
        <row r="316">
          <cell r="A316" t="str">
            <v>24-C1187</v>
          </cell>
          <cell r="B316" t="str">
            <v>FAUCET &amp; SILICONE GASKET</v>
          </cell>
          <cell r="C316" t="str">
            <v>PDRRMO</v>
          </cell>
          <cell r="D316" t="str">
            <v>No</v>
          </cell>
          <cell r="E316" t="str">
            <v>NP-53.9 - Small Value Procurement</v>
          </cell>
          <cell r="F316" t="str">
            <v>N/A</v>
          </cell>
          <cell r="G316">
            <v>45371</v>
          </cell>
          <cell r="H316">
            <v>0</v>
          </cell>
          <cell r="I316" t="str">
            <v>N/A</v>
          </cell>
          <cell r="J316">
            <v>45384</v>
          </cell>
          <cell r="K316">
            <v>45384</v>
          </cell>
          <cell r="L316">
            <v>0</v>
          </cell>
          <cell r="M316" t="str">
            <v>N/A</v>
          </cell>
          <cell r="N316" t="str">
            <v>N/A</v>
          </cell>
          <cell r="O316">
            <v>45386</v>
          </cell>
          <cell r="P316">
            <v>0</v>
          </cell>
          <cell r="Q316">
            <v>0</v>
          </cell>
          <cell r="R316">
            <v>0</v>
          </cell>
          <cell r="S316" t="str">
            <v>N/A</v>
          </cell>
          <cell r="T316">
            <v>45406</v>
          </cell>
          <cell r="U316">
            <v>0</v>
          </cell>
          <cell r="V316">
            <v>0</v>
          </cell>
          <cell r="W316">
            <v>0</v>
          </cell>
          <cell r="X316">
            <v>45415</v>
          </cell>
          <cell r="Y316">
            <v>0</v>
          </cell>
          <cell r="Z316">
            <v>0</v>
          </cell>
          <cell r="AA316">
            <v>3940</v>
          </cell>
          <cell r="AB316">
            <v>0</v>
          </cell>
          <cell r="AC316">
            <v>3940</v>
          </cell>
          <cell r="AD316">
            <v>3905</v>
          </cell>
          <cell r="AE316">
            <v>0</v>
          </cell>
          <cell r="AF316">
            <v>3905</v>
          </cell>
          <cell r="AG316" t="str">
            <v>ENGR. MICHAEL C. SALARDA
MS. LEONARDA M. LATOR
MS. CARMENCITA VALDEZ
MS. SORAYA P. VERGARA</v>
          </cell>
          <cell r="AH316" t="str">
            <v>N/A</v>
          </cell>
          <cell r="AI316" t="str">
            <v>N/A</v>
          </cell>
          <cell r="AJ316" t="str">
            <v>N/A</v>
          </cell>
          <cell r="AK316" t="str">
            <v>N/A</v>
          </cell>
          <cell r="AL316" t="str">
            <v>N/A</v>
          </cell>
          <cell r="AM316" t="str">
            <v>N/A</v>
          </cell>
          <cell r="AN316">
            <v>0</v>
          </cell>
          <cell r="AO316">
            <v>0</v>
          </cell>
        </row>
        <row r="317">
          <cell r="A317" t="str">
            <v>24-1678</v>
          </cell>
          <cell r="B317" t="str">
            <v>KITCHENWARE &amp; UTENSILS</v>
          </cell>
          <cell r="C317" t="str">
            <v>PAO</v>
          </cell>
          <cell r="D317" t="str">
            <v>No</v>
          </cell>
          <cell r="E317" t="str">
            <v>NP-53.9 - Small Value Procurement</v>
          </cell>
          <cell r="F317" t="str">
            <v>N/A</v>
          </cell>
          <cell r="G317">
            <v>45371</v>
          </cell>
          <cell r="H317">
            <v>0</v>
          </cell>
          <cell r="I317" t="str">
            <v>N/A</v>
          </cell>
          <cell r="J317">
            <v>45384</v>
          </cell>
          <cell r="K317">
            <v>45384</v>
          </cell>
          <cell r="L317">
            <v>0</v>
          </cell>
          <cell r="M317" t="str">
            <v>N/A</v>
          </cell>
          <cell r="N317" t="str">
            <v>N/A</v>
          </cell>
          <cell r="O317">
            <v>45386</v>
          </cell>
          <cell r="P317">
            <v>0</v>
          </cell>
          <cell r="Q317">
            <v>0</v>
          </cell>
          <cell r="R317">
            <v>0</v>
          </cell>
          <cell r="S317" t="str">
            <v>N/A</v>
          </cell>
          <cell r="T317">
            <v>45406</v>
          </cell>
          <cell r="U317">
            <v>0</v>
          </cell>
          <cell r="V317">
            <v>0</v>
          </cell>
          <cell r="W317">
            <v>0</v>
          </cell>
          <cell r="X317" t="e">
            <v>#N/A</v>
          </cell>
          <cell r="Y317">
            <v>0</v>
          </cell>
          <cell r="Z317">
            <v>0</v>
          </cell>
          <cell r="AA317">
            <v>4675</v>
          </cell>
          <cell r="AB317">
            <v>0</v>
          </cell>
          <cell r="AC317">
            <v>4675</v>
          </cell>
          <cell r="AD317">
            <v>4665</v>
          </cell>
          <cell r="AE317">
            <v>0</v>
          </cell>
          <cell r="AF317">
            <v>4665</v>
          </cell>
          <cell r="AG317" t="str">
            <v>ENGR. MICHAEL C. SALARDA
MS. LEONARDA M. LATOR
MS. CARMENCITA VALDEZ
MS. SORAYA P. VERGARA</v>
          </cell>
          <cell r="AH317" t="str">
            <v>N/A</v>
          </cell>
          <cell r="AI317" t="str">
            <v>N/A</v>
          </cell>
          <cell r="AJ317" t="str">
            <v>N/A</v>
          </cell>
          <cell r="AK317" t="str">
            <v>N/A</v>
          </cell>
          <cell r="AL317" t="str">
            <v>N/A</v>
          </cell>
          <cell r="AM317" t="str">
            <v>N/A</v>
          </cell>
          <cell r="AN317">
            <v>0</v>
          </cell>
          <cell r="AO317">
            <v>0</v>
          </cell>
        </row>
        <row r="318">
          <cell r="A318" t="str">
            <v>24-1661</v>
          </cell>
          <cell r="B318" t="str">
            <v>PADLOCK (BIG) HEAVY DUTY</v>
          </cell>
          <cell r="C318" t="str">
            <v>PTO</v>
          </cell>
          <cell r="D318" t="str">
            <v>No</v>
          </cell>
          <cell r="E318" t="str">
            <v>NP-53.9 - Small Value Procurement</v>
          </cell>
          <cell r="F318" t="str">
            <v>N/A</v>
          </cell>
          <cell r="G318">
            <v>45371</v>
          </cell>
          <cell r="H318">
            <v>0</v>
          </cell>
          <cell r="I318" t="str">
            <v>N/A</v>
          </cell>
          <cell r="J318">
            <v>45384</v>
          </cell>
          <cell r="K318">
            <v>45384</v>
          </cell>
          <cell r="L318">
            <v>0</v>
          </cell>
          <cell r="M318" t="str">
            <v>N/A</v>
          </cell>
          <cell r="N318" t="str">
            <v>N/A</v>
          </cell>
          <cell r="O318">
            <v>45386</v>
          </cell>
          <cell r="P318">
            <v>0</v>
          </cell>
          <cell r="Q318">
            <v>0</v>
          </cell>
          <cell r="R318">
            <v>0</v>
          </cell>
          <cell r="S318" t="str">
            <v>N/A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 t="e">
            <v>#N/A</v>
          </cell>
          <cell r="Y318">
            <v>0</v>
          </cell>
          <cell r="Z318">
            <v>0</v>
          </cell>
          <cell r="AA318">
            <v>4400</v>
          </cell>
          <cell r="AB318">
            <v>0</v>
          </cell>
          <cell r="AC318">
            <v>4400</v>
          </cell>
          <cell r="AD318">
            <v>4360</v>
          </cell>
          <cell r="AE318">
            <v>0</v>
          </cell>
          <cell r="AF318">
            <v>4360</v>
          </cell>
          <cell r="AG318" t="str">
            <v>ENGR. MICHAEL C. SALARDA
MS. LEONARDA M. LATOR
MS. CARMENCITA VALDEZ
MS. SORAYA P. VERGARA</v>
          </cell>
          <cell r="AH318" t="str">
            <v>N/A</v>
          </cell>
          <cell r="AI318" t="str">
            <v>N/A</v>
          </cell>
          <cell r="AJ318" t="str">
            <v>N/A</v>
          </cell>
          <cell r="AK318" t="str">
            <v>N/A</v>
          </cell>
          <cell r="AL318" t="str">
            <v>N/A</v>
          </cell>
          <cell r="AM318" t="str">
            <v>N/A</v>
          </cell>
          <cell r="AN318">
            <v>0</v>
          </cell>
          <cell r="AO318">
            <v>0</v>
          </cell>
        </row>
        <row r="319">
          <cell r="A319" t="str">
            <v>23-C0787</v>
          </cell>
          <cell r="B319" t="str">
            <v>MATERIAL TESTING APPARATUS/EQUIPMENT</v>
          </cell>
          <cell r="C319" t="str">
            <v>PEO</v>
          </cell>
          <cell r="D319" t="str">
            <v>No</v>
          </cell>
          <cell r="E319" t="str">
            <v>NP-53.1 Two Failed Biddings</v>
          </cell>
          <cell r="F319" t="str">
            <v>N/A</v>
          </cell>
          <cell r="G319">
            <v>45309</v>
          </cell>
          <cell r="H319">
            <v>0</v>
          </cell>
          <cell r="I319" t="str">
            <v>N/A</v>
          </cell>
          <cell r="J319">
            <v>45384</v>
          </cell>
          <cell r="K319">
            <v>45384</v>
          </cell>
          <cell r="L319">
            <v>0</v>
          </cell>
          <cell r="M319" t="str">
            <v>N/A</v>
          </cell>
          <cell r="N319" t="str">
            <v>N/A</v>
          </cell>
          <cell r="O319">
            <v>45386</v>
          </cell>
          <cell r="P319">
            <v>0</v>
          </cell>
          <cell r="Q319">
            <v>0</v>
          </cell>
          <cell r="R319">
            <v>0</v>
          </cell>
          <cell r="S319">
            <v>45387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471715</v>
          </cell>
          <cell r="AB319">
            <v>0</v>
          </cell>
          <cell r="AC319">
            <v>471715</v>
          </cell>
          <cell r="AD319">
            <v>460925</v>
          </cell>
          <cell r="AE319">
            <v>0</v>
          </cell>
          <cell r="AF319">
            <v>460925</v>
          </cell>
          <cell r="AG319" t="str">
            <v>ENGR. MICHAEL C. SALARDA
MS. LEONARDA M. LATOR
MS. CARMENCITA VALDEZ
MS. SORAYA P. VERGARA</v>
          </cell>
          <cell r="AH319" t="str">
            <v>N/A</v>
          </cell>
          <cell r="AI319" t="str">
            <v>N/A</v>
          </cell>
          <cell r="AJ319" t="str">
            <v>N/A</v>
          </cell>
          <cell r="AK319" t="str">
            <v>N/A</v>
          </cell>
          <cell r="AL319" t="str">
            <v>N/A</v>
          </cell>
          <cell r="AM319" t="str">
            <v>N/A</v>
          </cell>
          <cell r="AN319">
            <v>0</v>
          </cell>
          <cell r="AO319">
            <v>0</v>
          </cell>
        </row>
        <row r="320">
          <cell r="A320" t="str">
            <v>24-C1156</v>
          </cell>
          <cell r="B320" t="str">
            <v>FOOD SUPPLIES</v>
          </cell>
          <cell r="C320" t="str">
            <v>PDRRMO</v>
          </cell>
          <cell r="D320" t="str">
            <v>No</v>
          </cell>
          <cell r="E320" t="str">
            <v>NP-53.2 Emergency Cases</v>
          </cell>
          <cell r="F320" t="str">
            <v>N/A</v>
          </cell>
          <cell r="G320">
            <v>45356</v>
          </cell>
          <cell r="H320">
            <v>0</v>
          </cell>
          <cell r="I320" t="str">
            <v>N/A</v>
          </cell>
          <cell r="J320">
            <v>45356</v>
          </cell>
          <cell r="K320">
            <v>45356</v>
          </cell>
          <cell r="L320">
            <v>0</v>
          </cell>
          <cell r="M320" t="str">
            <v>N/A</v>
          </cell>
          <cell r="N320" t="str">
            <v>N/A</v>
          </cell>
          <cell r="O320">
            <v>45357</v>
          </cell>
          <cell r="P320">
            <v>0</v>
          </cell>
          <cell r="Q320">
            <v>0</v>
          </cell>
          <cell r="R320">
            <v>0</v>
          </cell>
          <cell r="S320">
            <v>45387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45361</v>
          </cell>
          <cell r="Y320">
            <v>0</v>
          </cell>
          <cell r="Z320">
            <v>0</v>
          </cell>
          <cell r="AA320">
            <v>3104168</v>
          </cell>
          <cell r="AB320">
            <v>0</v>
          </cell>
          <cell r="AC320">
            <v>3104168</v>
          </cell>
          <cell r="AD320">
            <v>3076724</v>
          </cell>
          <cell r="AE320">
            <v>0</v>
          </cell>
          <cell r="AF320">
            <v>3076724</v>
          </cell>
          <cell r="AG320" t="str">
            <v>ENGR. MICHAEL C. SALARDA
MS. LEONARDA M. LATOR
MS. CARMENCITA VALDEZ
MS. SORAYA P. VERGARA</v>
          </cell>
          <cell r="AH320" t="str">
            <v>N/A</v>
          </cell>
          <cell r="AI320" t="str">
            <v>N/A</v>
          </cell>
          <cell r="AJ320" t="str">
            <v>N/A</v>
          </cell>
          <cell r="AK320" t="str">
            <v>N/A</v>
          </cell>
          <cell r="AL320" t="str">
            <v>N/A</v>
          </cell>
          <cell r="AM320" t="str">
            <v>N/A</v>
          </cell>
          <cell r="AN320">
            <v>0</v>
          </cell>
          <cell r="AO320">
            <v>0</v>
          </cell>
        </row>
        <row r="321">
          <cell r="A321" t="str">
            <v>24-C1171</v>
          </cell>
          <cell r="B321" t="str">
            <v>OFFICE SUPPLIES</v>
          </cell>
          <cell r="C321" t="str">
            <v>PAGRO</v>
          </cell>
          <cell r="D321" t="str">
            <v>No</v>
          </cell>
          <cell r="E321" t="str">
            <v>Shopping 52.1(b) - Regular Office Supplies and Equipment no available in PS</v>
          </cell>
          <cell r="F321" t="str">
            <v>N/A</v>
          </cell>
          <cell r="G321">
            <v>45371</v>
          </cell>
          <cell r="H321">
            <v>0</v>
          </cell>
          <cell r="I321" t="str">
            <v>N/A</v>
          </cell>
          <cell r="J321">
            <v>45384</v>
          </cell>
          <cell r="K321">
            <v>45384</v>
          </cell>
          <cell r="L321">
            <v>0</v>
          </cell>
          <cell r="M321" t="str">
            <v>N/A</v>
          </cell>
          <cell r="N321" t="str">
            <v>N/A</v>
          </cell>
          <cell r="O321">
            <v>45386</v>
          </cell>
          <cell r="P321">
            <v>0</v>
          </cell>
          <cell r="Q321">
            <v>0</v>
          </cell>
          <cell r="R321">
            <v>0</v>
          </cell>
          <cell r="S321">
            <v>45387</v>
          </cell>
          <cell r="T321">
            <v>45406</v>
          </cell>
          <cell r="U321">
            <v>0</v>
          </cell>
          <cell r="V321">
            <v>0</v>
          </cell>
          <cell r="W321">
            <v>0</v>
          </cell>
          <cell r="X321">
            <v>45418</v>
          </cell>
          <cell r="Y321">
            <v>0</v>
          </cell>
          <cell r="Z321">
            <v>0</v>
          </cell>
          <cell r="AA321">
            <v>80031</v>
          </cell>
          <cell r="AB321">
            <v>0</v>
          </cell>
          <cell r="AC321">
            <v>80031</v>
          </cell>
          <cell r="AD321">
            <v>78316</v>
          </cell>
          <cell r="AE321">
            <v>0</v>
          </cell>
          <cell r="AF321">
            <v>78316</v>
          </cell>
          <cell r="AG321" t="str">
            <v>ENGR. MICHAEL C. SALARDA
MS. LEONARDA M. LATOR
MS. CARMENCITA VALDEZ
MS. SORAYA P. VERGARA</v>
          </cell>
          <cell r="AH321" t="str">
            <v>N/A</v>
          </cell>
          <cell r="AI321" t="str">
            <v>N/A</v>
          </cell>
          <cell r="AJ321" t="str">
            <v>N/A</v>
          </cell>
          <cell r="AK321" t="str">
            <v>N/A</v>
          </cell>
          <cell r="AL321" t="str">
            <v>N/A</v>
          </cell>
          <cell r="AM321" t="str">
            <v>N/A</v>
          </cell>
          <cell r="AN321">
            <v>0</v>
          </cell>
          <cell r="AO321">
            <v>0</v>
          </cell>
        </row>
        <row r="322">
          <cell r="A322" t="str">
            <v>24-C0988</v>
          </cell>
          <cell r="B322" t="str">
            <v>HEMOGLOBIN A1C</v>
          </cell>
          <cell r="C322" t="str">
            <v>PEEMO</v>
          </cell>
          <cell r="D322" t="str">
            <v>No</v>
          </cell>
          <cell r="E322" t="str">
            <v>Direct Contracting</v>
          </cell>
          <cell r="F322" t="str">
            <v>N/A</v>
          </cell>
          <cell r="G322">
            <v>45371</v>
          </cell>
          <cell r="H322">
            <v>0</v>
          </cell>
          <cell r="I322" t="str">
            <v>N/A</v>
          </cell>
          <cell r="J322">
            <v>45384</v>
          </cell>
          <cell r="K322">
            <v>45384</v>
          </cell>
          <cell r="L322">
            <v>0</v>
          </cell>
          <cell r="M322" t="str">
            <v>N/A</v>
          </cell>
          <cell r="N322" t="str">
            <v>N/A</v>
          </cell>
          <cell r="O322">
            <v>45386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45450</v>
          </cell>
          <cell r="Y322">
            <v>0</v>
          </cell>
          <cell r="Z322">
            <v>0</v>
          </cell>
          <cell r="AA322">
            <v>38340</v>
          </cell>
          <cell r="AB322">
            <v>0</v>
          </cell>
          <cell r="AC322">
            <v>38340</v>
          </cell>
          <cell r="AD322">
            <v>38340</v>
          </cell>
          <cell r="AE322">
            <v>0</v>
          </cell>
          <cell r="AF322">
            <v>38340</v>
          </cell>
          <cell r="AG322" t="str">
            <v>ENGR. MICHAEL C. SALARDA
MS. LEONARDA M. LATOR
MS. CARMENCITA VALDEZ
MS. SORAYA P. VERGARA</v>
          </cell>
          <cell r="AH322" t="str">
            <v>N/A</v>
          </cell>
          <cell r="AI322" t="str">
            <v>N/A</v>
          </cell>
          <cell r="AJ322" t="str">
            <v>N/A</v>
          </cell>
          <cell r="AK322" t="str">
            <v>N/A</v>
          </cell>
          <cell r="AL322" t="str">
            <v>N/A</v>
          </cell>
          <cell r="AM322" t="str">
            <v>N/A</v>
          </cell>
          <cell r="AN322">
            <v>0</v>
          </cell>
          <cell r="AO322">
            <v>0</v>
          </cell>
        </row>
        <row r="323">
          <cell r="A323" t="str">
            <v>24-C0943</v>
          </cell>
          <cell r="B323" t="str">
            <v>SUPPLY AND DELIVERY OF JANITORIAL SUPPLIES</v>
          </cell>
          <cell r="C323" t="str">
            <v>PEEMO</v>
          </cell>
          <cell r="D323" t="str">
            <v>No</v>
          </cell>
          <cell r="E323" t="str">
            <v>Competitive Bidding</v>
          </cell>
          <cell r="F323">
            <v>45342</v>
          </cell>
          <cell r="G323">
            <v>45348</v>
          </cell>
          <cell r="H323">
            <v>0</v>
          </cell>
          <cell r="I323">
            <v>45356</v>
          </cell>
          <cell r="J323">
            <v>45370</v>
          </cell>
          <cell r="K323">
            <v>45370</v>
          </cell>
          <cell r="L323">
            <v>0</v>
          </cell>
          <cell r="M323">
            <v>45370</v>
          </cell>
          <cell r="N323">
            <v>45383</v>
          </cell>
          <cell r="O323">
            <v>45386</v>
          </cell>
          <cell r="P323">
            <v>0</v>
          </cell>
          <cell r="Q323">
            <v>0</v>
          </cell>
          <cell r="R323">
            <v>0</v>
          </cell>
          <cell r="S323">
            <v>45397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45422</v>
          </cell>
          <cell r="Y323">
            <v>0</v>
          </cell>
          <cell r="Z323">
            <v>0</v>
          </cell>
          <cell r="AA323">
            <v>1105816</v>
          </cell>
          <cell r="AB323">
            <v>0</v>
          </cell>
          <cell r="AC323">
            <v>1105816</v>
          </cell>
          <cell r="AD323">
            <v>1010945</v>
          </cell>
          <cell r="AE323">
            <v>0</v>
          </cell>
          <cell r="AF323">
            <v>1010945</v>
          </cell>
          <cell r="AG323" t="str">
            <v>ENGR. MICHAEL C. SALARDA
MS. LEONARDA M. LATOR
MS. CARMENCITA VALDEZ
MS. SORAYA P. VERGARA</v>
          </cell>
          <cell r="AH323">
            <v>45352</v>
          </cell>
          <cell r="AI323">
            <v>45366</v>
          </cell>
          <cell r="AJ323">
            <v>45366</v>
          </cell>
          <cell r="AK323">
            <v>45366</v>
          </cell>
          <cell r="AL323" t="str">
            <v>N/A</v>
          </cell>
          <cell r="AM323" t="str">
            <v>N/A</v>
          </cell>
          <cell r="AN323">
            <v>0</v>
          </cell>
          <cell r="AO323">
            <v>0</v>
          </cell>
        </row>
        <row r="324">
          <cell r="A324" t="str">
            <v>24-C0999</v>
          </cell>
          <cell r="B324" t="str">
            <v>SUPPLY AND DELIVERY OF RICE (WELL-MILLED) 50KG/SACK</v>
          </cell>
          <cell r="C324" t="str">
            <v>PGO</v>
          </cell>
          <cell r="D324" t="str">
            <v>No</v>
          </cell>
          <cell r="E324" t="str">
            <v>Competitive Bidding</v>
          </cell>
          <cell r="F324">
            <v>45342</v>
          </cell>
          <cell r="G324">
            <v>45348</v>
          </cell>
          <cell r="H324">
            <v>0</v>
          </cell>
          <cell r="I324">
            <v>45356</v>
          </cell>
          <cell r="J324">
            <v>45370</v>
          </cell>
          <cell r="K324">
            <v>45370</v>
          </cell>
          <cell r="L324">
            <v>0</v>
          </cell>
          <cell r="M324">
            <v>45370</v>
          </cell>
          <cell r="N324">
            <v>45383</v>
          </cell>
          <cell r="O324">
            <v>45386</v>
          </cell>
          <cell r="P324">
            <v>0</v>
          </cell>
          <cell r="Q324">
            <v>0</v>
          </cell>
          <cell r="R324">
            <v>0</v>
          </cell>
          <cell r="S324">
            <v>45390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45415</v>
          </cell>
          <cell r="Y324">
            <v>0</v>
          </cell>
          <cell r="Z324">
            <v>0</v>
          </cell>
          <cell r="AA324">
            <v>2276010</v>
          </cell>
          <cell r="AB324">
            <v>0</v>
          </cell>
          <cell r="AC324">
            <v>2276010</v>
          </cell>
          <cell r="AD324">
            <v>2105400</v>
          </cell>
          <cell r="AE324">
            <v>0</v>
          </cell>
          <cell r="AF324">
            <v>2105400</v>
          </cell>
          <cell r="AG324" t="str">
            <v>ENGR. MICHAEL C. SALARDA
MS. LEONARDA M. LATOR
MS. CARMENCITA VALDEZ
MS. SORAYA P. VERGARA</v>
          </cell>
          <cell r="AH324">
            <v>45352</v>
          </cell>
          <cell r="AI324">
            <v>45366</v>
          </cell>
          <cell r="AJ324">
            <v>45366</v>
          </cell>
          <cell r="AK324">
            <v>45366</v>
          </cell>
          <cell r="AL324" t="str">
            <v>N/A</v>
          </cell>
          <cell r="AM324" t="str">
            <v>N/A</v>
          </cell>
          <cell r="AN324">
            <v>0</v>
          </cell>
          <cell r="AO324">
            <v>0</v>
          </cell>
        </row>
        <row r="325">
          <cell r="A325" t="str">
            <v>24-C1022</v>
          </cell>
          <cell r="B325" t="str">
            <v>SUPPLY AND DELIVERY OF MEALS AND SNACKS</v>
          </cell>
          <cell r="C325" t="str">
            <v>PDRRMO</v>
          </cell>
          <cell r="D325" t="str">
            <v>No</v>
          </cell>
          <cell r="E325" t="str">
            <v>Competitive Bidding</v>
          </cell>
          <cell r="F325" t="str">
            <v>N/A</v>
          </cell>
          <cell r="G325">
            <v>45356</v>
          </cell>
          <cell r="H325">
            <v>0</v>
          </cell>
          <cell r="I325" t="str">
            <v>N/A</v>
          </cell>
          <cell r="J325">
            <v>45370</v>
          </cell>
          <cell r="K325">
            <v>45370</v>
          </cell>
          <cell r="L325">
            <v>0</v>
          </cell>
          <cell r="M325">
            <v>45370</v>
          </cell>
          <cell r="N325">
            <v>45383</v>
          </cell>
          <cell r="O325">
            <v>45386</v>
          </cell>
          <cell r="P325">
            <v>0</v>
          </cell>
          <cell r="Q325">
            <v>0</v>
          </cell>
          <cell r="R325">
            <v>0</v>
          </cell>
          <cell r="S325">
            <v>45386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45436</v>
          </cell>
          <cell r="Y325">
            <v>0</v>
          </cell>
          <cell r="Z325">
            <v>0</v>
          </cell>
          <cell r="AA325">
            <v>1130610</v>
          </cell>
          <cell r="AB325">
            <v>0</v>
          </cell>
          <cell r="AC325">
            <v>1130610</v>
          </cell>
          <cell r="AD325">
            <v>1117904</v>
          </cell>
          <cell r="AE325">
            <v>0</v>
          </cell>
          <cell r="AF325">
            <v>1117904</v>
          </cell>
          <cell r="AG325" t="str">
            <v>ENGR. MICHAEL C. SALARDA
MS. LEONARDA M. LATOR
MS. CARMENCITA VALDEZ
MS. SORAYA P. VERGARA</v>
          </cell>
          <cell r="AH325" t="str">
            <v>N/A</v>
          </cell>
          <cell r="AI325">
            <v>45366</v>
          </cell>
          <cell r="AJ325">
            <v>45366</v>
          </cell>
          <cell r="AK325">
            <v>45366</v>
          </cell>
          <cell r="AL325" t="str">
            <v>N/A</v>
          </cell>
          <cell r="AM325" t="str">
            <v>N/A</v>
          </cell>
          <cell r="AN325">
            <v>0</v>
          </cell>
          <cell r="AO325">
            <v>0</v>
          </cell>
        </row>
        <row r="326">
          <cell r="A326" t="str">
            <v>24-1395</v>
          </cell>
          <cell r="B326" t="str">
            <v>SUPPLY AND DELIVERY OF MEALS AND SNACKS WITH ACCOMMODATION</v>
          </cell>
          <cell r="C326" t="str">
            <v>PWDO</v>
          </cell>
          <cell r="D326" t="str">
            <v>No</v>
          </cell>
          <cell r="E326" t="str">
            <v>Competitive Bidding</v>
          </cell>
          <cell r="F326" t="str">
            <v>N/A</v>
          </cell>
          <cell r="G326">
            <v>45362</v>
          </cell>
          <cell r="H326">
            <v>0</v>
          </cell>
          <cell r="I326" t="str">
            <v>N/A</v>
          </cell>
          <cell r="J326">
            <v>45370</v>
          </cell>
          <cell r="K326">
            <v>45370</v>
          </cell>
          <cell r="L326">
            <v>0</v>
          </cell>
          <cell r="M326">
            <v>45370</v>
          </cell>
          <cell r="N326">
            <v>45383</v>
          </cell>
          <cell r="O326">
            <v>45386</v>
          </cell>
          <cell r="P326">
            <v>0</v>
          </cell>
          <cell r="Q326">
            <v>0</v>
          </cell>
          <cell r="R326">
            <v>0</v>
          </cell>
          <cell r="S326">
            <v>45386</v>
          </cell>
          <cell r="T326">
            <v>45387</v>
          </cell>
          <cell r="U326">
            <v>45387</v>
          </cell>
          <cell r="V326">
            <v>0</v>
          </cell>
          <cell r="W326">
            <v>0</v>
          </cell>
          <cell r="X326" t="e">
            <v>#N/A</v>
          </cell>
          <cell r="Y326">
            <v>0</v>
          </cell>
          <cell r="Z326">
            <v>0</v>
          </cell>
          <cell r="AA326">
            <v>653200</v>
          </cell>
          <cell r="AB326">
            <v>0</v>
          </cell>
          <cell r="AC326">
            <v>653200</v>
          </cell>
          <cell r="AD326">
            <v>651780</v>
          </cell>
          <cell r="AE326">
            <v>0</v>
          </cell>
          <cell r="AF326">
            <v>651780</v>
          </cell>
          <cell r="AG326" t="str">
            <v>ENGR. MICHAEL C. SALARDA
MS. LEONARDA M. LATOR
MS. CARMENCITA VALDEZ
MS. SORAYA P. VERGARA</v>
          </cell>
          <cell r="AH326" t="str">
            <v>N/A</v>
          </cell>
          <cell r="AI326">
            <v>45366</v>
          </cell>
          <cell r="AJ326">
            <v>45366</v>
          </cell>
          <cell r="AK326">
            <v>45366</v>
          </cell>
          <cell r="AL326" t="str">
            <v>N/A</v>
          </cell>
          <cell r="AM326" t="str">
            <v>N/A</v>
          </cell>
          <cell r="AN326">
            <v>0</v>
          </cell>
          <cell r="AO326">
            <v>0</v>
          </cell>
        </row>
        <row r="327">
          <cell r="A327" t="str">
            <v>24-C1020</v>
          </cell>
          <cell r="B327" t="str">
            <v>SUPPLY AND DELIVERY OF MEALS AND SNACKS</v>
          </cell>
          <cell r="C327" t="str">
            <v>PVO</v>
          </cell>
          <cell r="D327" t="str">
            <v>No</v>
          </cell>
          <cell r="E327" t="str">
            <v>Competitive Bidding</v>
          </cell>
          <cell r="F327">
            <v>45356</v>
          </cell>
          <cell r="G327">
            <v>45362</v>
          </cell>
          <cell r="H327">
            <v>0</v>
          </cell>
          <cell r="I327" t="str">
            <v>N/A</v>
          </cell>
          <cell r="J327">
            <v>45370</v>
          </cell>
          <cell r="K327">
            <v>45370</v>
          </cell>
          <cell r="L327">
            <v>0</v>
          </cell>
          <cell r="M327">
            <v>45370</v>
          </cell>
          <cell r="N327">
            <v>45383</v>
          </cell>
          <cell r="O327">
            <v>45386</v>
          </cell>
          <cell r="P327">
            <v>0</v>
          </cell>
          <cell r="Q327">
            <v>0</v>
          </cell>
          <cell r="R327">
            <v>0</v>
          </cell>
          <cell r="S327">
            <v>45401</v>
          </cell>
          <cell r="T327">
            <v>45401</v>
          </cell>
          <cell r="U327">
            <v>45401</v>
          </cell>
          <cell r="V327">
            <v>0</v>
          </cell>
          <cell r="W327">
            <v>0</v>
          </cell>
          <cell r="X327">
            <v>45404</v>
          </cell>
          <cell r="Y327">
            <v>0</v>
          </cell>
          <cell r="Z327">
            <v>0</v>
          </cell>
          <cell r="AA327">
            <v>802730</v>
          </cell>
          <cell r="AB327">
            <v>0</v>
          </cell>
          <cell r="AC327">
            <v>802730</v>
          </cell>
          <cell r="AD327">
            <v>790748</v>
          </cell>
          <cell r="AE327">
            <v>0</v>
          </cell>
          <cell r="AF327">
            <v>790748</v>
          </cell>
          <cell r="AG327" t="str">
            <v>ENGR. MICHAEL C. SALARDA
MS. LEONARDA M. LATOR
MS. CARMENCITA VALDEZ
MS. SORAYA P. VERGARA</v>
          </cell>
          <cell r="AH327" t="str">
            <v>N/A</v>
          </cell>
          <cell r="AI327">
            <v>45366</v>
          </cell>
          <cell r="AJ327">
            <v>45366</v>
          </cell>
          <cell r="AK327">
            <v>45366</v>
          </cell>
          <cell r="AL327" t="str">
            <v>N/A</v>
          </cell>
          <cell r="AM327" t="str">
            <v>N/A</v>
          </cell>
          <cell r="AN327">
            <v>0</v>
          </cell>
          <cell r="AO327">
            <v>0</v>
          </cell>
        </row>
        <row r="328">
          <cell r="A328" t="str">
            <v>24-C1120</v>
          </cell>
          <cell r="B328" t="str">
            <v>SUPPLY AND DELIVERY OF MEALS AND SNACKS</v>
          </cell>
          <cell r="C328" t="str">
            <v>PSWDO</v>
          </cell>
          <cell r="D328" t="str">
            <v>No</v>
          </cell>
          <cell r="E328" t="str">
            <v>Competitive Bidding</v>
          </cell>
          <cell r="F328">
            <v>45356</v>
          </cell>
          <cell r="G328">
            <v>45362</v>
          </cell>
          <cell r="H328">
            <v>0</v>
          </cell>
          <cell r="I328" t="str">
            <v>N/A</v>
          </cell>
          <cell r="J328">
            <v>45370</v>
          </cell>
          <cell r="K328">
            <v>45370</v>
          </cell>
          <cell r="L328">
            <v>0</v>
          </cell>
          <cell r="M328">
            <v>45370</v>
          </cell>
          <cell r="N328">
            <v>45383</v>
          </cell>
          <cell r="O328">
            <v>45386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45415</v>
          </cell>
          <cell r="Y328">
            <v>0</v>
          </cell>
          <cell r="Z328">
            <v>0</v>
          </cell>
          <cell r="AA328">
            <v>795590</v>
          </cell>
          <cell r="AB328">
            <v>0</v>
          </cell>
          <cell r="AC328">
            <v>795590</v>
          </cell>
          <cell r="AD328">
            <v>784904</v>
          </cell>
          <cell r="AE328">
            <v>0</v>
          </cell>
          <cell r="AF328">
            <v>784904</v>
          </cell>
          <cell r="AG328" t="str">
            <v>ENGR. MICHAEL C. SALARDA
MS. LEONARDA M. LATOR
MS. CARMENCITA VALDEZ
MS. SORAYA P. VERGARA</v>
          </cell>
          <cell r="AH328" t="str">
            <v>N/A</v>
          </cell>
          <cell r="AI328">
            <v>45366</v>
          </cell>
          <cell r="AJ328">
            <v>45366</v>
          </cell>
          <cell r="AK328">
            <v>45366</v>
          </cell>
          <cell r="AL328" t="str">
            <v>N/A</v>
          </cell>
          <cell r="AM328" t="str">
            <v>N/A</v>
          </cell>
          <cell r="AN328">
            <v>0</v>
          </cell>
          <cell r="AO328">
            <v>0</v>
          </cell>
        </row>
        <row r="329">
          <cell r="A329" t="str">
            <v>24-C1121</v>
          </cell>
          <cell r="B329" t="str">
            <v>SUPPLY AND DELIVERY OF MEALS AND SNACKS</v>
          </cell>
          <cell r="C329" t="str">
            <v>PGO</v>
          </cell>
          <cell r="D329" t="str">
            <v>No</v>
          </cell>
          <cell r="E329" t="str">
            <v>Competitive Bidding</v>
          </cell>
          <cell r="F329">
            <v>45356</v>
          </cell>
          <cell r="G329">
            <v>45362</v>
          </cell>
          <cell r="H329">
            <v>0</v>
          </cell>
          <cell r="I329" t="str">
            <v>N/A</v>
          </cell>
          <cell r="J329">
            <v>45370</v>
          </cell>
          <cell r="K329">
            <v>45370</v>
          </cell>
          <cell r="L329">
            <v>0</v>
          </cell>
          <cell r="M329">
            <v>45370</v>
          </cell>
          <cell r="N329">
            <v>45383</v>
          </cell>
          <cell r="O329">
            <v>45386</v>
          </cell>
          <cell r="P329">
            <v>0</v>
          </cell>
          <cell r="Q329">
            <v>0</v>
          </cell>
          <cell r="R329">
            <v>0</v>
          </cell>
          <cell r="S329">
            <v>45386</v>
          </cell>
          <cell r="T329">
            <v>45397</v>
          </cell>
          <cell r="U329">
            <v>0</v>
          </cell>
          <cell r="V329">
            <v>0</v>
          </cell>
          <cell r="W329">
            <v>0</v>
          </cell>
          <cell r="X329">
            <v>45422</v>
          </cell>
          <cell r="Y329">
            <v>0</v>
          </cell>
          <cell r="Z329">
            <v>0</v>
          </cell>
          <cell r="AA329">
            <v>414020</v>
          </cell>
          <cell r="AB329">
            <v>0</v>
          </cell>
          <cell r="AC329">
            <v>414020</v>
          </cell>
          <cell r="AD329">
            <v>408920</v>
          </cell>
          <cell r="AE329">
            <v>0</v>
          </cell>
          <cell r="AF329">
            <v>408920</v>
          </cell>
          <cell r="AG329" t="str">
            <v>ENGR. MICHAEL C. SALARDA
MS. LEONARDA M. LATOR
MS. CARMENCITA VALDEZ
MS. SORAYA P. VERGARA</v>
          </cell>
          <cell r="AH329" t="str">
            <v>N/A</v>
          </cell>
          <cell r="AI329">
            <v>45366</v>
          </cell>
          <cell r="AJ329">
            <v>45366</v>
          </cell>
          <cell r="AK329">
            <v>45366</v>
          </cell>
          <cell r="AL329" t="str">
            <v>N/A</v>
          </cell>
          <cell r="AM329" t="str">
            <v>N/A</v>
          </cell>
          <cell r="AN329">
            <v>0</v>
          </cell>
          <cell r="AO329">
            <v>0</v>
          </cell>
        </row>
        <row r="330">
          <cell r="A330" t="str">
            <v>24-1339</v>
          </cell>
          <cell r="B330" t="str">
            <v>SUPPLY AND DELIVERY OF MEALS AND SNACKS</v>
          </cell>
          <cell r="C330" t="str">
            <v>PGO</v>
          </cell>
          <cell r="D330" t="str">
            <v>No</v>
          </cell>
          <cell r="E330" t="str">
            <v>Competitive Bidding</v>
          </cell>
          <cell r="F330">
            <v>45356</v>
          </cell>
          <cell r="G330">
            <v>45362</v>
          </cell>
          <cell r="H330">
            <v>0</v>
          </cell>
          <cell r="I330" t="str">
            <v>N/A</v>
          </cell>
          <cell r="J330">
            <v>45370</v>
          </cell>
          <cell r="K330">
            <v>45370</v>
          </cell>
          <cell r="L330">
            <v>0</v>
          </cell>
          <cell r="M330">
            <v>45370</v>
          </cell>
          <cell r="N330">
            <v>45383</v>
          </cell>
          <cell r="O330">
            <v>45386</v>
          </cell>
          <cell r="P330">
            <v>0</v>
          </cell>
          <cell r="Q330">
            <v>0</v>
          </cell>
          <cell r="R330">
            <v>0</v>
          </cell>
          <cell r="S330">
            <v>45386</v>
          </cell>
          <cell r="T330">
            <v>45397</v>
          </cell>
          <cell r="U330">
            <v>45401</v>
          </cell>
          <cell r="V330">
            <v>0</v>
          </cell>
          <cell r="W330">
            <v>0</v>
          </cell>
          <cell r="X330" t="e">
            <v>#N/A</v>
          </cell>
          <cell r="Y330">
            <v>0</v>
          </cell>
          <cell r="Z330">
            <v>0</v>
          </cell>
          <cell r="AA330">
            <v>621000</v>
          </cell>
          <cell r="AB330">
            <v>0</v>
          </cell>
          <cell r="AC330">
            <v>621000</v>
          </cell>
          <cell r="AD330">
            <v>614960</v>
          </cell>
          <cell r="AE330">
            <v>0</v>
          </cell>
          <cell r="AF330">
            <v>614960</v>
          </cell>
          <cell r="AG330" t="str">
            <v>ENGR. MICHAEL C. SALARDA
MS. LEONARDA M. LATOR
MS. CARMENCITA VALDEZ
MS. SORAYA P. VERGARA</v>
          </cell>
          <cell r="AH330" t="str">
            <v>N/A</v>
          </cell>
          <cell r="AI330">
            <v>45366</v>
          </cell>
          <cell r="AJ330">
            <v>45366</v>
          </cell>
          <cell r="AK330">
            <v>45366</v>
          </cell>
          <cell r="AL330" t="str">
            <v>N/A</v>
          </cell>
          <cell r="AM330" t="str">
            <v>N/A</v>
          </cell>
          <cell r="AN330">
            <v>0</v>
          </cell>
          <cell r="AO330">
            <v>0</v>
          </cell>
        </row>
        <row r="331">
          <cell r="A331" t="str">
            <v>24-C1106</v>
          </cell>
          <cell r="B331" t="str">
            <v>SUPPLY AND DELIVERY OF MEALS AND SNACKS</v>
          </cell>
          <cell r="C331" t="str">
            <v>PAGRO</v>
          </cell>
          <cell r="D331" t="str">
            <v>No</v>
          </cell>
          <cell r="E331" t="str">
            <v>Competitive Bidding</v>
          </cell>
          <cell r="F331" t="str">
            <v>N/A</v>
          </cell>
          <cell r="G331">
            <v>45362</v>
          </cell>
          <cell r="H331">
            <v>0</v>
          </cell>
          <cell r="I331" t="str">
            <v>N/A</v>
          </cell>
          <cell r="J331">
            <v>45370</v>
          </cell>
          <cell r="K331">
            <v>45370</v>
          </cell>
          <cell r="L331">
            <v>0</v>
          </cell>
          <cell r="M331">
            <v>45370</v>
          </cell>
          <cell r="N331">
            <v>45383</v>
          </cell>
          <cell r="O331">
            <v>45386</v>
          </cell>
          <cell r="P331">
            <v>0</v>
          </cell>
          <cell r="Q331">
            <v>0</v>
          </cell>
          <cell r="R331">
            <v>0</v>
          </cell>
          <cell r="S331">
            <v>45386</v>
          </cell>
          <cell r="T331">
            <v>45405</v>
          </cell>
          <cell r="U331">
            <v>0</v>
          </cell>
          <cell r="V331">
            <v>0</v>
          </cell>
          <cell r="W331">
            <v>0</v>
          </cell>
          <cell r="X331">
            <v>45411</v>
          </cell>
          <cell r="Y331">
            <v>0</v>
          </cell>
          <cell r="Z331">
            <v>0</v>
          </cell>
          <cell r="AA331">
            <v>663580</v>
          </cell>
          <cell r="AB331">
            <v>0</v>
          </cell>
          <cell r="AC331">
            <v>663580</v>
          </cell>
          <cell r="AD331">
            <v>653602</v>
          </cell>
          <cell r="AE331">
            <v>0</v>
          </cell>
          <cell r="AF331">
            <v>653602</v>
          </cell>
          <cell r="AG331" t="str">
            <v>ENGR. MICHAEL C. SALARDA
MS. LEONARDA M. LATOR
MS. CARMENCITA VALDEZ
MS. SORAYA P. VERGARA</v>
          </cell>
          <cell r="AH331" t="str">
            <v>N/A</v>
          </cell>
          <cell r="AI331">
            <v>45366</v>
          </cell>
          <cell r="AJ331">
            <v>45366</v>
          </cell>
          <cell r="AK331">
            <v>45366</v>
          </cell>
          <cell r="AL331" t="str">
            <v>N/A</v>
          </cell>
          <cell r="AM331" t="str">
            <v>N/A</v>
          </cell>
          <cell r="AN331">
            <v>0</v>
          </cell>
          <cell r="AO331">
            <v>0</v>
          </cell>
        </row>
        <row r="332">
          <cell r="A332" t="str">
            <v>24-C1074</v>
          </cell>
          <cell r="B332" t="str">
            <v>SUPPLY AND DELIVERY OF SEEDLINGS FOR THE USE OF PENRO</v>
          </cell>
          <cell r="C332" t="str">
            <v>PENRO</v>
          </cell>
          <cell r="D332" t="str">
            <v>No</v>
          </cell>
          <cell r="E332" t="str">
            <v>Competitive Bidding</v>
          </cell>
          <cell r="F332" t="str">
            <v>N/A</v>
          </cell>
          <cell r="G332">
            <v>45348</v>
          </cell>
          <cell r="H332">
            <v>0</v>
          </cell>
          <cell r="I332" t="str">
            <v>N/A</v>
          </cell>
          <cell r="J332">
            <v>45356</v>
          </cell>
          <cell r="K332">
            <v>45356</v>
          </cell>
          <cell r="L332">
            <v>0</v>
          </cell>
          <cell r="M332">
            <v>45356</v>
          </cell>
          <cell r="N332">
            <v>45383</v>
          </cell>
          <cell r="O332">
            <v>45386</v>
          </cell>
          <cell r="P332">
            <v>0</v>
          </cell>
          <cell r="Q332">
            <v>0</v>
          </cell>
          <cell r="R332">
            <v>0</v>
          </cell>
          <cell r="S332">
            <v>45386</v>
          </cell>
          <cell r="T332">
            <v>45406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879990</v>
          </cell>
          <cell r="AB332">
            <v>0</v>
          </cell>
          <cell r="AC332">
            <v>879990</v>
          </cell>
          <cell r="AD332">
            <v>844726</v>
          </cell>
          <cell r="AE332">
            <v>0</v>
          </cell>
          <cell r="AF332">
            <v>844726</v>
          </cell>
          <cell r="AG332" t="str">
            <v>ENGR. MICHAEL C. SALARDA
MS. LEONARDA M. LATOR
MS. CARMENCITA VALDEZ
MS. SORAYA P. VERGARA</v>
          </cell>
          <cell r="AH332" t="str">
            <v>N/A</v>
          </cell>
          <cell r="AI332">
            <v>45352</v>
          </cell>
          <cell r="AJ332">
            <v>45352</v>
          </cell>
          <cell r="AK332">
            <v>45352</v>
          </cell>
          <cell r="AL332" t="str">
            <v>N/A</v>
          </cell>
          <cell r="AM332" t="str">
            <v>N/A</v>
          </cell>
          <cell r="AN332">
            <v>0</v>
          </cell>
          <cell r="AO332">
            <v>0</v>
          </cell>
        </row>
        <row r="333">
          <cell r="A333" t="str">
            <v>24-C0936</v>
          </cell>
          <cell r="B333" t="str">
            <v>OFFICE SUPPLIES</v>
          </cell>
          <cell r="C333" t="str">
            <v>PPDO</v>
          </cell>
          <cell r="D333" t="str">
            <v>No</v>
          </cell>
          <cell r="E333" t="str">
            <v>Shopping 52.1(b) - Regular Office Supplies and Equipment no available in PS</v>
          </cell>
          <cell r="F333" t="str">
            <v>N/A</v>
          </cell>
          <cell r="G333">
            <v>45376</v>
          </cell>
          <cell r="H333">
            <v>0</v>
          </cell>
          <cell r="I333" t="str">
            <v>N/A</v>
          </cell>
          <cell r="J333">
            <v>45385</v>
          </cell>
          <cell r="K333">
            <v>45385</v>
          </cell>
          <cell r="L333">
            <v>0</v>
          </cell>
          <cell r="M333" t="str">
            <v>N/A</v>
          </cell>
          <cell r="N333" t="str">
            <v>N/A</v>
          </cell>
          <cell r="O333">
            <v>45386</v>
          </cell>
          <cell r="P333">
            <v>0</v>
          </cell>
          <cell r="Q333">
            <v>0</v>
          </cell>
          <cell r="R333">
            <v>0</v>
          </cell>
          <cell r="S333">
            <v>45387</v>
          </cell>
          <cell r="T333">
            <v>45406</v>
          </cell>
          <cell r="U333">
            <v>0</v>
          </cell>
          <cell r="V333">
            <v>0</v>
          </cell>
          <cell r="W333">
            <v>0</v>
          </cell>
          <cell r="X333">
            <v>45418</v>
          </cell>
          <cell r="Y333">
            <v>0</v>
          </cell>
          <cell r="Z333">
            <v>0</v>
          </cell>
          <cell r="AA333">
            <v>261449</v>
          </cell>
          <cell r="AB333">
            <v>0</v>
          </cell>
          <cell r="AC333">
            <v>261449</v>
          </cell>
          <cell r="AD333">
            <v>255010</v>
          </cell>
          <cell r="AE333">
            <v>0</v>
          </cell>
          <cell r="AF333">
            <v>255010</v>
          </cell>
          <cell r="AG333" t="str">
            <v>ENGR. MICHAEL C. SALARDA
MS. LEONARDA M. LATOR
MS. CARMENCITA VALDEZ
MS. SORAYA P. VERGARA</v>
          </cell>
          <cell r="AH333" t="str">
            <v>N/A</v>
          </cell>
          <cell r="AI333" t="str">
            <v>N/A</v>
          </cell>
          <cell r="AJ333" t="str">
            <v>N/A</v>
          </cell>
          <cell r="AK333" t="str">
            <v>N/A</v>
          </cell>
          <cell r="AL333" t="str">
            <v>N/A</v>
          </cell>
          <cell r="AM333" t="str">
            <v>N/A</v>
          </cell>
          <cell r="AN333">
            <v>0</v>
          </cell>
          <cell r="AO333">
            <v>0</v>
          </cell>
        </row>
        <row r="334">
          <cell r="A334" t="str">
            <v>24-C1331</v>
          </cell>
          <cell r="B334" t="str">
            <v>CONSTRUCTION SUPPLIES</v>
          </cell>
          <cell r="C334" t="str">
            <v>PDRRMO</v>
          </cell>
          <cell r="D334" t="str">
            <v>No</v>
          </cell>
          <cell r="E334" t="str">
            <v>NP-53.2 Emergency Cases</v>
          </cell>
          <cell r="F334" t="str">
            <v>N/A</v>
          </cell>
          <cell r="G334">
            <v>45385</v>
          </cell>
          <cell r="H334">
            <v>0</v>
          </cell>
          <cell r="I334" t="str">
            <v>N/A</v>
          </cell>
          <cell r="J334">
            <v>45385</v>
          </cell>
          <cell r="K334">
            <v>45385</v>
          </cell>
          <cell r="L334">
            <v>0</v>
          </cell>
          <cell r="M334" t="str">
            <v>N/A</v>
          </cell>
          <cell r="N334" t="str">
            <v>N/A</v>
          </cell>
          <cell r="O334">
            <v>45386</v>
          </cell>
          <cell r="P334">
            <v>0</v>
          </cell>
          <cell r="Q334">
            <v>0</v>
          </cell>
          <cell r="R334">
            <v>0</v>
          </cell>
          <cell r="S334">
            <v>45386</v>
          </cell>
          <cell r="T334">
            <v>45387</v>
          </cell>
          <cell r="U334">
            <v>45390</v>
          </cell>
          <cell r="V334">
            <v>0</v>
          </cell>
          <cell r="W334">
            <v>0</v>
          </cell>
          <cell r="X334">
            <v>45387</v>
          </cell>
          <cell r="Y334">
            <v>0</v>
          </cell>
          <cell r="Z334">
            <v>0</v>
          </cell>
          <cell r="AA334">
            <v>3345463.85</v>
          </cell>
          <cell r="AB334">
            <v>0</v>
          </cell>
          <cell r="AC334">
            <v>3345463.85</v>
          </cell>
          <cell r="AD334">
            <v>0</v>
          </cell>
          <cell r="AE334">
            <v>0</v>
          </cell>
          <cell r="AF334">
            <v>0</v>
          </cell>
          <cell r="AG334" t="str">
            <v>ENGR. MICHAEL C. SALARDA
MS. LEONARDA M. LATOR
MS. CARMENCITA VALDEZ
MS. SORAYA P. VERGARA</v>
          </cell>
          <cell r="AH334" t="str">
            <v>N/A</v>
          </cell>
          <cell r="AI334" t="str">
            <v>N/A</v>
          </cell>
          <cell r="AJ334" t="str">
            <v>N/A</v>
          </cell>
          <cell r="AK334" t="str">
            <v>N/A</v>
          </cell>
          <cell r="AL334" t="str">
            <v>N/A</v>
          </cell>
          <cell r="AM334" t="str">
            <v>N/A</v>
          </cell>
          <cell r="AN334">
            <v>0</v>
          </cell>
          <cell r="AO334">
            <v>0</v>
          </cell>
        </row>
        <row r="335">
          <cell r="A335" t="str">
            <v>24-C1179</v>
          </cell>
          <cell r="B335" t="str">
            <v>TARPAULIN</v>
          </cell>
          <cell r="C335" t="str">
            <v>PHO</v>
          </cell>
          <cell r="D335" t="str">
            <v>No</v>
          </cell>
          <cell r="E335" t="str">
            <v>NP-53.9 - Small Value Procurement</v>
          </cell>
          <cell r="F335" t="str">
            <v>N/A</v>
          </cell>
          <cell r="G335">
            <v>45371</v>
          </cell>
          <cell r="H335">
            <v>0</v>
          </cell>
          <cell r="I335" t="str">
            <v>N/A</v>
          </cell>
          <cell r="J335">
            <v>45385</v>
          </cell>
          <cell r="K335">
            <v>45385</v>
          </cell>
          <cell r="L335">
            <v>0</v>
          </cell>
          <cell r="M335" t="str">
            <v>N/A</v>
          </cell>
          <cell r="N335" t="str">
            <v>N/A</v>
          </cell>
          <cell r="O335">
            <v>45386</v>
          </cell>
          <cell r="P335">
            <v>0</v>
          </cell>
          <cell r="Q335">
            <v>0</v>
          </cell>
          <cell r="R335">
            <v>0</v>
          </cell>
          <cell r="S335">
            <v>45393</v>
          </cell>
          <cell r="T335">
            <v>45393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71288</v>
          </cell>
          <cell r="AB335">
            <v>0</v>
          </cell>
          <cell r="AC335">
            <v>71288</v>
          </cell>
          <cell r="AD335">
            <v>63232.800000000003</v>
          </cell>
          <cell r="AE335">
            <v>0</v>
          </cell>
          <cell r="AF335">
            <v>63232.800000000003</v>
          </cell>
          <cell r="AG335" t="str">
            <v>ENGR. MICHAEL C. SALARDA
MS. LEONARDA M. LATOR
MS. CARMENCITA VALDEZ
MS. SORAYA P. VERGARA</v>
          </cell>
          <cell r="AH335" t="str">
            <v>N/A</v>
          </cell>
          <cell r="AI335" t="str">
            <v>N/A</v>
          </cell>
          <cell r="AJ335" t="str">
            <v>N/A</v>
          </cell>
          <cell r="AK335" t="str">
            <v>N/A</v>
          </cell>
          <cell r="AL335" t="str">
            <v>N/A</v>
          </cell>
          <cell r="AM335" t="str">
            <v>N/A</v>
          </cell>
          <cell r="AN335">
            <v>0</v>
          </cell>
          <cell r="AO335">
            <v>0</v>
          </cell>
        </row>
        <row r="336">
          <cell r="A336" t="str">
            <v>24-C1203</v>
          </cell>
          <cell r="B336" t="str">
            <v>SPORTS SUPPLIES &amp; EQUIPMENT</v>
          </cell>
          <cell r="C336" t="str">
            <v>SEF</v>
          </cell>
          <cell r="D336" t="str">
            <v>No</v>
          </cell>
          <cell r="E336" t="str">
            <v>NP-53.9 - Small Value Procurement</v>
          </cell>
          <cell r="F336" t="str">
            <v>N/A</v>
          </cell>
          <cell r="G336">
            <v>45376</v>
          </cell>
          <cell r="H336">
            <v>0</v>
          </cell>
          <cell r="I336" t="str">
            <v>N/A</v>
          </cell>
          <cell r="J336">
            <v>45385</v>
          </cell>
          <cell r="K336">
            <v>45385</v>
          </cell>
          <cell r="L336">
            <v>0</v>
          </cell>
          <cell r="M336" t="str">
            <v>N/A</v>
          </cell>
          <cell r="N336" t="str">
            <v>N/A</v>
          </cell>
          <cell r="O336">
            <v>45386</v>
          </cell>
          <cell r="P336">
            <v>0</v>
          </cell>
          <cell r="Q336">
            <v>0</v>
          </cell>
          <cell r="R336">
            <v>0</v>
          </cell>
          <cell r="S336">
            <v>45387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45426</v>
          </cell>
          <cell r="Y336">
            <v>0</v>
          </cell>
          <cell r="Z336">
            <v>0</v>
          </cell>
          <cell r="AA336">
            <v>422848</v>
          </cell>
          <cell r="AB336">
            <v>0</v>
          </cell>
          <cell r="AC336">
            <v>422848</v>
          </cell>
          <cell r="AD336">
            <v>418361.5</v>
          </cell>
          <cell r="AE336">
            <v>0</v>
          </cell>
          <cell r="AF336">
            <v>418361.5</v>
          </cell>
          <cell r="AG336" t="str">
            <v>ENGR. MICHAEL C. SALARDA
MS. LEONARDA M. LATOR
MS. CARMENCITA VALDEZ
MS. SORAYA P. VERGARA</v>
          </cell>
          <cell r="AH336" t="str">
            <v>N/A</v>
          </cell>
          <cell r="AI336" t="str">
            <v>N/A</v>
          </cell>
          <cell r="AJ336" t="str">
            <v>N/A</v>
          </cell>
          <cell r="AK336" t="str">
            <v>N/A</v>
          </cell>
          <cell r="AL336" t="str">
            <v>N/A</v>
          </cell>
          <cell r="AM336" t="str">
            <v>N/A</v>
          </cell>
          <cell r="AN336">
            <v>0</v>
          </cell>
          <cell r="AO336">
            <v>0</v>
          </cell>
        </row>
        <row r="337">
          <cell r="A337" t="str">
            <v>24-1414</v>
          </cell>
          <cell r="B337" t="str">
            <v>SPAREPARTS (GRASS CUTTER)</v>
          </cell>
          <cell r="C337" t="str">
            <v>PGSO</v>
          </cell>
          <cell r="D337" t="str">
            <v>No</v>
          </cell>
          <cell r="E337" t="str">
            <v>NP-53.9 - Small Value Procurement</v>
          </cell>
          <cell r="F337" t="str">
            <v>N/A</v>
          </cell>
          <cell r="G337">
            <v>45371</v>
          </cell>
          <cell r="H337">
            <v>0</v>
          </cell>
          <cell r="I337" t="str">
            <v>N/A</v>
          </cell>
          <cell r="J337">
            <v>45385</v>
          </cell>
          <cell r="K337">
            <v>45385</v>
          </cell>
          <cell r="L337">
            <v>0</v>
          </cell>
          <cell r="M337" t="str">
            <v>N/A</v>
          </cell>
          <cell r="N337" t="str">
            <v>N/A</v>
          </cell>
          <cell r="O337">
            <v>45386</v>
          </cell>
          <cell r="P337">
            <v>0</v>
          </cell>
          <cell r="Q337">
            <v>0</v>
          </cell>
          <cell r="R337">
            <v>0</v>
          </cell>
          <cell r="S337" t="str">
            <v>N/A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 t="e">
            <v>#N/A</v>
          </cell>
          <cell r="Y337">
            <v>0</v>
          </cell>
          <cell r="Z337">
            <v>0</v>
          </cell>
          <cell r="AA337">
            <v>15580</v>
          </cell>
          <cell r="AB337">
            <v>0</v>
          </cell>
          <cell r="AC337">
            <v>15580</v>
          </cell>
          <cell r="AD337">
            <v>15100</v>
          </cell>
          <cell r="AE337">
            <v>0</v>
          </cell>
          <cell r="AF337">
            <v>15100</v>
          </cell>
          <cell r="AG337" t="str">
            <v>ENGR. MICHAEL C. SALARDA
MS. LEONARDA M. LATOR
MS. CARMENCITA VALDEZ
MS. SORAYA P. VERGARA</v>
          </cell>
          <cell r="AH337" t="str">
            <v>N/A</v>
          </cell>
          <cell r="AI337" t="str">
            <v>N/A</v>
          </cell>
          <cell r="AJ337" t="str">
            <v>N/A</v>
          </cell>
          <cell r="AK337" t="str">
            <v>N/A</v>
          </cell>
          <cell r="AL337" t="str">
            <v>N/A</v>
          </cell>
          <cell r="AM337" t="str">
            <v>N/A</v>
          </cell>
          <cell r="AN337">
            <v>0</v>
          </cell>
          <cell r="AO337">
            <v>0</v>
          </cell>
        </row>
        <row r="338">
          <cell r="A338" t="str">
            <v>24-1417</v>
          </cell>
          <cell r="B338" t="str">
            <v>SPAREPARTS (MOTORCYCLE)</v>
          </cell>
          <cell r="C338" t="str">
            <v>PGSO</v>
          </cell>
          <cell r="D338" t="str">
            <v>No</v>
          </cell>
          <cell r="E338" t="str">
            <v>NP-53.9 - Small Value Procurement</v>
          </cell>
          <cell r="F338">
            <v>45356</v>
          </cell>
          <cell r="G338">
            <v>45359</v>
          </cell>
          <cell r="H338">
            <v>0</v>
          </cell>
          <cell r="I338" t="str">
            <v>N/A</v>
          </cell>
          <cell r="J338">
            <v>45385</v>
          </cell>
          <cell r="K338">
            <v>45385</v>
          </cell>
          <cell r="L338">
            <v>0</v>
          </cell>
          <cell r="M338" t="str">
            <v>N/A</v>
          </cell>
          <cell r="N338" t="str">
            <v>N/A</v>
          </cell>
          <cell r="O338">
            <v>45386</v>
          </cell>
          <cell r="P338">
            <v>0</v>
          </cell>
          <cell r="Q338">
            <v>0</v>
          </cell>
          <cell r="R338">
            <v>0</v>
          </cell>
          <cell r="S338" t="str">
            <v>N/A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 t="e">
            <v>#N/A</v>
          </cell>
          <cell r="Y338">
            <v>0</v>
          </cell>
          <cell r="Z338">
            <v>0</v>
          </cell>
          <cell r="AA338">
            <v>810</v>
          </cell>
          <cell r="AB338">
            <v>0</v>
          </cell>
          <cell r="AC338">
            <v>810</v>
          </cell>
          <cell r="AD338">
            <v>810</v>
          </cell>
          <cell r="AE338">
            <v>0</v>
          </cell>
          <cell r="AF338">
            <v>810</v>
          </cell>
          <cell r="AG338" t="str">
            <v>ENGR. MICHAEL C. SALARDA
MS. LEONARDA M. LATOR
MS. CARMENCITA VALDEZ
MS. SORAYA P. VERGARA</v>
          </cell>
          <cell r="AH338" t="str">
            <v>N/A</v>
          </cell>
          <cell r="AI338" t="str">
            <v>N/A</v>
          </cell>
          <cell r="AJ338" t="str">
            <v>N/A</v>
          </cell>
          <cell r="AK338" t="str">
            <v>N/A</v>
          </cell>
          <cell r="AL338" t="str">
            <v>N/A</v>
          </cell>
          <cell r="AM338" t="str">
            <v>N/A</v>
          </cell>
          <cell r="AN338">
            <v>0</v>
          </cell>
          <cell r="AO338">
            <v>0</v>
          </cell>
        </row>
        <row r="339">
          <cell r="A339" t="str">
            <v>24-C1054</v>
          </cell>
          <cell r="B339" t="str">
            <v>FOOD CATERING/SERVICES</v>
          </cell>
          <cell r="C339" t="str">
            <v>PHO</v>
          </cell>
          <cell r="D339" t="str">
            <v>No</v>
          </cell>
          <cell r="E339" t="str">
            <v>NP-53.9 - Small Value Procurement</v>
          </cell>
          <cell r="F339">
            <v>45370</v>
          </cell>
          <cell r="G339">
            <v>45376</v>
          </cell>
          <cell r="H339">
            <v>0</v>
          </cell>
          <cell r="I339" t="str">
            <v>N/A</v>
          </cell>
          <cell r="J339">
            <v>45385</v>
          </cell>
          <cell r="K339">
            <v>45385</v>
          </cell>
          <cell r="L339">
            <v>0</v>
          </cell>
          <cell r="M339" t="str">
            <v>N/A</v>
          </cell>
          <cell r="N339" t="str">
            <v>N/A</v>
          </cell>
          <cell r="O339">
            <v>45386</v>
          </cell>
          <cell r="P339">
            <v>0</v>
          </cell>
          <cell r="Q339">
            <v>0</v>
          </cell>
          <cell r="R339">
            <v>0</v>
          </cell>
          <cell r="S339">
            <v>45386</v>
          </cell>
          <cell r="T339">
            <v>45406</v>
          </cell>
          <cell r="U339">
            <v>0</v>
          </cell>
          <cell r="V339">
            <v>0</v>
          </cell>
          <cell r="W339">
            <v>0</v>
          </cell>
          <cell r="X339">
            <v>45399</v>
          </cell>
          <cell r="Y339">
            <v>0</v>
          </cell>
          <cell r="Z339">
            <v>0</v>
          </cell>
          <cell r="AA339">
            <v>398530</v>
          </cell>
          <cell r="AB339">
            <v>0</v>
          </cell>
          <cell r="AC339">
            <v>398530</v>
          </cell>
          <cell r="AD339">
            <v>383530</v>
          </cell>
          <cell r="AE339">
            <v>0</v>
          </cell>
          <cell r="AF339">
            <v>383530</v>
          </cell>
          <cell r="AG339" t="str">
            <v>ENGR. MICHAEL C. SALARDA
MS. LEONARDA M. LATOR
MS. CARMENCITA VALDEZ
MS. SORAYA P. VERGARA</v>
          </cell>
          <cell r="AH339" t="str">
            <v>N/A</v>
          </cell>
          <cell r="AI339" t="str">
            <v>N/A</v>
          </cell>
          <cell r="AJ339" t="str">
            <v>N/A</v>
          </cell>
          <cell r="AK339" t="str">
            <v>N/A</v>
          </cell>
          <cell r="AL339" t="str">
            <v>N/A</v>
          </cell>
          <cell r="AM339" t="str">
            <v>N/A</v>
          </cell>
          <cell r="AN339">
            <v>0</v>
          </cell>
          <cell r="AO339">
            <v>0</v>
          </cell>
        </row>
        <row r="340">
          <cell r="A340" t="str">
            <v>24-1421</v>
          </cell>
          <cell r="B340" t="str">
            <v>SPAREPARTS (MOTORCYCLE)</v>
          </cell>
          <cell r="C340" t="str">
            <v>PGSO</v>
          </cell>
          <cell r="D340" t="str">
            <v>No</v>
          </cell>
          <cell r="E340" t="str">
            <v>NP-53.9 - Small Value Procurement</v>
          </cell>
          <cell r="F340">
            <v>45356</v>
          </cell>
          <cell r="G340">
            <v>45359</v>
          </cell>
          <cell r="H340">
            <v>0</v>
          </cell>
          <cell r="I340" t="str">
            <v>N/A</v>
          </cell>
          <cell r="J340">
            <v>45385</v>
          </cell>
          <cell r="K340">
            <v>45385</v>
          </cell>
          <cell r="L340">
            <v>0</v>
          </cell>
          <cell r="M340" t="str">
            <v>N/A</v>
          </cell>
          <cell r="N340" t="str">
            <v>N/A</v>
          </cell>
          <cell r="O340">
            <v>45386</v>
          </cell>
          <cell r="P340">
            <v>0</v>
          </cell>
          <cell r="Q340">
            <v>0</v>
          </cell>
          <cell r="R340">
            <v>0</v>
          </cell>
          <cell r="S340" t="str">
            <v>N/A</v>
          </cell>
          <cell r="T340">
            <v>45394</v>
          </cell>
          <cell r="U340">
            <v>0</v>
          </cell>
          <cell r="V340">
            <v>0</v>
          </cell>
          <cell r="W340">
            <v>0</v>
          </cell>
          <cell r="X340" t="e">
            <v>#N/A</v>
          </cell>
          <cell r="Y340">
            <v>0</v>
          </cell>
          <cell r="Z340">
            <v>0</v>
          </cell>
          <cell r="AA340">
            <v>8400</v>
          </cell>
          <cell r="AB340">
            <v>0</v>
          </cell>
          <cell r="AC340">
            <v>8400</v>
          </cell>
          <cell r="AD340">
            <v>8400</v>
          </cell>
          <cell r="AE340">
            <v>0</v>
          </cell>
          <cell r="AF340">
            <v>8400</v>
          </cell>
          <cell r="AG340" t="str">
            <v>ENGR. MICHAEL C. SALARDA
MS. LEONARDA M. LATOR
MS. CARMENCITA VALDEZ
MS. SORAYA P. VERGARA</v>
          </cell>
          <cell r="AH340" t="str">
            <v>N/A</v>
          </cell>
          <cell r="AI340" t="str">
            <v>N/A</v>
          </cell>
          <cell r="AJ340" t="str">
            <v>N/A</v>
          </cell>
          <cell r="AK340" t="str">
            <v>N/A</v>
          </cell>
          <cell r="AL340" t="str">
            <v>N/A</v>
          </cell>
          <cell r="AM340" t="str">
            <v>N/A</v>
          </cell>
          <cell r="AN340">
            <v>0</v>
          </cell>
          <cell r="AO340">
            <v>0</v>
          </cell>
        </row>
        <row r="341">
          <cell r="A341" t="str">
            <v>24-1279</v>
          </cell>
          <cell r="B341" t="str">
            <v>SPAREPARTS (MOTORCYCLE)</v>
          </cell>
          <cell r="C341" t="str">
            <v>PGSO</v>
          </cell>
          <cell r="D341" t="str">
            <v>No</v>
          </cell>
          <cell r="E341" t="str">
            <v>NP-53.9 - Small Value Procurement</v>
          </cell>
          <cell r="F341">
            <v>45356</v>
          </cell>
          <cell r="G341">
            <v>45359</v>
          </cell>
          <cell r="H341">
            <v>0</v>
          </cell>
          <cell r="I341" t="str">
            <v>N/A</v>
          </cell>
          <cell r="J341">
            <v>45385</v>
          </cell>
          <cell r="K341">
            <v>45385</v>
          </cell>
          <cell r="L341">
            <v>0</v>
          </cell>
          <cell r="M341" t="str">
            <v>N/A</v>
          </cell>
          <cell r="N341" t="str">
            <v>N/A</v>
          </cell>
          <cell r="O341">
            <v>45386</v>
          </cell>
          <cell r="P341">
            <v>0</v>
          </cell>
          <cell r="Q341">
            <v>0</v>
          </cell>
          <cell r="R341">
            <v>0</v>
          </cell>
          <cell r="S341" t="str">
            <v>N/A</v>
          </cell>
          <cell r="T341">
            <v>45394</v>
          </cell>
          <cell r="U341">
            <v>0</v>
          </cell>
          <cell r="V341">
            <v>0</v>
          </cell>
          <cell r="W341">
            <v>0</v>
          </cell>
          <cell r="X341" t="e">
            <v>#N/A</v>
          </cell>
          <cell r="Y341">
            <v>0</v>
          </cell>
          <cell r="Z341">
            <v>0</v>
          </cell>
          <cell r="AA341">
            <v>9850</v>
          </cell>
          <cell r="AB341">
            <v>0</v>
          </cell>
          <cell r="AC341">
            <v>9850</v>
          </cell>
          <cell r="AD341">
            <v>9850</v>
          </cell>
          <cell r="AE341">
            <v>0</v>
          </cell>
          <cell r="AF341">
            <v>9850</v>
          </cell>
          <cell r="AG341" t="str">
            <v>ENGR. MICHAEL C. SALARDA
MS. LEONARDA M. LATOR
MS. CARMENCITA VALDEZ
MS. SORAYA P. VERGARA</v>
          </cell>
          <cell r="AH341" t="str">
            <v>N/A</v>
          </cell>
          <cell r="AI341" t="str">
            <v>N/A</v>
          </cell>
          <cell r="AJ341" t="str">
            <v>N/A</v>
          </cell>
          <cell r="AK341" t="str">
            <v>N/A</v>
          </cell>
          <cell r="AL341" t="str">
            <v>N/A</v>
          </cell>
          <cell r="AM341" t="str">
            <v>N/A</v>
          </cell>
          <cell r="AN341">
            <v>0</v>
          </cell>
          <cell r="AO341">
            <v>0</v>
          </cell>
        </row>
        <row r="342">
          <cell r="A342" t="str">
            <v>24-C1204</v>
          </cell>
          <cell r="B342" t="str">
            <v>SPORTS UNIFORM</v>
          </cell>
          <cell r="C342" t="str">
            <v>SEF</v>
          </cell>
          <cell r="D342" t="str">
            <v>No</v>
          </cell>
          <cell r="E342" t="str">
            <v>Competitive Bidding</v>
          </cell>
          <cell r="F342" t="str">
            <v>N/A</v>
          </cell>
          <cell r="G342">
            <v>45365</v>
          </cell>
          <cell r="H342">
            <v>0</v>
          </cell>
          <cell r="I342">
            <v>45373</v>
          </cell>
          <cell r="J342">
            <v>45385</v>
          </cell>
          <cell r="K342">
            <v>45385</v>
          </cell>
          <cell r="L342">
            <v>0</v>
          </cell>
          <cell r="M342">
            <v>45385</v>
          </cell>
          <cell r="N342">
            <v>45387</v>
          </cell>
          <cell r="O342">
            <v>45387</v>
          </cell>
          <cell r="P342">
            <v>0</v>
          </cell>
          <cell r="Q342">
            <v>0</v>
          </cell>
          <cell r="R342">
            <v>0</v>
          </cell>
          <cell r="S342">
            <v>45388</v>
          </cell>
          <cell r="T342">
            <v>45390</v>
          </cell>
          <cell r="U342">
            <v>45390</v>
          </cell>
          <cell r="V342">
            <v>0</v>
          </cell>
          <cell r="W342">
            <v>0</v>
          </cell>
          <cell r="X342">
            <v>45390</v>
          </cell>
          <cell r="Y342">
            <v>0</v>
          </cell>
          <cell r="Z342">
            <v>0</v>
          </cell>
          <cell r="AA342">
            <v>1133060</v>
          </cell>
          <cell r="AB342">
            <v>0</v>
          </cell>
          <cell r="AC342">
            <v>1133060</v>
          </cell>
          <cell r="AD342">
            <v>1132791.75</v>
          </cell>
          <cell r="AE342">
            <v>0</v>
          </cell>
          <cell r="AF342">
            <v>1132791.75</v>
          </cell>
          <cell r="AG342" t="str">
            <v>ENGR. MICHAEL C. SALARDA
MS. LEONARDA M. LATOR
MS. CARMENCITA VALDEZ
MS. SORAYA P. VERGARA</v>
          </cell>
          <cell r="AH342">
            <v>45372</v>
          </cell>
          <cell r="AI342">
            <v>45383</v>
          </cell>
          <cell r="AJ342">
            <v>45383</v>
          </cell>
          <cell r="AK342">
            <v>45383</v>
          </cell>
          <cell r="AL342" t="str">
            <v>N/A</v>
          </cell>
          <cell r="AM342" t="str">
            <v>N/A</v>
          </cell>
          <cell r="AN342">
            <v>0</v>
          </cell>
          <cell r="AO342">
            <v>0</v>
          </cell>
        </row>
        <row r="343">
          <cell r="A343" t="str">
            <v>24-C1146</v>
          </cell>
          <cell r="B343" t="str">
            <v>MEDICAL SUPPLIES</v>
          </cell>
          <cell r="C343" t="str">
            <v>PGO</v>
          </cell>
          <cell r="D343" t="str">
            <v>No</v>
          </cell>
          <cell r="E343" t="str">
            <v>Competitive Bidding</v>
          </cell>
          <cell r="F343" t="str">
            <v>N/A</v>
          </cell>
          <cell r="G343">
            <v>45362</v>
          </cell>
          <cell r="H343">
            <v>0</v>
          </cell>
          <cell r="I343" t="str">
            <v>N/A</v>
          </cell>
          <cell r="J343">
            <v>45370</v>
          </cell>
          <cell r="K343">
            <v>45370</v>
          </cell>
          <cell r="L343">
            <v>0</v>
          </cell>
          <cell r="M343">
            <v>45370</v>
          </cell>
          <cell r="N343">
            <v>45386</v>
          </cell>
          <cell r="O343">
            <v>45388</v>
          </cell>
          <cell r="P343">
            <v>0</v>
          </cell>
          <cell r="Q343">
            <v>0</v>
          </cell>
          <cell r="R343">
            <v>0</v>
          </cell>
          <cell r="S343">
            <v>45393</v>
          </cell>
          <cell r="T343">
            <v>45412</v>
          </cell>
          <cell r="U343">
            <v>0</v>
          </cell>
          <cell r="V343">
            <v>0</v>
          </cell>
          <cell r="W343">
            <v>0</v>
          </cell>
          <cell r="X343">
            <v>45453</v>
          </cell>
          <cell r="Y343">
            <v>0</v>
          </cell>
          <cell r="Z343">
            <v>0</v>
          </cell>
          <cell r="AA343">
            <v>323640</v>
          </cell>
          <cell r="AB343">
            <v>0</v>
          </cell>
          <cell r="AC343">
            <v>323640</v>
          </cell>
          <cell r="AD343">
            <v>152980</v>
          </cell>
          <cell r="AE343">
            <v>0</v>
          </cell>
          <cell r="AF343">
            <v>152980</v>
          </cell>
          <cell r="AG343" t="str">
            <v>ENGR. MICHAEL C. SALARDA
MS. LEONARDA M. LATOR
MS. CARMENCITA VALDEZ
MS. SORAYA P. VERGARA</v>
          </cell>
          <cell r="AH343" t="str">
            <v>N/A</v>
          </cell>
          <cell r="AI343">
            <v>45366</v>
          </cell>
          <cell r="AJ343">
            <v>45366</v>
          </cell>
          <cell r="AK343">
            <v>45366</v>
          </cell>
          <cell r="AL343" t="str">
            <v>N/A</v>
          </cell>
          <cell r="AM343" t="str">
            <v>N/A</v>
          </cell>
          <cell r="AN343">
            <v>0</v>
          </cell>
          <cell r="AO343">
            <v>0</v>
          </cell>
        </row>
        <row r="344">
          <cell r="A344" t="str">
            <v>23-5532</v>
          </cell>
          <cell r="B344" t="str">
            <v xml:space="preserve">JOB ORDER (LABOR &amp; MATERIALS) </v>
          </cell>
          <cell r="C344" t="str">
            <v>DDOPH-Montevista</v>
          </cell>
          <cell r="D344" t="str">
            <v>No</v>
          </cell>
          <cell r="E344" t="str">
            <v>NP-53.1 Two Failed Biddings</v>
          </cell>
          <cell r="F344">
            <v>45279</v>
          </cell>
          <cell r="G344">
            <v>45359</v>
          </cell>
          <cell r="H344">
            <v>0</v>
          </cell>
          <cell r="I344" t="str">
            <v>N/A</v>
          </cell>
          <cell r="J344">
            <v>45387</v>
          </cell>
          <cell r="K344">
            <v>45387</v>
          </cell>
          <cell r="L344">
            <v>0</v>
          </cell>
          <cell r="M344" t="str">
            <v>N/A</v>
          </cell>
          <cell r="N344" t="str">
            <v>N/A</v>
          </cell>
          <cell r="O344">
            <v>45394</v>
          </cell>
          <cell r="P344">
            <v>0</v>
          </cell>
          <cell r="Q344">
            <v>0</v>
          </cell>
          <cell r="R344">
            <v>0</v>
          </cell>
          <cell r="S344">
            <v>45394</v>
          </cell>
          <cell r="T344">
            <v>45399</v>
          </cell>
          <cell r="U344">
            <v>0</v>
          </cell>
          <cell r="V344">
            <v>0</v>
          </cell>
          <cell r="W344">
            <v>0</v>
          </cell>
          <cell r="X344" t="e">
            <v>#N/A</v>
          </cell>
          <cell r="Y344">
            <v>0</v>
          </cell>
          <cell r="Z344">
            <v>0</v>
          </cell>
          <cell r="AA344">
            <v>1500000</v>
          </cell>
          <cell r="AB344">
            <v>0</v>
          </cell>
          <cell r="AC344">
            <v>1500000</v>
          </cell>
          <cell r="AD344">
            <v>1388800</v>
          </cell>
          <cell r="AE344">
            <v>0</v>
          </cell>
          <cell r="AF344">
            <v>1388800</v>
          </cell>
          <cell r="AG344" t="str">
            <v>ENGR. MICHAEL C. SALARDA
MS. LEONARDA M. LATOR
MS. CARMENCITA VALDEZ
MS. SORAYA P. VERGARA</v>
          </cell>
          <cell r="AH344" t="str">
            <v>N/A</v>
          </cell>
          <cell r="AI344" t="str">
            <v>N/A</v>
          </cell>
          <cell r="AJ344" t="str">
            <v>N/A</v>
          </cell>
          <cell r="AK344" t="str">
            <v>N/A</v>
          </cell>
          <cell r="AL344" t="str">
            <v>N/A</v>
          </cell>
          <cell r="AM344" t="str">
            <v>N/A</v>
          </cell>
          <cell r="AN344">
            <v>0</v>
          </cell>
          <cell r="AO344">
            <v>0</v>
          </cell>
        </row>
        <row r="345">
          <cell r="A345" t="str">
            <v>24-1284</v>
          </cell>
          <cell r="B345" t="str">
            <v>SPAREPARTS (MOTORCYCLE)</v>
          </cell>
          <cell r="C345" t="str">
            <v>PGSO</v>
          </cell>
          <cell r="D345" t="str">
            <v>No</v>
          </cell>
          <cell r="E345" t="str">
            <v>Shopping 52.1(a) - Unforeseen Contingency</v>
          </cell>
          <cell r="F345">
            <v>45356</v>
          </cell>
          <cell r="G345">
            <v>45371</v>
          </cell>
          <cell r="H345">
            <v>0</v>
          </cell>
          <cell r="I345" t="str">
            <v>N/A</v>
          </cell>
          <cell r="J345">
            <v>45387</v>
          </cell>
          <cell r="K345">
            <v>45387</v>
          </cell>
          <cell r="L345">
            <v>0</v>
          </cell>
          <cell r="M345" t="str">
            <v>N/A</v>
          </cell>
          <cell r="N345" t="str">
            <v>N/A</v>
          </cell>
          <cell r="O345">
            <v>45394</v>
          </cell>
          <cell r="P345">
            <v>0</v>
          </cell>
          <cell r="Q345">
            <v>0</v>
          </cell>
          <cell r="R345">
            <v>0</v>
          </cell>
          <cell r="S345" t="str">
            <v>N/A</v>
          </cell>
          <cell r="T345">
            <v>45405</v>
          </cell>
          <cell r="U345">
            <v>0</v>
          </cell>
          <cell r="V345">
            <v>0</v>
          </cell>
          <cell r="W345">
            <v>0</v>
          </cell>
          <cell r="X345" t="e">
            <v>#N/A</v>
          </cell>
          <cell r="Y345">
            <v>0</v>
          </cell>
          <cell r="Z345">
            <v>0</v>
          </cell>
          <cell r="AA345">
            <v>31620</v>
          </cell>
          <cell r="AB345">
            <v>0</v>
          </cell>
          <cell r="AC345">
            <v>31620</v>
          </cell>
          <cell r="AD345">
            <v>31620</v>
          </cell>
          <cell r="AE345">
            <v>0</v>
          </cell>
          <cell r="AF345">
            <v>31620</v>
          </cell>
          <cell r="AG345" t="str">
            <v>ENGR. MICHAEL C. SALARDA
MS. LEONARDA M. LATOR
MS. CARMENCITA VALDEZ
MS. SORAYA P. VERGARA</v>
          </cell>
          <cell r="AH345" t="str">
            <v>N/A</v>
          </cell>
          <cell r="AI345" t="str">
            <v>N/A</v>
          </cell>
          <cell r="AJ345" t="str">
            <v>N/A</v>
          </cell>
          <cell r="AK345" t="str">
            <v>N/A</v>
          </cell>
          <cell r="AL345" t="str">
            <v>N/A</v>
          </cell>
          <cell r="AM345" t="str">
            <v>N/A</v>
          </cell>
          <cell r="AN345">
            <v>0</v>
          </cell>
          <cell r="AO345">
            <v>0</v>
          </cell>
        </row>
        <row r="346">
          <cell r="A346" t="str">
            <v>24-1570</v>
          </cell>
          <cell r="B346" t="str">
            <v>SPAREPARTS (LIGHT VEHICLES)</v>
          </cell>
          <cell r="C346" t="str">
            <v>PGSO</v>
          </cell>
          <cell r="D346" t="str">
            <v>No</v>
          </cell>
          <cell r="E346" t="str">
            <v>Shopping 52.1(a) - Unforeseen Contingency</v>
          </cell>
          <cell r="F346" t="str">
            <v>N/A</v>
          </cell>
          <cell r="G346">
            <v>45371</v>
          </cell>
          <cell r="H346">
            <v>0</v>
          </cell>
          <cell r="I346" t="str">
            <v>N/A</v>
          </cell>
          <cell r="J346">
            <v>45387</v>
          </cell>
          <cell r="K346">
            <v>45387</v>
          </cell>
          <cell r="L346">
            <v>0</v>
          </cell>
          <cell r="M346" t="str">
            <v>N/A</v>
          </cell>
          <cell r="N346" t="str">
            <v>N/A</v>
          </cell>
          <cell r="O346">
            <v>45394</v>
          </cell>
          <cell r="P346">
            <v>0</v>
          </cell>
          <cell r="Q346">
            <v>0</v>
          </cell>
          <cell r="R346">
            <v>0</v>
          </cell>
          <cell r="S346" t="str">
            <v>N/A</v>
          </cell>
          <cell r="T346">
            <v>45405</v>
          </cell>
          <cell r="U346">
            <v>0</v>
          </cell>
          <cell r="V346">
            <v>0</v>
          </cell>
          <cell r="W346">
            <v>0</v>
          </cell>
          <cell r="X346" t="e">
            <v>#N/A</v>
          </cell>
          <cell r="Y346">
            <v>0</v>
          </cell>
          <cell r="Z346">
            <v>0</v>
          </cell>
          <cell r="AA346">
            <v>8700</v>
          </cell>
          <cell r="AB346">
            <v>0</v>
          </cell>
          <cell r="AC346">
            <v>8700</v>
          </cell>
          <cell r="AD346">
            <v>8700</v>
          </cell>
          <cell r="AE346">
            <v>0</v>
          </cell>
          <cell r="AF346">
            <v>8700</v>
          </cell>
          <cell r="AG346" t="str">
            <v>ENGR. MICHAEL C. SALARDA
MS. LEONARDA M. LATOR
MS. CARMENCITA VALDEZ
MS. SORAYA P. VERGARA</v>
          </cell>
          <cell r="AH346" t="str">
            <v>N/A</v>
          </cell>
          <cell r="AI346" t="str">
            <v>N/A</v>
          </cell>
          <cell r="AJ346" t="str">
            <v>N/A</v>
          </cell>
          <cell r="AK346" t="str">
            <v>N/A</v>
          </cell>
          <cell r="AL346" t="str">
            <v>N/A</v>
          </cell>
          <cell r="AM346" t="str">
            <v>N/A</v>
          </cell>
          <cell r="AN346">
            <v>0</v>
          </cell>
          <cell r="AO346">
            <v>0</v>
          </cell>
        </row>
        <row r="347">
          <cell r="A347" t="str">
            <v>24-C1154</v>
          </cell>
          <cell r="B347" t="str">
            <v>SPAREPARTS (LIGHT VEHICLES)</v>
          </cell>
          <cell r="C347" t="str">
            <v>PGSO</v>
          </cell>
          <cell r="D347" t="str">
            <v>No</v>
          </cell>
          <cell r="E347" t="str">
            <v>Shopping 52.1(a) - Unforeseen Contingency</v>
          </cell>
          <cell r="F347" t="str">
            <v>N/A</v>
          </cell>
          <cell r="G347">
            <v>45371</v>
          </cell>
          <cell r="H347">
            <v>0</v>
          </cell>
          <cell r="I347" t="str">
            <v>N/A</v>
          </cell>
          <cell r="J347">
            <v>45387</v>
          </cell>
          <cell r="K347">
            <v>45387</v>
          </cell>
          <cell r="L347">
            <v>0</v>
          </cell>
          <cell r="M347" t="str">
            <v>N/A</v>
          </cell>
          <cell r="N347" t="str">
            <v>N/A</v>
          </cell>
          <cell r="O347">
            <v>45394</v>
          </cell>
          <cell r="P347">
            <v>0</v>
          </cell>
          <cell r="Q347">
            <v>0</v>
          </cell>
          <cell r="R347">
            <v>0</v>
          </cell>
          <cell r="S347" t="str">
            <v>N/A</v>
          </cell>
          <cell r="T347">
            <v>45405</v>
          </cell>
          <cell r="U347">
            <v>0</v>
          </cell>
          <cell r="V347">
            <v>0</v>
          </cell>
          <cell r="W347">
            <v>0</v>
          </cell>
          <cell r="X347">
            <v>45426</v>
          </cell>
          <cell r="Y347">
            <v>0</v>
          </cell>
          <cell r="Z347">
            <v>0</v>
          </cell>
          <cell r="AA347">
            <v>52550</v>
          </cell>
          <cell r="AB347">
            <v>0</v>
          </cell>
          <cell r="AC347">
            <v>52550</v>
          </cell>
          <cell r="AD347">
            <v>52550</v>
          </cell>
          <cell r="AE347">
            <v>0</v>
          </cell>
          <cell r="AF347">
            <v>52550</v>
          </cell>
          <cell r="AG347" t="str">
            <v>ENGR. MICHAEL C. SALARDA
MS. LEONARDA M. LATOR
MS. CARMENCITA VALDEZ
MS. SORAYA P. VERGARA</v>
          </cell>
          <cell r="AH347" t="str">
            <v>N/A</v>
          </cell>
          <cell r="AI347" t="str">
            <v>N/A</v>
          </cell>
          <cell r="AJ347" t="str">
            <v>N/A</v>
          </cell>
          <cell r="AK347" t="str">
            <v>N/A</v>
          </cell>
          <cell r="AL347" t="str">
            <v>N/A</v>
          </cell>
          <cell r="AM347" t="str">
            <v>N/A</v>
          </cell>
          <cell r="AN347">
            <v>0</v>
          </cell>
          <cell r="AO347">
            <v>0</v>
          </cell>
        </row>
        <row r="348">
          <cell r="A348" t="str">
            <v>24-1685</v>
          </cell>
          <cell r="B348" t="str">
            <v>OFFICE SUPPLIES</v>
          </cell>
          <cell r="C348" t="str">
            <v>PGO</v>
          </cell>
          <cell r="D348" t="str">
            <v>No</v>
          </cell>
          <cell r="E348" t="str">
            <v>Shopping 52.1(b) - Regular Office Supplies and Equipment no available in PS</v>
          </cell>
          <cell r="F348" t="str">
            <v>N/A</v>
          </cell>
          <cell r="G348">
            <v>45363</v>
          </cell>
          <cell r="H348">
            <v>0</v>
          </cell>
          <cell r="I348" t="str">
            <v>N/A</v>
          </cell>
          <cell r="J348">
            <v>45387</v>
          </cell>
          <cell r="K348">
            <v>45387</v>
          </cell>
          <cell r="L348">
            <v>0</v>
          </cell>
          <cell r="M348" t="str">
            <v>N/A</v>
          </cell>
          <cell r="N348" t="str">
            <v>N/A</v>
          </cell>
          <cell r="O348">
            <v>45394</v>
          </cell>
          <cell r="P348">
            <v>0</v>
          </cell>
          <cell r="Q348">
            <v>0</v>
          </cell>
          <cell r="R348">
            <v>0</v>
          </cell>
          <cell r="S348">
            <v>45401</v>
          </cell>
          <cell r="T348">
            <v>45405</v>
          </cell>
          <cell r="U348">
            <v>0</v>
          </cell>
          <cell r="V348">
            <v>0</v>
          </cell>
          <cell r="W348">
            <v>0</v>
          </cell>
          <cell r="X348" t="e">
            <v>#N/A</v>
          </cell>
          <cell r="Y348">
            <v>0</v>
          </cell>
          <cell r="Z348">
            <v>0</v>
          </cell>
          <cell r="AA348">
            <v>53059</v>
          </cell>
          <cell r="AB348">
            <v>0</v>
          </cell>
          <cell r="AC348">
            <v>53059</v>
          </cell>
          <cell r="AD348">
            <v>52008</v>
          </cell>
          <cell r="AE348">
            <v>0</v>
          </cell>
          <cell r="AF348">
            <v>52008</v>
          </cell>
          <cell r="AG348" t="str">
            <v>ENGR. MICHAEL C. SALARDA
MS. LEONARDA M. LATOR
MS. CARMENCITA VALDEZ
MS. SORAYA P. VERGARA</v>
          </cell>
          <cell r="AH348" t="str">
            <v>N/A</v>
          </cell>
          <cell r="AI348" t="str">
            <v>N/A</v>
          </cell>
          <cell r="AJ348" t="str">
            <v>N/A</v>
          </cell>
          <cell r="AK348" t="str">
            <v>N/A</v>
          </cell>
          <cell r="AL348" t="str">
            <v>N/A</v>
          </cell>
          <cell r="AM348" t="str">
            <v>N/A</v>
          </cell>
          <cell r="AN348">
            <v>0</v>
          </cell>
          <cell r="AO348">
            <v>0</v>
          </cell>
        </row>
        <row r="349">
          <cell r="A349" t="str">
            <v>24-1614</v>
          </cell>
          <cell r="B349" t="str">
            <v>OFFICE SUPPLIES</v>
          </cell>
          <cell r="C349" t="str">
            <v>PBO</v>
          </cell>
          <cell r="D349" t="str">
            <v>No</v>
          </cell>
          <cell r="E349" t="str">
            <v>Shopping 52.1(b) - Regular Office Supplies and Equipment no available in PS</v>
          </cell>
          <cell r="F349" t="str">
            <v>N/A</v>
          </cell>
          <cell r="G349">
            <v>45363</v>
          </cell>
          <cell r="H349">
            <v>0</v>
          </cell>
          <cell r="I349" t="str">
            <v>N/A</v>
          </cell>
          <cell r="J349">
            <v>45387</v>
          </cell>
          <cell r="K349">
            <v>45387</v>
          </cell>
          <cell r="L349">
            <v>0</v>
          </cell>
          <cell r="M349" t="str">
            <v>N/A</v>
          </cell>
          <cell r="N349" t="str">
            <v>N/A</v>
          </cell>
          <cell r="O349">
            <v>45394</v>
          </cell>
          <cell r="P349">
            <v>0</v>
          </cell>
          <cell r="Q349">
            <v>0</v>
          </cell>
          <cell r="R349">
            <v>0</v>
          </cell>
          <cell r="S349" t="str">
            <v>N/A</v>
          </cell>
          <cell r="T349">
            <v>45405</v>
          </cell>
          <cell r="U349">
            <v>0</v>
          </cell>
          <cell r="V349">
            <v>0</v>
          </cell>
          <cell r="W349">
            <v>0</v>
          </cell>
          <cell r="X349">
            <v>45421</v>
          </cell>
          <cell r="Y349">
            <v>0</v>
          </cell>
          <cell r="Z349">
            <v>0</v>
          </cell>
          <cell r="AA349">
            <v>12405</v>
          </cell>
          <cell r="AB349">
            <v>0</v>
          </cell>
          <cell r="AC349">
            <v>12405</v>
          </cell>
          <cell r="AD349">
            <v>12400</v>
          </cell>
          <cell r="AE349">
            <v>0</v>
          </cell>
          <cell r="AF349">
            <v>12400</v>
          </cell>
          <cell r="AG349" t="str">
            <v>ENGR. MICHAEL C. SALARDA
MS. LEONARDA M. LATOR
MS. CARMENCITA VALDEZ
MS. SORAYA P. VERGARA</v>
          </cell>
          <cell r="AH349" t="str">
            <v>N/A</v>
          </cell>
          <cell r="AI349" t="str">
            <v>N/A</v>
          </cell>
          <cell r="AJ349" t="str">
            <v>N/A</v>
          </cell>
          <cell r="AK349" t="str">
            <v>N/A</v>
          </cell>
          <cell r="AL349" t="str">
            <v>N/A</v>
          </cell>
          <cell r="AM349" t="str">
            <v>N/A</v>
          </cell>
          <cell r="AN349">
            <v>0</v>
          </cell>
          <cell r="AO349">
            <v>0</v>
          </cell>
        </row>
        <row r="350">
          <cell r="A350" t="str">
            <v>24-C1150</v>
          </cell>
          <cell r="B350" t="str">
            <v>OFFICE SUPPLIES</v>
          </cell>
          <cell r="C350" t="str">
            <v>PGO</v>
          </cell>
          <cell r="D350" t="str">
            <v>No</v>
          </cell>
          <cell r="E350" t="str">
            <v>Shopping 52.1(b) - Regular Office Supplies and Equipment no available in PS</v>
          </cell>
          <cell r="F350" t="str">
            <v>N/A</v>
          </cell>
          <cell r="G350">
            <v>45363</v>
          </cell>
          <cell r="H350">
            <v>0</v>
          </cell>
          <cell r="I350" t="str">
            <v>N/A</v>
          </cell>
          <cell r="J350">
            <v>45387</v>
          </cell>
          <cell r="K350">
            <v>45387</v>
          </cell>
          <cell r="L350">
            <v>0</v>
          </cell>
          <cell r="M350" t="str">
            <v>N/A</v>
          </cell>
          <cell r="N350" t="str">
            <v>N/A</v>
          </cell>
          <cell r="O350">
            <v>45394</v>
          </cell>
          <cell r="P350">
            <v>0</v>
          </cell>
          <cell r="Q350">
            <v>0</v>
          </cell>
          <cell r="R350">
            <v>0</v>
          </cell>
          <cell r="S350" t="str">
            <v>N/A</v>
          </cell>
          <cell r="T350">
            <v>45406</v>
          </cell>
          <cell r="U350">
            <v>0</v>
          </cell>
          <cell r="V350">
            <v>0</v>
          </cell>
          <cell r="W350">
            <v>0</v>
          </cell>
          <cell r="X350">
            <v>45419</v>
          </cell>
          <cell r="Y350">
            <v>0</v>
          </cell>
          <cell r="Z350">
            <v>0</v>
          </cell>
          <cell r="AA350">
            <v>5983</v>
          </cell>
          <cell r="AB350">
            <v>0</v>
          </cell>
          <cell r="AC350">
            <v>5983</v>
          </cell>
          <cell r="AD350">
            <v>5968</v>
          </cell>
          <cell r="AE350">
            <v>0</v>
          </cell>
          <cell r="AF350">
            <v>5968</v>
          </cell>
          <cell r="AG350" t="str">
            <v>ENGR. MICHAEL C. SALARDA
MS. LEONARDA M. LATOR
MS. CARMENCITA VALDEZ
MS. SORAYA P. VERGARA</v>
          </cell>
          <cell r="AH350" t="str">
            <v>N/A</v>
          </cell>
          <cell r="AI350" t="str">
            <v>N/A</v>
          </cell>
          <cell r="AJ350" t="str">
            <v>N/A</v>
          </cell>
          <cell r="AK350" t="str">
            <v>N/A</v>
          </cell>
          <cell r="AL350" t="str">
            <v>N/A</v>
          </cell>
          <cell r="AM350" t="str">
            <v>N/A</v>
          </cell>
          <cell r="AN350">
            <v>0</v>
          </cell>
          <cell r="AO350">
            <v>0</v>
          </cell>
        </row>
        <row r="351">
          <cell r="A351" t="str">
            <v>24-1682</v>
          </cell>
          <cell r="B351" t="str">
            <v>OFFICE SUPPLIES</v>
          </cell>
          <cell r="C351" t="str">
            <v>PGO</v>
          </cell>
          <cell r="D351" t="str">
            <v>No</v>
          </cell>
          <cell r="E351" t="str">
            <v>Shopping 52.1(b) - Regular Office Supplies and Equipment no available in PS</v>
          </cell>
          <cell r="F351" t="str">
            <v>N/A</v>
          </cell>
          <cell r="G351">
            <v>45363</v>
          </cell>
          <cell r="H351">
            <v>0</v>
          </cell>
          <cell r="I351" t="str">
            <v>N/A</v>
          </cell>
          <cell r="J351">
            <v>45387</v>
          </cell>
          <cell r="K351">
            <v>45387</v>
          </cell>
          <cell r="L351">
            <v>0</v>
          </cell>
          <cell r="M351" t="str">
            <v>N/A</v>
          </cell>
          <cell r="N351" t="str">
            <v>N/A</v>
          </cell>
          <cell r="O351">
            <v>45630</v>
          </cell>
          <cell r="P351">
            <v>0</v>
          </cell>
          <cell r="Q351">
            <v>0</v>
          </cell>
          <cell r="R351">
            <v>0</v>
          </cell>
          <cell r="S351" t="str">
            <v>N/A</v>
          </cell>
          <cell r="T351">
            <v>45406</v>
          </cell>
          <cell r="U351">
            <v>0</v>
          </cell>
          <cell r="V351">
            <v>0</v>
          </cell>
          <cell r="W351">
            <v>0</v>
          </cell>
          <cell r="X351" t="e">
            <v>#N/A</v>
          </cell>
          <cell r="Y351">
            <v>0</v>
          </cell>
          <cell r="Z351">
            <v>0</v>
          </cell>
          <cell r="AA351">
            <v>16927</v>
          </cell>
          <cell r="AB351">
            <v>0</v>
          </cell>
          <cell r="AC351">
            <v>16927</v>
          </cell>
          <cell r="AD351">
            <v>16921</v>
          </cell>
          <cell r="AE351">
            <v>0</v>
          </cell>
          <cell r="AF351">
            <v>16921</v>
          </cell>
          <cell r="AG351" t="str">
            <v>ENGR. MICHAEL C. SALARDA
MS. LEONARDA M. LATOR
MS. CARMENCITA VALDEZ
MS. SORAYA P. VERGARA</v>
          </cell>
          <cell r="AH351" t="str">
            <v>N/A</v>
          </cell>
          <cell r="AI351" t="str">
            <v>N/A</v>
          </cell>
          <cell r="AJ351" t="str">
            <v>N/A</v>
          </cell>
          <cell r="AK351" t="str">
            <v>N/A</v>
          </cell>
          <cell r="AL351" t="str">
            <v>N/A</v>
          </cell>
          <cell r="AM351" t="str">
            <v>N/A</v>
          </cell>
          <cell r="AN351">
            <v>0</v>
          </cell>
          <cell r="AO351">
            <v>0</v>
          </cell>
        </row>
        <row r="352">
          <cell r="A352" t="str">
            <v>24-1688</v>
          </cell>
          <cell r="B352" t="str">
            <v>OFFICE SUPPLIES</v>
          </cell>
          <cell r="C352" t="str">
            <v>PGO</v>
          </cell>
          <cell r="D352" t="str">
            <v>No</v>
          </cell>
          <cell r="E352" t="str">
            <v>Shopping 52.1(b) - Regular Office Supplies and Equipment no available in PS</v>
          </cell>
          <cell r="F352" t="str">
            <v>N/A</v>
          </cell>
          <cell r="G352">
            <v>45371</v>
          </cell>
          <cell r="H352">
            <v>0</v>
          </cell>
          <cell r="I352" t="str">
            <v>N/A</v>
          </cell>
          <cell r="J352">
            <v>45387</v>
          </cell>
          <cell r="K352">
            <v>45387</v>
          </cell>
          <cell r="L352">
            <v>0</v>
          </cell>
          <cell r="M352" t="str">
            <v>N/A</v>
          </cell>
          <cell r="N352" t="str">
            <v>N/A</v>
          </cell>
          <cell r="O352">
            <v>45630</v>
          </cell>
          <cell r="P352">
            <v>0</v>
          </cell>
          <cell r="Q352">
            <v>0</v>
          </cell>
          <cell r="R352">
            <v>0</v>
          </cell>
          <cell r="S352" t="str">
            <v>N/A</v>
          </cell>
          <cell r="T352">
            <v>45399</v>
          </cell>
          <cell r="U352">
            <v>0</v>
          </cell>
          <cell r="V352">
            <v>0</v>
          </cell>
          <cell r="W352">
            <v>0</v>
          </cell>
          <cell r="X352" t="e">
            <v>#N/A</v>
          </cell>
          <cell r="Y352">
            <v>0</v>
          </cell>
          <cell r="Z352">
            <v>0</v>
          </cell>
          <cell r="AA352">
            <v>29402</v>
          </cell>
          <cell r="AB352">
            <v>0</v>
          </cell>
          <cell r="AC352">
            <v>29402</v>
          </cell>
          <cell r="AD352">
            <v>28379</v>
          </cell>
          <cell r="AE352">
            <v>0</v>
          </cell>
          <cell r="AF352">
            <v>28379</v>
          </cell>
          <cell r="AG352" t="str">
            <v>ENGR. MICHAEL C. SALARDA
MS. LEONARDA M. LATOR
MS. CARMENCITA VALDEZ
MS. SORAYA P. VERGARA</v>
          </cell>
          <cell r="AH352" t="str">
            <v>N/A</v>
          </cell>
          <cell r="AI352" t="str">
            <v>N/A</v>
          </cell>
          <cell r="AJ352" t="str">
            <v>N/A</v>
          </cell>
          <cell r="AK352" t="str">
            <v>N/A</v>
          </cell>
          <cell r="AL352" t="str">
            <v>N/A</v>
          </cell>
          <cell r="AM352" t="str">
            <v>N/A</v>
          </cell>
          <cell r="AN352">
            <v>0</v>
          </cell>
          <cell r="AO352">
            <v>0</v>
          </cell>
        </row>
        <row r="353">
          <cell r="A353" t="str">
            <v>24-C1200</v>
          </cell>
          <cell r="B353" t="str">
            <v>OFFICE SUPPLIES</v>
          </cell>
          <cell r="C353" t="str">
            <v>PIAO</v>
          </cell>
          <cell r="D353" t="str">
            <v>No</v>
          </cell>
          <cell r="E353" t="str">
            <v>Shopping 52.1(b) - Regular Office Supplies and Equipment no available in PS</v>
          </cell>
          <cell r="F353" t="str">
            <v>N/A</v>
          </cell>
          <cell r="G353">
            <v>45371</v>
          </cell>
          <cell r="H353">
            <v>0</v>
          </cell>
          <cell r="I353" t="str">
            <v>N/A</v>
          </cell>
          <cell r="J353">
            <v>45387</v>
          </cell>
          <cell r="K353">
            <v>45387</v>
          </cell>
          <cell r="L353">
            <v>0</v>
          </cell>
          <cell r="M353" t="str">
            <v>N/A</v>
          </cell>
          <cell r="N353" t="str">
            <v>N/A</v>
          </cell>
          <cell r="O353">
            <v>45630</v>
          </cell>
          <cell r="P353">
            <v>0</v>
          </cell>
          <cell r="Q353">
            <v>0</v>
          </cell>
          <cell r="R353">
            <v>0</v>
          </cell>
          <cell r="S353" t="str">
            <v>N/A</v>
          </cell>
          <cell r="T353">
            <v>45406</v>
          </cell>
          <cell r="U353">
            <v>0</v>
          </cell>
          <cell r="V353">
            <v>0</v>
          </cell>
          <cell r="W353">
            <v>0</v>
          </cell>
          <cell r="X353">
            <v>45418</v>
          </cell>
          <cell r="Y353">
            <v>0</v>
          </cell>
          <cell r="Z353">
            <v>0</v>
          </cell>
          <cell r="AA353">
            <v>23780</v>
          </cell>
          <cell r="AB353">
            <v>0</v>
          </cell>
          <cell r="AC353">
            <v>23780</v>
          </cell>
          <cell r="AD353">
            <v>23308</v>
          </cell>
          <cell r="AE353">
            <v>0</v>
          </cell>
          <cell r="AF353">
            <v>23308</v>
          </cell>
          <cell r="AG353" t="str">
            <v>ENGR. MICHAEL C. SALARDA
MS. LEONARDA M. LATOR
MS. CARMENCITA VALDEZ
MS. SORAYA P. VERGARA</v>
          </cell>
          <cell r="AH353" t="str">
            <v>N/A</v>
          </cell>
          <cell r="AI353" t="str">
            <v>N/A</v>
          </cell>
          <cell r="AJ353" t="str">
            <v>N/A</v>
          </cell>
          <cell r="AK353" t="str">
            <v>N/A</v>
          </cell>
          <cell r="AL353" t="str">
            <v>N/A</v>
          </cell>
          <cell r="AM353" t="str">
            <v>N/A</v>
          </cell>
          <cell r="AN353">
            <v>0</v>
          </cell>
          <cell r="AO353">
            <v>0</v>
          </cell>
        </row>
        <row r="354">
          <cell r="A354" t="str">
            <v>24-C1070</v>
          </cell>
          <cell r="B354" t="str">
            <v>SPAREPARTS (LIGHT VEHICLES)</v>
          </cell>
          <cell r="C354" t="str">
            <v>PGO</v>
          </cell>
          <cell r="D354" t="str">
            <v>No</v>
          </cell>
          <cell r="E354" t="str">
            <v>NP-53.9 - Small Value Procurement</v>
          </cell>
          <cell r="F354">
            <v>45356</v>
          </cell>
          <cell r="G354">
            <v>45359</v>
          </cell>
          <cell r="H354">
            <v>0</v>
          </cell>
          <cell r="I354" t="str">
            <v>N/A</v>
          </cell>
          <cell r="J354">
            <v>45387</v>
          </cell>
          <cell r="K354">
            <v>45387</v>
          </cell>
          <cell r="L354">
            <v>0</v>
          </cell>
          <cell r="M354" t="str">
            <v>N/A</v>
          </cell>
          <cell r="N354" t="str">
            <v>N/A</v>
          </cell>
          <cell r="O354">
            <v>45630</v>
          </cell>
          <cell r="P354">
            <v>0</v>
          </cell>
          <cell r="Q354">
            <v>0</v>
          </cell>
          <cell r="R354">
            <v>0</v>
          </cell>
          <cell r="S354">
            <v>45399</v>
          </cell>
          <cell r="T354">
            <v>45406</v>
          </cell>
          <cell r="U354">
            <v>0</v>
          </cell>
          <cell r="V354">
            <v>0</v>
          </cell>
          <cell r="W354">
            <v>0</v>
          </cell>
          <cell r="X354">
            <v>45420</v>
          </cell>
          <cell r="Y354">
            <v>0</v>
          </cell>
          <cell r="Z354">
            <v>0</v>
          </cell>
          <cell r="AA354">
            <v>350000</v>
          </cell>
          <cell r="AB354">
            <v>0</v>
          </cell>
          <cell r="AC354">
            <v>350000</v>
          </cell>
          <cell r="AD354">
            <v>350000</v>
          </cell>
          <cell r="AE354">
            <v>0</v>
          </cell>
          <cell r="AF354">
            <v>350000</v>
          </cell>
          <cell r="AG354" t="str">
            <v>ENGR. MICHAEL C. SALARDA
MS. LEONARDA M. LATOR
MS. CARMENCITA VALDEZ
MS. SORAYA P. VERGARA</v>
          </cell>
          <cell r="AH354" t="str">
            <v>N/A</v>
          </cell>
          <cell r="AI354" t="str">
            <v>N/A</v>
          </cell>
          <cell r="AJ354" t="str">
            <v>N/A</v>
          </cell>
          <cell r="AK354" t="str">
            <v>N/A</v>
          </cell>
          <cell r="AL354" t="str">
            <v>N/A</v>
          </cell>
          <cell r="AM354" t="str">
            <v>N/A</v>
          </cell>
          <cell r="AN354">
            <v>0</v>
          </cell>
          <cell r="AO354">
            <v>0</v>
          </cell>
        </row>
        <row r="355">
          <cell r="A355" t="str">
            <v>24-0862</v>
          </cell>
          <cell r="B355" t="str">
            <v>TARPAULIN</v>
          </cell>
          <cell r="C355" t="str">
            <v>PGO</v>
          </cell>
          <cell r="D355" t="str">
            <v>No</v>
          </cell>
          <cell r="E355" t="str">
            <v>NP-53.9 - Small Value Procurement</v>
          </cell>
          <cell r="F355" t="str">
            <v>N/A</v>
          </cell>
          <cell r="G355">
            <v>45376</v>
          </cell>
          <cell r="H355">
            <v>0</v>
          </cell>
          <cell r="I355" t="str">
            <v>N/A</v>
          </cell>
          <cell r="J355">
            <v>45387</v>
          </cell>
          <cell r="K355">
            <v>45387</v>
          </cell>
          <cell r="L355">
            <v>0</v>
          </cell>
          <cell r="M355" t="str">
            <v>N/A</v>
          </cell>
          <cell r="N355" t="str">
            <v>N/A</v>
          </cell>
          <cell r="O355">
            <v>45630</v>
          </cell>
          <cell r="P355">
            <v>0</v>
          </cell>
          <cell r="Q355">
            <v>0</v>
          </cell>
          <cell r="R355">
            <v>0</v>
          </cell>
          <cell r="S355" t="str">
            <v>N/A</v>
          </cell>
          <cell r="T355">
            <v>45405</v>
          </cell>
          <cell r="U355">
            <v>0</v>
          </cell>
          <cell r="V355">
            <v>0</v>
          </cell>
          <cell r="W355">
            <v>0</v>
          </cell>
          <cell r="X355" t="e">
            <v>#N/A</v>
          </cell>
          <cell r="Y355">
            <v>0</v>
          </cell>
          <cell r="Z355">
            <v>0</v>
          </cell>
          <cell r="AA355">
            <v>4480</v>
          </cell>
          <cell r="AB355">
            <v>0</v>
          </cell>
          <cell r="AC355">
            <v>4480</v>
          </cell>
          <cell r="AD355">
            <v>4320</v>
          </cell>
          <cell r="AE355">
            <v>0</v>
          </cell>
          <cell r="AF355">
            <v>4320</v>
          </cell>
          <cell r="AG355" t="str">
            <v>ENGR. MICHAEL C. SALARDA
MS. LEONARDA M. LATOR
MS. CARMENCITA VALDEZ
MS. SORAYA P. VERGARA</v>
          </cell>
          <cell r="AH355" t="str">
            <v>N/A</v>
          </cell>
          <cell r="AI355" t="str">
            <v>N/A</v>
          </cell>
          <cell r="AJ355" t="str">
            <v>N/A</v>
          </cell>
          <cell r="AK355" t="str">
            <v>N/A</v>
          </cell>
          <cell r="AL355" t="str">
            <v>N/A</v>
          </cell>
          <cell r="AM355" t="str">
            <v>N/A</v>
          </cell>
          <cell r="AN355">
            <v>0</v>
          </cell>
          <cell r="AO355">
            <v>0</v>
          </cell>
        </row>
        <row r="356">
          <cell r="A356" t="str">
            <v>24-1429</v>
          </cell>
          <cell r="B356" t="str">
            <v>SPAREPARTS (LIGHT VEHICLES)</v>
          </cell>
          <cell r="C356" t="str">
            <v>PGSO</v>
          </cell>
          <cell r="D356" t="str">
            <v>No</v>
          </cell>
          <cell r="E356" t="str">
            <v>NP-53.9 - Small Value Procurement</v>
          </cell>
          <cell r="F356">
            <v>45356</v>
          </cell>
          <cell r="G356">
            <v>45359</v>
          </cell>
          <cell r="H356">
            <v>0</v>
          </cell>
          <cell r="I356" t="str">
            <v>N/A</v>
          </cell>
          <cell r="J356">
            <v>45387</v>
          </cell>
          <cell r="K356">
            <v>45387</v>
          </cell>
          <cell r="L356">
            <v>0</v>
          </cell>
          <cell r="M356" t="str">
            <v>N/A</v>
          </cell>
          <cell r="N356" t="str">
            <v>N/A</v>
          </cell>
          <cell r="O356">
            <v>45630</v>
          </cell>
          <cell r="P356">
            <v>0</v>
          </cell>
          <cell r="Q356">
            <v>0</v>
          </cell>
          <cell r="R356">
            <v>0</v>
          </cell>
          <cell r="S356" t="str">
            <v>N/A</v>
          </cell>
          <cell r="T356">
            <v>45405</v>
          </cell>
          <cell r="U356">
            <v>0</v>
          </cell>
          <cell r="V356">
            <v>0</v>
          </cell>
          <cell r="W356">
            <v>0</v>
          </cell>
          <cell r="X356" t="e">
            <v>#N/A</v>
          </cell>
          <cell r="Y356">
            <v>0</v>
          </cell>
          <cell r="Z356">
            <v>0</v>
          </cell>
          <cell r="AA356">
            <v>40500</v>
          </cell>
          <cell r="AB356">
            <v>0</v>
          </cell>
          <cell r="AC356">
            <v>40500</v>
          </cell>
          <cell r="AD356">
            <v>40500</v>
          </cell>
          <cell r="AE356">
            <v>0</v>
          </cell>
          <cell r="AF356">
            <v>40500</v>
          </cell>
          <cell r="AG356" t="str">
            <v>ENGR. MICHAEL C. SALARDA
MS. LEONARDA M. LATOR
MS. CARMENCITA VALDEZ
MS. SORAYA P. VERGARA</v>
          </cell>
          <cell r="AH356" t="str">
            <v>N/A</v>
          </cell>
          <cell r="AI356" t="str">
            <v>N/A</v>
          </cell>
          <cell r="AJ356" t="str">
            <v>N/A</v>
          </cell>
          <cell r="AK356" t="str">
            <v>N/A</v>
          </cell>
          <cell r="AL356" t="str">
            <v>N/A</v>
          </cell>
          <cell r="AM356" t="str">
            <v>N/A</v>
          </cell>
          <cell r="AN356">
            <v>0</v>
          </cell>
          <cell r="AO356">
            <v>0</v>
          </cell>
        </row>
        <row r="357">
          <cell r="A357" t="str">
            <v>24-1540</v>
          </cell>
          <cell r="B357" t="str">
            <v>FURNITURE &amp; FIXTURES</v>
          </cell>
          <cell r="C357" t="str">
            <v>PAO</v>
          </cell>
          <cell r="D357" t="str">
            <v>No</v>
          </cell>
          <cell r="E357" t="str">
            <v>NP-53.9 - Small Value Procurement</v>
          </cell>
          <cell r="F357" t="str">
            <v>N/A</v>
          </cell>
          <cell r="G357">
            <v>45371</v>
          </cell>
          <cell r="H357">
            <v>0</v>
          </cell>
          <cell r="I357" t="str">
            <v>N/A</v>
          </cell>
          <cell r="J357">
            <v>45387</v>
          </cell>
          <cell r="K357">
            <v>45387</v>
          </cell>
          <cell r="L357">
            <v>0</v>
          </cell>
          <cell r="M357" t="str">
            <v>N/A</v>
          </cell>
          <cell r="N357" t="str">
            <v>N/A</v>
          </cell>
          <cell r="O357">
            <v>45630</v>
          </cell>
          <cell r="P357">
            <v>0</v>
          </cell>
          <cell r="Q357">
            <v>0</v>
          </cell>
          <cell r="R357">
            <v>0</v>
          </cell>
          <cell r="S357">
            <v>45401</v>
          </cell>
          <cell r="T357">
            <v>45405</v>
          </cell>
          <cell r="U357">
            <v>0</v>
          </cell>
          <cell r="V357">
            <v>0</v>
          </cell>
          <cell r="W357">
            <v>0</v>
          </cell>
          <cell r="X357" t="e">
            <v>#N/A</v>
          </cell>
          <cell r="Y357">
            <v>0</v>
          </cell>
          <cell r="Z357">
            <v>0</v>
          </cell>
          <cell r="AA357">
            <v>87300</v>
          </cell>
          <cell r="AB357">
            <v>0</v>
          </cell>
          <cell r="AC357">
            <v>87300</v>
          </cell>
          <cell r="AD357">
            <v>87292</v>
          </cell>
          <cell r="AE357">
            <v>0</v>
          </cell>
          <cell r="AF357">
            <v>87292</v>
          </cell>
          <cell r="AG357" t="str">
            <v>ENGR. MICHAEL C. SALARDA
MS. LEONARDA M. LATOR
MS. CARMENCITA VALDEZ
MS. SORAYA P. VERGARA</v>
          </cell>
          <cell r="AH357" t="str">
            <v>N/A</v>
          </cell>
          <cell r="AI357" t="str">
            <v>N/A</v>
          </cell>
          <cell r="AJ357" t="str">
            <v>N/A</v>
          </cell>
          <cell r="AK357" t="str">
            <v>N/A</v>
          </cell>
          <cell r="AL357" t="str">
            <v>N/A</v>
          </cell>
          <cell r="AM357" t="str">
            <v>N/A</v>
          </cell>
          <cell r="AN357">
            <v>0</v>
          </cell>
          <cell r="AO357">
            <v>0</v>
          </cell>
        </row>
        <row r="358">
          <cell r="A358" t="str">
            <v>24-1658</v>
          </cell>
          <cell r="B358" t="str">
            <v>LEAFLETS, LEGAL SIZE</v>
          </cell>
          <cell r="C358" t="str">
            <v>PTO</v>
          </cell>
          <cell r="D358" t="str">
            <v>No</v>
          </cell>
          <cell r="E358" t="str">
            <v>NP-53.9 - Small Value Procurement</v>
          </cell>
          <cell r="F358" t="str">
            <v>N/A</v>
          </cell>
          <cell r="G358">
            <v>45371</v>
          </cell>
          <cell r="H358">
            <v>0</v>
          </cell>
          <cell r="I358" t="str">
            <v>N/A</v>
          </cell>
          <cell r="J358">
            <v>45387</v>
          </cell>
          <cell r="K358">
            <v>45387</v>
          </cell>
          <cell r="L358">
            <v>0</v>
          </cell>
          <cell r="M358" t="str">
            <v>N/A</v>
          </cell>
          <cell r="N358" t="str">
            <v>N/A</v>
          </cell>
          <cell r="O358">
            <v>45630</v>
          </cell>
          <cell r="P358">
            <v>0</v>
          </cell>
          <cell r="Q358">
            <v>0</v>
          </cell>
          <cell r="R358">
            <v>0</v>
          </cell>
          <cell r="S358">
            <v>45398</v>
          </cell>
          <cell r="T358">
            <v>45405</v>
          </cell>
          <cell r="U358">
            <v>0</v>
          </cell>
          <cell r="V358">
            <v>0</v>
          </cell>
          <cell r="W358">
            <v>0</v>
          </cell>
          <cell r="X358" t="e">
            <v>#N/A</v>
          </cell>
          <cell r="Y358">
            <v>0</v>
          </cell>
          <cell r="Z358">
            <v>0</v>
          </cell>
          <cell r="AA358">
            <v>50000</v>
          </cell>
          <cell r="AB358">
            <v>0</v>
          </cell>
          <cell r="AC358">
            <v>50000</v>
          </cell>
          <cell r="AD358">
            <v>44000</v>
          </cell>
          <cell r="AE358">
            <v>0</v>
          </cell>
          <cell r="AF358">
            <v>44000</v>
          </cell>
          <cell r="AG358" t="str">
            <v>ENGR. MICHAEL C. SALARDA
MS. LEONARDA M. LATOR
MS. CARMENCITA VALDEZ
MS. SORAYA P. VERGARA</v>
          </cell>
          <cell r="AH358" t="str">
            <v>N/A</v>
          </cell>
          <cell r="AI358" t="str">
            <v>N/A</v>
          </cell>
          <cell r="AJ358" t="str">
            <v>N/A</v>
          </cell>
          <cell r="AK358" t="str">
            <v>N/A</v>
          </cell>
          <cell r="AL358" t="str">
            <v>N/A</v>
          </cell>
          <cell r="AM358" t="str">
            <v>N/A</v>
          </cell>
          <cell r="AN358">
            <v>0</v>
          </cell>
          <cell r="AO358">
            <v>0</v>
          </cell>
        </row>
        <row r="359">
          <cell r="A359" t="str">
            <v>24-C1193</v>
          </cell>
          <cell r="B359" t="str">
            <v>FUEL, OIL, AND LUBRICANTS</v>
          </cell>
          <cell r="C359" t="str">
            <v>PDRRMO</v>
          </cell>
          <cell r="D359" t="str">
            <v>No</v>
          </cell>
          <cell r="E359" t="str">
            <v>NP-53.9 - Small Value Procurement</v>
          </cell>
          <cell r="F359" t="str">
            <v>N/A</v>
          </cell>
          <cell r="G359">
            <v>45371</v>
          </cell>
          <cell r="H359">
            <v>0</v>
          </cell>
          <cell r="I359" t="str">
            <v>N/A</v>
          </cell>
          <cell r="J359">
            <v>45387</v>
          </cell>
          <cell r="K359">
            <v>45387</v>
          </cell>
          <cell r="L359">
            <v>0</v>
          </cell>
          <cell r="M359" t="str">
            <v>N/A</v>
          </cell>
          <cell r="N359" t="str">
            <v>N/A</v>
          </cell>
          <cell r="O359">
            <v>45630</v>
          </cell>
          <cell r="P359">
            <v>0</v>
          </cell>
          <cell r="Q359">
            <v>0</v>
          </cell>
          <cell r="R359">
            <v>0</v>
          </cell>
          <cell r="S359" t="str">
            <v>N/A</v>
          </cell>
          <cell r="T359">
            <v>45405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11253.2</v>
          </cell>
          <cell r="AB359">
            <v>0</v>
          </cell>
          <cell r="AC359">
            <v>11253.2</v>
          </cell>
          <cell r="AD359">
            <v>10600</v>
          </cell>
          <cell r="AE359">
            <v>0</v>
          </cell>
          <cell r="AF359">
            <v>10600</v>
          </cell>
          <cell r="AG359" t="str">
            <v>ENGR. MICHAEL C. SALARDA
MS. LEONARDA M. LATOR
MS. CARMENCITA VALDEZ
MS. SORAYA P. VERGARA</v>
          </cell>
          <cell r="AH359" t="str">
            <v>N/A</v>
          </cell>
          <cell r="AI359" t="str">
            <v>N/A</v>
          </cell>
          <cell r="AJ359" t="str">
            <v>N/A</v>
          </cell>
          <cell r="AK359" t="str">
            <v>N/A</v>
          </cell>
          <cell r="AL359" t="str">
            <v>N/A</v>
          </cell>
          <cell r="AM359" t="str">
            <v>N/A</v>
          </cell>
          <cell r="AN359">
            <v>0</v>
          </cell>
          <cell r="AO359">
            <v>0</v>
          </cell>
        </row>
        <row r="360">
          <cell r="A360" t="str">
            <v>24-1538</v>
          </cell>
          <cell r="B360" t="str">
            <v>WATER</v>
          </cell>
          <cell r="C360" t="str">
            <v>PAO</v>
          </cell>
          <cell r="D360" t="str">
            <v>No</v>
          </cell>
          <cell r="E360" t="str">
            <v>NP-53.9 - Small Value Procurement</v>
          </cell>
          <cell r="F360" t="str">
            <v>N/A</v>
          </cell>
          <cell r="G360">
            <v>45371</v>
          </cell>
          <cell r="H360">
            <v>0</v>
          </cell>
          <cell r="I360" t="str">
            <v>N/A</v>
          </cell>
          <cell r="J360">
            <v>45387</v>
          </cell>
          <cell r="K360">
            <v>45387</v>
          </cell>
          <cell r="L360">
            <v>0</v>
          </cell>
          <cell r="M360" t="str">
            <v>N/A</v>
          </cell>
          <cell r="N360" t="str">
            <v>N/A</v>
          </cell>
          <cell r="O360">
            <v>45630</v>
          </cell>
          <cell r="P360">
            <v>0</v>
          </cell>
          <cell r="Q360">
            <v>0</v>
          </cell>
          <cell r="R360">
            <v>0</v>
          </cell>
          <cell r="S360" t="str">
            <v>N/A</v>
          </cell>
          <cell r="T360">
            <v>45406</v>
          </cell>
          <cell r="U360">
            <v>0</v>
          </cell>
          <cell r="V360">
            <v>0</v>
          </cell>
          <cell r="W360">
            <v>0</v>
          </cell>
          <cell r="X360" t="e">
            <v>#N/A</v>
          </cell>
          <cell r="Y360">
            <v>0</v>
          </cell>
          <cell r="Z360">
            <v>0</v>
          </cell>
          <cell r="AA360">
            <v>18860</v>
          </cell>
          <cell r="AB360">
            <v>0</v>
          </cell>
          <cell r="AC360">
            <v>18860</v>
          </cell>
          <cell r="AD360">
            <v>18400</v>
          </cell>
          <cell r="AE360">
            <v>0</v>
          </cell>
          <cell r="AF360">
            <v>18400</v>
          </cell>
          <cell r="AG360" t="str">
            <v>ENGR. MICHAEL C. SALARDA
MS. LEONARDA M. LATOR
MS. CARMENCITA VALDEZ
MS. SORAYA P. VERGARA</v>
          </cell>
          <cell r="AH360" t="str">
            <v>N/A</v>
          </cell>
          <cell r="AI360" t="str">
            <v>N/A</v>
          </cell>
          <cell r="AJ360" t="str">
            <v>N/A</v>
          </cell>
          <cell r="AK360" t="str">
            <v>N/A</v>
          </cell>
          <cell r="AL360" t="str">
            <v>N/A</v>
          </cell>
          <cell r="AM360" t="str">
            <v>N/A</v>
          </cell>
          <cell r="AN360">
            <v>0</v>
          </cell>
          <cell r="AO360">
            <v>0</v>
          </cell>
        </row>
        <row r="361">
          <cell r="A361" t="str">
            <v>24-1425</v>
          </cell>
          <cell r="B361" t="str">
            <v>SPAREPARTS (LIGHT VEHICLES)</v>
          </cell>
          <cell r="C361" t="str">
            <v>PGSO</v>
          </cell>
          <cell r="D361" t="str">
            <v>No</v>
          </cell>
          <cell r="E361" t="str">
            <v>NP-53.9 - Small Value Procurement</v>
          </cell>
          <cell r="F361">
            <v>45356</v>
          </cell>
          <cell r="G361">
            <v>45359</v>
          </cell>
          <cell r="H361">
            <v>0</v>
          </cell>
          <cell r="I361" t="str">
            <v>N/A</v>
          </cell>
          <cell r="J361">
            <v>45387</v>
          </cell>
          <cell r="K361">
            <v>45387</v>
          </cell>
          <cell r="L361">
            <v>0</v>
          </cell>
          <cell r="M361" t="str">
            <v>N/A</v>
          </cell>
          <cell r="N361" t="str">
            <v>N/A</v>
          </cell>
          <cell r="O361">
            <v>45630</v>
          </cell>
          <cell r="P361">
            <v>0</v>
          </cell>
          <cell r="Q361">
            <v>0</v>
          </cell>
          <cell r="R361">
            <v>0</v>
          </cell>
          <cell r="S361" t="str">
            <v>N/A</v>
          </cell>
          <cell r="T361">
            <v>45405</v>
          </cell>
          <cell r="U361">
            <v>0</v>
          </cell>
          <cell r="V361">
            <v>0</v>
          </cell>
          <cell r="W361">
            <v>0</v>
          </cell>
          <cell r="X361" t="e">
            <v>#N/A</v>
          </cell>
          <cell r="Y361">
            <v>0</v>
          </cell>
          <cell r="Z361">
            <v>0</v>
          </cell>
          <cell r="AA361">
            <v>8500</v>
          </cell>
          <cell r="AB361">
            <v>0</v>
          </cell>
          <cell r="AC361">
            <v>8500</v>
          </cell>
          <cell r="AD361">
            <v>8500</v>
          </cell>
          <cell r="AE361">
            <v>0</v>
          </cell>
          <cell r="AF361">
            <v>8500</v>
          </cell>
          <cell r="AG361" t="str">
            <v>ENGR. MICHAEL C. SALARDA
MS. LEONARDA M. LATOR
MS. CARMENCITA VALDEZ
MS. SORAYA P. VERGARA</v>
          </cell>
          <cell r="AH361" t="str">
            <v>N/A</v>
          </cell>
          <cell r="AI361" t="str">
            <v>N/A</v>
          </cell>
          <cell r="AJ361" t="str">
            <v>N/A</v>
          </cell>
          <cell r="AK361" t="str">
            <v>N/A</v>
          </cell>
          <cell r="AL361" t="str">
            <v>N/A</v>
          </cell>
          <cell r="AM361" t="str">
            <v>N/A</v>
          </cell>
          <cell r="AN361">
            <v>0</v>
          </cell>
          <cell r="AO361">
            <v>0</v>
          </cell>
        </row>
        <row r="362">
          <cell r="A362" t="str">
            <v>24-1643</v>
          </cell>
          <cell r="B362" t="str">
            <v>WATER</v>
          </cell>
          <cell r="C362" t="str">
            <v>PAO</v>
          </cell>
          <cell r="D362" t="str">
            <v>No</v>
          </cell>
          <cell r="E362" t="str">
            <v>NP-53.9 - Small Value Procurement</v>
          </cell>
          <cell r="F362" t="str">
            <v>N/A</v>
          </cell>
          <cell r="G362">
            <v>45371</v>
          </cell>
          <cell r="H362">
            <v>0</v>
          </cell>
          <cell r="I362" t="str">
            <v>N/A</v>
          </cell>
          <cell r="J362">
            <v>45387</v>
          </cell>
          <cell r="K362">
            <v>45387</v>
          </cell>
          <cell r="L362">
            <v>0</v>
          </cell>
          <cell r="M362" t="str">
            <v>N/A</v>
          </cell>
          <cell r="N362" t="str">
            <v>N/A</v>
          </cell>
          <cell r="O362">
            <v>45630</v>
          </cell>
          <cell r="P362">
            <v>0</v>
          </cell>
          <cell r="Q362">
            <v>0</v>
          </cell>
          <cell r="R362">
            <v>0</v>
          </cell>
          <cell r="S362" t="str">
            <v>N/A</v>
          </cell>
          <cell r="T362">
            <v>45405</v>
          </cell>
          <cell r="U362">
            <v>0</v>
          </cell>
          <cell r="V362">
            <v>0</v>
          </cell>
          <cell r="W362">
            <v>0</v>
          </cell>
          <cell r="X362" t="e">
            <v>#N/A</v>
          </cell>
          <cell r="Y362">
            <v>0</v>
          </cell>
          <cell r="Z362">
            <v>0</v>
          </cell>
          <cell r="AA362">
            <v>18860</v>
          </cell>
          <cell r="AB362">
            <v>0</v>
          </cell>
          <cell r="AC362">
            <v>18860</v>
          </cell>
          <cell r="AD362">
            <v>18400</v>
          </cell>
          <cell r="AE362">
            <v>0</v>
          </cell>
          <cell r="AF362">
            <v>18400</v>
          </cell>
          <cell r="AG362" t="str">
            <v>ENGR. MICHAEL C. SALARDA
MS. LEONARDA M. LATOR
MS. CARMENCITA VALDEZ
MS. SORAYA P. VERGARA</v>
          </cell>
          <cell r="AH362" t="str">
            <v>N/A</v>
          </cell>
          <cell r="AI362" t="str">
            <v>N/A</v>
          </cell>
          <cell r="AJ362" t="str">
            <v>N/A</v>
          </cell>
          <cell r="AK362" t="str">
            <v>N/A</v>
          </cell>
          <cell r="AL362" t="str">
            <v>N/A</v>
          </cell>
          <cell r="AM362" t="str">
            <v>N/A</v>
          </cell>
          <cell r="AN362">
            <v>0</v>
          </cell>
          <cell r="AO362">
            <v>0</v>
          </cell>
        </row>
        <row r="363">
          <cell r="A363" t="str">
            <v>24-1419</v>
          </cell>
          <cell r="B363" t="str">
            <v>SPAREPARTS (MOTORCYCLE)</v>
          </cell>
          <cell r="C363" t="str">
            <v>PGSO</v>
          </cell>
          <cell r="D363" t="str">
            <v>No</v>
          </cell>
          <cell r="E363" t="str">
            <v>NP-53.9 - Small Value Procurement</v>
          </cell>
          <cell r="F363">
            <v>45356</v>
          </cell>
          <cell r="G363">
            <v>45359</v>
          </cell>
          <cell r="H363">
            <v>0</v>
          </cell>
          <cell r="I363" t="str">
            <v>N/A</v>
          </cell>
          <cell r="J363">
            <v>45387</v>
          </cell>
          <cell r="K363">
            <v>45387</v>
          </cell>
          <cell r="L363">
            <v>0</v>
          </cell>
          <cell r="M363" t="str">
            <v>N/A</v>
          </cell>
          <cell r="N363" t="str">
            <v>N/A</v>
          </cell>
          <cell r="O363">
            <v>45630</v>
          </cell>
          <cell r="P363">
            <v>0</v>
          </cell>
          <cell r="Q363">
            <v>0</v>
          </cell>
          <cell r="R363">
            <v>0</v>
          </cell>
          <cell r="S363" t="str">
            <v>N/A</v>
          </cell>
          <cell r="T363">
            <v>45405</v>
          </cell>
          <cell r="U363">
            <v>0</v>
          </cell>
          <cell r="V363">
            <v>0</v>
          </cell>
          <cell r="W363">
            <v>0</v>
          </cell>
          <cell r="X363" t="e">
            <v>#N/A</v>
          </cell>
          <cell r="Y363">
            <v>0</v>
          </cell>
          <cell r="Z363">
            <v>0</v>
          </cell>
          <cell r="AA363">
            <v>8415</v>
          </cell>
          <cell r="AB363">
            <v>0</v>
          </cell>
          <cell r="AC363">
            <v>8415</v>
          </cell>
          <cell r="AD363">
            <v>8415</v>
          </cell>
          <cell r="AE363">
            <v>0</v>
          </cell>
          <cell r="AF363">
            <v>8415</v>
          </cell>
          <cell r="AG363" t="str">
            <v>ENGR. MICHAEL C. SALARDA
MS. LEONARDA M. LATOR
MS. CARMENCITA VALDEZ
MS. SORAYA P. VERGARA</v>
          </cell>
          <cell r="AH363" t="str">
            <v>N/A</v>
          </cell>
          <cell r="AI363" t="str">
            <v>N/A</v>
          </cell>
          <cell r="AJ363" t="str">
            <v>N/A</v>
          </cell>
          <cell r="AK363" t="str">
            <v>N/A</v>
          </cell>
          <cell r="AL363" t="str">
            <v>N/A</v>
          </cell>
          <cell r="AM363" t="str">
            <v>N/A</v>
          </cell>
          <cell r="AN363">
            <v>0</v>
          </cell>
          <cell r="AO363">
            <v>0</v>
          </cell>
        </row>
        <row r="364">
          <cell r="A364" t="str">
            <v>24-0964</v>
          </cell>
          <cell r="B364" t="str">
            <v>FABRICATION AND INSTALLATION OF BILLBOARD</v>
          </cell>
          <cell r="C364" t="str">
            <v>PDRRMO</v>
          </cell>
          <cell r="D364" t="str">
            <v>No</v>
          </cell>
          <cell r="E364" t="str">
            <v>NP-53.9 - Small Value Procurement</v>
          </cell>
          <cell r="F364">
            <v>45356</v>
          </cell>
          <cell r="G364">
            <v>45362</v>
          </cell>
          <cell r="H364">
            <v>0</v>
          </cell>
          <cell r="I364" t="str">
            <v>N/A</v>
          </cell>
          <cell r="J364">
            <v>45387</v>
          </cell>
          <cell r="K364">
            <v>45387</v>
          </cell>
          <cell r="L364">
            <v>0</v>
          </cell>
          <cell r="M364" t="str">
            <v>N/A</v>
          </cell>
          <cell r="N364" t="str">
            <v>N/A</v>
          </cell>
          <cell r="O364">
            <v>45630</v>
          </cell>
          <cell r="P364">
            <v>0</v>
          </cell>
          <cell r="Q364">
            <v>0</v>
          </cell>
          <cell r="R364">
            <v>0</v>
          </cell>
          <cell r="S364">
            <v>45400</v>
          </cell>
          <cell r="T364">
            <v>45405</v>
          </cell>
          <cell r="U364">
            <v>0</v>
          </cell>
          <cell r="V364">
            <v>0</v>
          </cell>
          <cell r="W364">
            <v>0</v>
          </cell>
          <cell r="X364" t="e">
            <v>#N/A</v>
          </cell>
          <cell r="Y364">
            <v>0</v>
          </cell>
          <cell r="Z364">
            <v>0</v>
          </cell>
          <cell r="AA364">
            <v>272250</v>
          </cell>
          <cell r="AB364">
            <v>0</v>
          </cell>
          <cell r="AC364">
            <v>272250</v>
          </cell>
          <cell r="AD364">
            <v>261800</v>
          </cell>
          <cell r="AE364">
            <v>0</v>
          </cell>
          <cell r="AF364">
            <v>261800</v>
          </cell>
          <cell r="AG364" t="str">
            <v>ENGR. MICHAEL C. SALARDA
MS. LEONARDA M. LATOR
MS. CARMENCITA VALDEZ
MS. SORAYA P. VERGARA</v>
          </cell>
          <cell r="AH364" t="str">
            <v>N/A</v>
          </cell>
          <cell r="AI364" t="str">
            <v>N/A</v>
          </cell>
          <cell r="AJ364" t="str">
            <v>N/A</v>
          </cell>
          <cell r="AK364" t="str">
            <v>N/A</v>
          </cell>
          <cell r="AL364" t="str">
            <v>N/A</v>
          </cell>
          <cell r="AM364" t="str">
            <v>N/A</v>
          </cell>
          <cell r="AN364">
            <v>0</v>
          </cell>
          <cell r="AO364">
            <v>0</v>
          </cell>
        </row>
        <row r="365">
          <cell r="A365" t="str">
            <v>24-1476</v>
          </cell>
          <cell r="B365" t="str">
            <v>TARPAULIN</v>
          </cell>
          <cell r="C365" t="str">
            <v>PGO</v>
          </cell>
          <cell r="D365" t="str">
            <v>No</v>
          </cell>
          <cell r="E365" t="str">
            <v>NP-53.9 - Small Value Procurement</v>
          </cell>
          <cell r="F365" t="str">
            <v>N/A</v>
          </cell>
          <cell r="G365">
            <v>45384</v>
          </cell>
          <cell r="H365">
            <v>0</v>
          </cell>
          <cell r="I365" t="str">
            <v>N/A</v>
          </cell>
          <cell r="J365">
            <v>45387</v>
          </cell>
          <cell r="K365">
            <v>45387</v>
          </cell>
          <cell r="L365">
            <v>0</v>
          </cell>
          <cell r="M365" t="str">
            <v>N/A</v>
          </cell>
          <cell r="N365" t="str">
            <v>N/A</v>
          </cell>
          <cell r="O365">
            <v>45630</v>
          </cell>
          <cell r="P365">
            <v>0</v>
          </cell>
          <cell r="Q365">
            <v>0</v>
          </cell>
          <cell r="R365">
            <v>0</v>
          </cell>
          <cell r="S365" t="str">
            <v>N/A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 t="e">
            <v>#N/A</v>
          </cell>
          <cell r="Y365">
            <v>0</v>
          </cell>
          <cell r="Z365">
            <v>0</v>
          </cell>
          <cell r="AA365">
            <v>5600</v>
          </cell>
          <cell r="AB365">
            <v>0</v>
          </cell>
          <cell r="AC365">
            <v>5600</v>
          </cell>
          <cell r="AD365">
            <v>5600</v>
          </cell>
          <cell r="AE365">
            <v>0</v>
          </cell>
          <cell r="AF365">
            <v>5600</v>
          </cell>
          <cell r="AG365" t="str">
            <v>ENGR. MICHAEL C. SALARDA
MS. LEONARDA M. LATOR
MS. CARMENCITA VALDEZ
MS. SORAYA P. VERGARA</v>
          </cell>
          <cell r="AH365" t="str">
            <v>N/A</v>
          </cell>
          <cell r="AI365" t="str">
            <v>N/A</v>
          </cell>
          <cell r="AJ365" t="str">
            <v>N/A</v>
          </cell>
          <cell r="AK365" t="str">
            <v>N/A</v>
          </cell>
          <cell r="AL365" t="str">
            <v>N/A</v>
          </cell>
          <cell r="AM365" t="str">
            <v>N/A</v>
          </cell>
          <cell r="AN365">
            <v>0</v>
          </cell>
          <cell r="AO365">
            <v>0</v>
          </cell>
        </row>
        <row r="366">
          <cell r="A366" t="str">
            <v>24-1273</v>
          </cell>
          <cell r="B366" t="str">
            <v>TARPAULIN</v>
          </cell>
          <cell r="C366" t="str">
            <v>SEF</v>
          </cell>
          <cell r="D366" t="str">
            <v>No</v>
          </cell>
          <cell r="E366" t="str">
            <v>NP-53.9 - Small Value Procurement</v>
          </cell>
          <cell r="F366">
            <v>45373</v>
          </cell>
          <cell r="G366">
            <v>45384</v>
          </cell>
          <cell r="H366">
            <v>0</v>
          </cell>
          <cell r="I366" t="str">
            <v>N/A</v>
          </cell>
          <cell r="J366">
            <v>45387</v>
          </cell>
          <cell r="K366">
            <v>45387</v>
          </cell>
          <cell r="L366">
            <v>0</v>
          </cell>
          <cell r="M366" t="str">
            <v>N/A</v>
          </cell>
          <cell r="N366" t="str">
            <v>N/A</v>
          </cell>
          <cell r="O366">
            <v>45630</v>
          </cell>
          <cell r="P366">
            <v>0</v>
          </cell>
          <cell r="Q366">
            <v>0</v>
          </cell>
          <cell r="R366">
            <v>0</v>
          </cell>
          <cell r="S366" t="str">
            <v>N/A</v>
          </cell>
          <cell r="T366">
            <v>45408</v>
          </cell>
          <cell r="U366">
            <v>0</v>
          </cell>
          <cell r="V366">
            <v>0</v>
          </cell>
          <cell r="W366">
            <v>0</v>
          </cell>
          <cell r="X366" t="e">
            <v>#N/A</v>
          </cell>
          <cell r="Y366">
            <v>0</v>
          </cell>
          <cell r="Z366">
            <v>0</v>
          </cell>
          <cell r="AA366">
            <v>1792</v>
          </cell>
          <cell r="AB366">
            <v>0</v>
          </cell>
          <cell r="AC366">
            <v>1792</v>
          </cell>
          <cell r="AD366">
            <v>1792</v>
          </cell>
          <cell r="AE366">
            <v>0</v>
          </cell>
          <cell r="AF366">
            <v>1792</v>
          </cell>
          <cell r="AG366" t="str">
            <v>ENGR. MICHAEL C. SALARDA
MS. LEONARDA M. LATOR
MS. CARMENCITA VALDEZ
MS. SORAYA P. VERGARA</v>
          </cell>
          <cell r="AH366" t="str">
            <v>N/A</v>
          </cell>
          <cell r="AI366" t="str">
            <v>N/A</v>
          </cell>
          <cell r="AJ366" t="str">
            <v>N/A</v>
          </cell>
          <cell r="AK366" t="str">
            <v>N/A</v>
          </cell>
          <cell r="AL366" t="str">
            <v>N/A</v>
          </cell>
          <cell r="AM366" t="str">
            <v>N/A</v>
          </cell>
          <cell r="AN366">
            <v>0</v>
          </cell>
          <cell r="AO366">
            <v>0</v>
          </cell>
        </row>
        <row r="367">
          <cell r="A367" t="str">
            <v>24-1416</v>
          </cell>
          <cell r="B367" t="str">
            <v>SPAREPARTS (MOTORCYCLE)</v>
          </cell>
          <cell r="C367" t="str">
            <v>PGO</v>
          </cell>
          <cell r="D367" t="str">
            <v>No</v>
          </cell>
          <cell r="E367" t="str">
            <v>NP-53.9 - Small Value Procurement</v>
          </cell>
          <cell r="F367">
            <v>45356</v>
          </cell>
          <cell r="G367">
            <v>45359</v>
          </cell>
          <cell r="H367">
            <v>0</v>
          </cell>
          <cell r="I367" t="str">
            <v>N/A</v>
          </cell>
          <cell r="J367">
            <v>45387</v>
          </cell>
          <cell r="K367">
            <v>45387</v>
          </cell>
          <cell r="L367">
            <v>0</v>
          </cell>
          <cell r="M367" t="str">
            <v>N/A</v>
          </cell>
          <cell r="N367" t="str">
            <v>N/A</v>
          </cell>
          <cell r="O367">
            <v>45630</v>
          </cell>
          <cell r="P367">
            <v>0</v>
          </cell>
          <cell r="Q367">
            <v>0</v>
          </cell>
          <cell r="R367">
            <v>0</v>
          </cell>
          <cell r="S367" t="str">
            <v>N/A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 t="e">
            <v>#N/A</v>
          </cell>
          <cell r="Y367">
            <v>0</v>
          </cell>
          <cell r="Z367">
            <v>0</v>
          </cell>
          <cell r="AA367">
            <v>2000</v>
          </cell>
          <cell r="AB367">
            <v>0</v>
          </cell>
          <cell r="AC367">
            <v>2000</v>
          </cell>
          <cell r="AD367">
            <v>2000</v>
          </cell>
          <cell r="AE367">
            <v>0</v>
          </cell>
          <cell r="AF367">
            <v>2000</v>
          </cell>
          <cell r="AG367" t="str">
            <v>ENGR. MICHAEL C. SALARDA
MS. LEONARDA M. LATOR
MS. CARMENCITA VALDEZ
MS. SORAYA P. VERGARA</v>
          </cell>
          <cell r="AH367" t="str">
            <v>N/A</v>
          </cell>
          <cell r="AI367" t="str">
            <v>N/A</v>
          </cell>
          <cell r="AJ367" t="str">
            <v>N/A</v>
          </cell>
          <cell r="AK367" t="str">
            <v>N/A</v>
          </cell>
          <cell r="AL367" t="str">
            <v>N/A</v>
          </cell>
          <cell r="AM367" t="str">
            <v>N/A</v>
          </cell>
          <cell r="AN367">
            <v>0</v>
          </cell>
          <cell r="AO367">
            <v>0</v>
          </cell>
        </row>
        <row r="368">
          <cell r="A368" t="str">
            <v>24-1243</v>
          </cell>
          <cell r="B368" t="str">
            <v>TARPAULIN</v>
          </cell>
          <cell r="C368" t="str">
            <v>PAGRO</v>
          </cell>
          <cell r="D368" t="str">
            <v>No</v>
          </cell>
          <cell r="E368" t="str">
            <v>NP-53.9 - Small Value Procurement</v>
          </cell>
          <cell r="F368" t="str">
            <v>N/A</v>
          </cell>
          <cell r="G368">
            <v>45373</v>
          </cell>
          <cell r="H368">
            <v>0</v>
          </cell>
          <cell r="I368" t="str">
            <v>N/A</v>
          </cell>
          <cell r="J368">
            <v>45387</v>
          </cell>
          <cell r="K368">
            <v>45387</v>
          </cell>
          <cell r="L368">
            <v>0</v>
          </cell>
          <cell r="M368" t="str">
            <v>N/A</v>
          </cell>
          <cell r="N368" t="str">
            <v>N/A</v>
          </cell>
          <cell r="O368">
            <v>45630</v>
          </cell>
          <cell r="P368">
            <v>0</v>
          </cell>
          <cell r="Q368">
            <v>0</v>
          </cell>
          <cell r="R368">
            <v>0</v>
          </cell>
          <cell r="S368" t="str">
            <v>N/A</v>
          </cell>
          <cell r="T368">
            <v>45405</v>
          </cell>
          <cell r="U368">
            <v>0</v>
          </cell>
          <cell r="V368">
            <v>0</v>
          </cell>
          <cell r="W368">
            <v>0</v>
          </cell>
          <cell r="X368" t="e">
            <v>#N/A</v>
          </cell>
          <cell r="Y368">
            <v>0</v>
          </cell>
          <cell r="Z368">
            <v>0</v>
          </cell>
          <cell r="AA368">
            <v>1792</v>
          </cell>
          <cell r="AB368">
            <v>0</v>
          </cell>
          <cell r="AC368">
            <v>1792</v>
          </cell>
          <cell r="AD368">
            <v>1792</v>
          </cell>
          <cell r="AE368">
            <v>0</v>
          </cell>
          <cell r="AF368">
            <v>1792</v>
          </cell>
          <cell r="AG368" t="str">
            <v>ENGR. MICHAEL C. SALARDA
MS. LEONARDA M. LATOR
MS. CARMENCITA VALDEZ
MS. SORAYA P. VERGARA</v>
          </cell>
          <cell r="AH368" t="str">
            <v>N/A</v>
          </cell>
          <cell r="AI368" t="str">
            <v>N/A</v>
          </cell>
          <cell r="AJ368" t="str">
            <v>N/A</v>
          </cell>
          <cell r="AK368" t="str">
            <v>N/A</v>
          </cell>
          <cell r="AL368" t="str">
            <v>N/A</v>
          </cell>
          <cell r="AM368" t="str">
            <v>N/A</v>
          </cell>
          <cell r="AN368">
            <v>0</v>
          </cell>
          <cell r="AO368">
            <v>0</v>
          </cell>
        </row>
        <row r="369">
          <cell r="A369" t="str">
            <v>24-1430</v>
          </cell>
          <cell r="B369" t="str">
            <v>TARPAULIN</v>
          </cell>
          <cell r="C369" t="str">
            <v>PEO</v>
          </cell>
          <cell r="D369" t="str">
            <v>No</v>
          </cell>
          <cell r="E369" t="str">
            <v>NP-53.9 - Small Value Procurement</v>
          </cell>
          <cell r="F369">
            <v>45356</v>
          </cell>
          <cell r="G369">
            <v>45359</v>
          </cell>
          <cell r="H369">
            <v>0</v>
          </cell>
          <cell r="I369" t="str">
            <v>N/A</v>
          </cell>
          <cell r="J369">
            <v>45387</v>
          </cell>
          <cell r="K369">
            <v>45387</v>
          </cell>
          <cell r="L369">
            <v>0</v>
          </cell>
          <cell r="M369" t="str">
            <v>N/A</v>
          </cell>
          <cell r="N369" t="str">
            <v>N/A</v>
          </cell>
          <cell r="O369">
            <v>45630</v>
          </cell>
          <cell r="P369">
            <v>0</v>
          </cell>
          <cell r="Q369">
            <v>0</v>
          </cell>
          <cell r="R369">
            <v>0</v>
          </cell>
          <cell r="S369" t="str">
            <v>N/A</v>
          </cell>
          <cell r="T369">
            <v>45394</v>
          </cell>
          <cell r="U369">
            <v>45405</v>
          </cell>
          <cell r="V369">
            <v>0</v>
          </cell>
          <cell r="W369">
            <v>0</v>
          </cell>
          <cell r="X369" t="e">
            <v>#N/A</v>
          </cell>
          <cell r="Y369">
            <v>0</v>
          </cell>
          <cell r="Z369">
            <v>0</v>
          </cell>
          <cell r="AA369">
            <v>1792</v>
          </cell>
          <cell r="AB369">
            <v>0</v>
          </cell>
          <cell r="AC369">
            <v>1792</v>
          </cell>
          <cell r="AD369">
            <v>1779.2</v>
          </cell>
          <cell r="AE369">
            <v>0</v>
          </cell>
          <cell r="AF369">
            <v>1779.2</v>
          </cell>
          <cell r="AG369" t="str">
            <v>ENGR. MICHAEL C. SALARDA
MS. LEONARDA M. LATOR
MS. CARMENCITA VALDEZ
MS. SORAYA P. VERGARA</v>
          </cell>
          <cell r="AH369" t="str">
            <v>N/A</v>
          </cell>
          <cell r="AI369" t="str">
            <v>N/A</v>
          </cell>
          <cell r="AJ369" t="str">
            <v>N/A</v>
          </cell>
          <cell r="AK369" t="str">
            <v>N/A</v>
          </cell>
          <cell r="AL369" t="str">
            <v>N/A</v>
          </cell>
          <cell r="AM369" t="str">
            <v>N/A</v>
          </cell>
          <cell r="AN369">
            <v>0</v>
          </cell>
          <cell r="AO369">
            <v>0</v>
          </cell>
        </row>
        <row r="370">
          <cell r="A370" t="str">
            <v>24-0029</v>
          </cell>
          <cell r="B370" t="str">
            <v>STICKER, OUTDOOR</v>
          </cell>
          <cell r="C370" t="str">
            <v>PTO</v>
          </cell>
          <cell r="D370" t="str">
            <v>No</v>
          </cell>
          <cell r="E370" t="str">
            <v>NP-53.9 - Small Value Procurement</v>
          </cell>
          <cell r="F370" t="str">
            <v>N/A</v>
          </cell>
          <cell r="G370">
            <v>45359</v>
          </cell>
          <cell r="H370">
            <v>0</v>
          </cell>
          <cell r="I370" t="str">
            <v>N/A</v>
          </cell>
          <cell r="J370">
            <v>45387</v>
          </cell>
          <cell r="K370">
            <v>45387</v>
          </cell>
          <cell r="L370">
            <v>0</v>
          </cell>
          <cell r="M370" t="str">
            <v>N/A</v>
          </cell>
          <cell r="N370" t="str">
            <v>N/A</v>
          </cell>
          <cell r="O370">
            <v>45630</v>
          </cell>
          <cell r="P370">
            <v>0</v>
          </cell>
          <cell r="Q370">
            <v>0</v>
          </cell>
          <cell r="R370">
            <v>0</v>
          </cell>
          <cell r="S370" t="str">
            <v>N/A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 t="e">
            <v>#N/A</v>
          </cell>
          <cell r="Y370">
            <v>0</v>
          </cell>
          <cell r="Z370">
            <v>0</v>
          </cell>
          <cell r="AA370">
            <v>14000</v>
          </cell>
          <cell r="AB370">
            <v>0</v>
          </cell>
          <cell r="AC370">
            <v>14000</v>
          </cell>
          <cell r="AD370">
            <v>14000</v>
          </cell>
          <cell r="AE370">
            <v>0</v>
          </cell>
          <cell r="AF370">
            <v>14000</v>
          </cell>
          <cell r="AG370" t="str">
            <v>ENGR. MICHAEL C. SALARDA
MS. LEONARDA M. LATOR
MS. CARMENCITA VALDEZ
MS. SORAYA P. VERGARA</v>
          </cell>
          <cell r="AH370" t="str">
            <v>N/A</v>
          </cell>
          <cell r="AI370" t="str">
            <v>N/A</v>
          </cell>
          <cell r="AJ370" t="str">
            <v>N/A</v>
          </cell>
          <cell r="AK370" t="str">
            <v>N/A</v>
          </cell>
          <cell r="AL370" t="str">
            <v>N/A</v>
          </cell>
          <cell r="AM370" t="str">
            <v>N/A</v>
          </cell>
          <cell r="AN370">
            <v>0</v>
          </cell>
          <cell r="AO370">
            <v>0</v>
          </cell>
        </row>
        <row r="371">
          <cell r="A371" t="str">
            <v>24-1618</v>
          </cell>
          <cell r="B371" t="str">
            <v>JANITORIAL SUPPLIES/HOUSEKEEPING</v>
          </cell>
          <cell r="C371" t="str">
            <v>PHO</v>
          </cell>
          <cell r="D371" t="str">
            <v>No</v>
          </cell>
          <cell r="E371" t="str">
            <v>NP-53.9 - Small Value Procurement</v>
          </cell>
          <cell r="F371" t="str">
            <v>N/A</v>
          </cell>
          <cell r="G371">
            <v>45363</v>
          </cell>
          <cell r="H371">
            <v>0</v>
          </cell>
          <cell r="I371" t="str">
            <v>N/A</v>
          </cell>
          <cell r="J371">
            <v>45387</v>
          </cell>
          <cell r="K371">
            <v>45387</v>
          </cell>
          <cell r="L371">
            <v>0</v>
          </cell>
          <cell r="M371" t="str">
            <v>N/A</v>
          </cell>
          <cell r="N371" t="str">
            <v>N/A</v>
          </cell>
          <cell r="O371">
            <v>45630</v>
          </cell>
          <cell r="P371">
            <v>0</v>
          </cell>
          <cell r="Q371">
            <v>0</v>
          </cell>
          <cell r="R371">
            <v>0</v>
          </cell>
          <cell r="S371" t="str">
            <v>N/A</v>
          </cell>
          <cell r="T371">
            <v>45405</v>
          </cell>
          <cell r="U371">
            <v>0</v>
          </cell>
          <cell r="V371">
            <v>0</v>
          </cell>
          <cell r="W371">
            <v>0</v>
          </cell>
          <cell r="X371" t="e">
            <v>#N/A</v>
          </cell>
          <cell r="Y371">
            <v>0</v>
          </cell>
          <cell r="Z371">
            <v>0</v>
          </cell>
          <cell r="AA371">
            <v>1339</v>
          </cell>
          <cell r="AB371">
            <v>0</v>
          </cell>
          <cell r="AC371">
            <v>1339</v>
          </cell>
          <cell r="AD371">
            <v>1339</v>
          </cell>
          <cell r="AE371">
            <v>0</v>
          </cell>
          <cell r="AF371">
            <v>1339</v>
          </cell>
          <cell r="AG371" t="str">
            <v>ENGR. MICHAEL C. SALARDA
MS. LEONARDA M. LATOR
MS. CARMENCITA VALDEZ
MS. SORAYA P. VERGARA</v>
          </cell>
          <cell r="AH371" t="str">
            <v>N/A</v>
          </cell>
          <cell r="AI371" t="str">
            <v>N/A</v>
          </cell>
          <cell r="AJ371" t="str">
            <v>N/A</v>
          </cell>
          <cell r="AK371" t="str">
            <v>N/A</v>
          </cell>
          <cell r="AL371" t="str">
            <v>N/A</v>
          </cell>
          <cell r="AM371" t="str">
            <v>N/A</v>
          </cell>
          <cell r="AN371">
            <v>0</v>
          </cell>
          <cell r="AO371">
            <v>0</v>
          </cell>
        </row>
        <row r="372">
          <cell r="A372" t="str">
            <v>24-1113</v>
          </cell>
          <cell r="B372" t="str">
            <v>PRINTER, INK TANK SYSTEM</v>
          </cell>
          <cell r="C372" t="str">
            <v>PHO</v>
          </cell>
          <cell r="D372" t="str">
            <v>No</v>
          </cell>
          <cell r="E372" t="str">
            <v>NP-53.9 - Small Value Procurement</v>
          </cell>
          <cell r="F372" t="str">
            <v>N/A</v>
          </cell>
          <cell r="G372">
            <v>45363</v>
          </cell>
          <cell r="H372">
            <v>0</v>
          </cell>
          <cell r="I372" t="str">
            <v>N/A</v>
          </cell>
          <cell r="J372">
            <v>45387</v>
          </cell>
          <cell r="K372">
            <v>45387</v>
          </cell>
          <cell r="L372">
            <v>0</v>
          </cell>
          <cell r="M372" t="str">
            <v>N/A</v>
          </cell>
          <cell r="N372" t="str">
            <v>N/A</v>
          </cell>
          <cell r="O372">
            <v>45630</v>
          </cell>
          <cell r="P372">
            <v>0</v>
          </cell>
          <cell r="Q372">
            <v>0</v>
          </cell>
          <cell r="R372">
            <v>0</v>
          </cell>
          <cell r="S372" t="str">
            <v>N/A</v>
          </cell>
          <cell r="T372">
            <v>45405</v>
          </cell>
          <cell r="U372">
            <v>0</v>
          </cell>
          <cell r="V372">
            <v>0</v>
          </cell>
          <cell r="W372">
            <v>0</v>
          </cell>
          <cell r="X372" t="e">
            <v>#N/A</v>
          </cell>
          <cell r="Y372">
            <v>0</v>
          </cell>
          <cell r="Z372">
            <v>0</v>
          </cell>
          <cell r="AA372">
            <v>43500</v>
          </cell>
          <cell r="AB372">
            <v>0</v>
          </cell>
          <cell r="AC372">
            <v>43500</v>
          </cell>
          <cell r="AD372">
            <v>43494</v>
          </cell>
          <cell r="AE372">
            <v>0</v>
          </cell>
          <cell r="AF372">
            <v>43494</v>
          </cell>
          <cell r="AG372" t="str">
            <v>ENGR. MICHAEL C. SALARDA
MS. LEONARDA M. LATOR
MS. CARMENCITA VALDEZ
MS. SORAYA P. VERGARA</v>
          </cell>
          <cell r="AH372" t="str">
            <v>N/A</v>
          </cell>
          <cell r="AI372" t="str">
            <v>N/A</v>
          </cell>
          <cell r="AJ372" t="str">
            <v>N/A</v>
          </cell>
          <cell r="AK372" t="str">
            <v>N/A</v>
          </cell>
          <cell r="AL372" t="str">
            <v>N/A</v>
          </cell>
          <cell r="AM372" t="str">
            <v>N/A</v>
          </cell>
          <cell r="AN372">
            <v>0</v>
          </cell>
          <cell r="AO372">
            <v>0</v>
          </cell>
        </row>
        <row r="373">
          <cell r="A373" t="str">
            <v>24-C1085</v>
          </cell>
          <cell r="B373" t="str">
            <v>TARPAULIN</v>
          </cell>
          <cell r="C373" t="str">
            <v>PENRO</v>
          </cell>
          <cell r="D373" t="str">
            <v>No</v>
          </cell>
          <cell r="E373" t="str">
            <v>NP-53.9 - Small Value Procurement</v>
          </cell>
          <cell r="F373" t="str">
            <v>N/A</v>
          </cell>
          <cell r="G373">
            <v>45363</v>
          </cell>
          <cell r="H373">
            <v>0</v>
          </cell>
          <cell r="I373" t="str">
            <v>N/A</v>
          </cell>
          <cell r="J373">
            <v>45387</v>
          </cell>
          <cell r="K373">
            <v>45387</v>
          </cell>
          <cell r="L373">
            <v>0</v>
          </cell>
          <cell r="M373" t="str">
            <v>N/A</v>
          </cell>
          <cell r="N373" t="str">
            <v>N/A</v>
          </cell>
          <cell r="O373">
            <v>45630</v>
          </cell>
          <cell r="P373">
            <v>0</v>
          </cell>
          <cell r="Q373">
            <v>0</v>
          </cell>
          <cell r="R373">
            <v>0</v>
          </cell>
          <cell r="S373" t="str">
            <v>N/A</v>
          </cell>
          <cell r="T373">
            <v>45406</v>
          </cell>
          <cell r="U373">
            <v>0</v>
          </cell>
          <cell r="V373">
            <v>0</v>
          </cell>
          <cell r="W373">
            <v>0</v>
          </cell>
          <cell r="X373">
            <v>45441</v>
          </cell>
          <cell r="Y373">
            <v>0</v>
          </cell>
          <cell r="Z373">
            <v>0</v>
          </cell>
          <cell r="AA373">
            <v>33964</v>
          </cell>
          <cell r="AB373">
            <v>0</v>
          </cell>
          <cell r="AC373">
            <v>33964</v>
          </cell>
          <cell r="AD373">
            <v>33721.4</v>
          </cell>
          <cell r="AE373">
            <v>0</v>
          </cell>
          <cell r="AF373">
            <v>33721.4</v>
          </cell>
          <cell r="AG373" t="str">
            <v>ENGR. MICHAEL C. SALARDA
MS. LEONARDA M. LATOR
MS. CARMENCITA VALDEZ
MS. SORAYA P. VERGARA</v>
          </cell>
          <cell r="AH373" t="str">
            <v>N/A</v>
          </cell>
          <cell r="AI373" t="str">
            <v>N/A</v>
          </cell>
          <cell r="AJ373" t="str">
            <v>N/A</v>
          </cell>
          <cell r="AK373" t="str">
            <v>N/A</v>
          </cell>
          <cell r="AL373" t="str">
            <v>N/A</v>
          </cell>
          <cell r="AM373" t="str">
            <v>N/A</v>
          </cell>
          <cell r="AN373">
            <v>0</v>
          </cell>
          <cell r="AO373">
            <v>0</v>
          </cell>
        </row>
        <row r="374">
          <cell r="A374" t="str">
            <v>24-C1073</v>
          </cell>
          <cell r="B374" t="str">
            <v>TARPAULIN</v>
          </cell>
          <cell r="C374" t="str">
            <v>PDRRMO</v>
          </cell>
          <cell r="D374" t="str">
            <v>No</v>
          </cell>
          <cell r="E374" t="str">
            <v>NP-53.9 - Small Value Procurement</v>
          </cell>
          <cell r="F374" t="str">
            <v>N/A</v>
          </cell>
          <cell r="G374">
            <v>45363</v>
          </cell>
          <cell r="H374">
            <v>0</v>
          </cell>
          <cell r="I374" t="str">
            <v>N/A</v>
          </cell>
          <cell r="J374">
            <v>45387</v>
          </cell>
          <cell r="K374">
            <v>45387</v>
          </cell>
          <cell r="L374">
            <v>0</v>
          </cell>
          <cell r="M374" t="str">
            <v>N/A</v>
          </cell>
          <cell r="N374" t="str">
            <v>N/A</v>
          </cell>
          <cell r="O374">
            <v>45630</v>
          </cell>
          <cell r="P374">
            <v>0</v>
          </cell>
          <cell r="Q374">
            <v>0</v>
          </cell>
          <cell r="R374">
            <v>0</v>
          </cell>
          <cell r="S374" t="str">
            <v>N/A</v>
          </cell>
          <cell r="T374">
            <v>45405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27580</v>
          </cell>
          <cell r="AB374">
            <v>0</v>
          </cell>
          <cell r="AC374">
            <v>27580</v>
          </cell>
          <cell r="AD374">
            <v>27383</v>
          </cell>
          <cell r="AE374">
            <v>0</v>
          </cell>
          <cell r="AF374">
            <v>27383</v>
          </cell>
          <cell r="AG374" t="str">
            <v>ENGR. MICHAEL C. SALARDA
MS. LEONARDA M. LATOR
MS. CARMENCITA VALDEZ
MS. SORAYA P. VERGARA</v>
          </cell>
          <cell r="AH374" t="str">
            <v>N/A</v>
          </cell>
          <cell r="AI374" t="str">
            <v>N/A</v>
          </cell>
          <cell r="AJ374" t="str">
            <v>N/A</v>
          </cell>
          <cell r="AK374" t="str">
            <v>N/A</v>
          </cell>
          <cell r="AL374" t="str">
            <v>N/A</v>
          </cell>
          <cell r="AM374" t="str">
            <v>N/A</v>
          </cell>
          <cell r="AN374">
            <v>0</v>
          </cell>
          <cell r="AO374">
            <v>0</v>
          </cell>
        </row>
        <row r="375">
          <cell r="A375" t="str">
            <v>24-1295</v>
          </cell>
          <cell r="B375" t="str">
            <v>PLASTIC STORAGE BOX</v>
          </cell>
          <cell r="C375" t="str">
            <v>PGO</v>
          </cell>
          <cell r="D375" t="str">
            <v>No</v>
          </cell>
          <cell r="E375" t="str">
            <v>NP-53.9 - Small Value Procurement</v>
          </cell>
          <cell r="F375" t="str">
            <v>N/A</v>
          </cell>
          <cell r="G375">
            <v>45363</v>
          </cell>
          <cell r="H375">
            <v>0</v>
          </cell>
          <cell r="I375" t="str">
            <v>N/A</v>
          </cell>
          <cell r="J375">
            <v>45387</v>
          </cell>
          <cell r="K375">
            <v>45387</v>
          </cell>
          <cell r="L375">
            <v>0</v>
          </cell>
          <cell r="M375" t="str">
            <v>N/A</v>
          </cell>
          <cell r="N375" t="str">
            <v>N/A</v>
          </cell>
          <cell r="O375">
            <v>45630</v>
          </cell>
          <cell r="P375">
            <v>0</v>
          </cell>
          <cell r="Q375">
            <v>0</v>
          </cell>
          <cell r="R375">
            <v>0</v>
          </cell>
          <cell r="S375" t="str">
            <v>N/A</v>
          </cell>
          <cell r="T375">
            <v>45405</v>
          </cell>
          <cell r="U375">
            <v>0</v>
          </cell>
          <cell r="V375">
            <v>0</v>
          </cell>
          <cell r="W375">
            <v>0</v>
          </cell>
          <cell r="X375" t="e">
            <v>#N/A</v>
          </cell>
          <cell r="Y375">
            <v>0</v>
          </cell>
          <cell r="Z375">
            <v>0</v>
          </cell>
          <cell r="AA375">
            <v>3200</v>
          </cell>
          <cell r="AB375">
            <v>0</v>
          </cell>
          <cell r="AC375">
            <v>3200</v>
          </cell>
          <cell r="AD375">
            <v>3196</v>
          </cell>
          <cell r="AE375">
            <v>0</v>
          </cell>
          <cell r="AF375">
            <v>3196</v>
          </cell>
          <cell r="AG375" t="str">
            <v>ENGR. MICHAEL C. SALARDA
MS. LEONARDA M. LATOR
MS. CARMENCITA VALDEZ
MS. SORAYA P. VERGARA</v>
          </cell>
          <cell r="AH375" t="str">
            <v>N/A</v>
          </cell>
          <cell r="AI375" t="str">
            <v>N/A</v>
          </cell>
          <cell r="AJ375" t="str">
            <v>N/A</v>
          </cell>
          <cell r="AK375" t="str">
            <v>N/A</v>
          </cell>
          <cell r="AL375" t="str">
            <v>N/A</v>
          </cell>
          <cell r="AM375" t="str">
            <v>N/A</v>
          </cell>
          <cell r="AN375">
            <v>0</v>
          </cell>
          <cell r="AO375">
            <v>0</v>
          </cell>
        </row>
        <row r="376">
          <cell r="A376" t="str">
            <v>24-1619</v>
          </cell>
          <cell r="B376" t="str">
            <v>PLASTIC UTILITY BOX</v>
          </cell>
          <cell r="C376" t="str">
            <v>PBO</v>
          </cell>
          <cell r="D376" t="str">
            <v>No</v>
          </cell>
          <cell r="E376" t="str">
            <v>NP-53.9 - Small Value Procurement</v>
          </cell>
          <cell r="F376" t="str">
            <v>N/A</v>
          </cell>
          <cell r="G376">
            <v>45363</v>
          </cell>
          <cell r="H376">
            <v>0</v>
          </cell>
          <cell r="I376" t="str">
            <v>N/A</v>
          </cell>
          <cell r="J376">
            <v>45387</v>
          </cell>
          <cell r="K376">
            <v>45387</v>
          </cell>
          <cell r="L376">
            <v>0</v>
          </cell>
          <cell r="M376" t="str">
            <v>N/A</v>
          </cell>
          <cell r="N376" t="str">
            <v>N/A</v>
          </cell>
          <cell r="O376">
            <v>45630</v>
          </cell>
          <cell r="P376">
            <v>0</v>
          </cell>
          <cell r="Q376">
            <v>0</v>
          </cell>
          <cell r="R376">
            <v>0</v>
          </cell>
          <cell r="S376" t="str">
            <v>N/A</v>
          </cell>
          <cell r="T376">
            <v>45405</v>
          </cell>
          <cell r="U376">
            <v>0</v>
          </cell>
          <cell r="V376">
            <v>0</v>
          </cell>
          <cell r="W376">
            <v>0</v>
          </cell>
          <cell r="X376" t="e">
            <v>#N/A</v>
          </cell>
          <cell r="Y376">
            <v>0</v>
          </cell>
          <cell r="Z376">
            <v>0</v>
          </cell>
          <cell r="AA376">
            <v>1800</v>
          </cell>
          <cell r="AB376">
            <v>0</v>
          </cell>
          <cell r="AC376">
            <v>1800</v>
          </cell>
          <cell r="AD376">
            <v>1800</v>
          </cell>
          <cell r="AE376">
            <v>0</v>
          </cell>
          <cell r="AF376">
            <v>1800</v>
          </cell>
          <cell r="AG376" t="str">
            <v>ENGR. MICHAEL C. SALARDA
MS. LEONARDA M. LATOR
MS. CARMENCITA VALDEZ
MS. SORAYA P. VERGARA</v>
          </cell>
          <cell r="AH376" t="str">
            <v>N/A</v>
          </cell>
          <cell r="AI376" t="str">
            <v>N/A</v>
          </cell>
          <cell r="AJ376" t="str">
            <v>N/A</v>
          </cell>
          <cell r="AK376" t="str">
            <v>N/A</v>
          </cell>
          <cell r="AL376" t="str">
            <v>N/A</v>
          </cell>
          <cell r="AM376" t="str">
            <v>N/A</v>
          </cell>
          <cell r="AN376">
            <v>0</v>
          </cell>
          <cell r="AO376">
            <v>0</v>
          </cell>
        </row>
        <row r="377">
          <cell r="A377" t="str">
            <v>24-1296</v>
          </cell>
          <cell r="B377" t="str">
            <v>ECO TANK ALL-IN-ONE INK PRINTER</v>
          </cell>
          <cell r="C377" t="str">
            <v>PGO</v>
          </cell>
          <cell r="D377" t="str">
            <v>No</v>
          </cell>
          <cell r="E377" t="str">
            <v>NP-53.9 - Small Value Procurement</v>
          </cell>
          <cell r="F377" t="str">
            <v>N/A</v>
          </cell>
          <cell r="G377">
            <v>45363</v>
          </cell>
          <cell r="H377">
            <v>0</v>
          </cell>
          <cell r="I377" t="str">
            <v>N/A</v>
          </cell>
          <cell r="J377">
            <v>45387</v>
          </cell>
          <cell r="K377">
            <v>45387</v>
          </cell>
          <cell r="L377">
            <v>0</v>
          </cell>
          <cell r="M377" t="str">
            <v>N/A</v>
          </cell>
          <cell r="N377" t="str">
            <v>N/A</v>
          </cell>
          <cell r="O377">
            <v>45630</v>
          </cell>
          <cell r="P377">
            <v>0</v>
          </cell>
          <cell r="Q377">
            <v>0</v>
          </cell>
          <cell r="R377">
            <v>0</v>
          </cell>
          <cell r="S377" t="str">
            <v>N/A</v>
          </cell>
          <cell r="T377">
            <v>45405</v>
          </cell>
          <cell r="U377">
            <v>0</v>
          </cell>
          <cell r="V377">
            <v>0</v>
          </cell>
          <cell r="W377">
            <v>0</v>
          </cell>
          <cell r="X377" t="e">
            <v>#N/A</v>
          </cell>
          <cell r="Y377">
            <v>0</v>
          </cell>
          <cell r="Z377">
            <v>0</v>
          </cell>
          <cell r="AA377">
            <v>15400</v>
          </cell>
          <cell r="AB377">
            <v>0</v>
          </cell>
          <cell r="AC377">
            <v>15400</v>
          </cell>
          <cell r="AD377">
            <v>15398</v>
          </cell>
          <cell r="AE377">
            <v>0</v>
          </cell>
          <cell r="AF377">
            <v>15398</v>
          </cell>
          <cell r="AG377" t="str">
            <v>ENGR. MICHAEL C. SALARDA
MS. LEONARDA M. LATOR
MS. CARMENCITA VALDEZ
MS. SORAYA P. VERGARA</v>
          </cell>
          <cell r="AH377" t="str">
            <v>N/A</v>
          </cell>
          <cell r="AI377" t="str">
            <v>N/A</v>
          </cell>
          <cell r="AJ377" t="str">
            <v>N/A</v>
          </cell>
          <cell r="AK377" t="str">
            <v>N/A</v>
          </cell>
          <cell r="AL377" t="str">
            <v>N/A</v>
          </cell>
          <cell r="AM377" t="str">
            <v>N/A</v>
          </cell>
          <cell r="AN377">
            <v>0</v>
          </cell>
          <cell r="AO377">
            <v>0</v>
          </cell>
        </row>
        <row r="378">
          <cell r="A378" t="str">
            <v>24-0366</v>
          </cell>
          <cell r="B378" t="str">
            <v>FOOD SUPPLIES</v>
          </cell>
          <cell r="C378" t="str">
            <v>PSWDO</v>
          </cell>
          <cell r="D378" t="str">
            <v>No</v>
          </cell>
          <cell r="E378" t="str">
            <v>NP-53.9 - Small Value Procurement</v>
          </cell>
          <cell r="F378" t="str">
            <v>N/A</v>
          </cell>
          <cell r="G378">
            <v>45363</v>
          </cell>
          <cell r="H378">
            <v>0</v>
          </cell>
          <cell r="I378" t="str">
            <v>N/A</v>
          </cell>
          <cell r="J378">
            <v>45387</v>
          </cell>
          <cell r="K378">
            <v>45387</v>
          </cell>
          <cell r="L378">
            <v>0</v>
          </cell>
          <cell r="M378" t="str">
            <v>N/A</v>
          </cell>
          <cell r="N378" t="str">
            <v>N/A</v>
          </cell>
          <cell r="O378">
            <v>45630</v>
          </cell>
          <cell r="P378">
            <v>0</v>
          </cell>
          <cell r="Q378">
            <v>0</v>
          </cell>
          <cell r="R378">
            <v>0</v>
          </cell>
          <cell r="S378" t="str">
            <v>N/A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 t="e">
            <v>#N/A</v>
          </cell>
          <cell r="Y378">
            <v>0</v>
          </cell>
          <cell r="Z378">
            <v>0</v>
          </cell>
          <cell r="AA378">
            <v>21945</v>
          </cell>
          <cell r="AB378">
            <v>0</v>
          </cell>
          <cell r="AC378">
            <v>21945</v>
          </cell>
          <cell r="AD378">
            <v>21398</v>
          </cell>
          <cell r="AE378">
            <v>0</v>
          </cell>
          <cell r="AF378">
            <v>21398</v>
          </cell>
          <cell r="AG378" t="str">
            <v>ENGR. MICHAEL C. SALARDA
MS. LEONARDA M. LATOR
MS. CARMENCITA VALDEZ
MS. SORAYA P. VERGARA</v>
          </cell>
          <cell r="AH378" t="str">
            <v>N/A</v>
          </cell>
          <cell r="AI378" t="str">
            <v>N/A</v>
          </cell>
          <cell r="AJ378" t="str">
            <v>N/A</v>
          </cell>
          <cell r="AK378" t="str">
            <v>N/A</v>
          </cell>
          <cell r="AL378" t="str">
            <v>N/A</v>
          </cell>
          <cell r="AM378" t="str">
            <v>N/A</v>
          </cell>
          <cell r="AN378">
            <v>0</v>
          </cell>
          <cell r="AO378">
            <v>0</v>
          </cell>
        </row>
        <row r="379">
          <cell r="A379" t="str">
            <v>24-0954</v>
          </cell>
          <cell r="B379" t="str">
            <v>DISTILLED WATER</v>
          </cell>
          <cell r="C379" t="str">
            <v>PAGRO</v>
          </cell>
          <cell r="D379" t="str">
            <v>No</v>
          </cell>
          <cell r="E379" t="str">
            <v>NP-53.9 - Small Value Procurement</v>
          </cell>
          <cell r="F379" t="str">
            <v>N/A</v>
          </cell>
          <cell r="G379">
            <v>45371</v>
          </cell>
          <cell r="H379">
            <v>0</v>
          </cell>
          <cell r="I379" t="str">
            <v>N/A</v>
          </cell>
          <cell r="J379">
            <v>45387</v>
          </cell>
          <cell r="K379">
            <v>45387</v>
          </cell>
          <cell r="L379">
            <v>0</v>
          </cell>
          <cell r="M379" t="str">
            <v>N/A</v>
          </cell>
          <cell r="N379" t="str">
            <v>N/A</v>
          </cell>
          <cell r="O379">
            <v>45630</v>
          </cell>
          <cell r="P379">
            <v>0</v>
          </cell>
          <cell r="Q379">
            <v>0</v>
          </cell>
          <cell r="R379">
            <v>0</v>
          </cell>
          <cell r="S379" t="str">
            <v>N/A</v>
          </cell>
          <cell r="T379">
            <v>45405</v>
          </cell>
          <cell r="U379">
            <v>0</v>
          </cell>
          <cell r="V379">
            <v>0</v>
          </cell>
          <cell r="W379">
            <v>0</v>
          </cell>
          <cell r="X379" t="e">
            <v>#N/A</v>
          </cell>
          <cell r="Y379">
            <v>0</v>
          </cell>
          <cell r="Z379">
            <v>0</v>
          </cell>
          <cell r="AA379">
            <v>2970</v>
          </cell>
          <cell r="AB379">
            <v>0</v>
          </cell>
          <cell r="AC379">
            <v>2970</v>
          </cell>
          <cell r="AD379">
            <v>2960</v>
          </cell>
          <cell r="AE379">
            <v>0</v>
          </cell>
          <cell r="AF379">
            <v>2960</v>
          </cell>
          <cell r="AG379" t="str">
            <v>ENGR. MICHAEL C. SALARDA
MS. LEONARDA M. LATOR
MS. CARMENCITA VALDEZ
MS. SORAYA P. VERGARA</v>
          </cell>
          <cell r="AH379" t="str">
            <v>N/A</v>
          </cell>
          <cell r="AI379" t="str">
            <v>N/A</v>
          </cell>
          <cell r="AJ379" t="str">
            <v>N/A</v>
          </cell>
          <cell r="AK379" t="str">
            <v>N/A</v>
          </cell>
          <cell r="AL379" t="str">
            <v>N/A</v>
          </cell>
          <cell r="AM379" t="str">
            <v>N/A</v>
          </cell>
          <cell r="AN379">
            <v>0</v>
          </cell>
          <cell r="AO379">
            <v>0</v>
          </cell>
        </row>
        <row r="380">
          <cell r="A380" t="str">
            <v>24-1799</v>
          </cell>
          <cell r="B380" t="str">
            <v>COMPUTER SUPPLIES/SPAREPARTS</v>
          </cell>
          <cell r="C380" t="str">
            <v>PIAO</v>
          </cell>
          <cell r="D380" t="str">
            <v>No</v>
          </cell>
          <cell r="E380" t="str">
            <v>NP-53.9 - Small Value Procurement</v>
          </cell>
          <cell r="F380" t="str">
            <v>N/A</v>
          </cell>
          <cell r="G380">
            <v>45371</v>
          </cell>
          <cell r="H380">
            <v>0</v>
          </cell>
          <cell r="I380" t="str">
            <v>N/A</v>
          </cell>
          <cell r="J380">
            <v>45387</v>
          </cell>
          <cell r="K380">
            <v>45387</v>
          </cell>
          <cell r="L380">
            <v>0</v>
          </cell>
          <cell r="M380" t="str">
            <v>N/A</v>
          </cell>
          <cell r="N380" t="str">
            <v>N/A</v>
          </cell>
          <cell r="O380">
            <v>45630</v>
          </cell>
          <cell r="P380">
            <v>0</v>
          </cell>
          <cell r="Q380">
            <v>0</v>
          </cell>
          <cell r="R380">
            <v>0</v>
          </cell>
          <cell r="S380" t="str">
            <v>N/A</v>
          </cell>
          <cell r="T380">
            <v>45406</v>
          </cell>
          <cell r="U380">
            <v>0</v>
          </cell>
          <cell r="V380">
            <v>0</v>
          </cell>
          <cell r="W380">
            <v>0</v>
          </cell>
          <cell r="X380" t="e">
            <v>#N/A</v>
          </cell>
          <cell r="Y380">
            <v>0</v>
          </cell>
          <cell r="Z380">
            <v>0</v>
          </cell>
          <cell r="AA380">
            <v>9000</v>
          </cell>
          <cell r="AB380">
            <v>0</v>
          </cell>
          <cell r="AC380">
            <v>9000</v>
          </cell>
          <cell r="AD380">
            <v>8900</v>
          </cell>
          <cell r="AE380">
            <v>0</v>
          </cell>
          <cell r="AF380">
            <v>8900</v>
          </cell>
          <cell r="AG380" t="str">
            <v>ENGR. MICHAEL C. SALARDA
MS. LEONARDA M. LATOR
MS. CARMENCITA VALDEZ
MS. SORAYA P. VERGARA</v>
          </cell>
          <cell r="AH380" t="str">
            <v>N/A</v>
          </cell>
          <cell r="AI380" t="str">
            <v>N/A</v>
          </cell>
          <cell r="AJ380" t="str">
            <v>N/A</v>
          </cell>
          <cell r="AK380" t="str">
            <v>N/A</v>
          </cell>
          <cell r="AL380" t="str">
            <v>N/A</v>
          </cell>
          <cell r="AM380" t="str">
            <v>N/A</v>
          </cell>
          <cell r="AN380">
            <v>0</v>
          </cell>
          <cell r="AO380">
            <v>0</v>
          </cell>
        </row>
        <row r="381">
          <cell r="A381" t="str">
            <v>24-1651</v>
          </cell>
          <cell r="B381" t="str">
            <v>COMPUTER SUPPLIES/SPAREPARTS</v>
          </cell>
          <cell r="C381" t="str">
            <v>PTO</v>
          </cell>
          <cell r="D381" t="str">
            <v>No</v>
          </cell>
          <cell r="E381" t="str">
            <v>NP-53.9 - Small Value Procurement</v>
          </cell>
          <cell r="F381" t="str">
            <v>N/A</v>
          </cell>
          <cell r="G381">
            <v>45371</v>
          </cell>
          <cell r="H381">
            <v>0</v>
          </cell>
          <cell r="I381" t="str">
            <v>N/A</v>
          </cell>
          <cell r="J381">
            <v>45387</v>
          </cell>
          <cell r="K381">
            <v>45387</v>
          </cell>
          <cell r="L381">
            <v>0</v>
          </cell>
          <cell r="M381" t="str">
            <v>N/A</v>
          </cell>
          <cell r="N381" t="str">
            <v>N/A</v>
          </cell>
          <cell r="O381">
            <v>45630</v>
          </cell>
          <cell r="P381">
            <v>0</v>
          </cell>
          <cell r="Q381">
            <v>0</v>
          </cell>
          <cell r="R381">
            <v>0</v>
          </cell>
          <cell r="S381" t="str">
            <v>N/A</v>
          </cell>
          <cell r="T381">
            <v>45407</v>
          </cell>
          <cell r="U381">
            <v>0</v>
          </cell>
          <cell r="V381">
            <v>0</v>
          </cell>
          <cell r="W381">
            <v>0</v>
          </cell>
          <cell r="X381" t="e">
            <v>#N/A</v>
          </cell>
          <cell r="Y381">
            <v>0</v>
          </cell>
          <cell r="Z381">
            <v>0</v>
          </cell>
          <cell r="AA381">
            <v>4123</v>
          </cell>
          <cell r="AB381">
            <v>0</v>
          </cell>
          <cell r="AC381">
            <v>4123</v>
          </cell>
          <cell r="AD381">
            <v>4050</v>
          </cell>
          <cell r="AE381">
            <v>0</v>
          </cell>
          <cell r="AF381">
            <v>4050</v>
          </cell>
          <cell r="AG381" t="str">
            <v>ENGR. MICHAEL C. SALARDA
MS. LEONARDA M. LATOR
MS. CARMENCITA VALDEZ
MS. SORAYA P. VERGARA</v>
          </cell>
          <cell r="AH381" t="str">
            <v>N/A</v>
          </cell>
          <cell r="AI381" t="str">
            <v>N/A</v>
          </cell>
          <cell r="AJ381" t="str">
            <v>N/A</v>
          </cell>
          <cell r="AK381" t="str">
            <v>N/A</v>
          </cell>
          <cell r="AL381" t="str">
            <v>N/A</v>
          </cell>
          <cell r="AM381" t="str">
            <v>N/A</v>
          </cell>
          <cell r="AN381">
            <v>0</v>
          </cell>
          <cell r="AO381">
            <v>0</v>
          </cell>
        </row>
        <row r="382">
          <cell r="A382" t="str">
            <v>24-1680</v>
          </cell>
          <cell r="B382" t="str">
            <v>FOOD/CATERING SERVICES</v>
          </cell>
          <cell r="C382" t="str">
            <v>PGO</v>
          </cell>
          <cell r="D382" t="str">
            <v>No</v>
          </cell>
          <cell r="E382" t="str">
            <v>NP-53.9 - Small Value Procurement</v>
          </cell>
          <cell r="F382" t="str">
            <v>N/A</v>
          </cell>
          <cell r="G382">
            <v>45371</v>
          </cell>
          <cell r="H382">
            <v>0</v>
          </cell>
          <cell r="I382" t="str">
            <v>N/A</v>
          </cell>
          <cell r="J382">
            <v>45387</v>
          </cell>
          <cell r="K382">
            <v>45387</v>
          </cell>
          <cell r="L382">
            <v>0</v>
          </cell>
          <cell r="M382" t="str">
            <v>N/A</v>
          </cell>
          <cell r="N382" t="str">
            <v>N/A</v>
          </cell>
          <cell r="O382">
            <v>45630</v>
          </cell>
          <cell r="P382">
            <v>0</v>
          </cell>
          <cell r="Q382">
            <v>0</v>
          </cell>
          <cell r="R382">
            <v>0</v>
          </cell>
          <cell r="S382" t="str">
            <v>N/A</v>
          </cell>
          <cell r="T382">
            <v>45405</v>
          </cell>
          <cell r="U382">
            <v>0</v>
          </cell>
          <cell r="V382">
            <v>0</v>
          </cell>
          <cell r="W382">
            <v>0</v>
          </cell>
          <cell r="X382" t="e">
            <v>#N/A</v>
          </cell>
          <cell r="Y382">
            <v>0</v>
          </cell>
          <cell r="Z382">
            <v>0</v>
          </cell>
          <cell r="AA382">
            <v>40800</v>
          </cell>
          <cell r="AB382">
            <v>0</v>
          </cell>
          <cell r="AC382">
            <v>40800</v>
          </cell>
          <cell r="AD382">
            <v>36000</v>
          </cell>
          <cell r="AE382">
            <v>0</v>
          </cell>
          <cell r="AF382">
            <v>36000</v>
          </cell>
          <cell r="AG382" t="str">
            <v>ENGR. MICHAEL C. SALARDA
MS. LEONARDA M. LATOR
MS. CARMENCITA VALDEZ
MS. SORAYA P. VERGARA</v>
          </cell>
          <cell r="AH382" t="str">
            <v>N/A</v>
          </cell>
          <cell r="AI382" t="str">
            <v>N/A</v>
          </cell>
          <cell r="AJ382" t="str">
            <v>N/A</v>
          </cell>
          <cell r="AK382" t="str">
            <v>N/A</v>
          </cell>
          <cell r="AL382" t="str">
            <v>N/A</v>
          </cell>
          <cell r="AM382" t="str">
            <v>N/A</v>
          </cell>
          <cell r="AN382">
            <v>0</v>
          </cell>
          <cell r="AO382">
            <v>0</v>
          </cell>
        </row>
        <row r="383">
          <cell r="A383" t="str">
            <v>24-1409</v>
          </cell>
          <cell r="B383" t="str">
            <v>COMPUTER SUPPLIES/SPAREPARTS</v>
          </cell>
          <cell r="C383" t="str">
            <v>PPDO</v>
          </cell>
          <cell r="D383" t="str">
            <v>No</v>
          </cell>
          <cell r="E383" t="str">
            <v>NP-53.9 - Small Value Procurement</v>
          </cell>
          <cell r="F383" t="str">
            <v>N/A</v>
          </cell>
          <cell r="G383">
            <v>45371</v>
          </cell>
          <cell r="H383">
            <v>0</v>
          </cell>
          <cell r="I383" t="str">
            <v>N/A</v>
          </cell>
          <cell r="J383">
            <v>45387</v>
          </cell>
          <cell r="K383">
            <v>45387</v>
          </cell>
          <cell r="L383">
            <v>0</v>
          </cell>
          <cell r="M383" t="str">
            <v>N/A</v>
          </cell>
          <cell r="N383" t="str">
            <v>N/A</v>
          </cell>
          <cell r="O383">
            <v>45630</v>
          </cell>
          <cell r="P383">
            <v>0</v>
          </cell>
          <cell r="Q383">
            <v>0</v>
          </cell>
          <cell r="R383">
            <v>0</v>
          </cell>
          <cell r="S383" t="str">
            <v>N/A</v>
          </cell>
          <cell r="T383">
            <v>45406</v>
          </cell>
          <cell r="U383">
            <v>0</v>
          </cell>
          <cell r="V383">
            <v>0</v>
          </cell>
          <cell r="W383">
            <v>0</v>
          </cell>
          <cell r="X383" t="e">
            <v>#N/A</v>
          </cell>
          <cell r="Y383">
            <v>0</v>
          </cell>
          <cell r="Z383">
            <v>0</v>
          </cell>
          <cell r="AA383">
            <v>5760</v>
          </cell>
          <cell r="AB383">
            <v>0</v>
          </cell>
          <cell r="AC383">
            <v>5760</v>
          </cell>
          <cell r="AD383">
            <v>5600</v>
          </cell>
          <cell r="AE383">
            <v>0</v>
          </cell>
          <cell r="AF383">
            <v>5600</v>
          </cell>
          <cell r="AG383" t="str">
            <v>ENGR. MICHAEL C. SALARDA
MS. LEONARDA M. LATOR
MS. CARMENCITA VALDEZ
MS. SORAYA P. VERGARA</v>
          </cell>
          <cell r="AH383" t="str">
            <v>N/A</v>
          </cell>
          <cell r="AI383" t="str">
            <v>N/A</v>
          </cell>
          <cell r="AJ383" t="str">
            <v>N/A</v>
          </cell>
          <cell r="AK383" t="str">
            <v>N/A</v>
          </cell>
          <cell r="AL383" t="str">
            <v>N/A</v>
          </cell>
          <cell r="AM383" t="str">
            <v>N/A</v>
          </cell>
          <cell r="AN383">
            <v>0</v>
          </cell>
          <cell r="AO383">
            <v>0</v>
          </cell>
        </row>
        <row r="384">
          <cell r="A384" t="str">
            <v>24-1691</v>
          </cell>
          <cell r="B384" t="str">
            <v>HAND CUFF</v>
          </cell>
          <cell r="C384" t="str">
            <v>PGO</v>
          </cell>
          <cell r="D384" t="str">
            <v>No</v>
          </cell>
          <cell r="E384" t="str">
            <v>NP-53.9 - Small Value Procurement</v>
          </cell>
          <cell r="F384" t="str">
            <v>N/A</v>
          </cell>
          <cell r="G384">
            <v>45371</v>
          </cell>
          <cell r="H384">
            <v>0</v>
          </cell>
          <cell r="I384" t="str">
            <v>N/A</v>
          </cell>
          <cell r="J384">
            <v>45387</v>
          </cell>
          <cell r="K384">
            <v>45387</v>
          </cell>
          <cell r="L384">
            <v>0</v>
          </cell>
          <cell r="M384" t="str">
            <v>N/A</v>
          </cell>
          <cell r="N384" t="str">
            <v>N/A</v>
          </cell>
          <cell r="O384">
            <v>45630</v>
          </cell>
          <cell r="P384">
            <v>0</v>
          </cell>
          <cell r="Q384">
            <v>0</v>
          </cell>
          <cell r="R384">
            <v>0</v>
          </cell>
          <cell r="S384">
            <v>45399</v>
          </cell>
          <cell r="T384">
            <v>45406</v>
          </cell>
          <cell r="U384">
            <v>0</v>
          </cell>
          <cell r="V384">
            <v>0</v>
          </cell>
          <cell r="W384">
            <v>0</v>
          </cell>
          <cell r="X384" t="e">
            <v>#N/A</v>
          </cell>
          <cell r="Y384">
            <v>0</v>
          </cell>
          <cell r="Z384">
            <v>0</v>
          </cell>
          <cell r="AA384">
            <v>108460</v>
          </cell>
          <cell r="AB384">
            <v>0</v>
          </cell>
          <cell r="AC384">
            <v>108460</v>
          </cell>
          <cell r="AD384">
            <v>106140</v>
          </cell>
          <cell r="AE384">
            <v>0</v>
          </cell>
          <cell r="AF384">
            <v>106140</v>
          </cell>
          <cell r="AG384" t="str">
            <v>ENGR. MICHAEL C. SALARDA
MS. LEONARDA M. LATOR
MS. CARMENCITA VALDEZ
MS. SORAYA P. VERGARA</v>
          </cell>
          <cell r="AH384" t="str">
            <v>N/A</v>
          </cell>
          <cell r="AI384" t="str">
            <v>N/A</v>
          </cell>
          <cell r="AJ384" t="str">
            <v>N/A</v>
          </cell>
          <cell r="AK384" t="str">
            <v>N/A</v>
          </cell>
          <cell r="AL384" t="str">
            <v>N/A</v>
          </cell>
          <cell r="AM384" t="str">
            <v>N/A</v>
          </cell>
          <cell r="AN384">
            <v>0</v>
          </cell>
          <cell r="AO384">
            <v>0</v>
          </cell>
        </row>
        <row r="385">
          <cell r="A385" t="str">
            <v>24-1693</v>
          </cell>
          <cell r="B385" t="str">
            <v>CHAIR, MONOBLOC</v>
          </cell>
          <cell r="C385" t="str">
            <v>PGO</v>
          </cell>
          <cell r="D385" t="str">
            <v>No</v>
          </cell>
          <cell r="E385" t="str">
            <v>NP-53.9 - Small Value Procurement</v>
          </cell>
          <cell r="F385" t="str">
            <v>N/A</v>
          </cell>
          <cell r="G385">
            <v>45371</v>
          </cell>
          <cell r="H385">
            <v>0</v>
          </cell>
          <cell r="I385" t="str">
            <v>N/A</v>
          </cell>
          <cell r="J385">
            <v>45387</v>
          </cell>
          <cell r="K385">
            <v>45387</v>
          </cell>
          <cell r="L385">
            <v>0</v>
          </cell>
          <cell r="M385" t="str">
            <v>N/A</v>
          </cell>
          <cell r="N385" t="str">
            <v>N/A</v>
          </cell>
          <cell r="O385">
            <v>45630</v>
          </cell>
          <cell r="P385">
            <v>0</v>
          </cell>
          <cell r="Q385">
            <v>0</v>
          </cell>
          <cell r="R385">
            <v>0</v>
          </cell>
          <cell r="S385" t="str">
            <v>N/A</v>
          </cell>
          <cell r="T385">
            <v>45401</v>
          </cell>
          <cell r="U385">
            <v>0</v>
          </cell>
          <cell r="V385">
            <v>0</v>
          </cell>
          <cell r="W385">
            <v>0</v>
          </cell>
          <cell r="X385" t="e">
            <v>#N/A</v>
          </cell>
          <cell r="Y385">
            <v>0</v>
          </cell>
          <cell r="Z385">
            <v>0</v>
          </cell>
          <cell r="AA385">
            <v>3900</v>
          </cell>
          <cell r="AB385">
            <v>0</v>
          </cell>
          <cell r="AC385">
            <v>3900</v>
          </cell>
          <cell r="AD385">
            <v>3850</v>
          </cell>
          <cell r="AE385">
            <v>0</v>
          </cell>
          <cell r="AF385">
            <v>3850</v>
          </cell>
          <cell r="AG385" t="str">
            <v>ENGR. MICHAEL C. SALARDA
MS. LEONARDA M. LATOR
MS. CARMENCITA VALDEZ
MS. SORAYA P. VERGARA</v>
          </cell>
          <cell r="AH385" t="str">
            <v>N/A</v>
          </cell>
          <cell r="AI385" t="str">
            <v>N/A</v>
          </cell>
          <cell r="AJ385" t="str">
            <v>N/A</v>
          </cell>
          <cell r="AK385" t="str">
            <v>N/A</v>
          </cell>
          <cell r="AL385" t="str">
            <v>N/A</v>
          </cell>
          <cell r="AM385" t="str">
            <v>N/A</v>
          </cell>
          <cell r="AN385">
            <v>0</v>
          </cell>
          <cell r="AO385">
            <v>0</v>
          </cell>
        </row>
        <row r="386">
          <cell r="A386" t="str">
            <v>24-1547</v>
          </cell>
          <cell r="B386" t="str">
            <v>WATER DISPENSER-HOT AND COLD</v>
          </cell>
          <cell r="C386" t="str">
            <v>PAGRO</v>
          </cell>
          <cell r="D386" t="str">
            <v>No</v>
          </cell>
          <cell r="E386" t="str">
            <v>NP-53.9 - Small Value Procurement</v>
          </cell>
          <cell r="F386" t="str">
            <v>N/A</v>
          </cell>
          <cell r="G386">
            <v>45371</v>
          </cell>
          <cell r="H386">
            <v>0</v>
          </cell>
          <cell r="I386" t="str">
            <v>N/A</v>
          </cell>
          <cell r="J386">
            <v>45387</v>
          </cell>
          <cell r="K386">
            <v>45387</v>
          </cell>
          <cell r="L386">
            <v>0</v>
          </cell>
          <cell r="M386" t="str">
            <v>N/A</v>
          </cell>
          <cell r="N386" t="str">
            <v>N/A</v>
          </cell>
          <cell r="O386">
            <v>45630</v>
          </cell>
          <cell r="P386">
            <v>0</v>
          </cell>
          <cell r="Q386">
            <v>0</v>
          </cell>
          <cell r="R386">
            <v>0</v>
          </cell>
          <cell r="S386" t="str">
            <v>N/A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 t="e">
            <v>#N/A</v>
          </cell>
          <cell r="Y386">
            <v>0</v>
          </cell>
          <cell r="Z386">
            <v>0</v>
          </cell>
          <cell r="AA386">
            <v>13200</v>
          </cell>
          <cell r="AB386">
            <v>0</v>
          </cell>
          <cell r="AC386">
            <v>13200</v>
          </cell>
          <cell r="AD386">
            <v>13200</v>
          </cell>
          <cell r="AE386">
            <v>0</v>
          </cell>
          <cell r="AF386">
            <v>13200</v>
          </cell>
          <cell r="AG386" t="str">
            <v>ENGR. MICHAEL C. SALARDA
MS. LEONARDA M. LATOR
MS. CARMENCITA VALDEZ
MS. SORAYA P. VERGARA</v>
          </cell>
          <cell r="AH386" t="str">
            <v>N/A</v>
          </cell>
          <cell r="AI386" t="str">
            <v>N/A</v>
          </cell>
          <cell r="AJ386" t="str">
            <v>N/A</v>
          </cell>
          <cell r="AK386" t="str">
            <v>N/A</v>
          </cell>
          <cell r="AL386" t="str">
            <v>N/A</v>
          </cell>
          <cell r="AM386" t="str">
            <v>N/A</v>
          </cell>
          <cell r="AN386">
            <v>0</v>
          </cell>
          <cell r="AO386">
            <v>0</v>
          </cell>
        </row>
        <row r="387">
          <cell r="A387" t="str">
            <v>24-C1130</v>
          </cell>
          <cell r="B387" t="str">
            <v>AGRICULTURAL (BOLO, GARBAGE BIN, GARBAGE HOSE)</v>
          </cell>
          <cell r="C387" t="str">
            <v>PGSO</v>
          </cell>
          <cell r="D387" t="str">
            <v>No</v>
          </cell>
          <cell r="E387" t="str">
            <v>NP-53.9 - Small Value Procurement</v>
          </cell>
          <cell r="F387" t="str">
            <v>N/A</v>
          </cell>
          <cell r="G387">
            <v>45363</v>
          </cell>
          <cell r="H387">
            <v>0</v>
          </cell>
          <cell r="I387" t="str">
            <v>N/A</v>
          </cell>
          <cell r="J387">
            <v>45390</v>
          </cell>
          <cell r="K387">
            <v>45390</v>
          </cell>
          <cell r="L387">
            <v>0</v>
          </cell>
          <cell r="M387" t="str">
            <v>N/A</v>
          </cell>
          <cell r="N387" t="str">
            <v>N/A</v>
          </cell>
          <cell r="O387">
            <v>45630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45446</v>
          </cell>
          <cell r="Y387">
            <v>0</v>
          </cell>
          <cell r="Z387">
            <v>0</v>
          </cell>
          <cell r="AA387">
            <v>94852</v>
          </cell>
          <cell r="AB387">
            <v>0</v>
          </cell>
          <cell r="AC387">
            <v>94852</v>
          </cell>
          <cell r="AD387">
            <v>94800</v>
          </cell>
          <cell r="AE387">
            <v>0</v>
          </cell>
          <cell r="AF387">
            <v>94800</v>
          </cell>
          <cell r="AG387" t="str">
            <v>ENGR. MICHAEL C. SALARDA
MS. LEONARDA M. LATOR
MS. CARMENCITA VALDEZ
MS. SORAYA P. VERGARA</v>
          </cell>
          <cell r="AH387" t="str">
            <v>N/A</v>
          </cell>
          <cell r="AI387" t="str">
            <v>N/A</v>
          </cell>
          <cell r="AJ387" t="str">
            <v>N/A</v>
          </cell>
          <cell r="AK387" t="str">
            <v>N/A</v>
          </cell>
          <cell r="AL387" t="str">
            <v>N/A</v>
          </cell>
          <cell r="AM387" t="str">
            <v>N/A</v>
          </cell>
          <cell r="AN387">
            <v>0</v>
          </cell>
          <cell r="AO387">
            <v>0</v>
          </cell>
        </row>
        <row r="388">
          <cell r="A388" t="str">
            <v>24-C1198</v>
          </cell>
          <cell r="B388" t="str">
            <v>MAGAZINE PRINTING &amp; POCKET BROCHURE</v>
          </cell>
          <cell r="C388" t="str">
            <v>PAO</v>
          </cell>
          <cell r="D388" t="str">
            <v>No</v>
          </cell>
          <cell r="E388" t="str">
            <v>NP-53.9 - Small Value Procurement</v>
          </cell>
          <cell r="F388" t="str">
            <v>N/A</v>
          </cell>
          <cell r="G388">
            <v>45376</v>
          </cell>
          <cell r="H388">
            <v>0</v>
          </cell>
          <cell r="I388" t="str">
            <v>N/A</v>
          </cell>
          <cell r="J388">
            <v>45390</v>
          </cell>
          <cell r="K388">
            <v>45390</v>
          </cell>
          <cell r="L388">
            <v>0</v>
          </cell>
          <cell r="M388" t="str">
            <v>N/A</v>
          </cell>
          <cell r="N388" t="str">
            <v>N/A</v>
          </cell>
          <cell r="O388">
            <v>45630</v>
          </cell>
          <cell r="P388">
            <v>0</v>
          </cell>
          <cell r="Q388">
            <v>0</v>
          </cell>
          <cell r="R388">
            <v>0</v>
          </cell>
          <cell r="S388">
            <v>45398</v>
          </cell>
          <cell r="T388">
            <v>45405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90160</v>
          </cell>
          <cell r="AB388">
            <v>0</v>
          </cell>
          <cell r="AC388">
            <v>90160</v>
          </cell>
          <cell r="AD388">
            <v>82025</v>
          </cell>
          <cell r="AE388">
            <v>0</v>
          </cell>
          <cell r="AF388">
            <v>82025</v>
          </cell>
          <cell r="AG388" t="str">
            <v>ENGR. MICHAEL C. SALARDA
MS. LEONARDA M. LATOR
MS. CARMENCITA VALDEZ
MS. SORAYA P. VERGARA</v>
          </cell>
          <cell r="AH388" t="str">
            <v>N/A</v>
          </cell>
          <cell r="AI388" t="str">
            <v>N/A</v>
          </cell>
          <cell r="AJ388" t="str">
            <v>N/A</v>
          </cell>
          <cell r="AK388" t="str">
            <v>N/A</v>
          </cell>
          <cell r="AL388" t="str">
            <v>N/A</v>
          </cell>
          <cell r="AM388" t="str">
            <v>N/A</v>
          </cell>
          <cell r="AN388">
            <v>0</v>
          </cell>
          <cell r="AO388">
            <v>0</v>
          </cell>
        </row>
        <row r="389">
          <cell r="A389" t="str">
            <v>24-1090</v>
          </cell>
          <cell r="B389" t="str">
            <v>TABLE NAME HOLDER</v>
          </cell>
          <cell r="C389" t="str">
            <v>PGO</v>
          </cell>
          <cell r="D389" t="str">
            <v>No</v>
          </cell>
          <cell r="E389" t="str">
            <v>NP-53.9 - Small Value Procurement</v>
          </cell>
          <cell r="F389">
            <v>45370</v>
          </cell>
          <cell r="G389">
            <v>45376</v>
          </cell>
          <cell r="H389">
            <v>0</v>
          </cell>
          <cell r="I389" t="str">
            <v>N/A</v>
          </cell>
          <cell r="J389">
            <v>45390</v>
          </cell>
          <cell r="K389">
            <v>45390</v>
          </cell>
          <cell r="L389">
            <v>0</v>
          </cell>
          <cell r="M389" t="str">
            <v>N/A</v>
          </cell>
          <cell r="N389" t="str">
            <v>N/A</v>
          </cell>
          <cell r="O389">
            <v>45630</v>
          </cell>
          <cell r="P389">
            <v>0</v>
          </cell>
          <cell r="Q389">
            <v>0</v>
          </cell>
          <cell r="R389">
            <v>0</v>
          </cell>
          <cell r="S389" t="str">
            <v>N/A</v>
          </cell>
          <cell r="T389">
            <v>45406</v>
          </cell>
          <cell r="U389">
            <v>0</v>
          </cell>
          <cell r="V389">
            <v>0</v>
          </cell>
          <cell r="W389">
            <v>0</v>
          </cell>
          <cell r="X389" t="e">
            <v>#N/A</v>
          </cell>
          <cell r="Y389">
            <v>0</v>
          </cell>
          <cell r="Z389">
            <v>0</v>
          </cell>
          <cell r="AA389">
            <v>16000</v>
          </cell>
          <cell r="AB389">
            <v>0</v>
          </cell>
          <cell r="AC389">
            <v>16000</v>
          </cell>
          <cell r="AD389">
            <v>16000</v>
          </cell>
          <cell r="AE389">
            <v>0</v>
          </cell>
          <cell r="AF389">
            <v>16000</v>
          </cell>
          <cell r="AG389" t="str">
            <v>ENGR. MICHAEL C. SALARDA
MS. LEONARDA M. LATOR
MS. CARMENCITA VALDEZ
MS. SORAYA P. VERGARA</v>
          </cell>
          <cell r="AH389" t="str">
            <v>N/A</v>
          </cell>
          <cell r="AI389" t="str">
            <v>N/A</v>
          </cell>
          <cell r="AJ389" t="str">
            <v>N/A</v>
          </cell>
          <cell r="AK389" t="str">
            <v>N/A</v>
          </cell>
          <cell r="AL389" t="str">
            <v>N/A</v>
          </cell>
          <cell r="AM389" t="str">
            <v>N/A</v>
          </cell>
          <cell r="AN389">
            <v>0</v>
          </cell>
          <cell r="AO389">
            <v>0</v>
          </cell>
        </row>
        <row r="390">
          <cell r="A390" t="str">
            <v>24-1726</v>
          </cell>
          <cell r="B390" t="str">
            <v>SPAREPARTS (LIGHT VEHICLES)</v>
          </cell>
          <cell r="C390" t="str">
            <v>PGSO</v>
          </cell>
          <cell r="D390" t="str">
            <v>No</v>
          </cell>
          <cell r="E390" t="str">
            <v>NP-53.9 - Small Value Procurement</v>
          </cell>
          <cell r="F390">
            <v>45373</v>
          </cell>
          <cell r="G390">
            <v>45384</v>
          </cell>
          <cell r="H390">
            <v>0</v>
          </cell>
          <cell r="I390" t="str">
            <v>N/A</v>
          </cell>
          <cell r="J390">
            <v>45390</v>
          </cell>
          <cell r="K390">
            <v>45390</v>
          </cell>
          <cell r="L390">
            <v>0</v>
          </cell>
          <cell r="M390" t="str">
            <v>N/A</v>
          </cell>
          <cell r="N390" t="str">
            <v>N/A</v>
          </cell>
          <cell r="O390">
            <v>45630</v>
          </cell>
          <cell r="P390">
            <v>0</v>
          </cell>
          <cell r="Q390">
            <v>0</v>
          </cell>
          <cell r="R390">
            <v>0</v>
          </cell>
          <cell r="S390" t="str">
            <v>N/A</v>
          </cell>
          <cell r="T390">
            <v>45405</v>
          </cell>
          <cell r="U390">
            <v>0</v>
          </cell>
          <cell r="V390">
            <v>0</v>
          </cell>
          <cell r="W390">
            <v>0</v>
          </cell>
          <cell r="X390" t="e">
            <v>#N/A</v>
          </cell>
          <cell r="Y390">
            <v>0</v>
          </cell>
          <cell r="Z390">
            <v>0</v>
          </cell>
          <cell r="AA390">
            <v>5400</v>
          </cell>
          <cell r="AB390">
            <v>0</v>
          </cell>
          <cell r="AC390">
            <v>5400</v>
          </cell>
          <cell r="AD390">
            <v>5000</v>
          </cell>
          <cell r="AE390">
            <v>0</v>
          </cell>
          <cell r="AF390">
            <v>5000</v>
          </cell>
          <cell r="AG390" t="str">
            <v>ENGR. MICHAEL C. SALARDA
MS. LEONARDA M. LATOR
MS. CARMENCITA VALDEZ
MS. SORAYA P. VERGARA</v>
          </cell>
          <cell r="AH390" t="str">
            <v>N/A</v>
          </cell>
          <cell r="AI390" t="str">
            <v>N/A</v>
          </cell>
          <cell r="AJ390" t="str">
            <v>N/A</v>
          </cell>
          <cell r="AK390" t="str">
            <v>N/A</v>
          </cell>
          <cell r="AL390" t="str">
            <v>N/A</v>
          </cell>
          <cell r="AM390" t="str">
            <v>N/A</v>
          </cell>
          <cell r="AN390">
            <v>0</v>
          </cell>
          <cell r="AO390">
            <v>0</v>
          </cell>
        </row>
        <row r="391">
          <cell r="A391" t="str">
            <v>24-1431</v>
          </cell>
          <cell r="B391" t="str">
            <v>FOOD/CATERING SERVICES</v>
          </cell>
          <cell r="C391" t="str">
            <v>PAO</v>
          </cell>
          <cell r="D391" t="str">
            <v>No</v>
          </cell>
          <cell r="E391" t="str">
            <v>NP-53.9 - Small Value Procurement</v>
          </cell>
          <cell r="F391" t="str">
            <v>N/A</v>
          </cell>
          <cell r="G391">
            <v>45384</v>
          </cell>
          <cell r="H391">
            <v>0</v>
          </cell>
          <cell r="I391" t="str">
            <v>N/A</v>
          </cell>
          <cell r="J391">
            <v>45390</v>
          </cell>
          <cell r="K391">
            <v>45390</v>
          </cell>
          <cell r="L391">
            <v>0</v>
          </cell>
          <cell r="M391" t="str">
            <v>N/A</v>
          </cell>
          <cell r="N391" t="str">
            <v>N/A</v>
          </cell>
          <cell r="O391">
            <v>45630</v>
          </cell>
          <cell r="P391">
            <v>0</v>
          </cell>
          <cell r="Q391">
            <v>0</v>
          </cell>
          <cell r="R391">
            <v>0</v>
          </cell>
          <cell r="S391">
            <v>45394</v>
          </cell>
          <cell r="T391">
            <v>45405</v>
          </cell>
          <cell r="U391">
            <v>0</v>
          </cell>
          <cell r="V391">
            <v>0</v>
          </cell>
          <cell r="W391">
            <v>0</v>
          </cell>
          <cell r="X391" t="e">
            <v>#N/A</v>
          </cell>
          <cell r="Y391">
            <v>0</v>
          </cell>
          <cell r="Z391">
            <v>0</v>
          </cell>
          <cell r="AA391">
            <v>56280</v>
          </cell>
          <cell r="AB391">
            <v>0</v>
          </cell>
          <cell r="AC391">
            <v>56280</v>
          </cell>
          <cell r="AD391">
            <v>55878</v>
          </cell>
          <cell r="AE391">
            <v>0</v>
          </cell>
          <cell r="AF391">
            <v>55878</v>
          </cell>
          <cell r="AG391" t="str">
            <v>ENGR. MICHAEL C. SALARDA
MS. LEONARDA M. LATOR
MS. CARMENCITA VALDEZ
MS. SORAYA P. VERGARA</v>
          </cell>
          <cell r="AH391" t="str">
            <v>N/A</v>
          </cell>
          <cell r="AI391" t="str">
            <v>N/A</v>
          </cell>
          <cell r="AJ391" t="str">
            <v>N/A</v>
          </cell>
          <cell r="AK391" t="str">
            <v>N/A</v>
          </cell>
          <cell r="AL391" t="str">
            <v>N/A</v>
          </cell>
          <cell r="AM391" t="str">
            <v>N/A</v>
          </cell>
          <cell r="AN391">
            <v>0</v>
          </cell>
          <cell r="AO391">
            <v>0</v>
          </cell>
        </row>
        <row r="392">
          <cell r="A392" t="str">
            <v>24-1040</v>
          </cell>
          <cell r="B392" t="str">
            <v>FOOD/CATERING SERVICES</v>
          </cell>
          <cell r="C392" t="str">
            <v>PGO</v>
          </cell>
          <cell r="D392" t="str">
            <v>No</v>
          </cell>
          <cell r="E392" t="str">
            <v>NP-53.9 - Small Value Procurement</v>
          </cell>
          <cell r="F392" t="str">
            <v>N/A</v>
          </cell>
          <cell r="G392">
            <v>45376</v>
          </cell>
          <cell r="H392">
            <v>0</v>
          </cell>
          <cell r="I392" t="str">
            <v>N/A</v>
          </cell>
          <cell r="J392">
            <v>45390</v>
          </cell>
          <cell r="K392">
            <v>45390</v>
          </cell>
          <cell r="L392">
            <v>0</v>
          </cell>
          <cell r="M392" t="str">
            <v>N/A</v>
          </cell>
          <cell r="N392" t="str">
            <v>N/A</v>
          </cell>
          <cell r="O392">
            <v>45630</v>
          </cell>
          <cell r="P392">
            <v>0</v>
          </cell>
          <cell r="Q392">
            <v>0</v>
          </cell>
          <cell r="R392">
            <v>0</v>
          </cell>
          <cell r="S392" t="str">
            <v>N/A</v>
          </cell>
          <cell r="T392">
            <v>45405</v>
          </cell>
          <cell r="U392">
            <v>0</v>
          </cell>
          <cell r="V392">
            <v>0</v>
          </cell>
          <cell r="W392">
            <v>0</v>
          </cell>
          <cell r="X392" t="e">
            <v>#N/A</v>
          </cell>
          <cell r="Y392">
            <v>0</v>
          </cell>
          <cell r="Z392">
            <v>0</v>
          </cell>
          <cell r="AA392">
            <v>46200</v>
          </cell>
          <cell r="AB392">
            <v>0</v>
          </cell>
          <cell r="AC392">
            <v>46200</v>
          </cell>
          <cell r="AD392">
            <v>45430</v>
          </cell>
          <cell r="AE392">
            <v>0</v>
          </cell>
          <cell r="AF392">
            <v>45430</v>
          </cell>
          <cell r="AG392" t="str">
            <v>ENGR. MICHAEL C. SALARDA
MS. LEONARDA M. LATOR
MS. CARMENCITA VALDEZ
MS. SORAYA P. VERGARA</v>
          </cell>
          <cell r="AH392" t="str">
            <v>N/A</v>
          </cell>
          <cell r="AI392" t="str">
            <v>N/A</v>
          </cell>
          <cell r="AJ392" t="str">
            <v>N/A</v>
          </cell>
          <cell r="AK392" t="str">
            <v>N/A</v>
          </cell>
          <cell r="AL392" t="str">
            <v>N/A</v>
          </cell>
          <cell r="AM392" t="str">
            <v>N/A</v>
          </cell>
          <cell r="AN392">
            <v>0</v>
          </cell>
          <cell r="AO392">
            <v>0</v>
          </cell>
        </row>
        <row r="393">
          <cell r="A393" t="str">
            <v>24-1122</v>
          </cell>
          <cell r="B393" t="str">
            <v>PLAQUE/TROPHIES/MEDAL</v>
          </cell>
          <cell r="C393" t="str">
            <v>PHO</v>
          </cell>
          <cell r="D393" t="str">
            <v>No</v>
          </cell>
          <cell r="E393" t="str">
            <v>NP-53.9 - Small Value Procurement</v>
          </cell>
          <cell r="F393" t="str">
            <v>N/A</v>
          </cell>
          <cell r="G393">
            <v>45376</v>
          </cell>
          <cell r="H393">
            <v>0</v>
          </cell>
          <cell r="I393" t="str">
            <v>N/A</v>
          </cell>
          <cell r="J393">
            <v>45390</v>
          </cell>
          <cell r="K393">
            <v>45390</v>
          </cell>
          <cell r="L393">
            <v>0</v>
          </cell>
          <cell r="M393" t="str">
            <v>N/A</v>
          </cell>
          <cell r="N393" t="str">
            <v>N/A</v>
          </cell>
          <cell r="O393">
            <v>45630</v>
          </cell>
          <cell r="P393">
            <v>0</v>
          </cell>
          <cell r="Q393">
            <v>0</v>
          </cell>
          <cell r="R393">
            <v>0</v>
          </cell>
          <cell r="S393" t="str">
            <v>N/A</v>
          </cell>
          <cell r="T393">
            <v>45405</v>
          </cell>
          <cell r="U393">
            <v>0</v>
          </cell>
          <cell r="V393">
            <v>0</v>
          </cell>
          <cell r="W393">
            <v>0</v>
          </cell>
          <cell r="X393" t="e">
            <v>#N/A</v>
          </cell>
          <cell r="Y393">
            <v>0</v>
          </cell>
          <cell r="Z393">
            <v>0</v>
          </cell>
          <cell r="AA393">
            <v>25000</v>
          </cell>
          <cell r="AB393">
            <v>0</v>
          </cell>
          <cell r="AC393">
            <v>25000</v>
          </cell>
          <cell r="AD393">
            <v>23000</v>
          </cell>
          <cell r="AE393">
            <v>0</v>
          </cell>
          <cell r="AF393">
            <v>23000</v>
          </cell>
          <cell r="AG393" t="str">
            <v>ENGR. MICHAEL C. SALARDA
MS. LEONARDA M. LATOR
MS. CARMENCITA VALDEZ
MS. SORAYA P. VERGARA</v>
          </cell>
          <cell r="AH393" t="str">
            <v>N/A</v>
          </cell>
          <cell r="AI393" t="str">
            <v>N/A</v>
          </cell>
          <cell r="AJ393" t="str">
            <v>N/A</v>
          </cell>
          <cell r="AK393" t="str">
            <v>N/A</v>
          </cell>
          <cell r="AL393" t="str">
            <v>N/A</v>
          </cell>
          <cell r="AM393" t="str">
            <v>N/A</v>
          </cell>
          <cell r="AN393">
            <v>0</v>
          </cell>
          <cell r="AO393">
            <v>0</v>
          </cell>
        </row>
        <row r="394">
          <cell r="A394" t="str">
            <v>24-1349</v>
          </cell>
          <cell r="B394" t="str">
            <v>FOOD/CATERING SERVICES</v>
          </cell>
          <cell r="C394" t="str">
            <v>PGO</v>
          </cell>
          <cell r="D394" t="str">
            <v>No</v>
          </cell>
          <cell r="E394" t="str">
            <v>NP-53.9 - Small Value Procurement</v>
          </cell>
          <cell r="F394" t="str">
            <v>N/A</v>
          </cell>
          <cell r="G394">
            <v>45384</v>
          </cell>
          <cell r="H394">
            <v>0</v>
          </cell>
          <cell r="I394" t="str">
            <v>N/A</v>
          </cell>
          <cell r="J394">
            <v>45390</v>
          </cell>
          <cell r="K394">
            <v>45390</v>
          </cell>
          <cell r="L394">
            <v>0</v>
          </cell>
          <cell r="M394" t="str">
            <v>N/A</v>
          </cell>
          <cell r="N394" t="str">
            <v>N/A</v>
          </cell>
          <cell r="O394">
            <v>45630</v>
          </cell>
          <cell r="P394">
            <v>0</v>
          </cell>
          <cell r="Q394">
            <v>0</v>
          </cell>
          <cell r="R394">
            <v>0</v>
          </cell>
          <cell r="S394" t="str">
            <v>N/A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 t="e">
            <v>#N/A</v>
          </cell>
          <cell r="Y394">
            <v>0</v>
          </cell>
          <cell r="Z394">
            <v>0</v>
          </cell>
          <cell r="AA394">
            <v>19960</v>
          </cell>
          <cell r="AB394">
            <v>0</v>
          </cell>
          <cell r="AC394">
            <v>19960</v>
          </cell>
          <cell r="AD394">
            <v>19736</v>
          </cell>
          <cell r="AE394">
            <v>0</v>
          </cell>
          <cell r="AF394">
            <v>19736</v>
          </cell>
          <cell r="AG394" t="str">
            <v>ENGR. MICHAEL C. SALARDA
MS. LEONARDA M. LATOR
MS. CARMENCITA VALDEZ
MS. SORAYA P. VERGARA</v>
          </cell>
          <cell r="AH394" t="str">
            <v>N/A</v>
          </cell>
          <cell r="AI394" t="str">
            <v>N/A</v>
          </cell>
          <cell r="AJ394" t="str">
            <v>N/A</v>
          </cell>
          <cell r="AK394" t="str">
            <v>N/A</v>
          </cell>
          <cell r="AL394" t="str">
            <v>N/A</v>
          </cell>
          <cell r="AM394" t="str">
            <v>N/A</v>
          </cell>
          <cell r="AN394">
            <v>0</v>
          </cell>
          <cell r="AO394">
            <v>0</v>
          </cell>
        </row>
        <row r="395">
          <cell r="A395" t="str">
            <v>24-1420</v>
          </cell>
          <cell r="B395" t="str">
            <v>SPAREPARTS (LIGHT VEHICLES)</v>
          </cell>
          <cell r="C395" t="str">
            <v>PGSO</v>
          </cell>
          <cell r="D395" t="str">
            <v>No</v>
          </cell>
          <cell r="E395" t="str">
            <v>NP-53.9 - Small Value Procurement</v>
          </cell>
          <cell r="F395">
            <v>45370</v>
          </cell>
          <cell r="G395">
            <v>45376</v>
          </cell>
          <cell r="H395">
            <v>0</v>
          </cell>
          <cell r="I395" t="str">
            <v>N/A</v>
          </cell>
          <cell r="J395">
            <v>45390</v>
          </cell>
          <cell r="K395">
            <v>45390</v>
          </cell>
          <cell r="L395">
            <v>0</v>
          </cell>
          <cell r="M395" t="str">
            <v>N/A</v>
          </cell>
          <cell r="N395" t="str">
            <v>N/A</v>
          </cell>
          <cell r="O395">
            <v>45630</v>
          </cell>
          <cell r="P395">
            <v>0</v>
          </cell>
          <cell r="Q395">
            <v>0</v>
          </cell>
          <cell r="R395">
            <v>0</v>
          </cell>
          <cell r="S395" t="str">
            <v>N/A</v>
          </cell>
          <cell r="T395">
            <v>45405</v>
          </cell>
          <cell r="U395">
            <v>0</v>
          </cell>
          <cell r="V395">
            <v>0</v>
          </cell>
          <cell r="W395">
            <v>0</v>
          </cell>
          <cell r="X395" t="e">
            <v>#N/A</v>
          </cell>
          <cell r="Y395">
            <v>0</v>
          </cell>
          <cell r="Z395">
            <v>0</v>
          </cell>
          <cell r="AA395">
            <v>12500</v>
          </cell>
          <cell r="AB395">
            <v>0</v>
          </cell>
          <cell r="AC395">
            <v>12500</v>
          </cell>
          <cell r="AD395">
            <v>12000</v>
          </cell>
          <cell r="AE395">
            <v>0</v>
          </cell>
          <cell r="AF395">
            <v>12000</v>
          </cell>
          <cell r="AG395" t="str">
            <v>ENGR. MICHAEL C. SALARDA
MS. LEONARDA M. LATOR
MS. CARMENCITA VALDEZ
MS. SORAYA P. VERGARA</v>
          </cell>
          <cell r="AH395" t="str">
            <v>N/A</v>
          </cell>
          <cell r="AI395" t="str">
            <v>N/A</v>
          </cell>
          <cell r="AJ395" t="str">
            <v>N/A</v>
          </cell>
          <cell r="AK395" t="str">
            <v>N/A</v>
          </cell>
          <cell r="AL395" t="str">
            <v>N/A</v>
          </cell>
          <cell r="AM395" t="str">
            <v>N/A</v>
          </cell>
          <cell r="AN395">
            <v>0</v>
          </cell>
          <cell r="AO395">
            <v>0</v>
          </cell>
        </row>
        <row r="396">
          <cell r="A396" t="str">
            <v>24-1446</v>
          </cell>
          <cell r="B396" t="str">
            <v>FOOD/CATERING SERVICES</v>
          </cell>
          <cell r="C396" t="str">
            <v>PGO</v>
          </cell>
          <cell r="D396" t="str">
            <v>No</v>
          </cell>
          <cell r="E396" t="str">
            <v>NP-53.9 - Small Value Procurement</v>
          </cell>
          <cell r="F396" t="str">
            <v>N/A</v>
          </cell>
          <cell r="G396">
            <v>45384</v>
          </cell>
          <cell r="H396">
            <v>0</v>
          </cell>
          <cell r="I396" t="str">
            <v>N/A</v>
          </cell>
          <cell r="J396">
            <v>45390</v>
          </cell>
          <cell r="K396">
            <v>45390</v>
          </cell>
          <cell r="L396">
            <v>0</v>
          </cell>
          <cell r="M396" t="str">
            <v>N/A</v>
          </cell>
          <cell r="N396" t="str">
            <v>N/A</v>
          </cell>
          <cell r="O396">
            <v>45630</v>
          </cell>
          <cell r="P396">
            <v>0</v>
          </cell>
          <cell r="Q396">
            <v>0</v>
          </cell>
          <cell r="R396">
            <v>0</v>
          </cell>
          <cell r="S396">
            <v>45394</v>
          </cell>
          <cell r="T396">
            <v>45405</v>
          </cell>
          <cell r="U396">
            <v>0</v>
          </cell>
          <cell r="V396">
            <v>0</v>
          </cell>
          <cell r="W396">
            <v>0</v>
          </cell>
          <cell r="X396" t="e">
            <v>#N/A</v>
          </cell>
          <cell r="Y396">
            <v>0</v>
          </cell>
          <cell r="Z396">
            <v>0</v>
          </cell>
          <cell r="AA396">
            <v>89960</v>
          </cell>
          <cell r="AB396">
            <v>0</v>
          </cell>
          <cell r="AC396">
            <v>89960</v>
          </cell>
          <cell r="AD396">
            <v>89960</v>
          </cell>
          <cell r="AE396">
            <v>0</v>
          </cell>
          <cell r="AF396">
            <v>89960</v>
          </cell>
          <cell r="AG396" t="str">
            <v>ENGR. MICHAEL C. SALARDA
MS. LEONARDA M. LATOR
MS. CARMENCITA VALDEZ
MS. SORAYA P. VERGARA</v>
          </cell>
          <cell r="AH396" t="str">
            <v>N/A</v>
          </cell>
          <cell r="AI396" t="str">
            <v>N/A</v>
          </cell>
          <cell r="AJ396" t="str">
            <v>N/A</v>
          </cell>
          <cell r="AK396" t="str">
            <v>N/A</v>
          </cell>
          <cell r="AL396" t="str">
            <v>N/A</v>
          </cell>
          <cell r="AM396" t="str">
            <v>N/A</v>
          </cell>
          <cell r="AN396">
            <v>0</v>
          </cell>
          <cell r="AO396">
            <v>0</v>
          </cell>
        </row>
        <row r="397">
          <cell r="A397" t="str">
            <v>24-C1101</v>
          </cell>
          <cell r="B397" t="str">
            <v>SPAREPARTS (LIGHT VEHICLES)</v>
          </cell>
          <cell r="C397" t="str">
            <v>PAGRO</v>
          </cell>
          <cell r="D397" t="str">
            <v>No</v>
          </cell>
          <cell r="E397" t="str">
            <v>NP-53.9 - Small Value Procurement</v>
          </cell>
          <cell r="F397" t="str">
            <v>N/A</v>
          </cell>
          <cell r="G397">
            <v>45376</v>
          </cell>
          <cell r="H397">
            <v>0</v>
          </cell>
          <cell r="I397" t="str">
            <v>N/A</v>
          </cell>
          <cell r="J397">
            <v>45390</v>
          </cell>
          <cell r="K397">
            <v>45390</v>
          </cell>
          <cell r="L397">
            <v>0</v>
          </cell>
          <cell r="M397" t="str">
            <v>N/A</v>
          </cell>
          <cell r="N397" t="str">
            <v>N/A</v>
          </cell>
          <cell r="O397">
            <v>45630</v>
          </cell>
          <cell r="P397">
            <v>0</v>
          </cell>
          <cell r="Q397">
            <v>0</v>
          </cell>
          <cell r="R397">
            <v>0</v>
          </cell>
          <cell r="S397" t="str">
            <v>N/A</v>
          </cell>
          <cell r="T397">
            <v>45405</v>
          </cell>
          <cell r="U397">
            <v>0</v>
          </cell>
          <cell r="V397">
            <v>0</v>
          </cell>
          <cell r="W397">
            <v>0</v>
          </cell>
          <cell r="X397">
            <v>45428</v>
          </cell>
          <cell r="Y397">
            <v>0</v>
          </cell>
          <cell r="Z397">
            <v>0</v>
          </cell>
          <cell r="AA397">
            <v>29760.89</v>
          </cell>
          <cell r="AB397">
            <v>0</v>
          </cell>
          <cell r="AC397">
            <v>29760.89</v>
          </cell>
          <cell r="AD397">
            <v>25730</v>
          </cell>
          <cell r="AE397">
            <v>0</v>
          </cell>
          <cell r="AF397">
            <v>25730</v>
          </cell>
          <cell r="AG397" t="str">
            <v>ENGR. MICHAEL C. SALARDA
MS. LEONARDA M. LATOR
MS. CARMENCITA VALDEZ
MS. SORAYA P. VERGARA</v>
          </cell>
          <cell r="AH397" t="str">
            <v>N/A</v>
          </cell>
          <cell r="AI397" t="str">
            <v>N/A</v>
          </cell>
          <cell r="AJ397" t="str">
            <v>N/A</v>
          </cell>
          <cell r="AK397" t="str">
            <v>N/A</v>
          </cell>
          <cell r="AL397" t="str">
            <v>N/A</v>
          </cell>
          <cell r="AM397" t="str">
            <v>N/A</v>
          </cell>
          <cell r="AN397">
            <v>0</v>
          </cell>
          <cell r="AO397">
            <v>0</v>
          </cell>
        </row>
        <row r="398">
          <cell r="A398" t="str">
            <v>24-C1122</v>
          </cell>
          <cell r="B398" t="str">
            <v>MEDALS &amp; PLAQUES</v>
          </cell>
          <cell r="C398" t="str">
            <v>PSWDO</v>
          </cell>
          <cell r="D398" t="str">
            <v>No</v>
          </cell>
          <cell r="E398" t="str">
            <v>NP-53.9 - Small Value Procurement</v>
          </cell>
          <cell r="F398" t="str">
            <v>N/A</v>
          </cell>
          <cell r="G398">
            <v>45376</v>
          </cell>
          <cell r="H398">
            <v>0</v>
          </cell>
          <cell r="I398" t="str">
            <v>N/A</v>
          </cell>
          <cell r="J398">
            <v>45390</v>
          </cell>
          <cell r="K398">
            <v>45390</v>
          </cell>
          <cell r="L398">
            <v>0</v>
          </cell>
          <cell r="M398" t="str">
            <v>N/A</v>
          </cell>
          <cell r="N398" t="str">
            <v>N/A</v>
          </cell>
          <cell r="O398">
            <v>45630</v>
          </cell>
          <cell r="P398">
            <v>0</v>
          </cell>
          <cell r="Q398">
            <v>0</v>
          </cell>
          <cell r="R398">
            <v>0</v>
          </cell>
          <cell r="S398">
            <v>45398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45462</v>
          </cell>
          <cell r="Y398">
            <v>0</v>
          </cell>
          <cell r="Z398">
            <v>0</v>
          </cell>
          <cell r="AA398">
            <v>68058</v>
          </cell>
          <cell r="AB398">
            <v>0</v>
          </cell>
          <cell r="AC398">
            <v>68058</v>
          </cell>
          <cell r="AD398">
            <v>66948</v>
          </cell>
          <cell r="AE398">
            <v>0</v>
          </cell>
          <cell r="AF398">
            <v>66948</v>
          </cell>
          <cell r="AG398" t="str">
            <v>ENGR. MICHAEL C. SALARDA
MS. LEONARDA M. LATOR
MS. CARMENCITA VALDEZ
MS. SORAYA P. VERGARA</v>
          </cell>
          <cell r="AH398" t="str">
            <v>N/A</v>
          </cell>
          <cell r="AI398" t="str">
            <v>N/A</v>
          </cell>
          <cell r="AJ398" t="str">
            <v>N/A</v>
          </cell>
          <cell r="AK398" t="str">
            <v>N/A</v>
          </cell>
          <cell r="AL398" t="str">
            <v>N/A</v>
          </cell>
          <cell r="AM398" t="str">
            <v>N/A</v>
          </cell>
          <cell r="AN398">
            <v>0</v>
          </cell>
          <cell r="AO398">
            <v>0</v>
          </cell>
        </row>
        <row r="399">
          <cell r="A399" t="str">
            <v>24-1568</v>
          </cell>
          <cell r="B399" t="str">
            <v>SPAREPARTS (LIGHT VEHICLES)</v>
          </cell>
          <cell r="C399" t="str">
            <v>PGSO</v>
          </cell>
          <cell r="D399" t="str">
            <v>No</v>
          </cell>
          <cell r="E399" t="str">
            <v>NP-53.9 - Small Value Procurement</v>
          </cell>
          <cell r="F399">
            <v>45370</v>
          </cell>
          <cell r="G399">
            <v>45376</v>
          </cell>
          <cell r="H399">
            <v>0</v>
          </cell>
          <cell r="I399" t="str">
            <v>N/A</v>
          </cell>
          <cell r="J399">
            <v>45390</v>
          </cell>
          <cell r="K399">
            <v>45390</v>
          </cell>
          <cell r="L399">
            <v>0</v>
          </cell>
          <cell r="M399" t="str">
            <v>N/A</v>
          </cell>
          <cell r="N399" t="str">
            <v>N/A</v>
          </cell>
          <cell r="O399">
            <v>45630</v>
          </cell>
          <cell r="P399">
            <v>0</v>
          </cell>
          <cell r="Q399">
            <v>0</v>
          </cell>
          <cell r="R399">
            <v>0</v>
          </cell>
          <cell r="S399" t="str">
            <v>N/A</v>
          </cell>
          <cell r="T399">
            <v>45405</v>
          </cell>
          <cell r="U399">
            <v>0</v>
          </cell>
          <cell r="V399">
            <v>0</v>
          </cell>
          <cell r="W399">
            <v>0</v>
          </cell>
          <cell r="X399" t="e">
            <v>#N/A</v>
          </cell>
          <cell r="Y399">
            <v>0</v>
          </cell>
          <cell r="Z399">
            <v>0</v>
          </cell>
          <cell r="AA399">
            <v>9650</v>
          </cell>
          <cell r="AB399">
            <v>0</v>
          </cell>
          <cell r="AC399">
            <v>9650</v>
          </cell>
          <cell r="AD399">
            <v>9500</v>
          </cell>
          <cell r="AE399">
            <v>0</v>
          </cell>
          <cell r="AF399">
            <v>9500</v>
          </cell>
          <cell r="AG399" t="str">
            <v>ENGR. MICHAEL C. SALARDA
MS. LEONARDA M. LATOR
MS. CARMENCITA VALDEZ
MS. SORAYA P. VERGARA</v>
          </cell>
          <cell r="AH399" t="str">
            <v>N/A</v>
          </cell>
          <cell r="AI399" t="str">
            <v>N/A</v>
          </cell>
          <cell r="AJ399" t="str">
            <v>N/A</v>
          </cell>
          <cell r="AK399" t="str">
            <v>N/A</v>
          </cell>
          <cell r="AL399" t="str">
            <v>N/A</v>
          </cell>
          <cell r="AM399" t="str">
            <v>N/A</v>
          </cell>
          <cell r="AN399">
            <v>0</v>
          </cell>
          <cell r="AO399">
            <v>0</v>
          </cell>
        </row>
        <row r="400">
          <cell r="A400" t="str">
            <v>24-1636</v>
          </cell>
          <cell r="B400" t="str">
            <v>FOOD/CATERING SERVICES</v>
          </cell>
          <cell r="C400" t="str">
            <v>PGO</v>
          </cell>
          <cell r="D400" t="str">
            <v>No</v>
          </cell>
          <cell r="E400" t="str">
            <v>NP-53.9 - Small Value Procurement</v>
          </cell>
          <cell r="F400" t="str">
            <v>N/A</v>
          </cell>
          <cell r="G400">
            <v>45384</v>
          </cell>
          <cell r="H400">
            <v>0</v>
          </cell>
          <cell r="I400" t="str">
            <v>N/A</v>
          </cell>
          <cell r="J400">
            <v>45390</v>
          </cell>
          <cell r="K400">
            <v>45390</v>
          </cell>
          <cell r="L400">
            <v>0</v>
          </cell>
          <cell r="M400" t="str">
            <v>N/A</v>
          </cell>
          <cell r="N400" t="str">
            <v>N/A</v>
          </cell>
          <cell r="O400">
            <v>45630</v>
          </cell>
          <cell r="P400">
            <v>0</v>
          </cell>
          <cell r="Q400">
            <v>0</v>
          </cell>
          <cell r="R400">
            <v>0</v>
          </cell>
          <cell r="S400">
            <v>45394</v>
          </cell>
          <cell r="T400">
            <v>45405</v>
          </cell>
          <cell r="U400">
            <v>0</v>
          </cell>
          <cell r="V400">
            <v>0</v>
          </cell>
          <cell r="W400">
            <v>0</v>
          </cell>
          <cell r="X400" t="e">
            <v>#N/A</v>
          </cell>
          <cell r="Y400">
            <v>0</v>
          </cell>
          <cell r="Z400">
            <v>0</v>
          </cell>
          <cell r="AA400">
            <v>74460</v>
          </cell>
          <cell r="AB400">
            <v>0</v>
          </cell>
          <cell r="AC400">
            <v>74460</v>
          </cell>
          <cell r="AD400">
            <v>73584</v>
          </cell>
          <cell r="AE400">
            <v>0</v>
          </cell>
          <cell r="AF400">
            <v>73584</v>
          </cell>
          <cell r="AG400" t="str">
            <v>ENGR. MICHAEL C. SALARDA
MS. LEONARDA M. LATOR
MS. CARMENCITA VALDEZ
MS. SORAYA P. VERGARA</v>
          </cell>
          <cell r="AH400" t="str">
            <v>N/A</v>
          </cell>
          <cell r="AI400" t="str">
            <v>N/A</v>
          </cell>
          <cell r="AJ400" t="str">
            <v>N/A</v>
          </cell>
          <cell r="AK400" t="str">
            <v>N/A</v>
          </cell>
          <cell r="AL400" t="str">
            <v>N/A</v>
          </cell>
          <cell r="AM400" t="str">
            <v>N/A</v>
          </cell>
          <cell r="AN400">
            <v>0</v>
          </cell>
          <cell r="AO400">
            <v>0</v>
          </cell>
        </row>
        <row r="401">
          <cell r="A401" t="str">
            <v>24-1566</v>
          </cell>
          <cell r="B401" t="str">
            <v>SPAREPARTS (LIGHT VEHICLES)</v>
          </cell>
          <cell r="C401" t="str">
            <v>PGSO</v>
          </cell>
          <cell r="D401" t="str">
            <v>No</v>
          </cell>
          <cell r="E401" t="str">
            <v>NP-53.9 - Small Value Procurement</v>
          </cell>
          <cell r="F401">
            <v>45370</v>
          </cell>
          <cell r="G401">
            <v>45376</v>
          </cell>
          <cell r="H401">
            <v>0</v>
          </cell>
          <cell r="I401" t="str">
            <v>N/A</v>
          </cell>
          <cell r="J401">
            <v>45390</v>
          </cell>
          <cell r="K401">
            <v>45390</v>
          </cell>
          <cell r="L401">
            <v>0</v>
          </cell>
          <cell r="M401" t="str">
            <v>N/A</v>
          </cell>
          <cell r="N401" t="str">
            <v>N/A</v>
          </cell>
          <cell r="O401">
            <v>45630</v>
          </cell>
          <cell r="P401">
            <v>0</v>
          </cell>
          <cell r="Q401">
            <v>0</v>
          </cell>
          <cell r="R401">
            <v>0</v>
          </cell>
          <cell r="S401">
            <v>45398</v>
          </cell>
          <cell r="T401">
            <v>45405</v>
          </cell>
          <cell r="U401">
            <v>0</v>
          </cell>
          <cell r="V401">
            <v>0</v>
          </cell>
          <cell r="W401">
            <v>0</v>
          </cell>
          <cell r="X401" t="e">
            <v>#N/A</v>
          </cell>
          <cell r="Y401">
            <v>0</v>
          </cell>
          <cell r="Z401">
            <v>0</v>
          </cell>
          <cell r="AA401">
            <v>58000</v>
          </cell>
          <cell r="AB401">
            <v>0</v>
          </cell>
          <cell r="AC401">
            <v>58000</v>
          </cell>
          <cell r="AD401">
            <v>56800</v>
          </cell>
          <cell r="AE401">
            <v>0</v>
          </cell>
          <cell r="AF401">
            <v>56800</v>
          </cell>
          <cell r="AG401" t="str">
            <v>ENGR. MICHAEL C. SALARDA
MS. LEONARDA M. LATOR
MS. CARMENCITA VALDEZ
MS. SORAYA P. VERGARA</v>
          </cell>
          <cell r="AH401" t="str">
            <v>N/A</v>
          </cell>
          <cell r="AI401" t="str">
            <v>N/A</v>
          </cell>
          <cell r="AJ401" t="str">
            <v>N/A</v>
          </cell>
          <cell r="AK401" t="str">
            <v>N/A</v>
          </cell>
          <cell r="AL401" t="str">
            <v>N/A</v>
          </cell>
          <cell r="AM401" t="str">
            <v>N/A</v>
          </cell>
          <cell r="AN401">
            <v>0</v>
          </cell>
          <cell r="AO401">
            <v>0</v>
          </cell>
        </row>
        <row r="402">
          <cell r="A402" t="str">
            <v>24-C1147</v>
          </cell>
          <cell r="B402" t="str">
            <v>MEDALS, PLAQUE, TROPHY &amp; TOKEN</v>
          </cell>
          <cell r="C402" t="str">
            <v>PGO</v>
          </cell>
          <cell r="D402" t="str">
            <v>No</v>
          </cell>
          <cell r="E402" t="str">
            <v>NP-53.9 - Small Value Procurement</v>
          </cell>
          <cell r="F402" t="str">
            <v>N/A</v>
          </cell>
          <cell r="G402">
            <v>45384</v>
          </cell>
          <cell r="H402">
            <v>0</v>
          </cell>
          <cell r="I402" t="str">
            <v>N/A</v>
          </cell>
          <cell r="J402">
            <v>45390</v>
          </cell>
          <cell r="K402">
            <v>45390</v>
          </cell>
          <cell r="L402">
            <v>0</v>
          </cell>
          <cell r="M402" t="str">
            <v>N/A</v>
          </cell>
          <cell r="N402" t="str">
            <v>N/A</v>
          </cell>
          <cell r="O402">
            <v>45630</v>
          </cell>
          <cell r="P402">
            <v>0</v>
          </cell>
          <cell r="Q402">
            <v>0</v>
          </cell>
          <cell r="R402">
            <v>0</v>
          </cell>
          <cell r="S402">
            <v>45398</v>
          </cell>
          <cell r="T402">
            <v>45405</v>
          </cell>
          <cell r="U402">
            <v>0</v>
          </cell>
          <cell r="V402">
            <v>0</v>
          </cell>
          <cell r="W402">
            <v>0</v>
          </cell>
          <cell r="X402">
            <v>45456</v>
          </cell>
          <cell r="Y402">
            <v>0</v>
          </cell>
          <cell r="Z402">
            <v>0</v>
          </cell>
          <cell r="AA402">
            <v>83875</v>
          </cell>
          <cell r="AB402">
            <v>0</v>
          </cell>
          <cell r="AC402">
            <v>83875</v>
          </cell>
          <cell r="AD402">
            <v>83575</v>
          </cell>
          <cell r="AE402">
            <v>0</v>
          </cell>
          <cell r="AF402">
            <v>83575</v>
          </cell>
          <cell r="AG402" t="str">
            <v>ENGR. MICHAEL C. SALARDA
MS. LEONARDA M. LATOR
MS. CARMENCITA VALDEZ
MS. SORAYA P. VERGARA</v>
          </cell>
          <cell r="AH402" t="str">
            <v>N/A</v>
          </cell>
          <cell r="AI402" t="str">
            <v>N/A</v>
          </cell>
          <cell r="AJ402" t="str">
            <v>N/A</v>
          </cell>
          <cell r="AK402" t="str">
            <v>N/A</v>
          </cell>
          <cell r="AL402" t="str">
            <v>N/A</v>
          </cell>
          <cell r="AM402" t="str">
            <v>N/A</v>
          </cell>
          <cell r="AN402">
            <v>0</v>
          </cell>
          <cell r="AO402">
            <v>0</v>
          </cell>
        </row>
        <row r="403">
          <cell r="A403" t="str">
            <v>24-1158</v>
          </cell>
          <cell r="B403" t="str">
            <v>FOOD/CATERING SERVICES</v>
          </cell>
          <cell r="C403" t="str">
            <v>PGO</v>
          </cell>
          <cell r="D403" t="str">
            <v>No</v>
          </cell>
          <cell r="E403" t="str">
            <v>NP-53.9 - Small Value Procurement</v>
          </cell>
          <cell r="F403">
            <v>45373</v>
          </cell>
          <cell r="G403">
            <v>45384</v>
          </cell>
          <cell r="H403">
            <v>0</v>
          </cell>
          <cell r="I403" t="str">
            <v>N/A</v>
          </cell>
          <cell r="J403">
            <v>45390</v>
          </cell>
          <cell r="K403">
            <v>45390</v>
          </cell>
          <cell r="L403">
            <v>0</v>
          </cell>
          <cell r="M403" t="str">
            <v>N/A</v>
          </cell>
          <cell r="N403" t="str">
            <v>N/A</v>
          </cell>
          <cell r="O403">
            <v>45630</v>
          </cell>
          <cell r="P403">
            <v>0</v>
          </cell>
          <cell r="Q403">
            <v>0</v>
          </cell>
          <cell r="R403">
            <v>0</v>
          </cell>
          <cell r="S403">
            <v>45398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 t="e">
            <v>#N/A</v>
          </cell>
          <cell r="Y403">
            <v>0</v>
          </cell>
          <cell r="Z403">
            <v>0</v>
          </cell>
          <cell r="AA403">
            <v>479000</v>
          </cell>
          <cell r="AB403">
            <v>0</v>
          </cell>
          <cell r="AC403">
            <v>479000</v>
          </cell>
          <cell r="AD403">
            <v>474400</v>
          </cell>
          <cell r="AE403">
            <v>0</v>
          </cell>
          <cell r="AF403">
            <v>474400</v>
          </cell>
          <cell r="AG403" t="str">
            <v>ENGR. MICHAEL C. SALARDA
MS. LEONARDA M. LATOR
MS. CARMENCITA VALDEZ
MS. SORAYA P. VERGARA</v>
          </cell>
          <cell r="AH403" t="str">
            <v>N/A</v>
          </cell>
          <cell r="AI403" t="str">
            <v>N/A</v>
          </cell>
          <cell r="AJ403" t="str">
            <v>N/A</v>
          </cell>
          <cell r="AK403" t="str">
            <v>N/A</v>
          </cell>
          <cell r="AL403" t="str">
            <v>N/A</v>
          </cell>
          <cell r="AM403" t="str">
            <v>N/A</v>
          </cell>
          <cell r="AN403">
            <v>0</v>
          </cell>
          <cell r="AO403">
            <v>0</v>
          </cell>
        </row>
        <row r="404">
          <cell r="A404" t="str">
            <v>24-C1202</v>
          </cell>
          <cell r="B404" t="str">
            <v>SPAREPARTS (HEAVY EQUIPT)</v>
          </cell>
          <cell r="C404" t="str">
            <v>PEO-Motorpool</v>
          </cell>
          <cell r="D404" t="str">
            <v>No</v>
          </cell>
          <cell r="E404" t="str">
            <v>NP-53.9 - Small Value Procurement</v>
          </cell>
          <cell r="F404">
            <v>45373</v>
          </cell>
          <cell r="G404">
            <v>45384</v>
          </cell>
          <cell r="H404">
            <v>0</v>
          </cell>
          <cell r="I404" t="str">
            <v>N/A</v>
          </cell>
          <cell r="J404">
            <v>45390</v>
          </cell>
          <cell r="K404">
            <v>45390</v>
          </cell>
          <cell r="L404">
            <v>0</v>
          </cell>
          <cell r="M404" t="str">
            <v>N/A</v>
          </cell>
          <cell r="N404" t="str">
            <v>N/A</v>
          </cell>
          <cell r="O404">
            <v>45630</v>
          </cell>
          <cell r="P404">
            <v>0</v>
          </cell>
          <cell r="Q404">
            <v>0</v>
          </cell>
          <cell r="R404">
            <v>0</v>
          </cell>
          <cell r="S404">
            <v>45398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45453</v>
          </cell>
          <cell r="Y404">
            <v>0</v>
          </cell>
          <cell r="Z404">
            <v>0</v>
          </cell>
          <cell r="AA404">
            <v>250445</v>
          </cell>
          <cell r="AB404">
            <v>0</v>
          </cell>
          <cell r="AC404">
            <v>250445</v>
          </cell>
          <cell r="AD404">
            <v>239525</v>
          </cell>
          <cell r="AE404">
            <v>0</v>
          </cell>
          <cell r="AF404">
            <v>239525</v>
          </cell>
          <cell r="AG404" t="str">
            <v>ENGR. MICHAEL C. SALARDA
MS. LEONARDA M. LATOR
MS. CARMENCITA VALDEZ
MS. SORAYA P. VERGARA</v>
          </cell>
          <cell r="AH404" t="str">
            <v>N/A</v>
          </cell>
          <cell r="AI404" t="str">
            <v>N/A</v>
          </cell>
          <cell r="AJ404" t="str">
            <v>N/A</v>
          </cell>
          <cell r="AK404" t="str">
            <v>N/A</v>
          </cell>
          <cell r="AL404" t="str">
            <v>N/A</v>
          </cell>
          <cell r="AM404" t="str">
            <v>N/A</v>
          </cell>
          <cell r="AN404">
            <v>0</v>
          </cell>
          <cell r="AO404">
            <v>0</v>
          </cell>
        </row>
        <row r="405">
          <cell r="A405" t="str">
            <v>24-2322</v>
          </cell>
          <cell r="B405" t="str">
            <v>FOOD SUPPLIES</v>
          </cell>
          <cell r="C405" t="str">
            <v>PGO</v>
          </cell>
          <cell r="D405" t="str">
            <v>No</v>
          </cell>
          <cell r="E405" t="str">
            <v>NP-53.9 - Small Value Procurement</v>
          </cell>
          <cell r="F405">
            <v>45384</v>
          </cell>
          <cell r="G405">
            <v>45386</v>
          </cell>
          <cell r="H405">
            <v>0</v>
          </cell>
          <cell r="I405" t="str">
            <v>N/A</v>
          </cell>
          <cell r="J405">
            <v>45390</v>
          </cell>
          <cell r="K405">
            <v>45390</v>
          </cell>
          <cell r="L405">
            <v>0</v>
          </cell>
          <cell r="M405" t="str">
            <v>N/A</v>
          </cell>
          <cell r="N405" t="str">
            <v>N/A</v>
          </cell>
          <cell r="O405">
            <v>45390</v>
          </cell>
          <cell r="P405">
            <v>0</v>
          </cell>
          <cell r="Q405">
            <v>0</v>
          </cell>
          <cell r="R405">
            <v>0</v>
          </cell>
          <cell r="S405">
            <v>45390</v>
          </cell>
          <cell r="T405">
            <v>45390</v>
          </cell>
          <cell r="U405">
            <v>45390</v>
          </cell>
          <cell r="V405">
            <v>0</v>
          </cell>
          <cell r="W405">
            <v>0</v>
          </cell>
          <cell r="X405" t="e">
            <v>#N/A</v>
          </cell>
          <cell r="Y405">
            <v>0</v>
          </cell>
          <cell r="Z405">
            <v>0</v>
          </cell>
          <cell r="AA405">
            <v>288600</v>
          </cell>
          <cell r="AB405">
            <v>0</v>
          </cell>
          <cell r="AC405">
            <v>288600</v>
          </cell>
          <cell r="AD405">
            <v>277500</v>
          </cell>
          <cell r="AE405">
            <v>0</v>
          </cell>
          <cell r="AF405">
            <v>277500</v>
          </cell>
          <cell r="AG405" t="str">
            <v>ENGR. MICHAEL C. SALARDA
MS. LEONARDA M. LATOR
MS. CARMENCITA VALDEZ
MS. SORAYA P. VERGARA</v>
          </cell>
          <cell r="AH405" t="str">
            <v>N/A</v>
          </cell>
          <cell r="AI405" t="str">
            <v>N/A</v>
          </cell>
          <cell r="AJ405" t="str">
            <v>N/A</v>
          </cell>
          <cell r="AK405" t="str">
            <v>N/A</v>
          </cell>
          <cell r="AL405" t="str">
            <v>N/A</v>
          </cell>
          <cell r="AM405" t="str">
            <v>N/A</v>
          </cell>
          <cell r="AN405">
            <v>0</v>
          </cell>
          <cell r="AO405">
            <v>0</v>
          </cell>
        </row>
        <row r="406">
          <cell r="A406" t="str">
            <v>24-1881</v>
          </cell>
          <cell r="B406" t="str">
            <v>FOOD/CATERING SERVICES</v>
          </cell>
          <cell r="C406" t="str">
            <v>PAO</v>
          </cell>
          <cell r="D406" t="str">
            <v>No</v>
          </cell>
          <cell r="E406" t="str">
            <v>NP-53.9 - Small Value Procurement</v>
          </cell>
          <cell r="F406">
            <v>45370</v>
          </cell>
          <cell r="G406">
            <v>45376</v>
          </cell>
          <cell r="H406">
            <v>0</v>
          </cell>
          <cell r="I406" t="str">
            <v>N/A</v>
          </cell>
          <cell r="J406">
            <v>45390</v>
          </cell>
          <cell r="K406">
            <v>45390</v>
          </cell>
          <cell r="L406">
            <v>0</v>
          </cell>
          <cell r="M406" t="str">
            <v>N/A</v>
          </cell>
          <cell r="N406" t="str">
            <v>N/A</v>
          </cell>
          <cell r="O406">
            <v>45630</v>
          </cell>
          <cell r="P406">
            <v>0</v>
          </cell>
          <cell r="Q406">
            <v>0</v>
          </cell>
          <cell r="R406">
            <v>0</v>
          </cell>
          <cell r="S406">
            <v>45394</v>
          </cell>
          <cell r="T406">
            <v>45406</v>
          </cell>
          <cell r="U406">
            <v>0</v>
          </cell>
          <cell r="V406">
            <v>0</v>
          </cell>
          <cell r="W406">
            <v>0</v>
          </cell>
          <cell r="X406" t="e">
            <v>#N/A</v>
          </cell>
          <cell r="Y406">
            <v>0</v>
          </cell>
          <cell r="Z406">
            <v>0</v>
          </cell>
          <cell r="AA406">
            <v>285000</v>
          </cell>
          <cell r="AB406">
            <v>0</v>
          </cell>
          <cell r="AC406">
            <v>285000</v>
          </cell>
          <cell r="AD406">
            <v>285000</v>
          </cell>
          <cell r="AE406">
            <v>0</v>
          </cell>
          <cell r="AF406">
            <v>285000</v>
          </cell>
          <cell r="AG406" t="str">
            <v>ENGR. MICHAEL C. SALARDA
MS. LEONARDA M. LATOR
MS. CARMENCITA VALDEZ
MS. SORAYA P. VERGARA</v>
          </cell>
          <cell r="AH406" t="str">
            <v>N/A</v>
          </cell>
          <cell r="AI406" t="str">
            <v>N/A</v>
          </cell>
          <cell r="AJ406" t="str">
            <v>N/A</v>
          </cell>
          <cell r="AK406" t="str">
            <v>N/A</v>
          </cell>
          <cell r="AL406" t="str">
            <v>N/A</v>
          </cell>
          <cell r="AM406" t="str">
            <v>N/A</v>
          </cell>
          <cell r="AN406">
            <v>0</v>
          </cell>
          <cell r="AO406">
            <v>0</v>
          </cell>
        </row>
        <row r="407">
          <cell r="A407" t="str">
            <v>24-0771</v>
          </cell>
          <cell r="B407" t="str">
            <v>ACETYLENE REFILL AND INDUSTRIAL OXYGEN REFILL</v>
          </cell>
          <cell r="C407" t="str">
            <v>PDRRMO</v>
          </cell>
          <cell r="D407" t="str">
            <v>No</v>
          </cell>
          <cell r="E407" t="str">
            <v>Direct Contracting</v>
          </cell>
          <cell r="F407">
            <v>45370</v>
          </cell>
          <cell r="G407">
            <v>45376</v>
          </cell>
          <cell r="H407">
            <v>0</v>
          </cell>
          <cell r="I407" t="str">
            <v>N/A</v>
          </cell>
          <cell r="J407">
            <v>45398</v>
          </cell>
          <cell r="K407">
            <v>45398</v>
          </cell>
          <cell r="L407">
            <v>0</v>
          </cell>
          <cell r="M407" t="str">
            <v>N/A</v>
          </cell>
          <cell r="N407" t="str">
            <v>N/A</v>
          </cell>
          <cell r="O407">
            <v>45405</v>
          </cell>
          <cell r="P407">
            <v>0</v>
          </cell>
          <cell r="Q407">
            <v>0</v>
          </cell>
          <cell r="R407">
            <v>0</v>
          </cell>
          <cell r="S407" t="str">
            <v>N/A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 t="e">
            <v>#N/A</v>
          </cell>
          <cell r="Y407">
            <v>0</v>
          </cell>
          <cell r="Z407">
            <v>0</v>
          </cell>
          <cell r="AA407">
            <v>22275</v>
          </cell>
          <cell r="AB407">
            <v>0</v>
          </cell>
          <cell r="AC407">
            <v>22275</v>
          </cell>
          <cell r="AD407">
            <v>11425</v>
          </cell>
          <cell r="AE407">
            <v>0</v>
          </cell>
          <cell r="AF407">
            <v>11425</v>
          </cell>
          <cell r="AG407" t="str">
            <v>ENGR. MICHAEL C. SALARDA
MS. LEONARDA M. LATOR
MS. CARMENCITA VALDEZ
MS. SORAYA P. VERGARA</v>
          </cell>
          <cell r="AH407" t="str">
            <v>N/A</v>
          </cell>
          <cell r="AI407" t="str">
            <v>N/A</v>
          </cell>
          <cell r="AJ407" t="str">
            <v>N/A</v>
          </cell>
          <cell r="AK407" t="str">
            <v>N/A</v>
          </cell>
          <cell r="AL407" t="str">
            <v>N/A</v>
          </cell>
          <cell r="AM407" t="str">
            <v>N/A</v>
          </cell>
          <cell r="AN407">
            <v>0</v>
          </cell>
          <cell r="AO407">
            <v>0</v>
          </cell>
        </row>
        <row r="408">
          <cell r="A408" t="str">
            <v>24-C1174</v>
          </cell>
          <cell r="B408" t="str">
            <v>ACETYLENE REFILL AND INDUSTRIAL OXYGEN REFILL</v>
          </cell>
          <cell r="C408" t="str">
            <v>PAGRO</v>
          </cell>
          <cell r="D408" t="str">
            <v>No</v>
          </cell>
          <cell r="E408" t="str">
            <v>Direct Contracting</v>
          </cell>
          <cell r="F408">
            <v>45373</v>
          </cell>
          <cell r="G408">
            <v>45384</v>
          </cell>
          <cell r="H408">
            <v>0</v>
          </cell>
          <cell r="I408" t="str">
            <v>N/A</v>
          </cell>
          <cell r="J408">
            <v>45398</v>
          </cell>
          <cell r="K408">
            <v>45398</v>
          </cell>
          <cell r="L408">
            <v>0</v>
          </cell>
          <cell r="M408" t="str">
            <v>N/A</v>
          </cell>
          <cell r="N408" t="str">
            <v>N/A</v>
          </cell>
          <cell r="O408">
            <v>45405</v>
          </cell>
          <cell r="P408">
            <v>0</v>
          </cell>
          <cell r="Q408">
            <v>0</v>
          </cell>
          <cell r="R408">
            <v>0</v>
          </cell>
          <cell r="S408" t="str">
            <v>N/A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45462</v>
          </cell>
          <cell r="Y408">
            <v>0</v>
          </cell>
          <cell r="Z408">
            <v>0</v>
          </cell>
          <cell r="AA408">
            <v>11640</v>
          </cell>
          <cell r="AB408">
            <v>0</v>
          </cell>
          <cell r="AC408">
            <v>11640</v>
          </cell>
          <cell r="AD408">
            <v>9265</v>
          </cell>
          <cell r="AE408">
            <v>0</v>
          </cell>
          <cell r="AF408">
            <v>9265</v>
          </cell>
          <cell r="AG408" t="str">
            <v>ENGR. MICHAEL C. SALARDA
MS. LEONARDA M. LATOR
MS. CARMENCITA VALDEZ
MS. SORAYA P. VERGARA</v>
          </cell>
          <cell r="AH408" t="str">
            <v>N/A</v>
          </cell>
          <cell r="AI408" t="str">
            <v>N/A</v>
          </cell>
          <cell r="AJ408" t="str">
            <v>N/A</v>
          </cell>
          <cell r="AK408" t="str">
            <v>N/A</v>
          </cell>
          <cell r="AL408" t="str">
            <v>N/A</v>
          </cell>
          <cell r="AM408" t="str">
            <v>N/A</v>
          </cell>
          <cell r="AN408">
            <v>0</v>
          </cell>
          <cell r="AO408">
            <v>0</v>
          </cell>
        </row>
        <row r="409">
          <cell r="A409" t="str">
            <v>24-C1299</v>
          </cell>
          <cell r="B409" t="str">
            <v>MEDICAL OXYGEN REFILL</v>
          </cell>
          <cell r="C409" t="str">
            <v>PEEMO</v>
          </cell>
          <cell r="D409" t="str">
            <v>No</v>
          </cell>
          <cell r="E409" t="str">
            <v>Direct Contracting</v>
          </cell>
          <cell r="F409" t="str">
            <v>N/A</v>
          </cell>
          <cell r="G409">
            <v>45385</v>
          </cell>
          <cell r="H409">
            <v>0</v>
          </cell>
          <cell r="I409" t="str">
            <v>N/A</v>
          </cell>
          <cell r="J409">
            <v>45398</v>
          </cell>
          <cell r="K409">
            <v>45398</v>
          </cell>
          <cell r="L409">
            <v>0</v>
          </cell>
          <cell r="M409" t="str">
            <v>N/A</v>
          </cell>
          <cell r="N409" t="str">
            <v>N/A</v>
          </cell>
          <cell r="O409">
            <v>45405</v>
          </cell>
          <cell r="P409">
            <v>0</v>
          </cell>
          <cell r="Q409">
            <v>0</v>
          </cell>
          <cell r="R409">
            <v>0</v>
          </cell>
          <cell r="S409" t="str">
            <v>N/A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2886000</v>
          </cell>
          <cell r="AB409">
            <v>0</v>
          </cell>
          <cell r="AC409">
            <v>2886000</v>
          </cell>
          <cell r="AD409">
            <v>2886000</v>
          </cell>
          <cell r="AE409">
            <v>0</v>
          </cell>
          <cell r="AF409">
            <v>2886000</v>
          </cell>
          <cell r="AG409" t="str">
            <v>ENGR. MICHAEL C. SALARDA
MS. LEONARDA M. LATOR
MS. CARMENCITA VALDEZ
MS. SORAYA P. VERGARA</v>
          </cell>
          <cell r="AH409" t="str">
            <v>N/A</v>
          </cell>
          <cell r="AI409" t="str">
            <v>N/A</v>
          </cell>
          <cell r="AJ409" t="str">
            <v>N/A</v>
          </cell>
          <cell r="AK409" t="str">
            <v>N/A</v>
          </cell>
          <cell r="AL409" t="str">
            <v>N/A</v>
          </cell>
          <cell r="AM409" t="str">
            <v>N/A</v>
          </cell>
          <cell r="AN409">
            <v>0</v>
          </cell>
          <cell r="AO409">
            <v>0</v>
          </cell>
        </row>
        <row r="410">
          <cell r="A410" t="str">
            <v>24-C1301</v>
          </cell>
          <cell r="B410" t="str">
            <v>EXPANDED NEWBORN SCREENING TEST</v>
          </cell>
          <cell r="C410" t="str">
            <v>PEEMO</v>
          </cell>
          <cell r="D410" t="str">
            <v>No</v>
          </cell>
          <cell r="E410" t="str">
            <v>Direct Contracting</v>
          </cell>
          <cell r="F410" t="str">
            <v>N/A</v>
          </cell>
          <cell r="G410">
            <v>45385</v>
          </cell>
          <cell r="H410">
            <v>0</v>
          </cell>
          <cell r="I410" t="str">
            <v>N/A</v>
          </cell>
          <cell r="J410">
            <v>45398</v>
          </cell>
          <cell r="K410">
            <v>45398</v>
          </cell>
          <cell r="L410">
            <v>0</v>
          </cell>
          <cell r="M410" t="str">
            <v>N/A</v>
          </cell>
          <cell r="N410" t="str">
            <v>N/A</v>
          </cell>
          <cell r="O410">
            <v>45405</v>
          </cell>
          <cell r="P410">
            <v>0</v>
          </cell>
          <cell r="Q410">
            <v>0</v>
          </cell>
          <cell r="R410">
            <v>0</v>
          </cell>
          <cell r="S410" t="str">
            <v>N/A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45461</v>
          </cell>
          <cell r="Y410">
            <v>0</v>
          </cell>
          <cell r="Z410">
            <v>0</v>
          </cell>
          <cell r="AA410">
            <v>4046000</v>
          </cell>
          <cell r="AB410">
            <v>0</v>
          </cell>
          <cell r="AC410">
            <v>4046000</v>
          </cell>
          <cell r="AD410">
            <v>4046000</v>
          </cell>
          <cell r="AE410">
            <v>0</v>
          </cell>
          <cell r="AF410">
            <v>4046000</v>
          </cell>
          <cell r="AG410" t="str">
            <v>ENGR. MICHAEL C. SALARDA
MS. LEONARDA M. LATOR
MS. CARMENCITA VALDEZ
MS. SORAYA P. VERGARA</v>
          </cell>
          <cell r="AH410" t="str">
            <v>N/A</v>
          </cell>
          <cell r="AI410" t="str">
            <v>N/A</v>
          </cell>
          <cell r="AJ410" t="str">
            <v>N/A</v>
          </cell>
          <cell r="AK410" t="str">
            <v>N/A</v>
          </cell>
          <cell r="AL410" t="str">
            <v>N/A</v>
          </cell>
          <cell r="AM410" t="str">
            <v>N/A</v>
          </cell>
          <cell r="AN410">
            <v>0</v>
          </cell>
          <cell r="AO410">
            <v>0</v>
          </cell>
        </row>
        <row r="411">
          <cell r="A411" t="str">
            <v>24-C1311</v>
          </cell>
          <cell r="B411" t="str">
            <v>HEMATOLOGY ANALYZER</v>
          </cell>
          <cell r="C411" t="str">
            <v>PEEMO</v>
          </cell>
          <cell r="D411" t="str">
            <v>No</v>
          </cell>
          <cell r="E411" t="str">
            <v>Direct Contracting</v>
          </cell>
          <cell r="F411" t="str">
            <v>N/A</v>
          </cell>
          <cell r="G411">
            <v>45385</v>
          </cell>
          <cell r="H411">
            <v>0</v>
          </cell>
          <cell r="I411" t="str">
            <v>N/A</v>
          </cell>
          <cell r="J411">
            <v>45398</v>
          </cell>
          <cell r="K411">
            <v>45398</v>
          </cell>
          <cell r="L411">
            <v>0</v>
          </cell>
          <cell r="M411" t="str">
            <v>N/A</v>
          </cell>
          <cell r="N411" t="str">
            <v>N/A</v>
          </cell>
          <cell r="O411">
            <v>45405</v>
          </cell>
          <cell r="P411">
            <v>0</v>
          </cell>
          <cell r="Q411">
            <v>0</v>
          </cell>
          <cell r="R411">
            <v>0</v>
          </cell>
          <cell r="S411" t="str">
            <v>N/A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45453</v>
          </cell>
          <cell r="Y411">
            <v>0</v>
          </cell>
          <cell r="Z411">
            <v>0</v>
          </cell>
          <cell r="AA411">
            <v>1102000</v>
          </cell>
          <cell r="AB411">
            <v>0</v>
          </cell>
          <cell r="AC411">
            <v>1102000</v>
          </cell>
          <cell r="AD411">
            <v>1102000</v>
          </cell>
          <cell r="AE411">
            <v>0</v>
          </cell>
          <cell r="AF411">
            <v>1102000</v>
          </cell>
          <cell r="AG411" t="str">
            <v>ENGR. MICHAEL C. SALARDA
MS. LEONARDA M. LATOR
MS. CARMENCITA VALDEZ
MS. SORAYA P. VERGARA</v>
          </cell>
          <cell r="AH411" t="str">
            <v>N/A</v>
          </cell>
          <cell r="AI411" t="str">
            <v>N/A</v>
          </cell>
          <cell r="AJ411" t="str">
            <v>N/A</v>
          </cell>
          <cell r="AK411" t="str">
            <v>N/A</v>
          </cell>
          <cell r="AL411" t="str">
            <v>N/A</v>
          </cell>
          <cell r="AM411" t="str">
            <v>N/A</v>
          </cell>
          <cell r="AN411">
            <v>0</v>
          </cell>
          <cell r="AO411">
            <v>0</v>
          </cell>
        </row>
        <row r="412">
          <cell r="A412" t="str">
            <v>24-C1309</v>
          </cell>
          <cell r="B412" t="str">
            <v>BLOOD UREA NITROGEN AND SERUM GLUTAMIC PYRUVIC TRANSAMINASE</v>
          </cell>
          <cell r="C412" t="str">
            <v>PEEMO</v>
          </cell>
          <cell r="D412" t="str">
            <v>No</v>
          </cell>
          <cell r="E412" t="str">
            <v>Direct Contracting</v>
          </cell>
          <cell r="F412" t="str">
            <v>N/A</v>
          </cell>
          <cell r="G412">
            <v>45385</v>
          </cell>
          <cell r="H412">
            <v>0</v>
          </cell>
          <cell r="I412" t="str">
            <v>N/A</v>
          </cell>
          <cell r="J412">
            <v>45398</v>
          </cell>
          <cell r="K412">
            <v>45398</v>
          </cell>
          <cell r="L412">
            <v>0</v>
          </cell>
          <cell r="M412" t="str">
            <v>N/A</v>
          </cell>
          <cell r="N412" t="str">
            <v>N/A</v>
          </cell>
          <cell r="O412">
            <v>45405</v>
          </cell>
          <cell r="P412">
            <v>0</v>
          </cell>
          <cell r="Q412">
            <v>0</v>
          </cell>
          <cell r="R412">
            <v>0</v>
          </cell>
          <cell r="S412" t="str">
            <v>N/A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45446</v>
          </cell>
          <cell r="Y412">
            <v>0</v>
          </cell>
          <cell r="Z412">
            <v>0</v>
          </cell>
          <cell r="AA412">
            <v>52000</v>
          </cell>
          <cell r="AB412">
            <v>0</v>
          </cell>
          <cell r="AC412">
            <v>52000</v>
          </cell>
          <cell r="AD412">
            <v>52000</v>
          </cell>
          <cell r="AE412">
            <v>0</v>
          </cell>
          <cell r="AF412">
            <v>52000</v>
          </cell>
          <cell r="AG412" t="str">
            <v>ENGR. MICHAEL C. SALARDA
MS. LEONARDA M. LATOR
MS. CARMENCITA VALDEZ
MS. SORAYA P. VERGARA</v>
          </cell>
          <cell r="AH412" t="str">
            <v>N/A</v>
          </cell>
          <cell r="AI412" t="str">
            <v>N/A</v>
          </cell>
          <cell r="AJ412" t="str">
            <v>N/A</v>
          </cell>
          <cell r="AK412" t="str">
            <v>N/A</v>
          </cell>
          <cell r="AL412" t="str">
            <v>N/A</v>
          </cell>
          <cell r="AM412" t="str">
            <v>N/A</v>
          </cell>
          <cell r="AN412">
            <v>0</v>
          </cell>
          <cell r="AO412">
            <v>0</v>
          </cell>
        </row>
        <row r="413">
          <cell r="A413" t="str">
            <v>24-2111</v>
          </cell>
          <cell r="B413" t="str">
            <v>TONER</v>
          </cell>
          <cell r="C413" t="str">
            <v>PTO</v>
          </cell>
          <cell r="D413" t="str">
            <v>No</v>
          </cell>
          <cell r="E413" t="str">
            <v>Direct Contracting</v>
          </cell>
          <cell r="F413">
            <v>45384</v>
          </cell>
          <cell r="G413">
            <v>45390</v>
          </cell>
          <cell r="H413">
            <v>0</v>
          </cell>
          <cell r="I413" t="str">
            <v>N/A</v>
          </cell>
          <cell r="J413">
            <v>45398</v>
          </cell>
          <cell r="K413">
            <v>45398</v>
          </cell>
          <cell r="L413">
            <v>0</v>
          </cell>
          <cell r="M413" t="str">
            <v>N/A</v>
          </cell>
          <cell r="N413" t="str">
            <v>N/A</v>
          </cell>
          <cell r="O413">
            <v>45405</v>
          </cell>
          <cell r="P413">
            <v>0</v>
          </cell>
          <cell r="Q413">
            <v>0</v>
          </cell>
          <cell r="R413">
            <v>0</v>
          </cell>
          <cell r="S413" t="str">
            <v>N/A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 t="e">
            <v>#N/A</v>
          </cell>
          <cell r="Y413">
            <v>0</v>
          </cell>
          <cell r="Z413">
            <v>0</v>
          </cell>
          <cell r="AA413">
            <v>24092</v>
          </cell>
          <cell r="AB413">
            <v>0</v>
          </cell>
          <cell r="AC413">
            <v>24092</v>
          </cell>
          <cell r="AD413">
            <v>24092</v>
          </cell>
          <cell r="AE413">
            <v>0</v>
          </cell>
          <cell r="AF413">
            <v>24092</v>
          </cell>
          <cell r="AG413" t="str">
            <v>ENGR. MICHAEL C. SALARDA
MS. LEONARDA M. LATOR
MS. CARMENCITA VALDEZ
MS. SORAYA P. VERGARA</v>
          </cell>
          <cell r="AH413" t="str">
            <v>N/A</v>
          </cell>
          <cell r="AI413" t="str">
            <v>N/A</v>
          </cell>
          <cell r="AJ413" t="str">
            <v>N/A</v>
          </cell>
          <cell r="AK413" t="str">
            <v>N/A</v>
          </cell>
          <cell r="AL413" t="str">
            <v>N/A</v>
          </cell>
          <cell r="AM413" t="str">
            <v>N/A</v>
          </cell>
          <cell r="AN413">
            <v>0</v>
          </cell>
          <cell r="AO413">
            <v>0</v>
          </cell>
        </row>
        <row r="414">
          <cell r="A414" t="str">
            <v>24-2025</v>
          </cell>
          <cell r="B414" t="str">
            <v>OFFICE SUPPLIES</v>
          </cell>
          <cell r="C414" t="str">
            <v>PGO</v>
          </cell>
          <cell r="D414" t="str">
            <v>No</v>
          </cell>
          <cell r="E414" t="str">
            <v>Shopping 52.1(b) - Regular Office Supplies and Equipment no available in PS</v>
          </cell>
          <cell r="F414" t="str">
            <v>N/A</v>
          </cell>
          <cell r="G414">
            <v>45376</v>
          </cell>
          <cell r="H414">
            <v>0</v>
          </cell>
          <cell r="I414" t="str">
            <v>N/A</v>
          </cell>
          <cell r="J414">
            <v>45398</v>
          </cell>
          <cell r="K414">
            <v>45398</v>
          </cell>
          <cell r="L414">
            <v>0</v>
          </cell>
          <cell r="M414" t="str">
            <v>N/A</v>
          </cell>
          <cell r="N414" t="str">
            <v>N/A</v>
          </cell>
          <cell r="O414">
            <v>45405</v>
          </cell>
          <cell r="P414">
            <v>0</v>
          </cell>
          <cell r="Q414">
            <v>0</v>
          </cell>
          <cell r="R414">
            <v>0</v>
          </cell>
          <cell r="S414" t="str">
            <v>N/A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 t="e">
            <v>#N/A</v>
          </cell>
          <cell r="Y414">
            <v>0</v>
          </cell>
          <cell r="Z414">
            <v>0</v>
          </cell>
          <cell r="AA414">
            <v>2040</v>
          </cell>
          <cell r="AB414">
            <v>0</v>
          </cell>
          <cell r="AC414">
            <v>2040</v>
          </cell>
          <cell r="AD414">
            <v>2040</v>
          </cell>
          <cell r="AE414">
            <v>0</v>
          </cell>
          <cell r="AF414">
            <v>2040</v>
          </cell>
          <cell r="AG414" t="str">
            <v>ENGR. MICHAEL C. SALARDA
MS. LEONARDA M. LATOR
MS. CARMENCITA VALDEZ
MS. SORAYA P. VERGARA</v>
          </cell>
          <cell r="AH414" t="str">
            <v>N/A</v>
          </cell>
          <cell r="AI414" t="str">
            <v>N/A</v>
          </cell>
          <cell r="AJ414" t="str">
            <v>N/A</v>
          </cell>
          <cell r="AK414" t="str">
            <v>N/A</v>
          </cell>
          <cell r="AL414" t="str">
            <v>N/A</v>
          </cell>
          <cell r="AM414" t="str">
            <v>N/A</v>
          </cell>
          <cell r="AN414">
            <v>0</v>
          </cell>
          <cell r="AO414">
            <v>0</v>
          </cell>
        </row>
        <row r="415">
          <cell r="A415" t="str">
            <v>24-1746</v>
          </cell>
          <cell r="B415" t="str">
            <v>OFFICE SUPPLIES</v>
          </cell>
          <cell r="C415" t="str">
            <v>PAO</v>
          </cell>
          <cell r="D415" t="str">
            <v>No</v>
          </cell>
          <cell r="E415" t="str">
            <v>Shopping 52.1(b) - Regular Office Supplies and Equipment no available in PS</v>
          </cell>
          <cell r="F415">
            <v>45373</v>
          </cell>
          <cell r="G415">
            <v>45384</v>
          </cell>
          <cell r="H415">
            <v>0</v>
          </cell>
          <cell r="I415" t="str">
            <v>N/A</v>
          </cell>
          <cell r="J415">
            <v>45398</v>
          </cell>
          <cell r="K415">
            <v>45398</v>
          </cell>
          <cell r="L415">
            <v>0</v>
          </cell>
          <cell r="M415" t="str">
            <v>N/A</v>
          </cell>
          <cell r="N415" t="str">
            <v>N/A</v>
          </cell>
          <cell r="O415">
            <v>45405</v>
          </cell>
          <cell r="P415">
            <v>0</v>
          </cell>
          <cell r="Q415">
            <v>0</v>
          </cell>
          <cell r="R415">
            <v>0</v>
          </cell>
          <cell r="S415" t="str">
            <v>N/A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 t="e">
            <v>#N/A</v>
          </cell>
          <cell r="Y415">
            <v>0</v>
          </cell>
          <cell r="Z415">
            <v>0</v>
          </cell>
          <cell r="AA415">
            <v>19865</v>
          </cell>
          <cell r="AB415">
            <v>0</v>
          </cell>
          <cell r="AC415">
            <v>19865</v>
          </cell>
          <cell r="AD415">
            <v>19689</v>
          </cell>
          <cell r="AE415">
            <v>0</v>
          </cell>
          <cell r="AF415">
            <v>19689</v>
          </cell>
          <cell r="AG415" t="str">
            <v>ENGR. MICHAEL C. SALARDA
MS. LEONARDA M. LATOR
MS. CARMENCITA VALDEZ
MS. SORAYA P. VERGARA</v>
          </cell>
          <cell r="AH415" t="str">
            <v>N/A</v>
          </cell>
          <cell r="AI415" t="str">
            <v>N/A</v>
          </cell>
          <cell r="AJ415" t="str">
            <v>N/A</v>
          </cell>
          <cell r="AK415" t="str">
            <v>N/A</v>
          </cell>
          <cell r="AL415" t="str">
            <v>N/A</v>
          </cell>
          <cell r="AM415" t="str">
            <v>N/A</v>
          </cell>
          <cell r="AN415">
            <v>0</v>
          </cell>
          <cell r="AO415">
            <v>0</v>
          </cell>
        </row>
        <row r="416">
          <cell r="A416" t="str">
            <v>24-2024</v>
          </cell>
          <cell r="B416" t="str">
            <v>OFFICE SUPPLIES</v>
          </cell>
          <cell r="C416" t="str">
            <v>PGO</v>
          </cell>
          <cell r="D416" t="str">
            <v>No</v>
          </cell>
          <cell r="E416" t="str">
            <v>Shopping 52.1(b) - Regular Office Supplies and Equipment no available in PS</v>
          </cell>
          <cell r="F416" t="str">
            <v>N/A</v>
          </cell>
          <cell r="G416">
            <v>45376</v>
          </cell>
          <cell r="H416">
            <v>0</v>
          </cell>
          <cell r="I416" t="str">
            <v>N/A</v>
          </cell>
          <cell r="J416">
            <v>45398</v>
          </cell>
          <cell r="K416">
            <v>45398</v>
          </cell>
          <cell r="L416">
            <v>0</v>
          </cell>
          <cell r="M416" t="str">
            <v>N/A</v>
          </cell>
          <cell r="N416" t="str">
            <v>N/A</v>
          </cell>
          <cell r="O416">
            <v>45405</v>
          </cell>
          <cell r="P416">
            <v>0</v>
          </cell>
          <cell r="Q416">
            <v>0</v>
          </cell>
          <cell r="R416">
            <v>0</v>
          </cell>
          <cell r="S416" t="str">
            <v>N/A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 t="e">
            <v>#N/A</v>
          </cell>
          <cell r="Y416">
            <v>0</v>
          </cell>
          <cell r="Z416">
            <v>0</v>
          </cell>
          <cell r="AA416">
            <v>17952</v>
          </cell>
          <cell r="AB416">
            <v>0</v>
          </cell>
          <cell r="AC416">
            <v>17952</v>
          </cell>
          <cell r="AD416">
            <v>17460</v>
          </cell>
          <cell r="AE416">
            <v>0</v>
          </cell>
          <cell r="AF416">
            <v>17460</v>
          </cell>
          <cell r="AG416" t="str">
            <v>ENGR. MICHAEL C. SALARDA
MS. LEONARDA M. LATOR
MS. CARMENCITA VALDEZ
MS. SORAYA P. VERGARA</v>
          </cell>
          <cell r="AH416" t="str">
            <v>N/A</v>
          </cell>
          <cell r="AI416" t="str">
            <v>N/A</v>
          </cell>
          <cell r="AJ416" t="str">
            <v>N/A</v>
          </cell>
          <cell r="AK416" t="str">
            <v>N/A</v>
          </cell>
          <cell r="AL416" t="str">
            <v>N/A</v>
          </cell>
          <cell r="AM416" t="str">
            <v>N/A</v>
          </cell>
          <cell r="AN416">
            <v>0</v>
          </cell>
          <cell r="AO416">
            <v>0</v>
          </cell>
        </row>
        <row r="417">
          <cell r="A417" t="str">
            <v>24-C1211</v>
          </cell>
          <cell r="B417" t="str">
            <v>OFFICE SUPPLIES</v>
          </cell>
          <cell r="C417" t="str">
            <v>SPO</v>
          </cell>
          <cell r="D417" t="str">
            <v>No</v>
          </cell>
          <cell r="E417" t="str">
            <v>Shopping 52.1(b) - Regular Office Supplies and Equipment no available in PS</v>
          </cell>
          <cell r="F417" t="str">
            <v>N/A</v>
          </cell>
          <cell r="G417">
            <v>45376</v>
          </cell>
          <cell r="H417">
            <v>0</v>
          </cell>
          <cell r="I417" t="str">
            <v>N/A</v>
          </cell>
          <cell r="J417">
            <v>45398</v>
          </cell>
          <cell r="K417">
            <v>45398</v>
          </cell>
          <cell r="L417">
            <v>0</v>
          </cell>
          <cell r="M417" t="str">
            <v>N/A</v>
          </cell>
          <cell r="N417" t="str">
            <v>N/A</v>
          </cell>
          <cell r="O417">
            <v>45405</v>
          </cell>
          <cell r="P417">
            <v>0</v>
          </cell>
          <cell r="Q417">
            <v>0</v>
          </cell>
          <cell r="R417">
            <v>0</v>
          </cell>
          <cell r="S417" t="str">
            <v>N/A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45469</v>
          </cell>
          <cell r="Y417">
            <v>0</v>
          </cell>
          <cell r="Z417">
            <v>0</v>
          </cell>
          <cell r="AA417">
            <v>17129</v>
          </cell>
          <cell r="AB417">
            <v>0</v>
          </cell>
          <cell r="AC417">
            <v>17129</v>
          </cell>
          <cell r="AD417">
            <v>17040</v>
          </cell>
          <cell r="AE417">
            <v>0</v>
          </cell>
          <cell r="AF417">
            <v>17040</v>
          </cell>
          <cell r="AG417" t="str">
            <v>ENGR. MICHAEL C. SALARDA
MS. LEONARDA M. LATOR
MS. CARMENCITA VALDEZ
MS. SORAYA P. VERGARA</v>
          </cell>
          <cell r="AH417" t="str">
            <v>N/A</v>
          </cell>
          <cell r="AI417" t="str">
            <v>N/A</v>
          </cell>
          <cell r="AJ417" t="str">
            <v>N/A</v>
          </cell>
          <cell r="AK417" t="str">
            <v>N/A</v>
          </cell>
          <cell r="AL417" t="str">
            <v>N/A</v>
          </cell>
          <cell r="AM417" t="str">
            <v>N/A</v>
          </cell>
          <cell r="AN417">
            <v>0</v>
          </cell>
          <cell r="AO417">
            <v>0</v>
          </cell>
        </row>
        <row r="418">
          <cell r="A418" t="str">
            <v>24-1347</v>
          </cell>
          <cell r="B418" t="str">
            <v>OFFICE SUPPLIES</v>
          </cell>
          <cell r="C418" t="str">
            <v>PGO</v>
          </cell>
          <cell r="D418" t="str">
            <v>No</v>
          </cell>
          <cell r="E418" t="str">
            <v>Shopping 52.1(b) - Regular Office Supplies and Equipment no available in PS</v>
          </cell>
          <cell r="F418" t="str">
            <v>N/A</v>
          </cell>
          <cell r="G418">
            <v>45376</v>
          </cell>
          <cell r="H418">
            <v>0</v>
          </cell>
          <cell r="I418" t="str">
            <v>N/A</v>
          </cell>
          <cell r="J418">
            <v>45398</v>
          </cell>
          <cell r="K418">
            <v>45398</v>
          </cell>
          <cell r="L418">
            <v>0</v>
          </cell>
          <cell r="M418" t="str">
            <v>N/A</v>
          </cell>
          <cell r="N418" t="str">
            <v>N/A</v>
          </cell>
          <cell r="O418">
            <v>45405</v>
          </cell>
          <cell r="P418">
            <v>0</v>
          </cell>
          <cell r="Q418">
            <v>0</v>
          </cell>
          <cell r="R418">
            <v>0</v>
          </cell>
          <cell r="S418" t="str">
            <v>N/A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 t="e">
            <v>#N/A</v>
          </cell>
          <cell r="Y418">
            <v>0</v>
          </cell>
          <cell r="Z418">
            <v>0</v>
          </cell>
          <cell r="AA418">
            <v>4670</v>
          </cell>
          <cell r="AB418">
            <v>0</v>
          </cell>
          <cell r="AC418">
            <v>4670</v>
          </cell>
          <cell r="AD418">
            <v>4592</v>
          </cell>
          <cell r="AE418">
            <v>0</v>
          </cell>
          <cell r="AF418">
            <v>4592</v>
          </cell>
          <cell r="AG418" t="str">
            <v>ENGR. MICHAEL C. SALARDA
MS. LEONARDA M. LATOR
MS. CARMENCITA VALDEZ
MS. SORAYA P. VERGARA</v>
          </cell>
          <cell r="AH418" t="str">
            <v>N/A</v>
          </cell>
          <cell r="AI418" t="str">
            <v>N/A</v>
          </cell>
          <cell r="AJ418" t="str">
            <v>N/A</v>
          </cell>
          <cell r="AK418" t="str">
            <v>N/A</v>
          </cell>
          <cell r="AL418" t="str">
            <v>N/A</v>
          </cell>
          <cell r="AM418" t="str">
            <v>N/A</v>
          </cell>
          <cell r="AN418">
            <v>0</v>
          </cell>
          <cell r="AO418">
            <v>0</v>
          </cell>
        </row>
        <row r="419">
          <cell r="A419" t="str">
            <v>24-C1195</v>
          </cell>
          <cell r="B419" t="str">
            <v>OFFICE SUPPLIES</v>
          </cell>
          <cell r="C419" t="str">
            <v>PDRRMO</v>
          </cell>
          <cell r="D419" t="str">
            <v>No</v>
          </cell>
          <cell r="E419" t="str">
            <v>Shopping 52.1(b) - Regular Office Supplies and Equipment no available in PS</v>
          </cell>
          <cell r="F419">
            <v>45373</v>
          </cell>
          <cell r="G419">
            <v>45384</v>
          </cell>
          <cell r="H419">
            <v>0</v>
          </cell>
          <cell r="I419" t="str">
            <v>N/A</v>
          </cell>
          <cell r="J419">
            <v>45398</v>
          </cell>
          <cell r="K419">
            <v>45398</v>
          </cell>
          <cell r="L419">
            <v>0</v>
          </cell>
          <cell r="M419" t="str">
            <v>N/A</v>
          </cell>
          <cell r="N419" t="str">
            <v>N/A</v>
          </cell>
          <cell r="O419">
            <v>45405</v>
          </cell>
          <cell r="P419">
            <v>0</v>
          </cell>
          <cell r="Q419">
            <v>0</v>
          </cell>
          <cell r="R419">
            <v>0</v>
          </cell>
          <cell r="S419" t="str">
            <v>N/A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45467</v>
          </cell>
          <cell r="Y419">
            <v>0</v>
          </cell>
          <cell r="Z419">
            <v>0</v>
          </cell>
          <cell r="AA419">
            <v>35025</v>
          </cell>
          <cell r="AB419">
            <v>0</v>
          </cell>
          <cell r="AC419">
            <v>35025</v>
          </cell>
          <cell r="AD419">
            <v>34536</v>
          </cell>
          <cell r="AE419">
            <v>0</v>
          </cell>
          <cell r="AF419">
            <v>34536</v>
          </cell>
          <cell r="AG419" t="str">
            <v>ENGR. MICHAEL C. SALARDA
MS. LEONARDA M. LATOR
MS. CARMENCITA VALDEZ
MS. SORAYA P. VERGARA</v>
          </cell>
          <cell r="AH419" t="str">
            <v>N/A</v>
          </cell>
          <cell r="AI419" t="str">
            <v>N/A</v>
          </cell>
          <cell r="AJ419" t="str">
            <v>N/A</v>
          </cell>
          <cell r="AK419" t="str">
            <v>N/A</v>
          </cell>
          <cell r="AL419" t="str">
            <v>N/A</v>
          </cell>
          <cell r="AM419" t="str">
            <v>N/A</v>
          </cell>
          <cell r="AN419">
            <v>0</v>
          </cell>
          <cell r="AO419">
            <v>0</v>
          </cell>
        </row>
        <row r="420">
          <cell r="A420" t="str">
            <v>24-C1163</v>
          </cell>
          <cell r="B420" t="str">
            <v>OFFICE SUPPLIES</v>
          </cell>
          <cell r="C420" t="str">
            <v>PLO</v>
          </cell>
          <cell r="D420" t="str">
            <v>No</v>
          </cell>
          <cell r="E420" t="str">
            <v>Shopping 52.1(b) - Regular Office Supplies and Equipment no available in PS</v>
          </cell>
          <cell r="F420" t="str">
            <v>N/A</v>
          </cell>
          <cell r="G420">
            <v>45376</v>
          </cell>
          <cell r="H420">
            <v>0</v>
          </cell>
          <cell r="I420" t="str">
            <v>N/A</v>
          </cell>
          <cell r="J420">
            <v>45398</v>
          </cell>
          <cell r="K420">
            <v>45398</v>
          </cell>
          <cell r="L420">
            <v>0</v>
          </cell>
          <cell r="M420" t="str">
            <v>N/A</v>
          </cell>
          <cell r="N420" t="str">
            <v>N/A</v>
          </cell>
          <cell r="O420">
            <v>45405</v>
          </cell>
          <cell r="P420">
            <v>0</v>
          </cell>
          <cell r="Q420">
            <v>0</v>
          </cell>
          <cell r="R420">
            <v>0</v>
          </cell>
          <cell r="S420" t="str">
            <v>N/A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45457</v>
          </cell>
          <cell r="Y420">
            <v>0</v>
          </cell>
          <cell r="Z420">
            <v>0</v>
          </cell>
          <cell r="AA420">
            <v>22156</v>
          </cell>
          <cell r="AB420">
            <v>0</v>
          </cell>
          <cell r="AC420">
            <v>22156</v>
          </cell>
          <cell r="AD420">
            <v>21934</v>
          </cell>
          <cell r="AE420">
            <v>0</v>
          </cell>
          <cell r="AF420">
            <v>21934</v>
          </cell>
          <cell r="AG420" t="str">
            <v>ENGR. MICHAEL C. SALARDA
MS. LEONARDA M. LATOR
MS. CARMENCITA VALDEZ
MS. SORAYA P. VERGARA</v>
          </cell>
          <cell r="AH420" t="str">
            <v>N/A</v>
          </cell>
          <cell r="AI420" t="str">
            <v>N/A</v>
          </cell>
          <cell r="AJ420" t="str">
            <v>N/A</v>
          </cell>
          <cell r="AK420" t="str">
            <v>N/A</v>
          </cell>
          <cell r="AL420" t="str">
            <v>N/A</v>
          </cell>
          <cell r="AM420" t="str">
            <v>N/A</v>
          </cell>
          <cell r="AN420">
            <v>0</v>
          </cell>
          <cell r="AO420">
            <v>0</v>
          </cell>
        </row>
        <row r="421">
          <cell r="A421" t="str">
            <v>24-1780</v>
          </cell>
          <cell r="B421" t="str">
            <v>OFFICE SUPPLIES</v>
          </cell>
          <cell r="C421" t="str">
            <v>PGO</v>
          </cell>
          <cell r="D421" t="str">
            <v>No</v>
          </cell>
          <cell r="E421" t="str">
            <v>Shopping 52.1(b) - Regular Office Supplies and Equipment no available in PS</v>
          </cell>
          <cell r="F421" t="str">
            <v>N/A</v>
          </cell>
          <cell r="G421">
            <v>45376</v>
          </cell>
          <cell r="H421">
            <v>0</v>
          </cell>
          <cell r="I421" t="str">
            <v>N/A</v>
          </cell>
          <cell r="J421">
            <v>45398</v>
          </cell>
          <cell r="K421">
            <v>45398</v>
          </cell>
          <cell r="L421">
            <v>0</v>
          </cell>
          <cell r="M421" t="str">
            <v>N/A</v>
          </cell>
          <cell r="N421" t="str">
            <v>N/A</v>
          </cell>
          <cell r="O421">
            <v>45405</v>
          </cell>
          <cell r="P421">
            <v>0</v>
          </cell>
          <cell r="Q421">
            <v>0</v>
          </cell>
          <cell r="R421">
            <v>0</v>
          </cell>
          <cell r="S421" t="str">
            <v>N/A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 t="e">
            <v>#N/A</v>
          </cell>
          <cell r="Y421">
            <v>0</v>
          </cell>
          <cell r="Z421">
            <v>0</v>
          </cell>
          <cell r="AA421">
            <v>23985</v>
          </cell>
          <cell r="AB421">
            <v>0</v>
          </cell>
          <cell r="AC421">
            <v>23985</v>
          </cell>
          <cell r="AD421">
            <v>23099</v>
          </cell>
          <cell r="AE421">
            <v>0</v>
          </cell>
          <cell r="AF421">
            <v>23099</v>
          </cell>
          <cell r="AG421" t="str">
            <v>ENGR. MICHAEL C. SALARDA
MS. LEONARDA M. LATOR
MS. CARMENCITA VALDEZ
MS. SORAYA P. VERGARA</v>
          </cell>
          <cell r="AH421" t="str">
            <v>N/A</v>
          </cell>
          <cell r="AI421" t="str">
            <v>N/A</v>
          </cell>
          <cell r="AJ421" t="str">
            <v>N/A</v>
          </cell>
          <cell r="AK421" t="str">
            <v>N/A</v>
          </cell>
          <cell r="AL421" t="str">
            <v>N/A</v>
          </cell>
          <cell r="AM421" t="str">
            <v>N/A</v>
          </cell>
          <cell r="AN421">
            <v>0</v>
          </cell>
          <cell r="AO421">
            <v>0</v>
          </cell>
        </row>
        <row r="422">
          <cell r="A422" t="str">
            <v>24-C1282</v>
          </cell>
          <cell r="B422" t="str">
            <v>OFFICE SUPPLIES</v>
          </cell>
          <cell r="C422" t="str">
            <v>PTO</v>
          </cell>
          <cell r="D422" t="str">
            <v>No</v>
          </cell>
          <cell r="E422" t="str">
            <v>Shopping 52.1(b) - Regular Office Supplies and Equipment no available in PS</v>
          </cell>
          <cell r="F422">
            <v>45373</v>
          </cell>
          <cell r="G422">
            <v>45384</v>
          </cell>
          <cell r="H422">
            <v>0</v>
          </cell>
          <cell r="I422" t="str">
            <v>N/A</v>
          </cell>
          <cell r="J422">
            <v>45398</v>
          </cell>
          <cell r="K422">
            <v>45398</v>
          </cell>
          <cell r="L422">
            <v>0</v>
          </cell>
          <cell r="M422" t="str">
            <v>N/A</v>
          </cell>
          <cell r="N422" t="str">
            <v>N/A</v>
          </cell>
          <cell r="O422">
            <v>45405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45433</v>
          </cell>
          <cell r="Y422">
            <v>0</v>
          </cell>
          <cell r="Z422">
            <v>0</v>
          </cell>
          <cell r="AA422">
            <v>137774</v>
          </cell>
          <cell r="AB422">
            <v>0</v>
          </cell>
          <cell r="AC422">
            <v>137774</v>
          </cell>
          <cell r="AD422">
            <v>135193</v>
          </cell>
          <cell r="AE422">
            <v>0</v>
          </cell>
          <cell r="AF422">
            <v>135193</v>
          </cell>
          <cell r="AG422" t="str">
            <v>ENGR. MICHAEL C. SALARDA
MS. LEONARDA M. LATOR
MS. CARMENCITA VALDEZ
MS. SORAYA P. VERGARA</v>
          </cell>
          <cell r="AH422" t="str">
            <v>N/A</v>
          </cell>
          <cell r="AI422" t="str">
            <v>N/A</v>
          </cell>
          <cell r="AJ422" t="str">
            <v>N/A</v>
          </cell>
          <cell r="AK422" t="str">
            <v>N/A</v>
          </cell>
          <cell r="AL422" t="str">
            <v>N/A</v>
          </cell>
          <cell r="AM422" t="str">
            <v>N/A</v>
          </cell>
          <cell r="AN422">
            <v>0</v>
          </cell>
          <cell r="AO422">
            <v>0</v>
          </cell>
        </row>
        <row r="423">
          <cell r="A423" t="str">
            <v>24-1350</v>
          </cell>
          <cell r="B423" t="str">
            <v>GARMENTS</v>
          </cell>
          <cell r="C423" t="str">
            <v>PGO</v>
          </cell>
          <cell r="D423" t="str">
            <v>No</v>
          </cell>
          <cell r="E423" t="str">
            <v>NP-53.9 - Small Value Procurement</v>
          </cell>
          <cell r="F423" t="str">
            <v>N/A</v>
          </cell>
          <cell r="G423">
            <v>45384</v>
          </cell>
          <cell r="H423">
            <v>0</v>
          </cell>
          <cell r="I423" t="str">
            <v>N/A</v>
          </cell>
          <cell r="J423">
            <v>45398</v>
          </cell>
          <cell r="K423">
            <v>45398</v>
          </cell>
          <cell r="L423">
            <v>0</v>
          </cell>
          <cell r="M423" t="str">
            <v>N/A</v>
          </cell>
          <cell r="N423" t="str">
            <v>N/A</v>
          </cell>
          <cell r="O423">
            <v>45405</v>
          </cell>
          <cell r="P423">
            <v>0</v>
          </cell>
          <cell r="Q423">
            <v>0</v>
          </cell>
          <cell r="R423">
            <v>0</v>
          </cell>
          <cell r="S423" t="str">
            <v>N/A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 t="e">
            <v>#N/A</v>
          </cell>
          <cell r="Y423">
            <v>0</v>
          </cell>
          <cell r="Z423">
            <v>0</v>
          </cell>
          <cell r="AA423">
            <v>15000</v>
          </cell>
          <cell r="AB423">
            <v>0</v>
          </cell>
          <cell r="AC423">
            <v>15000</v>
          </cell>
          <cell r="AD423">
            <v>14850</v>
          </cell>
          <cell r="AE423">
            <v>0</v>
          </cell>
          <cell r="AF423">
            <v>14850</v>
          </cell>
          <cell r="AG423" t="str">
            <v>ENGR. MICHAEL C. SALARDA
MS. LEONARDA M. LATOR
MS. CARMENCITA VALDEZ
MS. SORAYA P. VERGARA</v>
          </cell>
          <cell r="AH423" t="str">
            <v>N/A</v>
          </cell>
          <cell r="AI423" t="str">
            <v>N/A</v>
          </cell>
          <cell r="AJ423" t="str">
            <v>N/A</v>
          </cell>
          <cell r="AK423" t="str">
            <v>N/A</v>
          </cell>
          <cell r="AL423" t="str">
            <v>N/A</v>
          </cell>
          <cell r="AM423" t="str">
            <v>N/A</v>
          </cell>
          <cell r="AN423">
            <v>0</v>
          </cell>
          <cell r="AO423">
            <v>0</v>
          </cell>
        </row>
        <row r="424">
          <cell r="A424" t="str">
            <v>24-1563</v>
          </cell>
          <cell r="B424" t="str">
            <v>SPAREPARTS (HEAVY EQUIPT)</v>
          </cell>
          <cell r="C424" t="str">
            <v>PGSO</v>
          </cell>
          <cell r="D424" t="str">
            <v>No</v>
          </cell>
          <cell r="E424" t="str">
            <v>NP-53.9 - Small Value Procurement</v>
          </cell>
          <cell r="F424">
            <v>45370</v>
          </cell>
          <cell r="G424">
            <v>45376</v>
          </cell>
          <cell r="H424">
            <v>0</v>
          </cell>
          <cell r="I424" t="str">
            <v>N/A</v>
          </cell>
          <cell r="J424">
            <v>45398</v>
          </cell>
          <cell r="K424">
            <v>45398</v>
          </cell>
          <cell r="L424">
            <v>0</v>
          </cell>
          <cell r="M424" t="str">
            <v>N/A</v>
          </cell>
          <cell r="N424" t="str">
            <v>N/A</v>
          </cell>
          <cell r="O424">
            <v>45405</v>
          </cell>
          <cell r="P424">
            <v>0</v>
          </cell>
          <cell r="Q424">
            <v>0</v>
          </cell>
          <cell r="R424">
            <v>0</v>
          </cell>
          <cell r="S424" t="str">
            <v>N/A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 t="e">
            <v>#N/A</v>
          </cell>
          <cell r="Y424">
            <v>0</v>
          </cell>
          <cell r="Z424">
            <v>0</v>
          </cell>
          <cell r="AA424">
            <v>10300</v>
          </cell>
          <cell r="AB424">
            <v>0</v>
          </cell>
          <cell r="AC424">
            <v>10300</v>
          </cell>
          <cell r="AD424">
            <v>9530</v>
          </cell>
          <cell r="AE424">
            <v>0</v>
          </cell>
          <cell r="AF424">
            <v>9530</v>
          </cell>
          <cell r="AG424" t="str">
            <v>ENGR. MICHAEL C. SALARDA
MS. LEONARDA M. LATOR
MS. CARMENCITA VALDEZ
MS. SORAYA P. VERGARA</v>
          </cell>
          <cell r="AH424" t="str">
            <v>N/A</v>
          </cell>
          <cell r="AI424" t="str">
            <v>N/A</v>
          </cell>
          <cell r="AJ424" t="str">
            <v>N/A</v>
          </cell>
          <cell r="AK424" t="str">
            <v>N/A</v>
          </cell>
          <cell r="AL424" t="str">
            <v>N/A</v>
          </cell>
          <cell r="AM424" t="str">
            <v>N/A</v>
          </cell>
          <cell r="AN424">
            <v>0</v>
          </cell>
          <cell r="AO424">
            <v>0</v>
          </cell>
        </row>
        <row r="425">
          <cell r="A425" t="str">
            <v>24-1030</v>
          </cell>
          <cell r="B425" t="str">
            <v>COMPUTER SUPPLIES/SPAREPARTS</v>
          </cell>
          <cell r="C425" t="str">
            <v>PAO</v>
          </cell>
          <cell r="D425" t="str">
            <v>No</v>
          </cell>
          <cell r="E425" t="str">
            <v>NP-53.9 - Small Value Procurement</v>
          </cell>
          <cell r="F425">
            <v>45373</v>
          </cell>
          <cell r="G425">
            <v>45384</v>
          </cell>
          <cell r="H425">
            <v>0</v>
          </cell>
          <cell r="I425" t="str">
            <v>N/A</v>
          </cell>
          <cell r="J425">
            <v>45398</v>
          </cell>
          <cell r="K425">
            <v>45398</v>
          </cell>
          <cell r="L425">
            <v>0</v>
          </cell>
          <cell r="M425" t="str">
            <v>N/A</v>
          </cell>
          <cell r="N425" t="str">
            <v>N/A</v>
          </cell>
          <cell r="O425">
            <v>45405</v>
          </cell>
          <cell r="P425">
            <v>0</v>
          </cell>
          <cell r="Q425">
            <v>0</v>
          </cell>
          <cell r="R425">
            <v>0</v>
          </cell>
          <cell r="S425" t="str">
            <v>N/A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 t="e">
            <v>#N/A</v>
          </cell>
          <cell r="Y425">
            <v>0</v>
          </cell>
          <cell r="Z425">
            <v>0</v>
          </cell>
          <cell r="AA425">
            <v>49772</v>
          </cell>
          <cell r="AB425">
            <v>0</v>
          </cell>
          <cell r="AC425">
            <v>49772</v>
          </cell>
          <cell r="AD425">
            <v>49650</v>
          </cell>
          <cell r="AE425">
            <v>0</v>
          </cell>
          <cell r="AF425">
            <v>49650</v>
          </cell>
          <cell r="AG425" t="str">
            <v>ENGR. MICHAEL C. SALARDA
MS. LEONARDA M. LATOR
MS. CARMENCITA VALDEZ
MS. SORAYA P. VERGARA</v>
          </cell>
          <cell r="AH425" t="str">
            <v>N/A</v>
          </cell>
          <cell r="AI425" t="str">
            <v>N/A</v>
          </cell>
          <cell r="AJ425" t="str">
            <v>N/A</v>
          </cell>
          <cell r="AK425" t="str">
            <v>N/A</v>
          </cell>
          <cell r="AL425" t="str">
            <v>N/A</v>
          </cell>
          <cell r="AM425" t="str">
            <v>N/A</v>
          </cell>
          <cell r="AN425">
            <v>0</v>
          </cell>
          <cell r="AO425">
            <v>0</v>
          </cell>
        </row>
        <row r="426">
          <cell r="A426" t="str">
            <v>24-1541</v>
          </cell>
          <cell r="B426" t="str">
            <v>COMPUTER SET WITH COMPLETE ACCESSORIES</v>
          </cell>
          <cell r="C426" t="str">
            <v>PAO</v>
          </cell>
          <cell r="D426" t="str">
            <v>No</v>
          </cell>
          <cell r="E426" t="str">
            <v>NP-53.9 - Small Value Procurement</v>
          </cell>
          <cell r="F426" t="str">
            <v>N/A</v>
          </cell>
          <cell r="G426">
            <v>45376</v>
          </cell>
          <cell r="H426">
            <v>0</v>
          </cell>
          <cell r="I426" t="str">
            <v>N/A</v>
          </cell>
          <cell r="J426">
            <v>45398</v>
          </cell>
          <cell r="K426">
            <v>45398</v>
          </cell>
          <cell r="L426">
            <v>0</v>
          </cell>
          <cell r="M426" t="str">
            <v>N/A</v>
          </cell>
          <cell r="N426" t="str">
            <v>N/A</v>
          </cell>
          <cell r="O426">
            <v>45405</v>
          </cell>
          <cell r="P426">
            <v>0</v>
          </cell>
          <cell r="Q426">
            <v>0</v>
          </cell>
          <cell r="R426">
            <v>0</v>
          </cell>
          <cell r="S426" t="str">
            <v>N/A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 t="e">
            <v>#N/A</v>
          </cell>
          <cell r="Y426">
            <v>0</v>
          </cell>
          <cell r="Z426">
            <v>0</v>
          </cell>
          <cell r="AA426">
            <v>45000</v>
          </cell>
          <cell r="AB426">
            <v>0</v>
          </cell>
          <cell r="AC426">
            <v>45000</v>
          </cell>
          <cell r="AD426">
            <v>44900</v>
          </cell>
          <cell r="AE426">
            <v>0</v>
          </cell>
          <cell r="AF426">
            <v>44900</v>
          </cell>
          <cell r="AG426" t="str">
            <v>ENGR. MICHAEL C. SALARDA
MS. LEONARDA M. LATOR
MS. CARMENCITA VALDEZ
MS. SORAYA P. VERGARA</v>
          </cell>
          <cell r="AH426" t="str">
            <v>N/A</v>
          </cell>
          <cell r="AI426" t="str">
            <v>N/A</v>
          </cell>
          <cell r="AJ426" t="str">
            <v>N/A</v>
          </cell>
          <cell r="AK426" t="str">
            <v>N/A</v>
          </cell>
          <cell r="AL426" t="str">
            <v>N/A</v>
          </cell>
          <cell r="AM426" t="str">
            <v>N/A</v>
          </cell>
          <cell r="AN426">
            <v>0</v>
          </cell>
          <cell r="AO426">
            <v>0</v>
          </cell>
        </row>
        <row r="427">
          <cell r="A427" t="str">
            <v>24-0442</v>
          </cell>
          <cell r="B427" t="str">
            <v>HP-711 DESIGN JET PRINT HEAD REPLACEMENT</v>
          </cell>
          <cell r="C427" t="str">
            <v>PPDO</v>
          </cell>
          <cell r="D427" t="str">
            <v>No</v>
          </cell>
          <cell r="E427" t="str">
            <v>NP-53.9 - Small Value Procurement</v>
          </cell>
          <cell r="F427" t="str">
            <v>N/A</v>
          </cell>
          <cell r="G427">
            <v>45376</v>
          </cell>
          <cell r="H427">
            <v>0</v>
          </cell>
          <cell r="I427" t="str">
            <v>N/A</v>
          </cell>
          <cell r="J427">
            <v>45398</v>
          </cell>
          <cell r="K427">
            <v>45398</v>
          </cell>
          <cell r="L427">
            <v>0</v>
          </cell>
          <cell r="M427" t="str">
            <v>N/A</v>
          </cell>
          <cell r="N427" t="str">
            <v>N/A</v>
          </cell>
          <cell r="O427">
            <v>45405</v>
          </cell>
          <cell r="P427">
            <v>0</v>
          </cell>
          <cell r="Q427">
            <v>0</v>
          </cell>
          <cell r="R427">
            <v>0</v>
          </cell>
          <cell r="S427" t="str">
            <v>N/A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 t="e">
            <v>#N/A</v>
          </cell>
          <cell r="Y427">
            <v>0</v>
          </cell>
          <cell r="Z427">
            <v>0</v>
          </cell>
          <cell r="AA427">
            <v>24900</v>
          </cell>
          <cell r="AB427">
            <v>0</v>
          </cell>
          <cell r="AC427">
            <v>24900</v>
          </cell>
          <cell r="AD427">
            <v>24900</v>
          </cell>
          <cell r="AE427">
            <v>0</v>
          </cell>
          <cell r="AF427">
            <v>24900</v>
          </cell>
          <cell r="AG427" t="str">
            <v>ENGR. MICHAEL C. SALARDA
MS. LEONARDA M. LATOR
MS. CARMENCITA VALDEZ
MS. SORAYA P. VERGARA</v>
          </cell>
          <cell r="AH427" t="str">
            <v>N/A</v>
          </cell>
          <cell r="AI427" t="str">
            <v>N/A</v>
          </cell>
          <cell r="AJ427" t="str">
            <v>N/A</v>
          </cell>
          <cell r="AK427" t="str">
            <v>N/A</v>
          </cell>
          <cell r="AL427" t="str">
            <v>N/A</v>
          </cell>
          <cell r="AM427" t="str">
            <v>N/A</v>
          </cell>
          <cell r="AN427">
            <v>0</v>
          </cell>
          <cell r="AO427">
            <v>0</v>
          </cell>
        </row>
        <row r="428">
          <cell r="A428" t="str">
            <v>24-C1178</v>
          </cell>
          <cell r="B428" t="str">
            <v>JANITORIAL SUPPLIES</v>
          </cell>
          <cell r="C428" t="str">
            <v>PAGRO</v>
          </cell>
          <cell r="D428" t="str">
            <v>No</v>
          </cell>
          <cell r="E428" t="str">
            <v>NP-53.9 - Small Value Procurement</v>
          </cell>
          <cell r="F428" t="str">
            <v>N/A</v>
          </cell>
          <cell r="G428">
            <v>45376</v>
          </cell>
          <cell r="H428">
            <v>0</v>
          </cell>
          <cell r="I428" t="str">
            <v>N/A</v>
          </cell>
          <cell r="J428">
            <v>45398</v>
          </cell>
          <cell r="K428">
            <v>45398</v>
          </cell>
          <cell r="L428">
            <v>0</v>
          </cell>
          <cell r="M428" t="str">
            <v>N/A</v>
          </cell>
          <cell r="N428" t="str">
            <v>N/A</v>
          </cell>
          <cell r="O428">
            <v>45405</v>
          </cell>
          <cell r="P428">
            <v>0</v>
          </cell>
          <cell r="Q428">
            <v>0</v>
          </cell>
          <cell r="R428">
            <v>0</v>
          </cell>
          <cell r="S428" t="str">
            <v>N/A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45441</v>
          </cell>
          <cell r="Y428">
            <v>0</v>
          </cell>
          <cell r="Z428">
            <v>0</v>
          </cell>
          <cell r="AA428">
            <v>25296</v>
          </cell>
          <cell r="AB428">
            <v>0</v>
          </cell>
          <cell r="AC428">
            <v>25296</v>
          </cell>
          <cell r="AD428">
            <v>24692</v>
          </cell>
          <cell r="AE428">
            <v>0</v>
          </cell>
          <cell r="AF428">
            <v>24692</v>
          </cell>
          <cell r="AG428" t="str">
            <v>ENGR. MICHAEL C. SALARDA
MS. LEONARDA M. LATOR
MS. CARMENCITA VALDEZ
MS. SORAYA P. VERGARA</v>
          </cell>
          <cell r="AH428" t="str">
            <v>N/A</v>
          </cell>
          <cell r="AI428" t="str">
            <v>N/A</v>
          </cell>
          <cell r="AJ428" t="str">
            <v>N/A</v>
          </cell>
          <cell r="AK428" t="str">
            <v>N/A</v>
          </cell>
          <cell r="AL428" t="str">
            <v>N/A</v>
          </cell>
          <cell r="AM428" t="str">
            <v>N/A</v>
          </cell>
          <cell r="AN428">
            <v>0</v>
          </cell>
          <cell r="AO428">
            <v>0</v>
          </cell>
        </row>
        <row r="429">
          <cell r="A429" t="str">
            <v>24-0467</v>
          </cell>
          <cell r="B429" t="str">
            <v>LAGARAW (LIKONG)</v>
          </cell>
          <cell r="C429" t="str">
            <v>PGO</v>
          </cell>
          <cell r="D429" t="str">
            <v>No</v>
          </cell>
          <cell r="E429" t="str">
            <v>NP-53.9 - Small Value Procurement</v>
          </cell>
          <cell r="F429" t="str">
            <v>N/A</v>
          </cell>
          <cell r="G429">
            <v>45376</v>
          </cell>
          <cell r="H429">
            <v>0</v>
          </cell>
          <cell r="I429" t="str">
            <v>N/A</v>
          </cell>
          <cell r="J429">
            <v>45398</v>
          </cell>
          <cell r="K429">
            <v>45398</v>
          </cell>
          <cell r="L429">
            <v>0</v>
          </cell>
          <cell r="M429" t="str">
            <v>N/A</v>
          </cell>
          <cell r="N429" t="str">
            <v>N/A</v>
          </cell>
          <cell r="O429">
            <v>45405</v>
          </cell>
          <cell r="P429">
            <v>0</v>
          </cell>
          <cell r="Q429">
            <v>0</v>
          </cell>
          <cell r="R429">
            <v>0</v>
          </cell>
          <cell r="S429" t="str">
            <v>N/A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 t="e">
            <v>#N/A</v>
          </cell>
          <cell r="Y429">
            <v>0</v>
          </cell>
          <cell r="Z429">
            <v>0</v>
          </cell>
          <cell r="AA429">
            <v>22725</v>
          </cell>
          <cell r="AB429">
            <v>0</v>
          </cell>
          <cell r="AC429">
            <v>22725</v>
          </cell>
          <cell r="AD429">
            <v>22725</v>
          </cell>
          <cell r="AE429">
            <v>0</v>
          </cell>
          <cell r="AF429">
            <v>22725</v>
          </cell>
          <cell r="AG429" t="str">
            <v>ENGR. MICHAEL C. SALARDA
MS. LEONARDA M. LATOR
MS. CARMENCITA VALDEZ
MS. SORAYA P. VERGARA</v>
          </cell>
          <cell r="AH429" t="str">
            <v>N/A</v>
          </cell>
          <cell r="AI429" t="str">
            <v>N/A</v>
          </cell>
          <cell r="AJ429" t="str">
            <v>N/A</v>
          </cell>
          <cell r="AK429" t="str">
            <v>N/A</v>
          </cell>
          <cell r="AL429" t="str">
            <v>N/A</v>
          </cell>
          <cell r="AM429" t="str">
            <v>N/A</v>
          </cell>
          <cell r="AN429">
            <v>0</v>
          </cell>
          <cell r="AO429">
            <v>0</v>
          </cell>
        </row>
        <row r="430">
          <cell r="A430" t="str">
            <v>24-1483</v>
          </cell>
          <cell r="B430" t="str">
            <v>SPORTS SUPPLIES &amp; EQUIPMENT</v>
          </cell>
          <cell r="C430" t="str">
            <v>PGO</v>
          </cell>
          <cell r="D430" t="str">
            <v>No</v>
          </cell>
          <cell r="E430" t="str">
            <v>NP-53.9 - Small Value Procurement</v>
          </cell>
          <cell r="F430" t="str">
            <v>N/A</v>
          </cell>
          <cell r="G430">
            <v>45376</v>
          </cell>
          <cell r="H430">
            <v>0</v>
          </cell>
          <cell r="I430" t="str">
            <v>N/A</v>
          </cell>
          <cell r="J430">
            <v>45398</v>
          </cell>
          <cell r="K430">
            <v>45398</v>
          </cell>
          <cell r="L430">
            <v>0</v>
          </cell>
          <cell r="M430" t="str">
            <v>N/A</v>
          </cell>
          <cell r="N430" t="str">
            <v>N/A</v>
          </cell>
          <cell r="O430">
            <v>45405</v>
          </cell>
          <cell r="P430">
            <v>0</v>
          </cell>
          <cell r="Q430">
            <v>0</v>
          </cell>
          <cell r="R430">
            <v>0</v>
          </cell>
          <cell r="S430" t="str">
            <v>N/A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 t="e">
            <v>#N/A</v>
          </cell>
          <cell r="Y430">
            <v>0</v>
          </cell>
          <cell r="Z430">
            <v>0</v>
          </cell>
          <cell r="AA430">
            <v>3360</v>
          </cell>
          <cell r="AB430">
            <v>0</v>
          </cell>
          <cell r="AC430">
            <v>3360</v>
          </cell>
          <cell r="AD430">
            <v>3360</v>
          </cell>
          <cell r="AE430">
            <v>0</v>
          </cell>
          <cell r="AF430">
            <v>3360</v>
          </cell>
          <cell r="AG430" t="str">
            <v>ENGR. MICHAEL C. SALARDA
MS. LEONARDA M. LATOR
MS. CARMENCITA VALDEZ
MS. SORAYA P. VERGARA</v>
          </cell>
          <cell r="AH430" t="str">
            <v>N/A</v>
          </cell>
          <cell r="AI430" t="str">
            <v>N/A</v>
          </cell>
          <cell r="AJ430" t="str">
            <v>N/A</v>
          </cell>
          <cell r="AK430" t="str">
            <v>N/A</v>
          </cell>
          <cell r="AL430" t="str">
            <v>N/A</v>
          </cell>
          <cell r="AM430" t="str">
            <v>N/A</v>
          </cell>
          <cell r="AN430">
            <v>0</v>
          </cell>
          <cell r="AO430">
            <v>0</v>
          </cell>
        </row>
        <row r="431">
          <cell r="A431" t="str">
            <v>24-2195</v>
          </cell>
          <cell r="B431" t="str">
            <v>MONEY DETECTOR &amp; MONEY COUNTER</v>
          </cell>
          <cell r="C431" t="str">
            <v>PTO</v>
          </cell>
          <cell r="D431" t="str">
            <v>No</v>
          </cell>
          <cell r="E431" t="str">
            <v>NP-53.9 - Small Value Procurement</v>
          </cell>
          <cell r="F431" t="str">
            <v>N/A</v>
          </cell>
          <cell r="G431">
            <v>45376</v>
          </cell>
          <cell r="H431">
            <v>0</v>
          </cell>
          <cell r="I431" t="str">
            <v>N/A</v>
          </cell>
          <cell r="J431">
            <v>45398</v>
          </cell>
          <cell r="K431">
            <v>45398</v>
          </cell>
          <cell r="L431">
            <v>0</v>
          </cell>
          <cell r="M431" t="str">
            <v>N/A</v>
          </cell>
          <cell r="N431" t="str">
            <v>N/A</v>
          </cell>
          <cell r="O431">
            <v>45405</v>
          </cell>
          <cell r="P431">
            <v>0</v>
          </cell>
          <cell r="Q431">
            <v>0</v>
          </cell>
          <cell r="R431">
            <v>0</v>
          </cell>
          <cell r="S431" t="str">
            <v>N/A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e">
            <v>#N/A</v>
          </cell>
          <cell r="Y431">
            <v>0</v>
          </cell>
          <cell r="Z431">
            <v>0</v>
          </cell>
          <cell r="AA431">
            <v>20179</v>
          </cell>
          <cell r="AB431">
            <v>0</v>
          </cell>
          <cell r="AC431">
            <v>20179</v>
          </cell>
          <cell r="AD431">
            <v>20175</v>
          </cell>
          <cell r="AE431">
            <v>0</v>
          </cell>
          <cell r="AF431">
            <v>20175</v>
          </cell>
          <cell r="AG431" t="str">
            <v>ENGR. MICHAEL C. SALARDA
MS. LEONARDA M. LATOR
MS. CARMENCITA VALDEZ
MS. SORAYA P. VERGARA</v>
          </cell>
          <cell r="AH431" t="str">
            <v>N/A</v>
          </cell>
          <cell r="AI431" t="str">
            <v>N/A</v>
          </cell>
          <cell r="AJ431" t="str">
            <v>N/A</v>
          </cell>
          <cell r="AK431" t="str">
            <v>N/A</v>
          </cell>
          <cell r="AL431" t="str">
            <v>N/A</v>
          </cell>
          <cell r="AM431" t="str">
            <v>N/A</v>
          </cell>
          <cell r="AN431">
            <v>0</v>
          </cell>
          <cell r="AO431">
            <v>0</v>
          </cell>
        </row>
        <row r="432">
          <cell r="A432" t="str">
            <v>24-1453</v>
          </cell>
          <cell r="B432" t="str">
            <v>PORTABLE SOUND SYSTEM</v>
          </cell>
          <cell r="C432" t="str">
            <v>PGO</v>
          </cell>
          <cell r="D432" t="str">
            <v>No</v>
          </cell>
          <cell r="E432" t="str">
            <v>NP-53.9 - Small Value Procurement</v>
          </cell>
          <cell r="F432" t="str">
            <v>N/A</v>
          </cell>
          <cell r="G432">
            <v>45376</v>
          </cell>
          <cell r="H432">
            <v>0</v>
          </cell>
          <cell r="I432" t="str">
            <v>N/A</v>
          </cell>
          <cell r="J432">
            <v>45398</v>
          </cell>
          <cell r="K432">
            <v>45398</v>
          </cell>
          <cell r="L432">
            <v>0</v>
          </cell>
          <cell r="M432" t="str">
            <v>N/A</v>
          </cell>
          <cell r="N432" t="str">
            <v>N/A</v>
          </cell>
          <cell r="O432">
            <v>45405</v>
          </cell>
          <cell r="P432">
            <v>0</v>
          </cell>
          <cell r="Q432">
            <v>0</v>
          </cell>
          <cell r="R432">
            <v>0</v>
          </cell>
          <cell r="S432" t="str">
            <v>N/A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 t="e">
            <v>#N/A</v>
          </cell>
          <cell r="Y432">
            <v>0</v>
          </cell>
          <cell r="Z432">
            <v>0</v>
          </cell>
          <cell r="AA432">
            <v>31518</v>
          </cell>
          <cell r="AB432">
            <v>0</v>
          </cell>
          <cell r="AC432">
            <v>31518</v>
          </cell>
          <cell r="AD432">
            <v>31500</v>
          </cell>
          <cell r="AE432">
            <v>0</v>
          </cell>
          <cell r="AF432">
            <v>31500</v>
          </cell>
          <cell r="AG432" t="str">
            <v>ENGR. MICHAEL C. SALARDA
MS. LEONARDA M. LATOR
MS. CARMENCITA VALDEZ
MS. SORAYA P. VERGARA</v>
          </cell>
          <cell r="AH432" t="str">
            <v>N/A</v>
          </cell>
          <cell r="AI432" t="str">
            <v>N/A</v>
          </cell>
          <cell r="AJ432" t="str">
            <v>N/A</v>
          </cell>
          <cell r="AK432" t="str">
            <v>N/A</v>
          </cell>
          <cell r="AL432" t="str">
            <v>N/A</v>
          </cell>
          <cell r="AM432" t="str">
            <v>N/A</v>
          </cell>
          <cell r="AN432">
            <v>0</v>
          </cell>
          <cell r="AO432">
            <v>0</v>
          </cell>
        </row>
        <row r="433">
          <cell r="A433" t="str">
            <v>24-1594</v>
          </cell>
          <cell r="B433" t="str">
            <v>ELECTRIC HAND DRILL</v>
          </cell>
          <cell r="C433" t="str">
            <v>PGSO</v>
          </cell>
          <cell r="D433" t="str">
            <v>No</v>
          </cell>
          <cell r="E433" t="str">
            <v>NP-53.9 - Small Value Procurement</v>
          </cell>
          <cell r="F433">
            <v>45370</v>
          </cell>
          <cell r="G433">
            <v>45376</v>
          </cell>
          <cell r="H433">
            <v>0</v>
          </cell>
          <cell r="I433" t="str">
            <v>N/A</v>
          </cell>
          <cell r="J433">
            <v>45398</v>
          </cell>
          <cell r="K433">
            <v>45398</v>
          </cell>
          <cell r="L433">
            <v>0</v>
          </cell>
          <cell r="M433" t="str">
            <v>N/A</v>
          </cell>
          <cell r="N433" t="str">
            <v>N/A</v>
          </cell>
          <cell r="O433">
            <v>45405</v>
          </cell>
          <cell r="P433">
            <v>0</v>
          </cell>
          <cell r="Q433">
            <v>0</v>
          </cell>
          <cell r="R433">
            <v>0</v>
          </cell>
          <cell r="S433" t="str">
            <v>N/A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 t="e">
            <v>#N/A</v>
          </cell>
          <cell r="Y433">
            <v>0</v>
          </cell>
          <cell r="Z433">
            <v>0</v>
          </cell>
          <cell r="AA433">
            <v>10720</v>
          </cell>
          <cell r="AB433">
            <v>0</v>
          </cell>
          <cell r="AC433">
            <v>10720</v>
          </cell>
          <cell r="AD433">
            <v>10710</v>
          </cell>
          <cell r="AE433">
            <v>0</v>
          </cell>
          <cell r="AF433">
            <v>10710</v>
          </cell>
          <cell r="AG433" t="str">
            <v>ENGR. MICHAEL C. SALARDA
MS. LEONARDA M. LATOR
MS. CARMENCITA VALDEZ
MS. SORAYA P. VERGARA</v>
          </cell>
          <cell r="AH433" t="str">
            <v>N/A</v>
          </cell>
          <cell r="AI433" t="str">
            <v>N/A</v>
          </cell>
          <cell r="AJ433" t="str">
            <v>N/A</v>
          </cell>
          <cell r="AK433" t="str">
            <v>N/A</v>
          </cell>
          <cell r="AL433" t="str">
            <v>N/A</v>
          </cell>
          <cell r="AM433" t="str">
            <v>N/A</v>
          </cell>
          <cell r="AN433">
            <v>0</v>
          </cell>
          <cell r="AO433">
            <v>0</v>
          </cell>
        </row>
        <row r="434">
          <cell r="A434" t="str">
            <v>24-0464</v>
          </cell>
          <cell r="B434" t="str">
            <v>BACK PACK</v>
          </cell>
          <cell r="C434" t="str">
            <v>PGO</v>
          </cell>
          <cell r="D434" t="str">
            <v>No</v>
          </cell>
          <cell r="E434" t="str">
            <v>NP-53.9 - Small Value Procurement</v>
          </cell>
          <cell r="F434" t="str">
            <v>N/A</v>
          </cell>
          <cell r="G434">
            <v>45376</v>
          </cell>
          <cell r="H434">
            <v>0</v>
          </cell>
          <cell r="I434" t="str">
            <v>N/A</v>
          </cell>
          <cell r="J434">
            <v>45398</v>
          </cell>
          <cell r="K434">
            <v>45398</v>
          </cell>
          <cell r="L434">
            <v>0</v>
          </cell>
          <cell r="M434" t="str">
            <v>N/A</v>
          </cell>
          <cell r="N434" t="str">
            <v>N/A</v>
          </cell>
          <cell r="O434">
            <v>45405</v>
          </cell>
          <cell r="P434">
            <v>0</v>
          </cell>
          <cell r="Q434">
            <v>0</v>
          </cell>
          <cell r="R434">
            <v>0</v>
          </cell>
          <cell r="S434" t="str">
            <v>N/A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 t="e">
            <v>#N/A</v>
          </cell>
          <cell r="Y434">
            <v>0</v>
          </cell>
          <cell r="Z434">
            <v>0</v>
          </cell>
          <cell r="AA434">
            <v>34500</v>
          </cell>
          <cell r="AB434">
            <v>0</v>
          </cell>
          <cell r="AC434">
            <v>34500</v>
          </cell>
          <cell r="AD434">
            <v>34500</v>
          </cell>
          <cell r="AE434">
            <v>0</v>
          </cell>
          <cell r="AF434">
            <v>34500</v>
          </cell>
          <cell r="AG434" t="str">
            <v>ENGR. MICHAEL C. SALARDA
MS. LEONARDA M. LATOR
MS. CARMENCITA VALDEZ
MS. SORAYA P. VERGARA</v>
          </cell>
          <cell r="AH434" t="str">
            <v>N/A</v>
          </cell>
          <cell r="AI434" t="str">
            <v>N/A</v>
          </cell>
          <cell r="AJ434" t="str">
            <v>N/A</v>
          </cell>
          <cell r="AK434" t="str">
            <v>N/A</v>
          </cell>
          <cell r="AL434" t="str">
            <v>N/A</v>
          </cell>
          <cell r="AM434" t="str">
            <v>N/A</v>
          </cell>
          <cell r="AN434">
            <v>0</v>
          </cell>
          <cell r="AO434">
            <v>0</v>
          </cell>
        </row>
        <row r="435">
          <cell r="A435" t="str">
            <v>24-1677</v>
          </cell>
          <cell r="B435" t="str">
            <v>MONITOR, COMPUTER</v>
          </cell>
          <cell r="C435" t="str">
            <v>PTO</v>
          </cell>
          <cell r="D435" t="str">
            <v>No</v>
          </cell>
          <cell r="E435" t="str">
            <v>NP-53.9 - Small Value Procurement</v>
          </cell>
          <cell r="F435" t="str">
            <v>N/A</v>
          </cell>
          <cell r="G435">
            <v>45376</v>
          </cell>
          <cell r="H435">
            <v>0</v>
          </cell>
          <cell r="I435" t="str">
            <v>N/A</v>
          </cell>
          <cell r="J435">
            <v>45398</v>
          </cell>
          <cell r="K435">
            <v>45398</v>
          </cell>
          <cell r="L435">
            <v>0</v>
          </cell>
          <cell r="M435" t="str">
            <v>N/A</v>
          </cell>
          <cell r="N435" t="str">
            <v>N/A</v>
          </cell>
          <cell r="O435">
            <v>45405</v>
          </cell>
          <cell r="P435">
            <v>0</v>
          </cell>
          <cell r="Q435">
            <v>0</v>
          </cell>
          <cell r="R435">
            <v>0</v>
          </cell>
          <cell r="S435" t="str">
            <v>N/A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 t="e">
            <v>#N/A</v>
          </cell>
          <cell r="Y435">
            <v>0</v>
          </cell>
          <cell r="Z435">
            <v>0</v>
          </cell>
          <cell r="AA435">
            <v>7500</v>
          </cell>
          <cell r="AB435">
            <v>0</v>
          </cell>
          <cell r="AC435">
            <v>7500</v>
          </cell>
          <cell r="AD435">
            <v>7500</v>
          </cell>
          <cell r="AE435">
            <v>0</v>
          </cell>
          <cell r="AF435">
            <v>7500</v>
          </cell>
          <cell r="AG435" t="str">
            <v>ENGR. MICHAEL C. SALARDA
MS. LEONARDA M. LATOR
MS. CARMENCITA VALDEZ
MS. SORAYA P. VERGARA</v>
          </cell>
          <cell r="AH435" t="str">
            <v>N/A</v>
          </cell>
          <cell r="AI435" t="str">
            <v>N/A</v>
          </cell>
          <cell r="AJ435" t="str">
            <v>N/A</v>
          </cell>
          <cell r="AK435" t="str">
            <v>N/A</v>
          </cell>
          <cell r="AL435" t="str">
            <v>N/A</v>
          </cell>
          <cell r="AM435" t="str">
            <v>N/A</v>
          </cell>
          <cell r="AN435">
            <v>0</v>
          </cell>
          <cell r="AO435">
            <v>0</v>
          </cell>
        </row>
        <row r="436">
          <cell r="A436" t="str">
            <v>24-1123</v>
          </cell>
          <cell r="B436" t="str">
            <v>WEIGHING SCALE</v>
          </cell>
          <cell r="C436" t="str">
            <v>PHO</v>
          </cell>
          <cell r="D436" t="str">
            <v>No</v>
          </cell>
          <cell r="E436" t="str">
            <v>NP-53.9 - Small Value Procurement</v>
          </cell>
          <cell r="F436" t="str">
            <v>N/A</v>
          </cell>
          <cell r="G436">
            <v>45376</v>
          </cell>
          <cell r="H436">
            <v>0</v>
          </cell>
          <cell r="I436" t="str">
            <v>N/A</v>
          </cell>
          <cell r="J436">
            <v>45398</v>
          </cell>
          <cell r="K436">
            <v>45398</v>
          </cell>
          <cell r="L436">
            <v>0</v>
          </cell>
          <cell r="M436" t="str">
            <v>N/A</v>
          </cell>
          <cell r="N436" t="str">
            <v>N/A</v>
          </cell>
          <cell r="O436">
            <v>45405</v>
          </cell>
          <cell r="P436">
            <v>0</v>
          </cell>
          <cell r="Q436">
            <v>0</v>
          </cell>
          <cell r="R436">
            <v>0</v>
          </cell>
          <cell r="S436" t="str">
            <v>N/A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 t="e">
            <v>#N/A</v>
          </cell>
          <cell r="Y436">
            <v>0</v>
          </cell>
          <cell r="Z436">
            <v>0</v>
          </cell>
          <cell r="AA436">
            <v>570</v>
          </cell>
          <cell r="AB436">
            <v>0</v>
          </cell>
          <cell r="AC436">
            <v>570</v>
          </cell>
          <cell r="AD436">
            <v>570</v>
          </cell>
          <cell r="AE436">
            <v>0</v>
          </cell>
          <cell r="AF436">
            <v>570</v>
          </cell>
          <cell r="AG436" t="str">
            <v>ENGR. MICHAEL C. SALARDA
MS. LEONARDA M. LATOR
MS. CARMENCITA VALDEZ
MS. SORAYA P. VERGARA</v>
          </cell>
          <cell r="AH436" t="str">
            <v>N/A</v>
          </cell>
          <cell r="AI436" t="str">
            <v>N/A</v>
          </cell>
          <cell r="AJ436" t="str">
            <v>N/A</v>
          </cell>
          <cell r="AK436" t="str">
            <v>N/A</v>
          </cell>
          <cell r="AL436" t="str">
            <v>N/A</v>
          </cell>
          <cell r="AM436" t="str">
            <v>N/A</v>
          </cell>
          <cell r="AN436">
            <v>0</v>
          </cell>
          <cell r="AO436">
            <v>0</v>
          </cell>
        </row>
        <row r="437">
          <cell r="A437" t="str">
            <v>24-1988</v>
          </cell>
          <cell r="B437" t="str">
            <v>WIRE, EXTENSION WITH HANDLE</v>
          </cell>
          <cell r="C437" t="str">
            <v>PDRRMO</v>
          </cell>
          <cell r="D437" t="str">
            <v>No</v>
          </cell>
          <cell r="E437" t="str">
            <v>NP-53.9 - Small Value Procurement</v>
          </cell>
          <cell r="F437" t="str">
            <v>N/A</v>
          </cell>
          <cell r="G437">
            <v>45376</v>
          </cell>
          <cell r="H437">
            <v>0</v>
          </cell>
          <cell r="I437" t="str">
            <v>N/A</v>
          </cell>
          <cell r="J437">
            <v>45398</v>
          </cell>
          <cell r="K437">
            <v>45398</v>
          </cell>
          <cell r="L437">
            <v>0</v>
          </cell>
          <cell r="M437" t="str">
            <v>N/A</v>
          </cell>
          <cell r="N437" t="str">
            <v>N/A</v>
          </cell>
          <cell r="O437">
            <v>45405</v>
          </cell>
          <cell r="P437">
            <v>0</v>
          </cell>
          <cell r="Q437">
            <v>0</v>
          </cell>
          <cell r="R437">
            <v>0</v>
          </cell>
          <cell r="S437" t="str">
            <v>N/A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 t="e">
            <v>#N/A</v>
          </cell>
          <cell r="Y437">
            <v>0</v>
          </cell>
          <cell r="Z437">
            <v>0</v>
          </cell>
          <cell r="AA437">
            <v>5280</v>
          </cell>
          <cell r="AB437">
            <v>0</v>
          </cell>
          <cell r="AC437">
            <v>5280</v>
          </cell>
          <cell r="AD437">
            <v>5268</v>
          </cell>
          <cell r="AE437">
            <v>0</v>
          </cell>
          <cell r="AF437">
            <v>5268</v>
          </cell>
          <cell r="AG437" t="str">
            <v>ENGR. MICHAEL C. SALARDA
MS. LEONARDA M. LATOR
MS. CARMENCITA VALDEZ
MS. SORAYA P. VERGARA</v>
          </cell>
          <cell r="AH437" t="str">
            <v>N/A</v>
          </cell>
          <cell r="AI437" t="str">
            <v>N/A</v>
          </cell>
          <cell r="AJ437" t="str">
            <v>N/A</v>
          </cell>
          <cell r="AK437" t="str">
            <v>N/A</v>
          </cell>
          <cell r="AL437" t="str">
            <v>N/A</v>
          </cell>
          <cell r="AM437" t="str">
            <v>N/A</v>
          </cell>
          <cell r="AN437">
            <v>0</v>
          </cell>
          <cell r="AO437">
            <v>0</v>
          </cell>
        </row>
        <row r="438">
          <cell r="A438" t="str">
            <v>24-2147</v>
          </cell>
          <cell r="B438" t="str">
            <v>BEEF LOAF</v>
          </cell>
          <cell r="C438" t="str">
            <v>PGO</v>
          </cell>
          <cell r="D438" t="str">
            <v>No</v>
          </cell>
          <cell r="E438" t="str">
            <v>NP-53.9 - Small Value Procurement</v>
          </cell>
          <cell r="F438" t="str">
            <v>N/A</v>
          </cell>
          <cell r="G438">
            <v>45384</v>
          </cell>
          <cell r="H438">
            <v>0</v>
          </cell>
          <cell r="I438" t="str">
            <v>N/A</v>
          </cell>
          <cell r="J438">
            <v>45398</v>
          </cell>
          <cell r="K438">
            <v>45398</v>
          </cell>
          <cell r="L438">
            <v>0</v>
          </cell>
          <cell r="M438" t="str">
            <v>N/A</v>
          </cell>
          <cell r="N438" t="str">
            <v>N/A</v>
          </cell>
          <cell r="O438">
            <v>45405</v>
          </cell>
          <cell r="P438">
            <v>0</v>
          </cell>
          <cell r="Q438">
            <v>0</v>
          </cell>
          <cell r="R438">
            <v>0</v>
          </cell>
          <cell r="S438" t="str">
            <v>N/A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 t="e">
            <v>#N/A</v>
          </cell>
          <cell r="Y438">
            <v>0</v>
          </cell>
          <cell r="Z438">
            <v>0</v>
          </cell>
          <cell r="AA438">
            <v>3740</v>
          </cell>
          <cell r="AB438">
            <v>0</v>
          </cell>
          <cell r="AC438">
            <v>3740</v>
          </cell>
          <cell r="AD438">
            <v>3730</v>
          </cell>
          <cell r="AE438">
            <v>0</v>
          </cell>
          <cell r="AF438">
            <v>3730</v>
          </cell>
          <cell r="AG438" t="str">
            <v>ENGR. MICHAEL C. SALARDA
MS. LEONARDA M. LATOR
MS. CARMENCITA VALDEZ
MS. SORAYA P. VERGARA</v>
          </cell>
          <cell r="AH438" t="str">
            <v>N/A</v>
          </cell>
          <cell r="AI438" t="str">
            <v>N/A</v>
          </cell>
          <cell r="AJ438" t="str">
            <v>N/A</v>
          </cell>
          <cell r="AK438" t="str">
            <v>N/A</v>
          </cell>
          <cell r="AL438" t="str">
            <v>N/A</v>
          </cell>
          <cell r="AM438" t="str">
            <v>N/A</v>
          </cell>
          <cell r="AN438">
            <v>0</v>
          </cell>
          <cell r="AO438">
            <v>0</v>
          </cell>
        </row>
        <row r="439">
          <cell r="A439" t="str">
            <v>24-1948</v>
          </cell>
          <cell r="B439" t="str">
            <v>LIQUID NITROGEN</v>
          </cell>
          <cell r="C439" t="str">
            <v>PVO</v>
          </cell>
          <cell r="D439" t="str">
            <v>No</v>
          </cell>
          <cell r="E439" t="str">
            <v>NP-53.9 - Small Value Procurement</v>
          </cell>
          <cell r="F439">
            <v>45373</v>
          </cell>
          <cell r="G439">
            <v>45384</v>
          </cell>
          <cell r="H439">
            <v>0</v>
          </cell>
          <cell r="I439" t="str">
            <v>N/A</v>
          </cell>
          <cell r="J439">
            <v>45398</v>
          </cell>
          <cell r="K439">
            <v>45398</v>
          </cell>
          <cell r="L439">
            <v>0</v>
          </cell>
          <cell r="M439" t="str">
            <v>N/A</v>
          </cell>
          <cell r="N439" t="str">
            <v>N/A</v>
          </cell>
          <cell r="O439">
            <v>45405</v>
          </cell>
          <cell r="P439">
            <v>0</v>
          </cell>
          <cell r="Q439">
            <v>0</v>
          </cell>
          <cell r="R439">
            <v>0</v>
          </cell>
          <cell r="S439" t="str">
            <v>N/A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 t="e">
            <v>#N/A</v>
          </cell>
          <cell r="Y439">
            <v>0</v>
          </cell>
          <cell r="Z439">
            <v>0</v>
          </cell>
          <cell r="AA439">
            <v>26400</v>
          </cell>
          <cell r="AB439">
            <v>0</v>
          </cell>
          <cell r="AC439">
            <v>26400</v>
          </cell>
          <cell r="AD439">
            <v>26080</v>
          </cell>
          <cell r="AE439">
            <v>0</v>
          </cell>
          <cell r="AF439">
            <v>26080</v>
          </cell>
          <cell r="AG439" t="str">
            <v>ENGR. MICHAEL C. SALARDA
MS. LEONARDA M. LATOR
MS. CARMENCITA VALDEZ
MS. SORAYA P. VERGARA</v>
          </cell>
          <cell r="AH439" t="str">
            <v>N/A</v>
          </cell>
          <cell r="AI439" t="str">
            <v>N/A</v>
          </cell>
          <cell r="AJ439" t="str">
            <v>N/A</v>
          </cell>
          <cell r="AK439" t="str">
            <v>N/A</v>
          </cell>
          <cell r="AL439" t="str">
            <v>N/A</v>
          </cell>
          <cell r="AM439" t="str">
            <v>N/A</v>
          </cell>
          <cell r="AN439">
            <v>0</v>
          </cell>
          <cell r="AO439">
            <v>0</v>
          </cell>
        </row>
        <row r="440">
          <cell r="A440" t="str">
            <v>24-1352</v>
          </cell>
          <cell r="B440" t="str">
            <v>HELMET, FULL FACED AND RAIN COAT</v>
          </cell>
          <cell r="C440" t="str">
            <v>PGO</v>
          </cell>
          <cell r="D440" t="str">
            <v>No</v>
          </cell>
          <cell r="E440" t="str">
            <v>NP-53.9 - Small Value Procurement</v>
          </cell>
          <cell r="F440" t="str">
            <v>N/A</v>
          </cell>
          <cell r="G440">
            <v>45376</v>
          </cell>
          <cell r="H440">
            <v>0</v>
          </cell>
          <cell r="I440" t="str">
            <v>N/A</v>
          </cell>
          <cell r="J440">
            <v>45398</v>
          </cell>
          <cell r="K440">
            <v>45398</v>
          </cell>
          <cell r="L440">
            <v>0</v>
          </cell>
          <cell r="M440" t="str">
            <v>N/A</v>
          </cell>
          <cell r="N440" t="str">
            <v>N/A</v>
          </cell>
          <cell r="O440">
            <v>45405</v>
          </cell>
          <cell r="P440">
            <v>0</v>
          </cell>
          <cell r="Q440">
            <v>0</v>
          </cell>
          <cell r="R440">
            <v>0</v>
          </cell>
          <cell r="S440" t="str">
            <v>N/A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 t="e">
            <v>#N/A</v>
          </cell>
          <cell r="Y440">
            <v>0</v>
          </cell>
          <cell r="Z440">
            <v>0</v>
          </cell>
          <cell r="AA440">
            <v>13400</v>
          </cell>
          <cell r="AB440">
            <v>0</v>
          </cell>
          <cell r="AC440">
            <v>13400</v>
          </cell>
          <cell r="AD440">
            <v>13400</v>
          </cell>
          <cell r="AE440">
            <v>0</v>
          </cell>
          <cell r="AF440">
            <v>13400</v>
          </cell>
          <cell r="AG440" t="str">
            <v>ENGR. MICHAEL C. SALARDA
MS. LEONARDA M. LATOR
MS. CARMENCITA VALDEZ
MS. SORAYA P. VERGARA</v>
          </cell>
          <cell r="AH440" t="str">
            <v>N/A</v>
          </cell>
          <cell r="AI440" t="str">
            <v>N/A</v>
          </cell>
          <cell r="AJ440" t="str">
            <v>N/A</v>
          </cell>
          <cell r="AK440" t="str">
            <v>N/A</v>
          </cell>
          <cell r="AL440" t="str">
            <v>N/A</v>
          </cell>
          <cell r="AM440" t="str">
            <v>N/A</v>
          </cell>
          <cell r="AN440">
            <v>0</v>
          </cell>
          <cell r="AO440">
            <v>0</v>
          </cell>
        </row>
        <row r="441">
          <cell r="A441" t="str">
            <v>24-C1207</v>
          </cell>
          <cell r="B441" t="str">
            <v>ACCESSORIES &amp; DECORATION</v>
          </cell>
          <cell r="C441" t="str">
            <v>PAO</v>
          </cell>
          <cell r="D441" t="str">
            <v>No</v>
          </cell>
          <cell r="E441" t="str">
            <v>NP-53.9 - Small Value Procurement</v>
          </cell>
          <cell r="F441" t="str">
            <v>N/A</v>
          </cell>
          <cell r="G441">
            <v>45376</v>
          </cell>
          <cell r="H441">
            <v>0</v>
          </cell>
          <cell r="I441" t="str">
            <v>N/A</v>
          </cell>
          <cell r="J441">
            <v>45398</v>
          </cell>
          <cell r="K441">
            <v>45398</v>
          </cell>
          <cell r="L441">
            <v>0</v>
          </cell>
          <cell r="M441" t="str">
            <v>N/A</v>
          </cell>
          <cell r="N441" t="str">
            <v>N/A</v>
          </cell>
          <cell r="O441">
            <v>45405</v>
          </cell>
          <cell r="P441">
            <v>0</v>
          </cell>
          <cell r="Q441">
            <v>0</v>
          </cell>
          <cell r="R441">
            <v>0</v>
          </cell>
          <cell r="S441" t="str">
            <v>N/A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45433</v>
          </cell>
          <cell r="Y441">
            <v>0</v>
          </cell>
          <cell r="Z441">
            <v>0</v>
          </cell>
          <cell r="AA441">
            <v>5898</v>
          </cell>
          <cell r="AB441">
            <v>0</v>
          </cell>
          <cell r="AC441">
            <v>5898</v>
          </cell>
          <cell r="AD441">
            <v>5820</v>
          </cell>
          <cell r="AE441">
            <v>0</v>
          </cell>
          <cell r="AF441">
            <v>5820</v>
          </cell>
          <cell r="AG441" t="str">
            <v>ENGR. MICHAEL C. SALARDA
MS. LEONARDA M. LATOR
MS. CARMENCITA VALDEZ
MS. SORAYA P. VERGARA</v>
          </cell>
          <cell r="AH441" t="str">
            <v>N/A</v>
          </cell>
          <cell r="AI441" t="str">
            <v>N/A</v>
          </cell>
          <cell r="AJ441" t="str">
            <v>N/A</v>
          </cell>
          <cell r="AK441" t="str">
            <v>N/A</v>
          </cell>
          <cell r="AL441" t="str">
            <v>N/A</v>
          </cell>
          <cell r="AM441" t="str">
            <v>N/A</v>
          </cell>
          <cell r="AN441">
            <v>0</v>
          </cell>
          <cell r="AO441">
            <v>0</v>
          </cell>
        </row>
        <row r="442">
          <cell r="A442" t="str">
            <v>24-C1262</v>
          </cell>
          <cell r="B442" t="str">
            <v>BOX, STORAGE, WHISTLE</v>
          </cell>
          <cell r="C442" t="str">
            <v>PENRO</v>
          </cell>
          <cell r="D442" t="str">
            <v>No</v>
          </cell>
          <cell r="E442" t="str">
            <v>NP-53.9 - Small Value Procurement</v>
          </cell>
          <cell r="F442" t="str">
            <v>N/A</v>
          </cell>
          <cell r="G442">
            <v>45384</v>
          </cell>
          <cell r="H442">
            <v>0</v>
          </cell>
          <cell r="I442" t="str">
            <v>N/A</v>
          </cell>
          <cell r="J442">
            <v>45398</v>
          </cell>
          <cell r="K442">
            <v>45398</v>
          </cell>
          <cell r="L442">
            <v>0</v>
          </cell>
          <cell r="M442" t="str">
            <v>N/A</v>
          </cell>
          <cell r="N442" t="str">
            <v>N/A</v>
          </cell>
          <cell r="O442">
            <v>45405</v>
          </cell>
          <cell r="P442">
            <v>0</v>
          </cell>
          <cell r="Q442">
            <v>0</v>
          </cell>
          <cell r="R442">
            <v>0</v>
          </cell>
          <cell r="S442" t="str">
            <v>N/A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45425</v>
          </cell>
          <cell r="Y442">
            <v>0</v>
          </cell>
          <cell r="Z442">
            <v>0</v>
          </cell>
          <cell r="AA442">
            <v>9860</v>
          </cell>
          <cell r="AB442">
            <v>0</v>
          </cell>
          <cell r="AC442">
            <v>9860</v>
          </cell>
          <cell r="AD442">
            <v>9768</v>
          </cell>
          <cell r="AE442">
            <v>0</v>
          </cell>
          <cell r="AF442">
            <v>9768</v>
          </cell>
          <cell r="AG442" t="str">
            <v>ENGR. MICHAEL C. SALARDA
MS. LEONARDA M. LATOR
MS. CARMENCITA VALDEZ
MS. SORAYA P. VERGARA</v>
          </cell>
          <cell r="AH442" t="str">
            <v>N/A</v>
          </cell>
          <cell r="AI442" t="str">
            <v>N/A</v>
          </cell>
          <cell r="AJ442" t="str">
            <v>N/A</v>
          </cell>
          <cell r="AK442" t="str">
            <v>N/A</v>
          </cell>
          <cell r="AL442" t="str">
            <v>N/A</v>
          </cell>
          <cell r="AM442" t="str">
            <v>N/A</v>
          </cell>
          <cell r="AN442">
            <v>0</v>
          </cell>
          <cell r="AO442">
            <v>0</v>
          </cell>
        </row>
        <row r="443">
          <cell r="A443" t="str">
            <v>24-0865</v>
          </cell>
          <cell r="B443" t="str">
            <v>EXTERNAL HDD</v>
          </cell>
          <cell r="C443" t="str">
            <v>PAGRO</v>
          </cell>
          <cell r="D443" t="str">
            <v>No</v>
          </cell>
          <cell r="E443" t="str">
            <v>NP-53.9 - Small Value Procurement</v>
          </cell>
          <cell r="F443">
            <v>45373</v>
          </cell>
          <cell r="G443">
            <v>45384</v>
          </cell>
          <cell r="H443">
            <v>0</v>
          </cell>
          <cell r="I443" t="str">
            <v>N/A</v>
          </cell>
          <cell r="J443">
            <v>45398</v>
          </cell>
          <cell r="K443">
            <v>45398</v>
          </cell>
          <cell r="L443">
            <v>0</v>
          </cell>
          <cell r="M443" t="str">
            <v>N/A</v>
          </cell>
          <cell r="N443" t="str">
            <v>N/A</v>
          </cell>
          <cell r="O443">
            <v>45405</v>
          </cell>
          <cell r="P443">
            <v>0</v>
          </cell>
          <cell r="Q443">
            <v>0</v>
          </cell>
          <cell r="R443">
            <v>0</v>
          </cell>
          <cell r="S443" t="str">
            <v>N/A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6000</v>
          </cell>
          <cell r="AB443">
            <v>0</v>
          </cell>
          <cell r="AC443">
            <v>6000</v>
          </cell>
          <cell r="AD443">
            <v>5985</v>
          </cell>
          <cell r="AE443">
            <v>0</v>
          </cell>
          <cell r="AF443">
            <v>5985</v>
          </cell>
          <cell r="AG443" t="str">
            <v>ENGR. MICHAEL C. SALARDA
MS. LEONARDA M. LATOR
MS. CARMENCITA VALDEZ
MS. SORAYA P. VERGARA</v>
          </cell>
          <cell r="AH443" t="str">
            <v>N/A</v>
          </cell>
          <cell r="AI443" t="str">
            <v>N/A</v>
          </cell>
          <cell r="AJ443" t="str">
            <v>N/A</v>
          </cell>
          <cell r="AK443" t="str">
            <v>N/A</v>
          </cell>
          <cell r="AL443" t="str">
            <v>N/A</v>
          </cell>
          <cell r="AM443" t="str">
            <v>N/A</v>
          </cell>
          <cell r="AN443">
            <v>0</v>
          </cell>
          <cell r="AO443">
            <v>0</v>
          </cell>
        </row>
        <row r="444">
          <cell r="A444" t="str">
            <v>24-C1185</v>
          </cell>
          <cell r="B444" t="str">
            <v>MEDICAL SUPPLIES</v>
          </cell>
          <cell r="C444" t="str">
            <v>PHO</v>
          </cell>
          <cell r="D444" t="str">
            <v>No</v>
          </cell>
          <cell r="E444" t="str">
            <v>NP-53.9 - Small Value Procurement</v>
          </cell>
          <cell r="F444" t="str">
            <v>N/A</v>
          </cell>
          <cell r="G444">
            <v>45371</v>
          </cell>
          <cell r="H444">
            <v>0</v>
          </cell>
          <cell r="I444" t="str">
            <v>N/A</v>
          </cell>
          <cell r="J444">
            <v>45398</v>
          </cell>
          <cell r="K444">
            <v>45398</v>
          </cell>
          <cell r="L444">
            <v>0</v>
          </cell>
          <cell r="M444" t="str">
            <v>N/A</v>
          </cell>
          <cell r="N444" t="str">
            <v>N/A</v>
          </cell>
          <cell r="O444">
            <v>45405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45421</v>
          </cell>
          <cell r="Y444">
            <v>0</v>
          </cell>
          <cell r="Z444">
            <v>0</v>
          </cell>
          <cell r="AA444">
            <v>209117</v>
          </cell>
          <cell r="AB444">
            <v>0</v>
          </cell>
          <cell r="AC444">
            <v>209117</v>
          </cell>
          <cell r="AD444">
            <v>208957</v>
          </cell>
          <cell r="AE444">
            <v>0</v>
          </cell>
          <cell r="AF444">
            <v>208957</v>
          </cell>
          <cell r="AG444" t="str">
            <v>ENGR. MICHAEL C. SALARDA
MS. LEONARDA M. LATOR
MS. CARMENCITA VALDEZ
MS. SORAYA P. VERGARA</v>
          </cell>
          <cell r="AH444" t="str">
            <v>N/A</v>
          </cell>
          <cell r="AI444" t="str">
            <v>N/A</v>
          </cell>
          <cell r="AJ444" t="str">
            <v>N/A</v>
          </cell>
          <cell r="AK444" t="str">
            <v>N/A</v>
          </cell>
          <cell r="AL444" t="str">
            <v>N/A</v>
          </cell>
          <cell r="AM444" t="str">
            <v>N/A</v>
          </cell>
          <cell r="AN444">
            <v>0</v>
          </cell>
          <cell r="AO444">
            <v>0</v>
          </cell>
        </row>
        <row r="445">
          <cell r="A445" t="str">
            <v>24-2010</v>
          </cell>
          <cell r="B445" t="str">
            <v>CHICK EMBRO CELL</v>
          </cell>
          <cell r="C445" t="str">
            <v>PVO</v>
          </cell>
          <cell r="D445" t="str">
            <v>No</v>
          </cell>
          <cell r="E445" t="str">
            <v>NP-53.9 - Small Value Procurement</v>
          </cell>
          <cell r="F445" t="str">
            <v>N/A</v>
          </cell>
          <cell r="G445">
            <v>45376</v>
          </cell>
          <cell r="H445">
            <v>0</v>
          </cell>
          <cell r="I445" t="str">
            <v>N/A</v>
          </cell>
          <cell r="J445">
            <v>45398</v>
          </cell>
          <cell r="K445">
            <v>45398</v>
          </cell>
          <cell r="L445">
            <v>0</v>
          </cell>
          <cell r="M445" t="str">
            <v>N/A</v>
          </cell>
          <cell r="N445" t="str">
            <v>N/A</v>
          </cell>
          <cell r="O445">
            <v>45405</v>
          </cell>
          <cell r="P445">
            <v>0</v>
          </cell>
          <cell r="Q445">
            <v>0</v>
          </cell>
          <cell r="R445">
            <v>0</v>
          </cell>
          <cell r="S445" t="str">
            <v>N/A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 t="e">
            <v>#N/A</v>
          </cell>
          <cell r="Y445">
            <v>0</v>
          </cell>
          <cell r="Z445">
            <v>0</v>
          </cell>
          <cell r="AA445">
            <v>73600</v>
          </cell>
          <cell r="AB445">
            <v>0</v>
          </cell>
          <cell r="AC445">
            <v>73600</v>
          </cell>
          <cell r="AD445">
            <v>64905.08</v>
          </cell>
          <cell r="AE445">
            <v>0</v>
          </cell>
          <cell r="AF445">
            <v>64905.08</v>
          </cell>
          <cell r="AG445" t="str">
            <v>ENGR. MICHAEL C. SALARDA
MS. LEONARDA M. LATOR
MS. CARMENCITA VALDEZ
MS. SORAYA P. VERGARA</v>
          </cell>
          <cell r="AH445" t="str">
            <v>N/A</v>
          </cell>
          <cell r="AI445" t="str">
            <v>N/A</v>
          </cell>
          <cell r="AJ445" t="str">
            <v>N/A</v>
          </cell>
          <cell r="AK445" t="str">
            <v>N/A</v>
          </cell>
          <cell r="AL445" t="str">
            <v>N/A</v>
          </cell>
          <cell r="AM445" t="str">
            <v>N/A</v>
          </cell>
          <cell r="AN445">
            <v>0</v>
          </cell>
          <cell r="AO445">
            <v>0</v>
          </cell>
        </row>
        <row r="446">
          <cell r="A446" t="str">
            <v>24-1575</v>
          </cell>
          <cell r="B446" t="str">
            <v>JOB OUT-WHEEL ALIGNMENT &amp; WHEEL BALANCING</v>
          </cell>
          <cell r="C446" t="str">
            <v>PGSO</v>
          </cell>
          <cell r="D446" t="str">
            <v>No</v>
          </cell>
          <cell r="E446" t="str">
            <v>NP-53.9 - Small Value Procurement</v>
          </cell>
          <cell r="F446">
            <v>45370</v>
          </cell>
          <cell r="G446">
            <v>45376</v>
          </cell>
          <cell r="H446">
            <v>0</v>
          </cell>
          <cell r="I446" t="str">
            <v>N/A</v>
          </cell>
          <cell r="J446">
            <v>45398</v>
          </cell>
          <cell r="K446">
            <v>45398</v>
          </cell>
          <cell r="L446">
            <v>0</v>
          </cell>
          <cell r="M446" t="str">
            <v>N/A</v>
          </cell>
          <cell r="N446" t="str">
            <v>N/A</v>
          </cell>
          <cell r="O446">
            <v>45405</v>
          </cell>
          <cell r="P446">
            <v>0</v>
          </cell>
          <cell r="Q446">
            <v>0</v>
          </cell>
          <cell r="R446">
            <v>0</v>
          </cell>
          <cell r="S446" t="str">
            <v>N/A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 t="e">
            <v>#N/A</v>
          </cell>
          <cell r="Y446">
            <v>0</v>
          </cell>
          <cell r="Z446">
            <v>0</v>
          </cell>
          <cell r="AA446">
            <v>6300</v>
          </cell>
          <cell r="AB446">
            <v>0</v>
          </cell>
          <cell r="AC446">
            <v>6300</v>
          </cell>
          <cell r="AD446">
            <v>6300</v>
          </cell>
          <cell r="AE446">
            <v>0</v>
          </cell>
          <cell r="AF446">
            <v>6300</v>
          </cell>
          <cell r="AG446" t="str">
            <v>ENGR. MICHAEL C. SALARDA
MS. LEONARDA M. LATOR
MS. CARMENCITA VALDEZ
MS. SORAYA P. VERGARA</v>
          </cell>
          <cell r="AH446" t="str">
            <v>N/A</v>
          </cell>
          <cell r="AI446" t="str">
            <v>N/A</v>
          </cell>
          <cell r="AJ446" t="str">
            <v>N/A</v>
          </cell>
          <cell r="AK446" t="str">
            <v>N/A</v>
          </cell>
          <cell r="AL446" t="str">
            <v>N/A</v>
          </cell>
          <cell r="AM446" t="str">
            <v>N/A</v>
          </cell>
          <cell r="AN446">
            <v>0</v>
          </cell>
          <cell r="AO446">
            <v>0</v>
          </cell>
        </row>
        <row r="447">
          <cell r="A447" t="str">
            <v>24-1353</v>
          </cell>
          <cell r="B447" t="str">
            <v>VETERINARY DRUGS AND BIOLOGICS</v>
          </cell>
          <cell r="C447" t="str">
            <v>PGO</v>
          </cell>
          <cell r="D447" t="str">
            <v>No</v>
          </cell>
          <cell r="E447" t="str">
            <v>NP-53.9 - Small Value Procurement</v>
          </cell>
          <cell r="F447" t="str">
            <v>N/A</v>
          </cell>
          <cell r="G447">
            <v>45376</v>
          </cell>
          <cell r="H447">
            <v>0</v>
          </cell>
          <cell r="I447" t="str">
            <v>N/A</v>
          </cell>
          <cell r="J447">
            <v>45398</v>
          </cell>
          <cell r="K447">
            <v>45398</v>
          </cell>
          <cell r="L447">
            <v>0</v>
          </cell>
          <cell r="M447" t="str">
            <v>N/A</v>
          </cell>
          <cell r="N447" t="str">
            <v>N/A</v>
          </cell>
          <cell r="O447">
            <v>45405</v>
          </cell>
          <cell r="P447">
            <v>0</v>
          </cell>
          <cell r="Q447">
            <v>0</v>
          </cell>
          <cell r="R447">
            <v>0</v>
          </cell>
          <cell r="S447" t="str">
            <v>N/A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 t="e">
            <v>#N/A</v>
          </cell>
          <cell r="Y447">
            <v>0</v>
          </cell>
          <cell r="Z447">
            <v>0</v>
          </cell>
          <cell r="AA447">
            <v>21800</v>
          </cell>
          <cell r="AB447">
            <v>0</v>
          </cell>
          <cell r="AC447">
            <v>21800</v>
          </cell>
          <cell r="AD447">
            <v>20250</v>
          </cell>
          <cell r="AE447">
            <v>0</v>
          </cell>
          <cell r="AF447">
            <v>20250</v>
          </cell>
          <cell r="AG447" t="str">
            <v>ENGR. MICHAEL C. SALARDA
MS. LEONARDA M. LATOR
MS. CARMENCITA VALDEZ
MS. SORAYA P. VERGARA</v>
          </cell>
          <cell r="AH447" t="str">
            <v>N/A</v>
          </cell>
          <cell r="AI447" t="str">
            <v>N/A</v>
          </cell>
          <cell r="AJ447" t="str">
            <v>N/A</v>
          </cell>
          <cell r="AK447" t="str">
            <v>N/A</v>
          </cell>
          <cell r="AL447" t="str">
            <v>N/A</v>
          </cell>
          <cell r="AM447" t="str">
            <v>N/A</v>
          </cell>
          <cell r="AN447">
            <v>0</v>
          </cell>
          <cell r="AO447">
            <v>0</v>
          </cell>
        </row>
        <row r="448">
          <cell r="A448" t="str">
            <v>24-1593</v>
          </cell>
          <cell r="B448" t="str">
            <v>FIRE EXTINGUISHER &amp; REFILL</v>
          </cell>
          <cell r="C448" t="str">
            <v>PGSO</v>
          </cell>
          <cell r="D448" t="str">
            <v>No</v>
          </cell>
          <cell r="E448" t="str">
            <v>NP-53.9 - Small Value Procurement</v>
          </cell>
          <cell r="F448">
            <v>45370</v>
          </cell>
          <cell r="G448">
            <v>45376</v>
          </cell>
          <cell r="H448">
            <v>0</v>
          </cell>
          <cell r="I448" t="str">
            <v>N/A</v>
          </cell>
          <cell r="J448">
            <v>45398</v>
          </cell>
          <cell r="K448">
            <v>45398</v>
          </cell>
          <cell r="L448">
            <v>0</v>
          </cell>
          <cell r="M448" t="str">
            <v>N/A</v>
          </cell>
          <cell r="N448" t="str">
            <v>N/A</v>
          </cell>
          <cell r="O448">
            <v>45405</v>
          </cell>
          <cell r="P448">
            <v>0</v>
          </cell>
          <cell r="Q448">
            <v>0</v>
          </cell>
          <cell r="R448">
            <v>0</v>
          </cell>
          <cell r="S448" t="str">
            <v>N/A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 t="e">
            <v>#N/A</v>
          </cell>
          <cell r="Y448">
            <v>0</v>
          </cell>
          <cell r="Z448">
            <v>0</v>
          </cell>
          <cell r="AA448">
            <v>42845</v>
          </cell>
          <cell r="AB448">
            <v>0</v>
          </cell>
          <cell r="AC448">
            <v>42845</v>
          </cell>
          <cell r="AD448">
            <v>42550</v>
          </cell>
          <cell r="AE448">
            <v>0</v>
          </cell>
          <cell r="AF448">
            <v>42550</v>
          </cell>
          <cell r="AG448" t="str">
            <v>ENGR. MICHAEL C. SALARDA
MS. LEONARDA M. LATOR
MS. CARMENCITA VALDEZ
MS. SORAYA P. VERGARA</v>
          </cell>
          <cell r="AH448" t="str">
            <v>N/A</v>
          </cell>
          <cell r="AI448" t="str">
            <v>N/A</v>
          </cell>
          <cell r="AJ448" t="str">
            <v>N/A</v>
          </cell>
          <cell r="AK448" t="str">
            <v>N/A</v>
          </cell>
          <cell r="AL448" t="str">
            <v>N/A</v>
          </cell>
          <cell r="AM448" t="str">
            <v>N/A</v>
          </cell>
          <cell r="AN448">
            <v>0</v>
          </cell>
          <cell r="AO448">
            <v>0</v>
          </cell>
        </row>
        <row r="449">
          <cell r="A449" t="str">
            <v>24-1871</v>
          </cell>
          <cell r="B449" t="str">
            <v>JANITORIAL SUPPLIES/HOUSEKEEPING</v>
          </cell>
          <cell r="C449" t="str">
            <v>PGO</v>
          </cell>
          <cell r="D449" t="str">
            <v>No</v>
          </cell>
          <cell r="E449" t="str">
            <v>NP-53.9 - Small Value Procurement</v>
          </cell>
          <cell r="F449" t="str">
            <v>N/A</v>
          </cell>
          <cell r="G449">
            <v>45376</v>
          </cell>
          <cell r="H449">
            <v>0</v>
          </cell>
          <cell r="I449" t="str">
            <v>N/A</v>
          </cell>
          <cell r="J449">
            <v>45398</v>
          </cell>
          <cell r="K449">
            <v>45398</v>
          </cell>
          <cell r="L449">
            <v>0</v>
          </cell>
          <cell r="M449" t="str">
            <v>N/A</v>
          </cell>
          <cell r="N449" t="str">
            <v>N/A</v>
          </cell>
          <cell r="O449">
            <v>45405</v>
          </cell>
          <cell r="P449">
            <v>0</v>
          </cell>
          <cell r="Q449">
            <v>0</v>
          </cell>
          <cell r="R449">
            <v>0</v>
          </cell>
          <cell r="S449" t="str">
            <v>N/A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 t="e">
            <v>#N/A</v>
          </cell>
          <cell r="Y449">
            <v>0</v>
          </cell>
          <cell r="Z449">
            <v>0</v>
          </cell>
          <cell r="AA449">
            <v>25950</v>
          </cell>
          <cell r="AB449">
            <v>0</v>
          </cell>
          <cell r="AC449">
            <v>25950</v>
          </cell>
          <cell r="AD449">
            <v>25140</v>
          </cell>
          <cell r="AE449">
            <v>0</v>
          </cell>
          <cell r="AF449">
            <v>25140</v>
          </cell>
          <cell r="AG449" t="str">
            <v>ENGR. MICHAEL C. SALARDA
MS. LEONARDA M. LATOR
MS. CARMENCITA VALDEZ
MS. SORAYA P. VERGARA</v>
          </cell>
          <cell r="AH449" t="str">
            <v>N/A</v>
          </cell>
          <cell r="AI449" t="str">
            <v>N/A</v>
          </cell>
          <cell r="AJ449" t="str">
            <v>N/A</v>
          </cell>
          <cell r="AK449" t="str">
            <v>N/A</v>
          </cell>
          <cell r="AL449" t="str">
            <v>N/A</v>
          </cell>
          <cell r="AM449" t="str">
            <v>N/A</v>
          </cell>
          <cell r="AN449">
            <v>0</v>
          </cell>
          <cell r="AO449">
            <v>0</v>
          </cell>
        </row>
        <row r="450">
          <cell r="A450" t="str">
            <v>24-2120</v>
          </cell>
          <cell r="B450" t="str">
            <v>BATTERY</v>
          </cell>
          <cell r="C450" t="str">
            <v>PENRO</v>
          </cell>
          <cell r="D450" t="str">
            <v>No</v>
          </cell>
          <cell r="E450" t="str">
            <v>NP-53.9 - Small Value Procurement</v>
          </cell>
          <cell r="F450" t="str">
            <v>N/A</v>
          </cell>
          <cell r="G450">
            <v>45384</v>
          </cell>
          <cell r="H450">
            <v>0</v>
          </cell>
          <cell r="I450" t="str">
            <v>N/A</v>
          </cell>
          <cell r="J450">
            <v>45398</v>
          </cell>
          <cell r="K450">
            <v>45398</v>
          </cell>
          <cell r="L450">
            <v>0</v>
          </cell>
          <cell r="M450" t="str">
            <v>N/A</v>
          </cell>
          <cell r="N450" t="str">
            <v>N/A</v>
          </cell>
          <cell r="O450">
            <v>45405</v>
          </cell>
          <cell r="P450">
            <v>0</v>
          </cell>
          <cell r="Q450">
            <v>0</v>
          </cell>
          <cell r="R450">
            <v>0</v>
          </cell>
          <cell r="S450" t="str">
            <v>N/A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 t="e">
            <v>#N/A</v>
          </cell>
          <cell r="Y450">
            <v>0</v>
          </cell>
          <cell r="Z450">
            <v>0</v>
          </cell>
          <cell r="AA450">
            <v>7800</v>
          </cell>
          <cell r="AB450">
            <v>0</v>
          </cell>
          <cell r="AC450">
            <v>7800</v>
          </cell>
          <cell r="AD450">
            <v>7788</v>
          </cell>
          <cell r="AE450">
            <v>0</v>
          </cell>
          <cell r="AF450">
            <v>7788</v>
          </cell>
          <cell r="AG450" t="str">
            <v>ENGR. MICHAEL C. SALARDA
MS. LEONARDA M. LATOR
MS. CARMENCITA VALDEZ
MS. SORAYA P. VERGARA</v>
          </cell>
          <cell r="AH450" t="str">
            <v>N/A</v>
          </cell>
          <cell r="AI450" t="str">
            <v>N/A</v>
          </cell>
          <cell r="AJ450" t="str">
            <v>N/A</v>
          </cell>
          <cell r="AK450" t="str">
            <v>N/A</v>
          </cell>
          <cell r="AL450" t="str">
            <v>N/A</v>
          </cell>
          <cell r="AM450" t="str">
            <v>N/A</v>
          </cell>
          <cell r="AN450">
            <v>0</v>
          </cell>
          <cell r="AO450">
            <v>0</v>
          </cell>
        </row>
        <row r="451">
          <cell r="A451" t="str">
            <v>24-1472</v>
          </cell>
          <cell r="B451" t="str">
            <v>RICE, WELL MILLED</v>
          </cell>
          <cell r="C451" t="str">
            <v>PGO</v>
          </cell>
          <cell r="D451" t="str">
            <v>No</v>
          </cell>
          <cell r="E451" t="str">
            <v>NP-53.9 - Small Value Procurement</v>
          </cell>
          <cell r="F451">
            <v>45370</v>
          </cell>
          <cell r="G451">
            <v>45376</v>
          </cell>
          <cell r="H451">
            <v>0</v>
          </cell>
          <cell r="I451" t="str">
            <v>N/A</v>
          </cell>
          <cell r="J451">
            <v>45398</v>
          </cell>
          <cell r="K451">
            <v>45398</v>
          </cell>
          <cell r="L451">
            <v>0</v>
          </cell>
          <cell r="M451" t="str">
            <v>N/A</v>
          </cell>
          <cell r="N451" t="str">
            <v>N/A</v>
          </cell>
          <cell r="O451">
            <v>45405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 t="e">
            <v>#N/A</v>
          </cell>
          <cell r="Y451">
            <v>0</v>
          </cell>
          <cell r="Z451">
            <v>0</v>
          </cell>
          <cell r="AA451">
            <v>128535</v>
          </cell>
          <cell r="AB451">
            <v>0</v>
          </cell>
          <cell r="AC451">
            <v>128535</v>
          </cell>
          <cell r="AD451">
            <v>127920</v>
          </cell>
          <cell r="AE451">
            <v>0</v>
          </cell>
          <cell r="AF451">
            <v>127920</v>
          </cell>
          <cell r="AG451" t="str">
            <v>ENGR. MICHAEL C. SALARDA
MS. LEONARDA M. LATOR
MS. CARMENCITA VALDEZ
MS. SORAYA P. VERGARA</v>
          </cell>
          <cell r="AH451" t="str">
            <v>N/A</v>
          </cell>
          <cell r="AI451" t="str">
            <v>N/A</v>
          </cell>
          <cell r="AJ451" t="str">
            <v>N/A</v>
          </cell>
          <cell r="AK451" t="str">
            <v>N/A</v>
          </cell>
          <cell r="AL451" t="str">
            <v>N/A</v>
          </cell>
          <cell r="AM451" t="str">
            <v>N/A</v>
          </cell>
          <cell r="AN451">
            <v>0</v>
          </cell>
          <cell r="AO451">
            <v>0</v>
          </cell>
        </row>
        <row r="452">
          <cell r="A452" t="str">
            <v>24-1692</v>
          </cell>
          <cell r="B452" t="str">
            <v xml:space="preserve">MAGAZINE PRINTING </v>
          </cell>
          <cell r="C452" t="str">
            <v>PAO</v>
          </cell>
          <cell r="D452" t="str">
            <v>No</v>
          </cell>
          <cell r="E452" t="str">
            <v>NP-53.9 - Small Value Procurement</v>
          </cell>
          <cell r="F452" t="str">
            <v>N/A</v>
          </cell>
          <cell r="G452">
            <v>45385</v>
          </cell>
          <cell r="H452">
            <v>0</v>
          </cell>
          <cell r="I452" t="str">
            <v>N/A</v>
          </cell>
          <cell r="J452">
            <v>45398</v>
          </cell>
          <cell r="K452">
            <v>45398</v>
          </cell>
          <cell r="L452">
            <v>0</v>
          </cell>
          <cell r="M452" t="str">
            <v>N/A</v>
          </cell>
          <cell r="N452" t="str">
            <v>N/A</v>
          </cell>
          <cell r="O452">
            <v>45405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 t="e">
            <v>#N/A</v>
          </cell>
          <cell r="Y452">
            <v>0</v>
          </cell>
          <cell r="Z452">
            <v>0</v>
          </cell>
          <cell r="AA452">
            <v>120000</v>
          </cell>
          <cell r="AB452">
            <v>0</v>
          </cell>
          <cell r="AC452">
            <v>120000</v>
          </cell>
          <cell r="AD452">
            <v>112500</v>
          </cell>
          <cell r="AE452">
            <v>0</v>
          </cell>
          <cell r="AF452">
            <v>112500</v>
          </cell>
          <cell r="AG452" t="str">
            <v>ENGR. MICHAEL C. SALARDA
MS. LEONARDA M. LATOR
MS. CARMENCITA VALDEZ
MS. SORAYA P. VERGARA</v>
          </cell>
          <cell r="AH452" t="str">
            <v>N/A</v>
          </cell>
          <cell r="AI452" t="str">
            <v>N/A</v>
          </cell>
          <cell r="AJ452" t="str">
            <v>N/A</v>
          </cell>
          <cell r="AK452" t="str">
            <v>N/A</v>
          </cell>
          <cell r="AL452" t="str">
            <v>N/A</v>
          </cell>
          <cell r="AM452" t="str">
            <v>N/A</v>
          </cell>
          <cell r="AN452">
            <v>0</v>
          </cell>
          <cell r="AO452">
            <v>0</v>
          </cell>
        </row>
        <row r="453">
          <cell r="A453" t="str">
            <v>24-1699</v>
          </cell>
          <cell r="B453" t="str">
            <v>SPAREPARTS (MOTORCYCLE)</v>
          </cell>
          <cell r="C453" t="str">
            <v>PGSO</v>
          </cell>
          <cell r="D453" t="str">
            <v>No</v>
          </cell>
          <cell r="E453" t="str">
            <v>NP-53.9 - Small Value Procurement</v>
          </cell>
          <cell r="F453">
            <v>45370</v>
          </cell>
          <cell r="G453">
            <v>45376</v>
          </cell>
          <cell r="H453">
            <v>0</v>
          </cell>
          <cell r="I453" t="str">
            <v>N/A</v>
          </cell>
          <cell r="J453">
            <v>45398</v>
          </cell>
          <cell r="K453">
            <v>45398</v>
          </cell>
          <cell r="L453">
            <v>0</v>
          </cell>
          <cell r="M453" t="str">
            <v>N/A</v>
          </cell>
          <cell r="N453" t="str">
            <v>N/A</v>
          </cell>
          <cell r="O453">
            <v>45405</v>
          </cell>
          <cell r="P453">
            <v>0</v>
          </cell>
          <cell r="Q453">
            <v>0</v>
          </cell>
          <cell r="R453">
            <v>0</v>
          </cell>
          <cell r="S453" t="str">
            <v>N/A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 t="e">
            <v>#N/A</v>
          </cell>
          <cell r="Y453">
            <v>0</v>
          </cell>
          <cell r="Z453">
            <v>0</v>
          </cell>
          <cell r="AA453">
            <v>4200</v>
          </cell>
          <cell r="AB453">
            <v>0</v>
          </cell>
          <cell r="AC453">
            <v>4200</v>
          </cell>
          <cell r="AD453">
            <v>4200</v>
          </cell>
          <cell r="AE453">
            <v>0</v>
          </cell>
          <cell r="AF453">
            <v>4200</v>
          </cell>
          <cell r="AG453" t="str">
            <v>ENGR. MICHAEL C. SALARDA
MS. LEONARDA M. LATOR
MS. CARMENCITA VALDEZ
MS. SORAYA P. VERGARA</v>
          </cell>
          <cell r="AH453" t="str">
            <v>N/A</v>
          </cell>
          <cell r="AI453" t="str">
            <v>N/A</v>
          </cell>
          <cell r="AJ453" t="str">
            <v>N/A</v>
          </cell>
          <cell r="AK453" t="str">
            <v>N/A</v>
          </cell>
          <cell r="AL453" t="str">
            <v>N/A</v>
          </cell>
          <cell r="AM453" t="str">
            <v>N/A</v>
          </cell>
          <cell r="AN453">
            <v>0</v>
          </cell>
          <cell r="AO453">
            <v>0</v>
          </cell>
        </row>
        <row r="454">
          <cell r="A454" t="str">
            <v>24-1278</v>
          </cell>
          <cell r="B454" t="str">
            <v>SPAREPARTS (MOTORCYCLE)</v>
          </cell>
          <cell r="C454" t="str">
            <v>PGSO</v>
          </cell>
          <cell r="D454" t="str">
            <v>No</v>
          </cell>
          <cell r="E454" t="str">
            <v>NP-53.9 - Small Value Procurement</v>
          </cell>
          <cell r="F454">
            <v>45370</v>
          </cell>
          <cell r="G454">
            <v>45376</v>
          </cell>
          <cell r="H454">
            <v>0</v>
          </cell>
          <cell r="I454" t="str">
            <v>N/A</v>
          </cell>
          <cell r="J454">
            <v>45398</v>
          </cell>
          <cell r="K454">
            <v>45398</v>
          </cell>
          <cell r="L454">
            <v>0</v>
          </cell>
          <cell r="M454" t="str">
            <v>N/A</v>
          </cell>
          <cell r="N454" t="str">
            <v>N/A</v>
          </cell>
          <cell r="O454">
            <v>45405</v>
          </cell>
          <cell r="P454">
            <v>0</v>
          </cell>
          <cell r="Q454">
            <v>0</v>
          </cell>
          <cell r="R454">
            <v>0</v>
          </cell>
          <cell r="S454" t="str">
            <v>N/A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 t="e">
            <v>#N/A</v>
          </cell>
          <cell r="Y454">
            <v>0</v>
          </cell>
          <cell r="Z454">
            <v>0</v>
          </cell>
          <cell r="AA454">
            <v>2280</v>
          </cell>
          <cell r="AB454">
            <v>0</v>
          </cell>
          <cell r="AC454">
            <v>2280</v>
          </cell>
          <cell r="AD454">
            <v>2280</v>
          </cell>
          <cell r="AE454">
            <v>0</v>
          </cell>
          <cell r="AF454">
            <v>2280</v>
          </cell>
          <cell r="AG454" t="str">
            <v>ENGR. MICHAEL C. SALARDA
MS. LEONARDA M. LATOR
MS. CARMENCITA VALDEZ
MS. SORAYA P. VERGARA</v>
          </cell>
          <cell r="AH454" t="str">
            <v>N/A</v>
          </cell>
          <cell r="AI454" t="str">
            <v>N/A</v>
          </cell>
          <cell r="AJ454" t="str">
            <v>N/A</v>
          </cell>
          <cell r="AK454" t="str">
            <v>N/A</v>
          </cell>
          <cell r="AL454" t="str">
            <v>N/A</v>
          </cell>
          <cell r="AM454" t="str">
            <v>N/A</v>
          </cell>
          <cell r="AN454">
            <v>0</v>
          </cell>
          <cell r="AO454">
            <v>0</v>
          </cell>
        </row>
        <row r="455">
          <cell r="A455" t="str">
            <v>24-1581</v>
          </cell>
          <cell r="B455" t="str">
            <v>CELLOPHANE</v>
          </cell>
          <cell r="C455" t="str">
            <v>PGO</v>
          </cell>
          <cell r="D455" t="str">
            <v>No</v>
          </cell>
          <cell r="E455" t="str">
            <v>NP-53.9 - Small Value Procurement</v>
          </cell>
          <cell r="F455" t="str">
            <v>N/A</v>
          </cell>
          <cell r="G455">
            <v>45363</v>
          </cell>
          <cell r="H455">
            <v>0</v>
          </cell>
          <cell r="I455" t="str">
            <v>N/A</v>
          </cell>
          <cell r="J455">
            <v>45398</v>
          </cell>
          <cell r="K455">
            <v>45398</v>
          </cell>
          <cell r="L455">
            <v>0</v>
          </cell>
          <cell r="M455" t="str">
            <v>N/A</v>
          </cell>
          <cell r="N455" t="str">
            <v>N/A</v>
          </cell>
          <cell r="O455">
            <v>45405</v>
          </cell>
          <cell r="P455">
            <v>0</v>
          </cell>
          <cell r="Q455">
            <v>0</v>
          </cell>
          <cell r="R455">
            <v>0</v>
          </cell>
          <cell r="S455" t="str">
            <v>N/A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 t="e">
            <v>#N/A</v>
          </cell>
          <cell r="Y455">
            <v>0</v>
          </cell>
          <cell r="Z455">
            <v>0</v>
          </cell>
          <cell r="AA455">
            <v>29000</v>
          </cell>
          <cell r="AB455">
            <v>0</v>
          </cell>
          <cell r="AC455">
            <v>29000</v>
          </cell>
          <cell r="AD455">
            <v>29000</v>
          </cell>
          <cell r="AE455">
            <v>0</v>
          </cell>
          <cell r="AF455">
            <v>29000</v>
          </cell>
          <cell r="AG455" t="str">
            <v>ENGR. MICHAEL C. SALARDA
MS. LEONARDA M. LATOR
MS. CARMENCITA VALDEZ
MS. SORAYA P. VERGARA</v>
          </cell>
          <cell r="AH455" t="str">
            <v>N/A</v>
          </cell>
          <cell r="AI455" t="str">
            <v>N/A</v>
          </cell>
          <cell r="AJ455" t="str">
            <v>N/A</v>
          </cell>
          <cell r="AK455" t="str">
            <v>N/A</v>
          </cell>
          <cell r="AL455" t="str">
            <v>N/A</v>
          </cell>
          <cell r="AM455" t="str">
            <v>N/A</v>
          </cell>
          <cell r="AN455">
            <v>0</v>
          </cell>
          <cell r="AO455">
            <v>0</v>
          </cell>
        </row>
        <row r="456">
          <cell r="A456" t="str">
            <v>24-1700</v>
          </cell>
          <cell r="B456" t="str">
            <v>COMPUTER KEYBOARD AND MOUSE</v>
          </cell>
          <cell r="C456" t="str">
            <v>PGO</v>
          </cell>
          <cell r="D456" t="str">
            <v>No</v>
          </cell>
          <cell r="E456" t="str">
            <v>NP-53.9 - Small Value Procurement</v>
          </cell>
          <cell r="F456" t="str">
            <v>N/A</v>
          </cell>
          <cell r="G456">
            <v>45376</v>
          </cell>
          <cell r="H456">
            <v>0</v>
          </cell>
          <cell r="I456" t="str">
            <v>N/A</v>
          </cell>
          <cell r="J456">
            <v>45398</v>
          </cell>
          <cell r="K456">
            <v>45398</v>
          </cell>
          <cell r="L456">
            <v>0</v>
          </cell>
          <cell r="M456" t="str">
            <v>N/A</v>
          </cell>
          <cell r="N456" t="str">
            <v>N/A</v>
          </cell>
          <cell r="O456">
            <v>45405</v>
          </cell>
          <cell r="P456">
            <v>0</v>
          </cell>
          <cell r="Q456">
            <v>0</v>
          </cell>
          <cell r="R456">
            <v>0</v>
          </cell>
          <cell r="S456" t="str">
            <v>N/A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e">
            <v>#N/A</v>
          </cell>
          <cell r="Y456">
            <v>0</v>
          </cell>
          <cell r="Z456">
            <v>0</v>
          </cell>
          <cell r="AA456">
            <v>2894</v>
          </cell>
          <cell r="AB456">
            <v>0</v>
          </cell>
          <cell r="AC456">
            <v>2894</v>
          </cell>
          <cell r="AD456">
            <v>2790</v>
          </cell>
          <cell r="AE456">
            <v>0</v>
          </cell>
          <cell r="AF456">
            <v>2790</v>
          </cell>
          <cell r="AG456" t="str">
            <v>ENGR. MICHAEL C. SALARDA
MS. LEONARDA M. LATOR
MS. CARMENCITA VALDEZ
MS. SORAYA P. VERGARA</v>
          </cell>
          <cell r="AH456" t="str">
            <v>N/A</v>
          </cell>
          <cell r="AI456" t="str">
            <v>N/A</v>
          </cell>
          <cell r="AJ456" t="str">
            <v>N/A</v>
          </cell>
          <cell r="AK456" t="str">
            <v>N/A</v>
          </cell>
          <cell r="AL456" t="str">
            <v>N/A</v>
          </cell>
          <cell r="AM456" t="str">
            <v>N/A</v>
          </cell>
          <cell r="AN456">
            <v>0</v>
          </cell>
          <cell r="AO456">
            <v>0</v>
          </cell>
        </row>
        <row r="457">
          <cell r="A457" t="str">
            <v>24-1280</v>
          </cell>
          <cell r="B457" t="str">
            <v>SPAREPARTS (MOTORCYCLE)</v>
          </cell>
          <cell r="C457" t="str">
            <v>PGSO</v>
          </cell>
          <cell r="D457" t="str">
            <v>No</v>
          </cell>
          <cell r="E457" t="str">
            <v>NP-53.9 - Small Value Procurement</v>
          </cell>
          <cell r="F457">
            <v>45370</v>
          </cell>
          <cell r="G457">
            <v>45376</v>
          </cell>
          <cell r="H457">
            <v>0</v>
          </cell>
          <cell r="I457" t="str">
            <v>N/A</v>
          </cell>
          <cell r="J457">
            <v>45398</v>
          </cell>
          <cell r="K457">
            <v>45398</v>
          </cell>
          <cell r="L457">
            <v>0</v>
          </cell>
          <cell r="M457" t="str">
            <v>N/A</v>
          </cell>
          <cell r="N457" t="str">
            <v>N/A</v>
          </cell>
          <cell r="O457">
            <v>45405</v>
          </cell>
          <cell r="P457">
            <v>0</v>
          </cell>
          <cell r="Q457">
            <v>0</v>
          </cell>
          <cell r="R457">
            <v>0</v>
          </cell>
          <cell r="S457" t="str">
            <v>N/A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 t="e">
            <v>#N/A</v>
          </cell>
          <cell r="Y457">
            <v>0</v>
          </cell>
          <cell r="Z457">
            <v>0</v>
          </cell>
          <cell r="AA457">
            <v>9480</v>
          </cell>
          <cell r="AB457">
            <v>0</v>
          </cell>
          <cell r="AC457">
            <v>9480</v>
          </cell>
          <cell r="AD457">
            <v>9480</v>
          </cell>
          <cell r="AE457">
            <v>0</v>
          </cell>
          <cell r="AF457">
            <v>9480</v>
          </cell>
          <cell r="AG457" t="str">
            <v>ENGR. MICHAEL C. SALARDA
MS. LEONARDA M. LATOR
MS. CARMENCITA VALDEZ
MS. SORAYA P. VERGARA</v>
          </cell>
          <cell r="AH457" t="str">
            <v>N/A</v>
          </cell>
          <cell r="AI457" t="str">
            <v>N/A</v>
          </cell>
          <cell r="AJ457" t="str">
            <v>N/A</v>
          </cell>
          <cell r="AK457" t="str">
            <v>N/A</v>
          </cell>
          <cell r="AL457" t="str">
            <v>N/A</v>
          </cell>
          <cell r="AM457" t="str">
            <v>N/A</v>
          </cell>
          <cell r="AN457">
            <v>0</v>
          </cell>
          <cell r="AO457">
            <v>0</v>
          </cell>
        </row>
        <row r="458">
          <cell r="A458" t="str">
            <v>24-2093</v>
          </cell>
          <cell r="B458" t="str">
            <v>COLORED PRINTER W/ SCANNER</v>
          </cell>
          <cell r="C458" t="str">
            <v>PGO</v>
          </cell>
          <cell r="D458" t="str">
            <v>No</v>
          </cell>
          <cell r="E458" t="str">
            <v>NP-53.9 - Small Value Procurement</v>
          </cell>
          <cell r="F458" t="str">
            <v>N/A</v>
          </cell>
          <cell r="G458">
            <v>45384</v>
          </cell>
          <cell r="H458">
            <v>0</v>
          </cell>
          <cell r="I458" t="str">
            <v>N/A</v>
          </cell>
          <cell r="J458">
            <v>45398</v>
          </cell>
          <cell r="K458">
            <v>45398</v>
          </cell>
          <cell r="L458">
            <v>0</v>
          </cell>
          <cell r="M458" t="str">
            <v>N/A</v>
          </cell>
          <cell r="N458" t="str">
            <v>N/A</v>
          </cell>
          <cell r="O458">
            <v>45405</v>
          </cell>
          <cell r="P458">
            <v>0</v>
          </cell>
          <cell r="Q458">
            <v>0</v>
          </cell>
          <cell r="R458">
            <v>0</v>
          </cell>
          <cell r="S458" t="str">
            <v>N/A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 t="e">
            <v>#N/A</v>
          </cell>
          <cell r="Y458">
            <v>0</v>
          </cell>
          <cell r="Z458">
            <v>0</v>
          </cell>
          <cell r="AA458">
            <v>14500</v>
          </cell>
          <cell r="AB458">
            <v>0</v>
          </cell>
          <cell r="AC458">
            <v>14500</v>
          </cell>
          <cell r="AD458">
            <v>14500</v>
          </cell>
          <cell r="AE458">
            <v>0</v>
          </cell>
          <cell r="AF458">
            <v>14500</v>
          </cell>
          <cell r="AG458" t="str">
            <v>ENGR. MICHAEL C. SALARDA
MS. LEONARDA M. LATOR
MS. CARMENCITA VALDEZ
MS. SORAYA P. VERGARA</v>
          </cell>
          <cell r="AH458" t="str">
            <v>N/A</v>
          </cell>
          <cell r="AI458" t="str">
            <v>N/A</v>
          </cell>
          <cell r="AJ458" t="str">
            <v>N/A</v>
          </cell>
          <cell r="AK458" t="str">
            <v>N/A</v>
          </cell>
          <cell r="AL458" t="str">
            <v>N/A</v>
          </cell>
          <cell r="AM458" t="str">
            <v>N/A</v>
          </cell>
          <cell r="AN458">
            <v>0</v>
          </cell>
          <cell r="AO458">
            <v>0</v>
          </cell>
        </row>
        <row r="459">
          <cell r="A459" t="str">
            <v>24-0890</v>
          </cell>
          <cell r="B459" t="str">
            <v>OFFICE CHAIR W/ ARMS</v>
          </cell>
          <cell r="C459" t="str">
            <v>PLO</v>
          </cell>
          <cell r="D459" t="str">
            <v>No</v>
          </cell>
          <cell r="E459" t="str">
            <v>NP-53.9 - Small Value Procurement</v>
          </cell>
          <cell r="F459" t="str">
            <v>N/A</v>
          </cell>
          <cell r="G459">
            <v>45359</v>
          </cell>
          <cell r="H459">
            <v>0</v>
          </cell>
          <cell r="I459" t="str">
            <v>N/A</v>
          </cell>
          <cell r="J459">
            <v>45398</v>
          </cell>
          <cell r="K459">
            <v>45398</v>
          </cell>
          <cell r="L459">
            <v>0</v>
          </cell>
          <cell r="M459" t="str">
            <v>N/A</v>
          </cell>
          <cell r="N459" t="str">
            <v>N/A</v>
          </cell>
          <cell r="O459">
            <v>45405</v>
          </cell>
          <cell r="P459">
            <v>0</v>
          </cell>
          <cell r="Q459">
            <v>0</v>
          </cell>
          <cell r="R459">
            <v>0</v>
          </cell>
          <cell r="S459" t="str">
            <v>N/A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 t="e">
            <v>#N/A</v>
          </cell>
          <cell r="Y459">
            <v>0</v>
          </cell>
          <cell r="Z459">
            <v>0</v>
          </cell>
          <cell r="AA459">
            <v>4400</v>
          </cell>
          <cell r="AB459">
            <v>0</v>
          </cell>
          <cell r="AC459">
            <v>4400</v>
          </cell>
          <cell r="AD459">
            <v>4250</v>
          </cell>
          <cell r="AE459">
            <v>0</v>
          </cell>
          <cell r="AF459">
            <v>4250</v>
          </cell>
          <cell r="AG459" t="str">
            <v>ENGR. MICHAEL C. SALARDA
MS. LEONARDA M. LATOR
MS. CARMENCITA VALDEZ
MS. SORAYA P. VERGARA</v>
          </cell>
          <cell r="AH459" t="str">
            <v>N/A</v>
          </cell>
          <cell r="AI459" t="str">
            <v>N/A</v>
          </cell>
          <cell r="AJ459" t="str">
            <v>N/A</v>
          </cell>
          <cell r="AK459" t="str">
            <v>N/A</v>
          </cell>
          <cell r="AL459" t="str">
            <v>N/A</v>
          </cell>
          <cell r="AM459" t="str">
            <v>N/A</v>
          </cell>
          <cell r="AN459">
            <v>0</v>
          </cell>
          <cell r="AO459">
            <v>0</v>
          </cell>
        </row>
        <row r="460">
          <cell r="A460" t="str">
            <v>24-1265</v>
          </cell>
          <cell r="B460" t="str">
            <v>MEDICAL KIT</v>
          </cell>
          <cell r="C460" t="str">
            <v>SEF</v>
          </cell>
          <cell r="D460" t="str">
            <v>No</v>
          </cell>
          <cell r="E460" t="str">
            <v>NP-53.9 - Small Value Procurement</v>
          </cell>
          <cell r="F460">
            <v>45373</v>
          </cell>
          <cell r="G460">
            <v>45384</v>
          </cell>
          <cell r="H460">
            <v>0</v>
          </cell>
          <cell r="I460" t="str">
            <v>N/A</v>
          </cell>
          <cell r="J460">
            <v>45398</v>
          </cell>
          <cell r="K460">
            <v>45398</v>
          </cell>
          <cell r="L460">
            <v>0</v>
          </cell>
          <cell r="M460" t="str">
            <v>N/A</v>
          </cell>
          <cell r="N460" t="str">
            <v>N/A</v>
          </cell>
          <cell r="O460">
            <v>45405</v>
          </cell>
          <cell r="P460">
            <v>0</v>
          </cell>
          <cell r="Q460">
            <v>0</v>
          </cell>
          <cell r="R460">
            <v>0</v>
          </cell>
          <cell r="S460" t="str">
            <v>N/A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 t="e">
            <v>#N/A</v>
          </cell>
          <cell r="Y460">
            <v>0</v>
          </cell>
          <cell r="Z460">
            <v>0</v>
          </cell>
          <cell r="AA460">
            <v>1925</v>
          </cell>
          <cell r="AB460">
            <v>0</v>
          </cell>
          <cell r="AC460">
            <v>1925</v>
          </cell>
          <cell r="AD460">
            <v>1925</v>
          </cell>
          <cell r="AE460">
            <v>0</v>
          </cell>
          <cell r="AF460">
            <v>1925</v>
          </cell>
          <cell r="AG460" t="str">
            <v>ENGR. MICHAEL C. SALARDA
MS. LEONARDA M. LATOR
MS. CARMENCITA VALDEZ
MS. SORAYA P. VERGARA</v>
          </cell>
          <cell r="AH460" t="str">
            <v>N/A</v>
          </cell>
          <cell r="AI460" t="str">
            <v>N/A</v>
          </cell>
          <cell r="AJ460" t="str">
            <v>N/A</v>
          </cell>
          <cell r="AK460" t="str">
            <v>N/A</v>
          </cell>
          <cell r="AL460" t="str">
            <v>N/A</v>
          </cell>
          <cell r="AM460" t="str">
            <v>N/A</v>
          </cell>
          <cell r="AN460">
            <v>0</v>
          </cell>
          <cell r="AO460">
            <v>0</v>
          </cell>
        </row>
        <row r="461">
          <cell r="A461" t="str">
            <v>24-2080</v>
          </cell>
          <cell r="B461" t="str">
            <v>PLAQUES/TROPHIES/MEDAL</v>
          </cell>
          <cell r="C461" t="str">
            <v>PHRMDO</v>
          </cell>
          <cell r="D461" t="str">
            <v>No</v>
          </cell>
          <cell r="E461" t="str">
            <v>NP-53.9 - Small Value Procurement</v>
          </cell>
          <cell r="F461" t="str">
            <v>N/A</v>
          </cell>
          <cell r="G461">
            <v>45376</v>
          </cell>
          <cell r="H461">
            <v>0</v>
          </cell>
          <cell r="I461" t="str">
            <v>N/A</v>
          </cell>
          <cell r="J461">
            <v>45398</v>
          </cell>
          <cell r="K461">
            <v>45398</v>
          </cell>
          <cell r="L461">
            <v>0</v>
          </cell>
          <cell r="M461" t="str">
            <v>N/A</v>
          </cell>
          <cell r="N461" t="str">
            <v>N/A</v>
          </cell>
          <cell r="O461">
            <v>45405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 t="e">
            <v>#N/A</v>
          </cell>
          <cell r="Y461">
            <v>0</v>
          </cell>
          <cell r="Z461">
            <v>0</v>
          </cell>
          <cell r="AA461">
            <v>146050</v>
          </cell>
          <cell r="AB461">
            <v>0</v>
          </cell>
          <cell r="AC461">
            <v>146050</v>
          </cell>
          <cell r="AD461">
            <v>146050</v>
          </cell>
          <cell r="AE461">
            <v>0</v>
          </cell>
          <cell r="AF461">
            <v>146050</v>
          </cell>
          <cell r="AG461" t="str">
            <v>ENGR. MICHAEL C. SALARDA
MS. LEONARDA M. LATOR
MS. CARMENCITA VALDEZ
MS. SORAYA P. VERGARA</v>
          </cell>
          <cell r="AH461" t="str">
            <v>N/A</v>
          </cell>
          <cell r="AI461" t="str">
            <v>N/A</v>
          </cell>
          <cell r="AJ461" t="str">
            <v>N/A</v>
          </cell>
          <cell r="AK461" t="str">
            <v>N/A</v>
          </cell>
          <cell r="AL461" t="str">
            <v>N/A</v>
          </cell>
          <cell r="AM461" t="str">
            <v>N/A</v>
          </cell>
          <cell r="AN461">
            <v>0</v>
          </cell>
          <cell r="AO461">
            <v>0</v>
          </cell>
        </row>
        <row r="462">
          <cell r="A462" t="str">
            <v>24-0516</v>
          </cell>
          <cell r="B462" t="str">
            <v>LAPTOP BAG</v>
          </cell>
          <cell r="C462" t="str">
            <v>PDRRMO</v>
          </cell>
          <cell r="D462" t="str">
            <v>No</v>
          </cell>
          <cell r="E462" t="str">
            <v>NP-53.9 - Small Value Procurement</v>
          </cell>
          <cell r="F462" t="str">
            <v>N/A</v>
          </cell>
          <cell r="G462">
            <v>45376</v>
          </cell>
          <cell r="H462">
            <v>0</v>
          </cell>
          <cell r="I462" t="str">
            <v>N/A</v>
          </cell>
          <cell r="J462">
            <v>45398</v>
          </cell>
          <cell r="K462">
            <v>45398</v>
          </cell>
          <cell r="L462">
            <v>0</v>
          </cell>
          <cell r="M462" t="str">
            <v>N/A</v>
          </cell>
          <cell r="N462" t="str">
            <v>N/A</v>
          </cell>
          <cell r="O462">
            <v>45405</v>
          </cell>
          <cell r="P462">
            <v>0</v>
          </cell>
          <cell r="Q462">
            <v>0</v>
          </cell>
          <cell r="R462">
            <v>0</v>
          </cell>
          <cell r="S462" t="str">
            <v>N/A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45443</v>
          </cell>
          <cell r="Y462">
            <v>0</v>
          </cell>
          <cell r="Z462">
            <v>0</v>
          </cell>
          <cell r="AA462">
            <v>2500</v>
          </cell>
          <cell r="AB462">
            <v>0</v>
          </cell>
          <cell r="AC462">
            <v>2500</v>
          </cell>
          <cell r="AD462">
            <v>2500</v>
          </cell>
          <cell r="AE462">
            <v>0</v>
          </cell>
          <cell r="AF462">
            <v>2500</v>
          </cell>
          <cell r="AG462" t="str">
            <v>ENGR. MICHAEL C. SALARDA
MS. LEONARDA M. LATOR
MS. CARMENCITA VALDEZ
MS. SORAYA P. VERGARA</v>
          </cell>
          <cell r="AH462" t="str">
            <v>N/A</v>
          </cell>
          <cell r="AI462" t="str">
            <v>N/A</v>
          </cell>
          <cell r="AJ462" t="str">
            <v>N/A</v>
          </cell>
          <cell r="AK462" t="str">
            <v>N/A</v>
          </cell>
          <cell r="AL462" t="str">
            <v>N/A</v>
          </cell>
          <cell r="AM462" t="str">
            <v>N/A</v>
          </cell>
          <cell r="AN462">
            <v>0</v>
          </cell>
          <cell r="AO462">
            <v>0</v>
          </cell>
        </row>
        <row r="463">
          <cell r="A463" t="str">
            <v>24-1564</v>
          </cell>
          <cell r="B463" t="str">
            <v>SPAREPARTS (MOTORCYCLE)</v>
          </cell>
          <cell r="C463" t="str">
            <v>PGSO</v>
          </cell>
          <cell r="D463" t="str">
            <v>No</v>
          </cell>
          <cell r="E463" t="str">
            <v>NP-53.9 - Small Value Procurement</v>
          </cell>
          <cell r="F463">
            <v>45370</v>
          </cell>
          <cell r="G463">
            <v>45376</v>
          </cell>
          <cell r="H463">
            <v>0</v>
          </cell>
          <cell r="I463" t="str">
            <v>N/A</v>
          </cell>
          <cell r="J463">
            <v>45398</v>
          </cell>
          <cell r="K463">
            <v>45398</v>
          </cell>
          <cell r="L463">
            <v>0</v>
          </cell>
          <cell r="M463" t="str">
            <v>N/A</v>
          </cell>
          <cell r="N463" t="str">
            <v>N/A</v>
          </cell>
          <cell r="O463">
            <v>45405</v>
          </cell>
          <cell r="P463">
            <v>0</v>
          </cell>
          <cell r="Q463">
            <v>0</v>
          </cell>
          <cell r="R463">
            <v>0</v>
          </cell>
          <cell r="S463" t="str">
            <v>N/A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 t="e">
            <v>#N/A</v>
          </cell>
          <cell r="Y463">
            <v>0</v>
          </cell>
          <cell r="Z463">
            <v>0</v>
          </cell>
          <cell r="AA463">
            <v>8400</v>
          </cell>
          <cell r="AB463">
            <v>0</v>
          </cell>
          <cell r="AC463">
            <v>8400</v>
          </cell>
          <cell r="AD463">
            <v>8400</v>
          </cell>
          <cell r="AE463">
            <v>0</v>
          </cell>
          <cell r="AF463">
            <v>8400</v>
          </cell>
          <cell r="AG463" t="str">
            <v>ENGR. MICHAEL C. SALARDA
MS. LEONARDA M. LATOR
MS. CARMENCITA VALDEZ
MS. SORAYA P. VERGARA</v>
          </cell>
          <cell r="AH463" t="str">
            <v>N/A</v>
          </cell>
          <cell r="AI463" t="str">
            <v>N/A</v>
          </cell>
          <cell r="AJ463" t="str">
            <v>N/A</v>
          </cell>
          <cell r="AK463" t="str">
            <v>N/A</v>
          </cell>
          <cell r="AL463" t="str">
            <v>N/A</v>
          </cell>
          <cell r="AM463" t="str">
            <v>N/A</v>
          </cell>
          <cell r="AN463">
            <v>0</v>
          </cell>
          <cell r="AO463">
            <v>0</v>
          </cell>
        </row>
        <row r="464">
          <cell r="A464" t="str">
            <v>24-2048</v>
          </cell>
          <cell r="B464" t="str">
            <v>OIL FOR GRASS CUTTER</v>
          </cell>
          <cell r="C464" t="str">
            <v>PVO</v>
          </cell>
          <cell r="D464" t="str">
            <v>No</v>
          </cell>
          <cell r="E464" t="str">
            <v>NP-53.9 - Small Value Procurement</v>
          </cell>
          <cell r="F464" t="str">
            <v>N/A</v>
          </cell>
          <cell r="G464">
            <v>45376</v>
          </cell>
          <cell r="H464">
            <v>0</v>
          </cell>
          <cell r="I464" t="str">
            <v>N/A</v>
          </cell>
          <cell r="J464">
            <v>45398</v>
          </cell>
          <cell r="K464">
            <v>45398</v>
          </cell>
          <cell r="L464">
            <v>0</v>
          </cell>
          <cell r="M464" t="str">
            <v>N/A</v>
          </cell>
          <cell r="N464" t="str">
            <v>N/A</v>
          </cell>
          <cell r="O464">
            <v>45405</v>
          </cell>
          <cell r="P464">
            <v>0</v>
          </cell>
          <cell r="Q464">
            <v>0</v>
          </cell>
          <cell r="R464">
            <v>0</v>
          </cell>
          <cell r="S464" t="str">
            <v>N/A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 t="e">
            <v>#N/A</v>
          </cell>
          <cell r="Y464">
            <v>0</v>
          </cell>
          <cell r="Z464">
            <v>0</v>
          </cell>
          <cell r="AA464">
            <v>5200</v>
          </cell>
          <cell r="AB464">
            <v>0</v>
          </cell>
          <cell r="AC464">
            <v>5200</v>
          </cell>
          <cell r="AD464">
            <v>5150</v>
          </cell>
          <cell r="AE464">
            <v>0</v>
          </cell>
          <cell r="AF464">
            <v>5150</v>
          </cell>
          <cell r="AG464" t="str">
            <v>ENGR. MICHAEL C. SALARDA
MS. LEONARDA M. LATOR
MS. CARMENCITA VALDEZ
MS. SORAYA P. VERGARA</v>
          </cell>
          <cell r="AH464" t="str">
            <v>N/A</v>
          </cell>
          <cell r="AI464" t="str">
            <v>N/A</v>
          </cell>
          <cell r="AJ464" t="str">
            <v>N/A</v>
          </cell>
          <cell r="AK464" t="str">
            <v>N/A</v>
          </cell>
          <cell r="AL464" t="str">
            <v>N/A</v>
          </cell>
          <cell r="AM464" t="str">
            <v>N/A</v>
          </cell>
          <cell r="AN464">
            <v>0</v>
          </cell>
          <cell r="AO464">
            <v>0</v>
          </cell>
        </row>
        <row r="465">
          <cell r="A465" t="str">
            <v>24-1565</v>
          </cell>
          <cell r="B465" t="str">
            <v>SPAREPARTS (MOTORCYCLE)</v>
          </cell>
          <cell r="C465" t="str">
            <v>PGSO</v>
          </cell>
          <cell r="D465" t="str">
            <v>No</v>
          </cell>
          <cell r="E465" t="str">
            <v>NP-53.9 - Small Value Procurement</v>
          </cell>
          <cell r="F465">
            <v>45370</v>
          </cell>
          <cell r="G465">
            <v>45376</v>
          </cell>
          <cell r="H465">
            <v>0</v>
          </cell>
          <cell r="I465" t="str">
            <v>N/A</v>
          </cell>
          <cell r="J465">
            <v>45398</v>
          </cell>
          <cell r="K465">
            <v>45398</v>
          </cell>
          <cell r="L465">
            <v>0</v>
          </cell>
          <cell r="M465" t="str">
            <v>N/A</v>
          </cell>
          <cell r="N465" t="str">
            <v>N/A</v>
          </cell>
          <cell r="O465">
            <v>45405</v>
          </cell>
          <cell r="P465">
            <v>0</v>
          </cell>
          <cell r="Q465">
            <v>0</v>
          </cell>
          <cell r="R465">
            <v>0</v>
          </cell>
          <cell r="S465" t="str">
            <v>N/A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 t="e">
            <v>#N/A</v>
          </cell>
          <cell r="Y465">
            <v>0</v>
          </cell>
          <cell r="Z465">
            <v>0</v>
          </cell>
          <cell r="AA465">
            <v>18570</v>
          </cell>
          <cell r="AB465">
            <v>0</v>
          </cell>
          <cell r="AC465">
            <v>18570</v>
          </cell>
          <cell r="AD465">
            <v>18570</v>
          </cell>
          <cell r="AE465">
            <v>0</v>
          </cell>
          <cell r="AF465">
            <v>18570</v>
          </cell>
          <cell r="AG465" t="str">
            <v>ENGR. MICHAEL C. SALARDA
MS. LEONARDA M. LATOR
MS. CARMENCITA VALDEZ
MS. SORAYA P. VERGARA</v>
          </cell>
          <cell r="AH465" t="str">
            <v>N/A</v>
          </cell>
          <cell r="AI465" t="str">
            <v>N/A</v>
          </cell>
          <cell r="AJ465" t="str">
            <v>N/A</v>
          </cell>
          <cell r="AK465" t="str">
            <v>N/A</v>
          </cell>
          <cell r="AL465" t="str">
            <v>N/A</v>
          </cell>
          <cell r="AM465" t="str">
            <v>N/A</v>
          </cell>
          <cell r="AN465">
            <v>0</v>
          </cell>
          <cell r="AO465">
            <v>0</v>
          </cell>
        </row>
        <row r="466">
          <cell r="A466" t="str">
            <v>24-1535</v>
          </cell>
          <cell r="B466" t="str">
            <v>CASING, SELF INKING STAMP</v>
          </cell>
          <cell r="C466" t="str">
            <v>PAO</v>
          </cell>
          <cell r="D466" t="str">
            <v>No</v>
          </cell>
          <cell r="E466" t="str">
            <v>NP-53.9 - Small Value Procurement</v>
          </cell>
          <cell r="F466" t="str">
            <v>N/A</v>
          </cell>
          <cell r="G466">
            <v>45384</v>
          </cell>
          <cell r="H466">
            <v>0</v>
          </cell>
          <cell r="I466" t="str">
            <v>N/A</v>
          </cell>
          <cell r="J466">
            <v>45398</v>
          </cell>
          <cell r="K466">
            <v>45398</v>
          </cell>
          <cell r="L466">
            <v>0</v>
          </cell>
          <cell r="M466" t="str">
            <v>N/A</v>
          </cell>
          <cell r="N466" t="str">
            <v>N/A</v>
          </cell>
          <cell r="O466">
            <v>45405</v>
          </cell>
          <cell r="P466">
            <v>0</v>
          </cell>
          <cell r="Q466">
            <v>0</v>
          </cell>
          <cell r="R466">
            <v>0</v>
          </cell>
          <cell r="S466" t="str">
            <v>N/A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 t="e">
            <v>#N/A</v>
          </cell>
          <cell r="Y466">
            <v>0</v>
          </cell>
          <cell r="Z466">
            <v>0</v>
          </cell>
          <cell r="AA466">
            <v>4136</v>
          </cell>
          <cell r="AB466">
            <v>0</v>
          </cell>
          <cell r="AC466">
            <v>4136</v>
          </cell>
          <cell r="AD466">
            <v>4136</v>
          </cell>
          <cell r="AE466">
            <v>0</v>
          </cell>
          <cell r="AF466">
            <v>4136</v>
          </cell>
          <cell r="AG466" t="str">
            <v>ENGR. MICHAEL C. SALARDA
MS. LEONARDA M. LATOR
MS. CARMENCITA VALDEZ
MS. SORAYA P. VERGARA</v>
          </cell>
          <cell r="AH466" t="str">
            <v>N/A</v>
          </cell>
          <cell r="AI466" t="str">
            <v>N/A</v>
          </cell>
          <cell r="AJ466" t="str">
            <v>N/A</v>
          </cell>
          <cell r="AK466" t="str">
            <v>N/A</v>
          </cell>
          <cell r="AL466" t="str">
            <v>N/A</v>
          </cell>
          <cell r="AM466" t="str">
            <v>N/A</v>
          </cell>
          <cell r="AN466">
            <v>0</v>
          </cell>
          <cell r="AO466">
            <v>0</v>
          </cell>
        </row>
        <row r="467">
          <cell r="A467" t="str">
            <v>24-0249</v>
          </cell>
          <cell r="B467" t="str">
            <v>JOB ORDER (BOOKBINDING)</v>
          </cell>
          <cell r="C467" t="str">
            <v>PAO</v>
          </cell>
          <cell r="D467" t="str">
            <v>No</v>
          </cell>
          <cell r="E467" t="str">
            <v>NP-53.9 - Small Value Procurement</v>
          </cell>
          <cell r="F467" t="str">
            <v>N/A</v>
          </cell>
          <cell r="G467">
            <v>45363</v>
          </cell>
          <cell r="H467">
            <v>0</v>
          </cell>
          <cell r="I467" t="str">
            <v>N/A</v>
          </cell>
          <cell r="J467">
            <v>45398</v>
          </cell>
          <cell r="K467">
            <v>45398</v>
          </cell>
          <cell r="L467">
            <v>0</v>
          </cell>
          <cell r="M467" t="str">
            <v>N/A</v>
          </cell>
          <cell r="N467" t="str">
            <v>N/A</v>
          </cell>
          <cell r="O467">
            <v>45405</v>
          </cell>
          <cell r="P467">
            <v>0</v>
          </cell>
          <cell r="Q467">
            <v>0</v>
          </cell>
          <cell r="R467">
            <v>0</v>
          </cell>
          <cell r="S467" t="str">
            <v>N/A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 t="e">
            <v>#N/A</v>
          </cell>
          <cell r="Y467">
            <v>0</v>
          </cell>
          <cell r="Z467">
            <v>0</v>
          </cell>
          <cell r="AA467">
            <v>10000</v>
          </cell>
          <cell r="AB467">
            <v>0</v>
          </cell>
          <cell r="AC467">
            <v>10000</v>
          </cell>
          <cell r="AD467">
            <v>10000</v>
          </cell>
          <cell r="AE467">
            <v>0</v>
          </cell>
          <cell r="AF467">
            <v>10000</v>
          </cell>
          <cell r="AG467" t="str">
            <v>ENGR. MICHAEL C. SALARDA
MS. LEONARDA M. LATOR
MS. CARMENCITA VALDEZ
MS. SORAYA P. VERGARA</v>
          </cell>
          <cell r="AH467" t="str">
            <v>N/A</v>
          </cell>
          <cell r="AI467" t="str">
            <v>N/A</v>
          </cell>
          <cell r="AJ467" t="str">
            <v>N/A</v>
          </cell>
          <cell r="AK467" t="str">
            <v>N/A</v>
          </cell>
          <cell r="AL467" t="str">
            <v>N/A</v>
          </cell>
          <cell r="AM467" t="str">
            <v>N/A</v>
          </cell>
          <cell r="AN467">
            <v>0</v>
          </cell>
          <cell r="AO467">
            <v>0</v>
          </cell>
        </row>
        <row r="468">
          <cell r="A468" t="str">
            <v>24-1436</v>
          </cell>
          <cell r="B468" t="str">
            <v>CABINET, MOBILE</v>
          </cell>
          <cell r="C468" t="str">
            <v>PENRO</v>
          </cell>
          <cell r="D468" t="str">
            <v>No</v>
          </cell>
          <cell r="E468" t="str">
            <v>NP-53.9 - Small Value Procurement</v>
          </cell>
          <cell r="F468" t="str">
            <v>N/A</v>
          </cell>
          <cell r="G468">
            <v>45359</v>
          </cell>
          <cell r="H468">
            <v>0</v>
          </cell>
          <cell r="I468" t="str">
            <v>N/A</v>
          </cell>
          <cell r="J468">
            <v>45398</v>
          </cell>
          <cell r="K468">
            <v>45398</v>
          </cell>
          <cell r="L468">
            <v>0</v>
          </cell>
          <cell r="M468" t="str">
            <v>N/A</v>
          </cell>
          <cell r="N468" t="str">
            <v>N/A</v>
          </cell>
          <cell r="O468">
            <v>45405</v>
          </cell>
          <cell r="P468">
            <v>0</v>
          </cell>
          <cell r="Q468">
            <v>0</v>
          </cell>
          <cell r="R468">
            <v>0</v>
          </cell>
          <cell r="S468" t="str">
            <v>N/A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 t="e">
            <v>#N/A</v>
          </cell>
          <cell r="Y468">
            <v>0</v>
          </cell>
          <cell r="Z468">
            <v>0</v>
          </cell>
          <cell r="AA468">
            <v>14850</v>
          </cell>
          <cell r="AB468">
            <v>0</v>
          </cell>
          <cell r="AC468">
            <v>14850</v>
          </cell>
          <cell r="AD468">
            <v>13125</v>
          </cell>
          <cell r="AE468">
            <v>0</v>
          </cell>
          <cell r="AF468">
            <v>13125</v>
          </cell>
          <cell r="AG468" t="str">
            <v>ENGR. MICHAEL C. SALARDA
MS. LEONARDA M. LATOR
MS. CARMENCITA VALDEZ
MS. SORAYA P. VERGARA</v>
          </cell>
          <cell r="AH468" t="str">
            <v>N/A</v>
          </cell>
          <cell r="AI468" t="str">
            <v>N/A</v>
          </cell>
          <cell r="AJ468" t="str">
            <v>N/A</v>
          </cell>
          <cell r="AK468" t="str">
            <v>N/A</v>
          </cell>
          <cell r="AL468" t="str">
            <v>N/A</v>
          </cell>
          <cell r="AM468" t="str">
            <v>N/A</v>
          </cell>
          <cell r="AN468">
            <v>0</v>
          </cell>
          <cell r="AO468">
            <v>0</v>
          </cell>
        </row>
        <row r="469">
          <cell r="A469" t="str">
            <v>24-1553</v>
          </cell>
          <cell r="B469" t="str">
            <v>TROLLEY SPEAKER, PORTABLE</v>
          </cell>
          <cell r="C469" t="str">
            <v>PAGRO</v>
          </cell>
          <cell r="D469" t="str">
            <v>No</v>
          </cell>
          <cell r="E469" t="str">
            <v>NP-53.9 - Small Value Procurement</v>
          </cell>
          <cell r="F469" t="str">
            <v>N/A</v>
          </cell>
          <cell r="G469">
            <v>45371</v>
          </cell>
          <cell r="H469">
            <v>0</v>
          </cell>
          <cell r="I469" t="str">
            <v>N/A</v>
          </cell>
          <cell r="J469">
            <v>45398</v>
          </cell>
          <cell r="K469">
            <v>45398</v>
          </cell>
          <cell r="L469">
            <v>0</v>
          </cell>
          <cell r="M469" t="str">
            <v>N/A</v>
          </cell>
          <cell r="N469" t="str">
            <v>N/A</v>
          </cell>
          <cell r="O469">
            <v>45405</v>
          </cell>
          <cell r="P469">
            <v>0</v>
          </cell>
          <cell r="Q469">
            <v>0</v>
          </cell>
          <cell r="R469">
            <v>0</v>
          </cell>
          <cell r="S469" t="str">
            <v>N/A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 t="e">
            <v>#N/A</v>
          </cell>
          <cell r="Y469">
            <v>0</v>
          </cell>
          <cell r="Z469">
            <v>0</v>
          </cell>
          <cell r="AA469">
            <v>33600</v>
          </cell>
          <cell r="AB469">
            <v>0</v>
          </cell>
          <cell r="AC469">
            <v>33600</v>
          </cell>
          <cell r="AD469">
            <v>33600</v>
          </cell>
          <cell r="AE469">
            <v>0</v>
          </cell>
          <cell r="AF469">
            <v>33600</v>
          </cell>
          <cell r="AG469" t="str">
            <v>ENGR. MICHAEL C. SALARDA
MS. LEONARDA M. LATOR
MS. CARMENCITA VALDEZ
MS. SORAYA P. VERGARA</v>
          </cell>
          <cell r="AH469" t="str">
            <v>N/A</v>
          </cell>
          <cell r="AI469" t="str">
            <v>N/A</v>
          </cell>
          <cell r="AJ469" t="str">
            <v>N/A</v>
          </cell>
          <cell r="AK469" t="str">
            <v>N/A</v>
          </cell>
          <cell r="AL469" t="str">
            <v>N/A</v>
          </cell>
          <cell r="AM469" t="str">
            <v>N/A</v>
          </cell>
          <cell r="AN469">
            <v>0</v>
          </cell>
          <cell r="AO469">
            <v>0</v>
          </cell>
        </row>
        <row r="470">
          <cell r="A470" t="str">
            <v>24-C1259</v>
          </cell>
          <cell r="B470" t="str">
            <v>BOOKBINDING AND PRINTING</v>
          </cell>
          <cell r="C470" t="str">
            <v>PGO</v>
          </cell>
          <cell r="D470" t="str">
            <v>No</v>
          </cell>
          <cell r="E470" t="str">
            <v>NP-53.9 - Small Value Procurement</v>
          </cell>
          <cell r="F470" t="str">
            <v>N/A</v>
          </cell>
          <cell r="G470">
            <v>45384</v>
          </cell>
          <cell r="H470">
            <v>0</v>
          </cell>
          <cell r="I470" t="str">
            <v>N/A</v>
          </cell>
          <cell r="J470">
            <v>45398</v>
          </cell>
          <cell r="K470">
            <v>45398</v>
          </cell>
          <cell r="L470">
            <v>0</v>
          </cell>
          <cell r="M470" t="str">
            <v>N/A</v>
          </cell>
          <cell r="N470" t="str">
            <v>N/A</v>
          </cell>
          <cell r="O470">
            <v>45405</v>
          </cell>
          <cell r="P470">
            <v>0</v>
          </cell>
          <cell r="Q470">
            <v>0</v>
          </cell>
          <cell r="R470">
            <v>0</v>
          </cell>
          <cell r="S470" t="str">
            <v>N/A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12770</v>
          </cell>
          <cell r="AB470">
            <v>0</v>
          </cell>
          <cell r="AC470">
            <v>12770</v>
          </cell>
          <cell r="AD470">
            <v>12770</v>
          </cell>
          <cell r="AE470">
            <v>0</v>
          </cell>
          <cell r="AF470">
            <v>12770</v>
          </cell>
          <cell r="AG470" t="str">
            <v>ENGR. MICHAEL C. SALARDA
MS. LEONARDA M. LATOR
MS. CARMENCITA VALDEZ
MS. SORAYA P. VERGARA</v>
          </cell>
          <cell r="AH470" t="str">
            <v>N/A</v>
          </cell>
          <cell r="AI470" t="str">
            <v>N/A</v>
          </cell>
          <cell r="AJ470" t="str">
            <v>N/A</v>
          </cell>
          <cell r="AK470" t="str">
            <v>N/A</v>
          </cell>
          <cell r="AL470" t="str">
            <v>N/A</v>
          </cell>
          <cell r="AM470" t="str">
            <v>N/A</v>
          </cell>
          <cell r="AN470">
            <v>0</v>
          </cell>
          <cell r="AO470">
            <v>0</v>
          </cell>
        </row>
        <row r="471">
          <cell r="A471" t="str">
            <v>24-1427</v>
          </cell>
          <cell r="B471" t="str">
            <v>MEDICAL KIT</v>
          </cell>
          <cell r="C471" t="str">
            <v>PEO</v>
          </cell>
          <cell r="D471" t="str">
            <v>No</v>
          </cell>
          <cell r="E471" t="str">
            <v>NP-53.9 - Small Value Procurement</v>
          </cell>
          <cell r="F471" t="str">
            <v>N/A</v>
          </cell>
          <cell r="G471">
            <v>45359</v>
          </cell>
          <cell r="H471">
            <v>0</v>
          </cell>
          <cell r="I471" t="str">
            <v>N/A</v>
          </cell>
          <cell r="J471">
            <v>45398</v>
          </cell>
          <cell r="K471">
            <v>45398</v>
          </cell>
          <cell r="L471">
            <v>0</v>
          </cell>
          <cell r="M471" t="str">
            <v>N/A</v>
          </cell>
          <cell r="N471" t="str">
            <v>N/A</v>
          </cell>
          <cell r="O471">
            <v>45405</v>
          </cell>
          <cell r="P471">
            <v>0</v>
          </cell>
          <cell r="Q471">
            <v>0</v>
          </cell>
          <cell r="R471">
            <v>0</v>
          </cell>
          <cell r="S471" t="str">
            <v>N/A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 t="e">
            <v>#N/A</v>
          </cell>
          <cell r="Y471">
            <v>0</v>
          </cell>
          <cell r="Z471">
            <v>0</v>
          </cell>
          <cell r="AA471">
            <v>1925</v>
          </cell>
          <cell r="AB471">
            <v>0</v>
          </cell>
          <cell r="AC471">
            <v>1925</v>
          </cell>
          <cell r="AD471">
            <v>1925</v>
          </cell>
          <cell r="AE471">
            <v>0</v>
          </cell>
          <cell r="AF471">
            <v>1925</v>
          </cell>
          <cell r="AG471" t="str">
            <v>ENGR. MICHAEL C. SALARDA
MS. LEONARDA M. LATOR
MS. CARMENCITA VALDEZ
MS. SORAYA P. VERGARA</v>
          </cell>
          <cell r="AH471" t="str">
            <v>N/A</v>
          </cell>
          <cell r="AI471" t="str">
            <v>N/A</v>
          </cell>
          <cell r="AJ471" t="str">
            <v>N/A</v>
          </cell>
          <cell r="AK471" t="str">
            <v>N/A</v>
          </cell>
          <cell r="AL471" t="str">
            <v>N/A</v>
          </cell>
          <cell r="AM471" t="str">
            <v>N/A</v>
          </cell>
          <cell r="AN471">
            <v>0</v>
          </cell>
          <cell r="AO471">
            <v>0</v>
          </cell>
        </row>
        <row r="472">
          <cell r="A472" t="str">
            <v>24-2705</v>
          </cell>
          <cell r="B472" t="str">
            <v>INSTALLATION OF 100FT MONOPOLE ANTENNA TOWER AND VHF DIGITAL REPEATER</v>
          </cell>
          <cell r="C472" t="str">
            <v>PDRRMO</v>
          </cell>
          <cell r="D472" t="str">
            <v>No</v>
          </cell>
          <cell r="E472" t="str">
            <v>NP-53.1 Two Failed Biddings</v>
          </cell>
          <cell r="F472">
            <v>45265</v>
          </cell>
          <cell r="G472">
            <v>45376</v>
          </cell>
          <cell r="H472">
            <v>0</v>
          </cell>
          <cell r="I472" t="str">
            <v>N/A</v>
          </cell>
          <cell r="J472">
            <v>45398</v>
          </cell>
          <cell r="K472">
            <v>45398</v>
          </cell>
          <cell r="L472">
            <v>0</v>
          </cell>
          <cell r="M472" t="str">
            <v>N/A</v>
          </cell>
          <cell r="N472" t="str">
            <v>N/A</v>
          </cell>
          <cell r="O472">
            <v>45405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 t="e">
            <v>#N/A</v>
          </cell>
          <cell r="Y472">
            <v>0</v>
          </cell>
          <cell r="Z472">
            <v>0</v>
          </cell>
          <cell r="AA472">
            <v>688750</v>
          </cell>
          <cell r="AB472">
            <v>0</v>
          </cell>
          <cell r="AC472">
            <v>688750</v>
          </cell>
          <cell r="AD472">
            <v>680000</v>
          </cell>
          <cell r="AE472">
            <v>0</v>
          </cell>
          <cell r="AF472">
            <v>680000</v>
          </cell>
          <cell r="AG472" t="str">
            <v>ENGR. MICHAEL C. SALARDA
MS. LEONARDA M. LATOR
MS. CARMENCITA VALDEZ
MS. SORAYA P. VERGARA</v>
          </cell>
          <cell r="AH472" t="str">
            <v>N/A</v>
          </cell>
          <cell r="AI472" t="str">
            <v>N/A</v>
          </cell>
          <cell r="AJ472" t="str">
            <v>N/A</v>
          </cell>
          <cell r="AK472" t="str">
            <v>N/A</v>
          </cell>
          <cell r="AL472" t="str">
            <v>N/A</v>
          </cell>
          <cell r="AM472" t="str">
            <v>N/A</v>
          </cell>
          <cell r="AN472">
            <v>0</v>
          </cell>
          <cell r="AO472">
            <v>0</v>
          </cell>
        </row>
        <row r="473">
          <cell r="A473" t="str">
            <v>24-C1339</v>
          </cell>
          <cell r="B473" t="str">
            <v>FOOD SUPPLIES</v>
          </cell>
          <cell r="C473" t="str">
            <v>PDRRMO</v>
          </cell>
          <cell r="D473" t="str">
            <v>No</v>
          </cell>
          <cell r="E473" t="str">
            <v>NP-53.2 Emergency Cases</v>
          </cell>
          <cell r="F473" t="str">
            <v>N/A</v>
          </cell>
          <cell r="G473">
            <v>45397</v>
          </cell>
          <cell r="H473">
            <v>0</v>
          </cell>
          <cell r="I473" t="str">
            <v>N/A</v>
          </cell>
          <cell r="J473">
            <v>45398</v>
          </cell>
          <cell r="K473">
            <v>45398</v>
          </cell>
          <cell r="L473">
            <v>0</v>
          </cell>
          <cell r="M473" t="str">
            <v>N/A</v>
          </cell>
          <cell r="N473" t="str">
            <v>N/A</v>
          </cell>
          <cell r="O473">
            <v>45405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45412</v>
          </cell>
          <cell r="Y473">
            <v>0</v>
          </cell>
          <cell r="Z473">
            <v>0</v>
          </cell>
          <cell r="AA473">
            <v>1679480</v>
          </cell>
          <cell r="AB473">
            <v>0</v>
          </cell>
          <cell r="AC473">
            <v>1679480</v>
          </cell>
          <cell r="AD473">
            <v>1663865</v>
          </cell>
          <cell r="AE473">
            <v>0</v>
          </cell>
          <cell r="AF473">
            <v>1663865</v>
          </cell>
          <cell r="AG473" t="str">
            <v>ENGR. MICHAEL C. SALARDA
MS. LEONARDA M. LATOR
MS. CARMENCITA VALDEZ
MS. SORAYA P. VERGARA</v>
          </cell>
          <cell r="AH473" t="str">
            <v>N/A</v>
          </cell>
          <cell r="AI473" t="str">
            <v>N/A</v>
          </cell>
          <cell r="AJ473" t="str">
            <v>N/A</v>
          </cell>
          <cell r="AK473" t="str">
            <v>N/A</v>
          </cell>
          <cell r="AL473" t="str">
            <v>N/A</v>
          </cell>
          <cell r="AM473" t="str">
            <v>N/A</v>
          </cell>
          <cell r="AN473">
            <v>0</v>
          </cell>
          <cell r="AO473">
            <v>0</v>
          </cell>
        </row>
        <row r="474">
          <cell r="A474" t="str">
            <v>24-C1045</v>
          </cell>
          <cell r="B474" t="str">
            <v>OIL AND LUBRICANTS</v>
          </cell>
          <cell r="C474" t="str">
            <v>PEO</v>
          </cell>
          <cell r="D474" t="str">
            <v>No</v>
          </cell>
          <cell r="E474" t="str">
            <v>Competitive Bidding</v>
          </cell>
          <cell r="F474" t="str">
            <v>N/A</v>
          </cell>
          <cell r="G474">
            <v>45341</v>
          </cell>
          <cell r="H474">
            <v>0</v>
          </cell>
          <cell r="I474">
            <v>45356</v>
          </cell>
          <cell r="J474">
            <v>45370</v>
          </cell>
          <cell r="K474">
            <v>45370</v>
          </cell>
          <cell r="L474">
            <v>0</v>
          </cell>
          <cell r="M474">
            <v>45387</v>
          </cell>
          <cell r="N474">
            <v>45387</v>
          </cell>
          <cell r="O474">
            <v>45405</v>
          </cell>
          <cell r="P474">
            <v>0</v>
          </cell>
          <cell r="Q474">
            <v>0</v>
          </cell>
          <cell r="R474">
            <v>0</v>
          </cell>
          <cell r="S474">
            <v>45405</v>
          </cell>
          <cell r="T474">
            <v>45411</v>
          </cell>
          <cell r="U474">
            <v>0</v>
          </cell>
          <cell r="V474">
            <v>0</v>
          </cell>
          <cell r="W474">
            <v>0</v>
          </cell>
          <cell r="X474">
            <v>45439</v>
          </cell>
          <cell r="Y474">
            <v>0</v>
          </cell>
          <cell r="Z474">
            <v>0</v>
          </cell>
          <cell r="AA474">
            <v>1343882.5</v>
          </cell>
          <cell r="AB474">
            <v>0</v>
          </cell>
          <cell r="AC474">
            <v>1343882.5</v>
          </cell>
          <cell r="AD474">
            <v>812840</v>
          </cell>
          <cell r="AE474">
            <v>0</v>
          </cell>
          <cell r="AF474">
            <v>812840</v>
          </cell>
          <cell r="AG474" t="str">
            <v>ENGR. MICHAEL C. SALARDA
MS. LEONARDA M. LATOR
MS. CARMENCITA VALDEZ
MS. SORAYA P. VERGARA</v>
          </cell>
          <cell r="AH474">
            <v>45352</v>
          </cell>
          <cell r="AI474">
            <v>45366</v>
          </cell>
          <cell r="AJ474">
            <v>45366</v>
          </cell>
          <cell r="AK474">
            <v>45366</v>
          </cell>
          <cell r="AL474" t="str">
            <v>N/A</v>
          </cell>
          <cell r="AM474" t="str">
            <v>N/A</v>
          </cell>
          <cell r="AN474">
            <v>0</v>
          </cell>
          <cell r="AO474">
            <v>0</v>
          </cell>
        </row>
        <row r="475">
          <cell r="A475" t="str">
            <v>24-C0997</v>
          </cell>
          <cell r="B475" t="str">
            <v>SPAREPARTS (LIGHT VEHICLES)</v>
          </cell>
          <cell r="C475" t="str">
            <v>PGSO-Inventory</v>
          </cell>
          <cell r="D475" t="str">
            <v>No</v>
          </cell>
          <cell r="E475" t="str">
            <v>Competitive Bidding</v>
          </cell>
          <cell r="F475">
            <v>45342</v>
          </cell>
          <cell r="G475">
            <v>45348</v>
          </cell>
          <cell r="H475">
            <v>0</v>
          </cell>
          <cell r="I475">
            <v>45356</v>
          </cell>
          <cell r="J475">
            <v>45370</v>
          </cell>
          <cell r="K475">
            <v>45370</v>
          </cell>
          <cell r="L475">
            <v>0</v>
          </cell>
          <cell r="M475">
            <v>45393</v>
          </cell>
          <cell r="N475">
            <v>45393</v>
          </cell>
          <cell r="O475">
            <v>45405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45422</v>
          </cell>
          <cell r="Y475">
            <v>0</v>
          </cell>
          <cell r="Z475">
            <v>0</v>
          </cell>
          <cell r="AA475">
            <v>4493654.28</v>
          </cell>
          <cell r="AB475">
            <v>0</v>
          </cell>
          <cell r="AC475">
            <v>4493654.28</v>
          </cell>
          <cell r="AD475">
            <v>1990169</v>
          </cell>
          <cell r="AE475">
            <v>0</v>
          </cell>
          <cell r="AF475">
            <v>1990169</v>
          </cell>
          <cell r="AG475" t="str">
            <v>ENGR. MICHAEL C. SALARDA
MS. LEONARDA M. LATOR
MS. CARMENCITA VALDEZ
MS. SORAYA P. VERGARA</v>
          </cell>
          <cell r="AH475">
            <v>45352</v>
          </cell>
          <cell r="AI475">
            <v>45366</v>
          </cell>
          <cell r="AJ475">
            <v>45366</v>
          </cell>
          <cell r="AK475">
            <v>45366</v>
          </cell>
          <cell r="AL475" t="str">
            <v>N/A</v>
          </cell>
          <cell r="AM475" t="str">
            <v>N/A</v>
          </cell>
          <cell r="AN475">
            <v>0</v>
          </cell>
          <cell r="AO475">
            <v>0</v>
          </cell>
        </row>
        <row r="476">
          <cell r="A476" t="str">
            <v>23-5484</v>
          </cell>
          <cell r="B476" t="str">
            <v>OFFICE EQUIPMENT</v>
          </cell>
          <cell r="C476" t="str">
            <v>SEF</v>
          </cell>
          <cell r="D476" t="str">
            <v>No</v>
          </cell>
          <cell r="E476" t="str">
            <v>Competitive Bidding</v>
          </cell>
          <cell r="F476">
            <v>45342</v>
          </cell>
          <cell r="G476">
            <v>45348</v>
          </cell>
          <cell r="H476">
            <v>0</v>
          </cell>
          <cell r="I476">
            <v>45356</v>
          </cell>
          <cell r="J476">
            <v>45370</v>
          </cell>
          <cell r="K476">
            <v>45370</v>
          </cell>
          <cell r="L476">
            <v>0</v>
          </cell>
          <cell r="M476">
            <v>45370</v>
          </cell>
          <cell r="N476">
            <v>45405</v>
          </cell>
          <cell r="O476">
            <v>45411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 t="e">
            <v>#N/A</v>
          </cell>
          <cell r="Y476">
            <v>0</v>
          </cell>
          <cell r="Z476">
            <v>0</v>
          </cell>
          <cell r="AA476">
            <v>4250000</v>
          </cell>
          <cell r="AB476">
            <v>0</v>
          </cell>
          <cell r="AC476">
            <v>4250000</v>
          </cell>
          <cell r="AD476">
            <v>2068707.77</v>
          </cell>
          <cell r="AE476">
            <v>0</v>
          </cell>
          <cell r="AF476">
            <v>2068707.77</v>
          </cell>
          <cell r="AG476" t="str">
            <v>ENGR. MICHAEL C. SALARDA
MS. LEONARDA M. LATOR
MS. CARMENCITA VALDEZ
MS. SORAYA P. VERGARA</v>
          </cell>
          <cell r="AH476">
            <v>45352</v>
          </cell>
          <cell r="AI476">
            <v>45366</v>
          </cell>
          <cell r="AJ476">
            <v>45366</v>
          </cell>
          <cell r="AK476">
            <v>45366</v>
          </cell>
          <cell r="AL476" t="str">
            <v>N/A</v>
          </cell>
          <cell r="AM476" t="str">
            <v>N/A</v>
          </cell>
          <cell r="AN476">
            <v>0</v>
          </cell>
          <cell r="AO476">
            <v>0</v>
          </cell>
        </row>
        <row r="477">
          <cell r="A477" t="str">
            <v>24-C1002</v>
          </cell>
          <cell r="B477" t="str">
            <v>LABORATORY SUPPLIES</v>
          </cell>
          <cell r="C477" t="str">
            <v>PEEMO</v>
          </cell>
          <cell r="D477" t="str">
            <v>No</v>
          </cell>
          <cell r="E477" t="str">
            <v>Competitive Bidding</v>
          </cell>
          <cell r="F477" t="str">
            <v>N/A</v>
          </cell>
          <cell r="G477">
            <v>45341</v>
          </cell>
          <cell r="H477">
            <v>0</v>
          </cell>
          <cell r="I477">
            <v>45356</v>
          </cell>
          <cell r="J477">
            <v>45370</v>
          </cell>
          <cell r="K477">
            <v>45370</v>
          </cell>
          <cell r="L477">
            <v>0</v>
          </cell>
          <cell r="M477">
            <v>45370</v>
          </cell>
          <cell r="N477">
            <v>45399</v>
          </cell>
          <cell r="O477">
            <v>45411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45446</v>
          </cell>
          <cell r="Y477">
            <v>0</v>
          </cell>
          <cell r="Z477">
            <v>0</v>
          </cell>
          <cell r="AA477">
            <v>1412808</v>
          </cell>
          <cell r="AB477">
            <v>0</v>
          </cell>
          <cell r="AC477">
            <v>1412808</v>
          </cell>
          <cell r="AD477">
            <v>899883</v>
          </cell>
          <cell r="AE477">
            <v>0</v>
          </cell>
          <cell r="AF477">
            <v>899883</v>
          </cell>
          <cell r="AG477" t="str">
            <v>ENGR. MICHAEL C. SALARDA
MS. LEONARDA M. LATOR
MS. CARMENCITA VALDEZ
MS. SORAYA P. VERGARA</v>
          </cell>
          <cell r="AH477">
            <v>45352</v>
          </cell>
          <cell r="AI477">
            <v>45366</v>
          </cell>
          <cell r="AJ477">
            <v>45366</v>
          </cell>
          <cell r="AK477">
            <v>45366</v>
          </cell>
          <cell r="AL477" t="str">
            <v>N/A</v>
          </cell>
          <cell r="AM477" t="str">
            <v>N/A</v>
          </cell>
          <cell r="AN477">
            <v>0</v>
          </cell>
          <cell r="AO477">
            <v>0</v>
          </cell>
        </row>
        <row r="478">
          <cell r="A478" t="str">
            <v>24-C0928</v>
          </cell>
          <cell r="B478" t="str">
            <v>RACK MOUNTED SERVER AND SERVER MANAGEMENT SOFTWARE WITH CLOUD SUPPORT</v>
          </cell>
          <cell r="C478" t="str">
            <v>PHO</v>
          </cell>
          <cell r="D478" t="str">
            <v>No</v>
          </cell>
          <cell r="E478" t="str">
            <v>Competitive Bidding</v>
          </cell>
          <cell r="F478">
            <v>45342</v>
          </cell>
          <cell r="G478">
            <v>45348</v>
          </cell>
          <cell r="H478">
            <v>0</v>
          </cell>
          <cell r="I478">
            <v>45356</v>
          </cell>
          <cell r="J478">
            <v>45370</v>
          </cell>
          <cell r="K478">
            <v>45370</v>
          </cell>
          <cell r="L478">
            <v>0</v>
          </cell>
          <cell r="M478">
            <v>45370</v>
          </cell>
          <cell r="N478">
            <v>45392</v>
          </cell>
          <cell r="O478">
            <v>45411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45457</v>
          </cell>
          <cell r="Y478">
            <v>0</v>
          </cell>
          <cell r="Z478">
            <v>0</v>
          </cell>
          <cell r="AA478">
            <v>516848.55</v>
          </cell>
          <cell r="AB478">
            <v>0</v>
          </cell>
          <cell r="AC478">
            <v>516848.55</v>
          </cell>
          <cell r="AD478">
            <v>510000</v>
          </cell>
          <cell r="AE478">
            <v>0</v>
          </cell>
          <cell r="AF478">
            <v>510000</v>
          </cell>
          <cell r="AG478" t="str">
            <v>ENGR. MICHAEL C. SALARDA
MS. LEONARDA M. LATOR
MS. CARMENCITA VALDEZ
MS. SORAYA P. VERGARA</v>
          </cell>
          <cell r="AH478">
            <v>45352</v>
          </cell>
          <cell r="AI478">
            <v>45366</v>
          </cell>
          <cell r="AJ478">
            <v>45366</v>
          </cell>
          <cell r="AK478">
            <v>45366</v>
          </cell>
          <cell r="AL478" t="str">
            <v>N/A</v>
          </cell>
          <cell r="AM478" t="str">
            <v>N/A</v>
          </cell>
          <cell r="AN478">
            <v>0</v>
          </cell>
          <cell r="AO478">
            <v>0</v>
          </cell>
        </row>
        <row r="479">
          <cell r="A479" t="str">
            <v>24-C1042</v>
          </cell>
          <cell r="B479" t="str">
            <v>TIRES</v>
          </cell>
          <cell r="C479" t="str">
            <v>PEO</v>
          </cell>
          <cell r="D479" t="str">
            <v>No</v>
          </cell>
          <cell r="E479" t="str">
            <v>Competitive Bidding</v>
          </cell>
          <cell r="F479">
            <v>45342</v>
          </cell>
          <cell r="G479">
            <v>45348</v>
          </cell>
          <cell r="H479">
            <v>0</v>
          </cell>
          <cell r="I479">
            <v>45356</v>
          </cell>
          <cell r="J479">
            <v>45370</v>
          </cell>
          <cell r="K479">
            <v>45370</v>
          </cell>
          <cell r="L479">
            <v>0</v>
          </cell>
          <cell r="M479">
            <v>45370</v>
          </cell>
          <cell r="N479">
            <v>45393</v>
          </cell>
          <cell r="O479">
            <v>45411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45434</v>
          </cell>
          <cell r="Y479">
            <v>0</v>
          </cell>
          <cell r="Z479">
            <v>0</v>
          </cell>
          <cell r="AA479">
            <v>7001000</v>
          </cell>
          <cell r="AB479">
            <v>0</v>
          </cell>
          <cell r="AC479">
            <v>7001000</v>
          </cell>
          <cell r="AD479">
            <v>3994700</v>
          </cell>
          <cell r="AE479">
            <v>0</v>
          </cell>
          <cell r="AF479">
            <v>3994700</v>
          </cell>
          <cell r="AG479" t="str">
            <v>ENGR. MICHAEL C. SALARDA
MS. LEONARDA M. LATOR
MS. CARMENCITA VALDEZ
MS. SORAYA P. VERGARA</v>
          </cell>
          <cell r="AH479">
            <v>45352</v>
          </cell>
          <cell r="AI479">
            <v>45366</v>
          </cell>
          <cell r="AJ479">
            <v>45366</v>
          </cell>
          <cell r="AK479">
            <v>45366</v>
          </cell>
          <cell r="AL479" t="str">
            <v>N/A</v>
          </cell>
          <cell r="AM479" t="str">
            <v>N/A</v>
          </cell>
          <cell r="AN479">
            <v>0</v>
          </cell>
          <cell r="AO479">
            <v>0</v>
          </cell>
        </row>
        <row r="480">
          <cell r="A480" t="str">
            <v>24-0905</v>
          </cell>
          <cell r="B480" t="str">
            <v>PUMP IRRIGATION SYSTEM OPEN SOURCE (PISOS)-PUMP &amp; ENGINE SET</v>
          </cell>
          <cell r="C480" t="str">
            <v>PAGRO</v>
          </cell>
          <cell r="D480" t="str">
            <v>No</v>
          </cell>
          <cell r="E480" t="str">
            <v>Competitive Bidding</v>
          </cell>
          <cell r="F480">
            <v>45342</v>
          </cell>
          <cell r="G480">
            <v>45348</v>
          </cell>
          <cell r="H480">
            <v>0</v>
          </cell>
          <cell r="I480">
            <v>45356</v>
          </cell>
          <cell r="J480">
            <v>45370</v>
          </cell>
          <cell r="K480">
            <v>45370</v>
          </cell>
          <cell r="L480">
            <v>0</v>
          </cell>
          <cell r="M480">
            <v>45370</v>
          </cell>
          <cell r="N480">
            <v>45401</v>
          </cell>
          <cell r="O480">
            <v>45411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 t="e">
            <v>#N/A</v>
          </cell>
          <cell r="Y480">
            <v>0</v>
          </cell>
          <cell r="Z480">
            <v>0</v>
          </cell>
          <cell r="AA480">
            <v>3000000</v>
          </cell>
          <cell r="AB480">
            <v>0</v>
          </cell>
          <cell r="AC480">
            <v>3000000</v>
          </cell>
          <cell r="AD480">
            <v>2970000</v>
          </cell>
          <cell r="AE480">
            <v>0</v>
          </cell>
          <cell r="AF480">
            <v>2970000</v>
          </cell>
          <cell r="AG480" t="str">
            <v>ENGR. MICHAEL C. SALARDA
MS. LEONARDA M. LATOR
MS. CARMENCITA VALDEZ
MS. SORAYA P. VERGARA</v>
          </cell>
          <cell r="AH480">
            <v>45352</v>
          </cell>
          <cell r="AI480">
            <v>45366</v>
          </cell>
          <cell r="AJ480">
            <v>45366</v>
          </cell>
          <cell r="AK480">
            <v>45366</v>
          </cell>
          <cell r="AL480" t="str">
            <v>N/A</v>
          </cell>
          <cell r="AM480" t="str">
            <v>N/A</v>
          </cell>
          <cell r="AN480">
            <v>0</v>
          </cell>
          <cell r="AO480">
            <v>0</v>
          </cell>
        </row>
        <row r="481">
          <cell r="A481" t="str">
            <v>24-C1011</v>
          </cell>
          <cell r="B481" t="str">
            <v>FLUIDS</v>
          </cell>
          <cell r="C481" t="str">
            <v>PEEMO</v>
          </cell>
          <cell r="D481" t="str">
            <v>No</v>
          </cell>
          <cell r="E481" t="str">
            <v>Competitive Bidding</v>
          </cell>
          <cell r="F481">
            <v>45342</v>
          </cell>
          <cell r="G481">
            <v>45348</v>
          </cell>
          <cell r="H481">
            <v>0</v>
          </cell>
          <cell r="I481">
            <v>45356</v>
          </cell>
          <cell r="J481">
            <v>45370</v>
          </cell>
          <cell r="K481">
            <v>45370</v>
          </cell>
          <cell r="L481">
            <v>0</v>
          </cell>
          <cell r="M481">
            <v>45370</v>
          </cell>
          <cell r="N481">
            <v>45400</v>
          </cell>
          <cell r="O481">
            <v>45411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45440</v>
          </cell>
          <cell r="Y481">
            <v>0</v>
          </cell>
          <cell r="Z481">
            <v>0</v>
          </cell>
          <cell r="AA481">
            <v>1678204</v>
          </cell>
          <cell r="AB481">
            <v>0</v>
          </cell>
          <cell r="AC481">
            <v>1678204</v>
          </cell>
          <cell r="AD481">
            <v>1093996</v>
          </cell>
          <cell r="AE481">
            <v>0</v>
          </cell>
          <cell r="AF481">
            <v>1093996</v>
          </cell>
          <cell r="AG481" t="str">
            <v>ENGR. MICHAEL C. SALARDA
MS. LEONARDA M. LATOR
MS. CARMENCITA VALDEZ
MS. SORAYA P. VERGARA</v>
          </cell>
          <cell r="AH481">
            <v>45352</v>
          </cell>
          <cell r="AI481">
            <v>45366</v>
          </cell>
          <cell r="AJ481">
            <v>45366</v>
          </cell>
          <cell r="AK481">
            <v>45366</v>
          </cell>
          <cell r="AL481" t="str">
            <v>N/A</v>
          </cell>
          <cell r="AM481" t="str">
            <v>N/A</v>
          </cell>
          <cell r="AN481">
            <v>0</v>
          </cell>
          <cell r="AO481">
            <v>0</v>
          </cell>
        </row>
        <row r="482">
          <cell r="A482" t="str">
            <v>24-C1010</v>
          </cell>
          <cell r="B482" t="str">
            <v>DRUGS AND MEDICINES</v>
          </cell>
          <cell r="C482" t="str">
            <v>PEEMO</v>
          </cell>
          <cell r="D482" t="str">
            <v>No</v>
          </cell>
          <cell r="E482" t="str">
            <v>Competitive Bidding</v>
          </cell>
          <cell r="F482">
            <v>45342</v>
          </cell>
          <cell r="G482">
            <v>45348</v>
          </cell>
          <cell r="H482">
            <v>0</v>
          </cell>
          <cell r="I482">
            <v>45356</v>
          </cell>
          <cell r="J482">
            <v>45370</v>
          </cell>
          <cell r="K482">
            <v>45370</v>
          </cell>
          <cell r="L482">
            <v>0</v>
          </cell>
          <cell r="M482">
            <v>45370</v>
          </cell>
          <cell r="N482">
            <v>45399</v>
          </cell>
          <cell r="O482">
            <v>45411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1445395.4</v>
          </cell>
          <cell r="AB482">
            <v>0</v>
          </cell>
          <cell r="AC482">
            <v>1445395.4</v>
          </cell>
          <cell r="AD482">
            <v>1445395.4</v>
          </cell>
          <cell r="AE482">
            <v>0</v>
          </cell>
          <cell r="AF482">
            <v>1445395.4</v>
          </cell>
          <cell r="AG482" t="str">
            <v>ENGR. MICHAEL C. SALARDA
MS. LEONARDA M. LATOR
MS. CARMENCITA VALDEZ
MS. SORAYA P. VERGARA</v>
          </cell>
          <cell r="AH482">
            <v>45352</v>
          </cell>
          <cell r="AI482">
            <v>45366</v>
          </cell>
          <cell r="AJ482">
            <v>45366</v>
          </cell>
          <cell r="AK482">
            <v>45366</v>
          </cell>
          <cell r="AL482" t="str">
            <v>N/A</v>
          </cell>
          <cell r="AM482" t="str">
            <v>N/A</v>
          </cell>
          <cell r="AN482">
            <v>0</v>
          </cell>
          <cell r="AO482">
            <v>0</v>
          </cell>
        </row>
        <row r="483">
          <cell r="A483" t="str">
            <v>24-0651</v>
          </cell>
          <cell r="B483" t="str">
            <v>COMMUNICATION EQUIPMENT</v>
          </cell>
          <cell r="C483" t="str">
            <v>PICTO</v>
          </cell>
          <cell r="D483" t="str">
            <v>No</v>
          </cell>
          <cell r="E483" t="str">
            <v>Competitive Bidding</v>
          </cell>
          <cell r="F483">
            <v>0</v>
          </cell>
          <cell r="G483">
            <v>45355</v>
          </cell>
          <cell r="H483">
            <v>0</v>
          </cell>
          <cell r="I483">
            <v>45370</v>
          </cell>
          <cell r="J483">
            <v>45384</v>
          </cell>
          <cell r="K483">
            <v>45384</v>
          </cell>
          <cell r="L483">
            <v>0</v>
          </cell>
          <cell r="M483">
            <v>45384</v>
          </cell>
          <cell r="N483">
            <v>45405</v>
          </cell>
          <cell r="O483">
            <v>45411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 t="e">
            <v>#N/A</v>
          </cell>
          <cell r="Y483">
            <v>0</v>
          </cell>
          <cell r="Z483">
            <v>0</v>
          </cell>
          <cell r="AA483">
            <v>2949999</v>
          </cell>
          <cell r="AB483">
            <v>0</v>
          </cell>
          <cell r="AC483">
            <v>2949999</v>
          </cell>
          <cell r="AD483">
            <v>2948814</v>
          </cell>
          <cell r="AE483">
            <v>0</v>
          </cell>
          <cell r="AF483">
            <v>2948814</v>
          </cell>
          <cell r="AG483" t="str">
            <v>ENGR. MICHAEL C. SALARDA
MS. LEONARDA M. LATOR
MS. CARMENCITA VALDEZ
MS. SORAYA P. VERGARA</v>
          </cell>
          <cell r="AH483">
            <v>45366</v>
          </cell>
          <cell r="AI483">
            <v>45383</v>
          </cell>
          <cell r="AJ483">
            <v>45383</v>
          </cell>
          <cell r="AK483">
            <v>45383</v>
          </cell>
          <cell r="AL483" t="str">
            <v>N/A</v>
          </cell>
          <cell r="AM483" t="str">
            <v>N/A</v>
          </cell>
          <cell r="AN483">
            <v>0</v>
          </cell>
          <cell r="AO483">
            <v>0</v>
          </cell>
        </row>
        <row r="484">
          <cell r="A484" t="str">
            <v>24-C1095</v>
          </cell>
          <cell r="B484" t="str">
            <v>FUEL, OIL, AND LUBRICANTS</v>
          </cell>
          <cell r="C484" t="str">
            <v>PGSO</v>
          </cell>
          <cell r="D484" t="str">
            <v>No</v>
          </cell>
          <cell r="E484" t="str">
            <v>Competitive Bidding</v>
          </cell>
          <cell r="F484">
            <v>0</v>
          </cell>
          <cell r="G484">
            <v>45355</v>
          </cell>
          <cell r="H484">
            <v>0</v>
          </cell>
          <cell r="I484">
            <v>45370</v>
          </cell>
          <cell r="J484">
            <v>45384</v>
          </cell>
          <cell r="K484">
            <v>45384</v>
          </cell>
          <cell r="L484">
            <v>0</v>
          </cell>
          <cell r="M484">
            <v>45384</v>
          </cell>
          <cell r="N484">
            <v>45393</v>
          </cell>
          <cell r="O484">
            <v>45411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45446</v>
          </cell>
          <cell r="Y484">
            <v>0</v>
          </cell>
          <cell r="Z484">
            <v>0</v>
          </cell>
          <cell r="AA484">
            <v>1548381.74</v>
          </cell>
          <cell r="AB484">
            <v>0</v>
          </cell>
          <cell r="AC484">
            <v>1548381.74</v>
          </cell>
          <cell r="AD484">
            <v>890290</v>
          </cell>
          <cell r="AE484">
            <v>0</v>
          </cell>
          <cell r="AF484">
            <v>890290</v>
          </cell>
          <cell r="AG484" t="str">
            <v>ENGR. MICHAEL C. SALARDA
MS. LEONARDA M. LATOR
MS. CARMENCITA VALDEZ
MS. SORAYA P. VERGARA</v>
          </cell>
          <cell r="AH484">
            <v>45366</v>
          </cell>
          <cell r="AI484">
            <v>45383</v>
          </cell>
          <cell r="AJ484">
            <v>45383</v>
          </cell>
          <cell r="AK484">
            <v>45383</v>
          </cell>
          <cell r="AL484" t="str">
            <v>N/A</v>
          </cell>
          <cell r="AM484" t="str">
            <v>N/A</v>
          </cell>
          <cell r="AN484">
            <v>0</v>
          </cell>
          <cell r="AO484">
            <v>0</v>
          </cell>
        </row>
        <row r="485">
          <cell r="A485" t="str">
            <v>24-C1136</v>
          </cell>
          <cell r="B485" t="str">
            <v>SPAREPARTS (SPAREPARTS)</v>
          </cell>
          <cell r="C485" t="str">
            <v>PEO</v>
          </cell>
          <cell r="D485" t="str">
            <v>No</v>
          </cell>
          <cell r="E485" t="str">
            <v>Competitive Bidding</v>
          </cell>
          <cell r="F485" t="str">
            <v>N/A</v>
          </cell>
          <cell r="G485">
            <v>45362</v>
          </cell>
          <cell r="H485">
            <v>0</v>
          </cell>
          <cell r="I485">
            <v>45370</v>
          </cell>
          <cell r="J485">
            <v>45384</v>
          </cell>
          <cell r="K485">
            <v>45384</v>
          </cell>
          <cell r="L485">
            <v>0</v>
          </cell>
          <cell r="M485">
            <v>45326</v>
          </cell>
          <cell r="N485">
            <v>45406</v>
          </cell>
          <cell r="O485">
            <v>45411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45446</v>
          </cell>
          <cell r="Y485">
            <v>0</v>
          </cell>
          <cell r="Z485">
            <v>0</v>
          </cell>
          <cell r="AA485">
            <v>1823618</v>
          </cell>
          <cell r="AB485">
            <v>0</v>
          </cell>
          <cell r="AC485">
            <v>1823618</v>
          </cell>
          <cell r="AD485">
            <v>1684350</v>
          </cell>
          <cell r="AE485">
            <v>0</v>
          </cell>
          <cell r="AF485">
            <v>1684350</v>
          </cell>
          <cell r="AG485" t="str">
            <v>ENGR. MICHAEL C. SALARDA
MS. LEONARDA M. LATOR
MS. CARMENCITA VALDEZ
MS. SORAYA P. VERGARA</v>
          </cell>
          <cell r="AH485">
            <v>45366</v>
          </cell>
          <cell r="AI485">
            <v>45383</v>
          </cell>
          <cell r="AJ485">
            <v>45383</v>
          </cell>
          <cell r="AK485">
            <v>45383</v>
          </cell>
          <cell r="AL485" t="str">
            <v>N/A</v>
          </cell>
          <cell r="AM485" t="str">
            <v>N/A</v>
          </cell>
          <cell r="AN485">
            <v>0</v>
          </cell>
          <cell r="AO485">
            <v>0</v>
          </cell>
        </row>
        <row r="486">
          <cell r="A486" t="str">
            <v>24-C1094</v>
          </cell>
          <cell r="B486" t="str">
            <v>MEALS AND SNACKS WITH ACCOMMODATION</v>
          </cell>
          <cell r="C486" t="str">
            <v>PSWDO</v>
          </cell>
          <cell r="D486" t="str">
            <v>No</v>
          </cell>
          <cell r="E486" t="str">
            <v>Competitive Bidding</v>
          </cell>
          <cell r="F486">
            <v>45356</v>
          </cell>
          <cell r="G486">
            <v>45376</v>
          </cell>
          <cell r="H486">
            <v>0</v>
          </cell>
          <cell r="I486" t="str">
            <v>N/A</v>
          </cell>
          <cell r="J486">
            <v>45384</v>
          </cell>
          <cell r="K486">
            <v>45384</v>
          </cell>
          <cell r="L486">
            <v>0</v>
          </cell>
          <cell r="M486">
            <v>45384</v>
          </cell>
          <cell r="N486">
            <v>45399</v>
          </cell>
          <cell r="O486">
            <v>45411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324000</v>
          </cell>
          <cell r="AB486">
            <v>0</v>
          </cell>
          <cell r="AC486">
            <v>324000</v>
          </cell>
          <cell r="AD486">
            <v>323595</v>
          </cell>
          <cell r="AE486">
            <v>0</v>
          </cell>
          <cell r="AF486">
            <v>323595</v>
          </cell>
          <cell r="AG486" t="str">
            <v>ENGR. MICHAEL C. SALARDA
MS. LEONARDA M. LATOR
MS. CARMENCITA VALDEZ
MS. SORAYA P. VERGARA</v>
          </cell>
          <cell r="AH486" t="str">
            <v>N/A</v>
          </cell>
          <cell r="AI486">
            <v>45383</v>
          </cell>
          <cell r="AJ486">
            <v>45383</v>
          </cell>
          <cell r="AK486">
            <v>45383</v>
          </cell>
          <cell r="AL486" t="str">
            <v>N/A</v>
          </cell>
          <cell r="AM486" t="str">
            <v>N/A</v>
          </cell>
          <cell r="AN486">
            <v>0</v>
          </cell>
          <cell r="AO486">
            <v>0</v>
          </cell>
        </row>
        <row r="487">
          <cell r="A487" t="str">
            <v>24-C1088</v>
          </cell>
          <cell r="B487" t="str">
            <v>MEALS AND SNACKS WITH ACCOMMODATION</v>
          </cell>
          <cell r="C487" t="str">
            <v>PDRRMO</v>
          </cell>
          <cell r="D487" t="str">
            <v>No</v>
          </cell>
          <cell r="E487" t="str">
            <v>Competitive Bidding</v>
          </cell>
          <cell r="F487">
            <v>45356</v>
          </cell>
          <cell r="G487">
            <v>45376</v>
          </cell>
          <cell r="H487">
            <v>0</v>
          </cell>
          <cell r="I487" t="str">
            <v>N/A</v>
          </cell>
          <cell r="J487">
            <v>45384</v>
          </cell>
          <cell r="K487">
            <v>45384</v>
          </cell>
          <cell r="L487">
            <v>0</v>
          </cell>
          <cell r="M487">
            <v>45384</v>
          </cell>
          <cell r="N487">
            <v>45399</v>
          </cell>
          <cell r="O487">
            <v>45411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437400</v>
          </cell>
          <cell r="AB487">
            <v>0</v>
          </cell>
          <cell r="AC487">
            <v>437400</v>
          </cell>
          <cell r="AD487">
            <v>436995</v>
          </cell>
          <cell r="AE487">
            <v>0</v>
          </cell>
          <cell r="AF487">
            <v>436995</v>
          </cell>
          <cell r="AG487" t="str">
            <v>ENGR. MICHAEL C. SALARDA
MS. LEONARDA M. LATOR
MS. CARMENCITA VALDEZ
MS. SORAYA P. VERGARA</v>
          </cell>
          <cell r="AH487" t="str">
            <v>N/A</v>
          </cell>
          <cell r="AI487">
            <v>45383</v>
          </cell>
          <cell r="AJ487">
            <v>45383</v>
          </cell>
          <cell r="AK487">
            <v>45383</v>
          </cell>
          <cell r="AL487" t="str">
            <v>N/A</v>
          </cell>
          <cell r="AM487" t="str">
            <v>N/A</v>
          </cell>
          <cell r="AN487">
            <v>0</v>
          </cell>
          <cell r="AO487">
            <v>0</v>
          </cell>
        </row>
        <row r="488">
          <cell r="A488" t="str">
            <v>24-C1076</v>
          </cell>
          <cell r="B488" t="str">
            <v>OFFICE SUPPLIES</v>
          </cell>
          <cell r="C488" t="str">
            <v>PASSO</v>
          </cell>
          <cell r="D488" t="str">
            <v>No</v>
          </cell>
          <cell r="E488" t="str">
            <v>Competitive Bidding</v>
          </cell>
          <cell r="F488" t="str">
            <v>N/A</v>
          </cell>
          <cell r="G488">
            <v>45376</v>
          </cell>
          <cell r="H488">
            <v>0</v>
          </cell>
          <cell r="I488" t="str">
            <v>N/A</v>
          </cell>
          <cell r="J488">
            <v>45384</v>
          </cell>
          <cell r="K488">
            <v>45384</v>
          </cell>
          <cell r="L488">
            <v>0</v>
          </cell>
          <cell r="M488">
            <v>45384</v>
          </cell>
          <cell r="N488">
            <v>45405</v>
          </cell>
          <cell r="O488">
            <v>45411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45454</v>
          </cell>
          <cell r="Y488">
            <v>0</v>
          </cell>
          <cell r="Z488">
            <v>0</v>
          </cell>
          <cell r="AA488">
            <v>375571</v>
          </cell>
          <cell r="AB488">
            <v>0</v>
          </cell>
          <cell r="AC488">
            <v>375571</v>
          </cell>
          <cell r="AD488">
            <v>371631</v>
          </cell>
          <cell r="AE488">
            <v>0</v>
          </cell>
          <cell r="AF488">
            <v>371631</v>
          </cell>
          <cell r="AG488" t="str">
            <v>ENGR. MICHAEL C. SALARDA
MS. LEONARDA M. LATOR
MS. CARMENCITA VALDEZ
MS. SORAYA P. VERGARA</v>
          </cell>
          <cell r="AH488" t="str">
            <v>N/A</v>
          </cell>
          <cell r="AI488">
            <v>45383</v>
          </cell>
          <cell r="AJ488">
            <v>45383</v>
          </cell>
          <cell r="AK488">
            <v>45383</v>
          </cell>
          <cell r="AL488" t="str">
            <v>N/A</v>
          </cell>
          <cell r="AM488" t="str">
            <v>N/A</v>
          </cell>
          <cell r="AN488">
            <v>0</v>
          </cell>
          <cell r="AO488">
            <v>0</v>
          </cell>
        </row>
        <row r="489">
          <cell r="A489" t="str">
            <v>24-0919</v>
          </cell>
          <cell r="B489" t="str">
            <v>MOLY BEARING GREASE</v>
          </cell>
          <cell r="C489" t="str">
            <v>PEO</v>
          </cell>
          <cell r="D489" t="str">
            <v>No</v>
          </cell>
          <cell r="E489" t="str">
            <v>Competitive Bidding</v>
          </cell>
          <cell r="F489" t="str">
            <v>N/A</v>
          </cell>
          <cell r="G489">
            <v>45376</v>
          </cell>
          <cell r="H489">
            <v>0</v>
          </cell>
          <cell r="I489" t="str">
            <v>N/A</v>
          </cell>
          <cell r="J489">
            <v>45384</v>
          </cell>
          <cell r="K489">
            <v>45384</v>
          </cell>
          <cell r="L489">
            <v>0</v>
          </cell>
          <cell r="M489">
            <v>45384</v>
          </cell>
          <cell r="N489">
            <v>45406</v>
          </cell>
          <cell r="O489">
            <v>45411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 t="e">
            <v>#N/A</v>
          </cell>
          <cell r="Y489">
            <v>0</v>
          </cell>
          <cell r="Z489">
            <v>0</v>
          </cell>
          <cell r="AA489">
            <v>346800</v>
          </cell>
          <cell r="AB489">
            <v>0</v>
          </cell>
          <cell r="AC489">
            <v>346800</v>
          </cell>
          <cell r="AD489">
            <v>346104</v>
          </cell>
          <cell r="AE489">
            <v>0</v>
          </cell>
          <cell r="AF489">
            <v>346104</v>
          </cell>
          <cell r="AG489" t="str">
            <v>ENGR. MICHAEL C. SALARDA
MS. LEONARDA M. LATOR
MS. CARMENCITA VALDEZ
MS. SORAYA P. VERGARA</v>
          </cell>
          <cell r="AH489" t="str">
            <v>N/A</v>
          </cell>
          <cell r="AI489">
            <v>45383</v>
          </cell>
          <cell r="AJ489">
            <v>45383</v>
          </cell>
          <cell r="AK489">
            <v>45383</v>
          </cell>
          <cell r="AL489" t="str">
            <v>N/A</v>
          </cell>
          <cell r="AM489" t="str">
            <v>N/A</v>
          </cell>
          <cell r="AN489">
            <v>0</v>
          </cell>
          <cell r="AO489">
            <v>0</v>
          </cell>
        </row>
        <row r="490">
          <cell r="A490" t="str">
            <v>24-1348</v>
          </cell>
          <cell r="B490" t="str">
            <v>LANDRACE HYBRID PIGLET</v>
          </cell>
          <cell r="C490" t="str">
            <v>PVO</v>
          </cell>
          <cell r="D490" t="str">
            <v>No</v>
          </cell>
          <cell r="E490" t="str">
            <v>Competitive Bidding</v>
          </cell>
          <cell r="F490">
            <v>45370</v>
          </cell>
          <cell r="G490">
            <v>45376</v>
          </cell>
          <cell r="H490">
            <v>0</v>
          </cell>
          <cell r="I490" t="str">
            <v>N/A</v>
          </cell>
          <cell r="J490">
            <v>45384</v>
          </cell>
          <cell r="K490">
            <v>45384</v>
          </cell>
          <cell r="L490">
            <v>0</v>
          </cell>
          <cell r="M490">
            <v>45384</v>
          </cell>
          <cell r="N490">
            <v>45400</v>
          </cell>
          <cell r="O490">
            <v>45411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e">
            <v>#N/A</v>
          </cell>
          <cell r="Y490">
            <v>0</v>
          </cell>
          <cell r="Z490">
            <v>0</v>
          </cell>
          <cell r="AA490">
            <v>240000</v>
          </cell>
          <cell r="AB490">
            <v>0</v>
          </cell>
          <cell r="AC490">
            <v>240000</v>
          </cell>
          <cell r="AD490">
            <v>239980</v>
          </cell>
          <cell r="AE490">
            <v>0</v>
          </cell>
          <cell r="AF490">
            <v>239980</v>
          </cell>
          <cell r="AG490" t="str">
            <v>ENGR. MICHAEL C. SALARDA
MS. LEONARDA M. LATOR
MS. CARMENCITA VALDEZ
MS. SORAYA P. VERGARA</v>
          </cell>
          <cell r="AH490" t="str">
            <v>N/A</v>
          </cell>
          <cell r="AI490">
            <v>45383</v>
          </cell>
          <cell r="AJ490">
            <v>45383</v>
          </cell>
          <cell r="AK490">
            <v>45383</v>
          </cell>
          <cell r="AL490" t="str">
            <v>N/A</v>
          </cell>
          <cell r="AM490" t="str">
            <v>N/A</v>
          </cell>
          <cell r="AN490">
            <v>0</v>
          </cell>
          <cell r="AO490">
            <v>0</v>
          </cell>
        </row>
        <row r="491">
          <cell r="A491" t="str">
            <v>24-C1084</v>
          </cell>
          <cell r="B491" t="str">
            <v>SEEDLINGS</v>
          </cell>
          <cell r="C491" t="str">
            <v>PENRO</v>
          </cell>
          <cell r="D491" t="str">
            <v>No</v>
          </cell>
          <cell r="E491" t="str">
            <v>Competitive Bidding</v>
          </cell>
          <cell r="F491" t="str">
            <v>N/A</v>
          </cell>
          <cell r="G491">
            <v>45348</v>
          </cell>
          <cell r="H491">
            <v>0</v>
          </cell>
          <cell r="I491" t="str">
            <v>N/A</v>
          </cell>
          <cell r="J491">
            <v>45384</v>
          </cell>
          <cell r="K491">
            <v>45384</v>
          </cell>
          <cell r="L491">
            <v>0</v>
          </cell>
          <cell r="M491">
            <v>45384</v>
          </cell>
          <cell r="N491">
            <v>45401</v>
          </cell>
          <cell r="O491">
            <v>45411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879990</v>
          </cell>
          <cell r="AB491">
            <v>0</v>
          </cell>
          <cell r="AC491">
            <v>879990</v>
          </cell>
          <cell r="AD491">
            <v>844726</v>
          </cell>
          <cell r="AE491">
            <v>0</v>
          </cell>
          <cell r="AF491">
            <v>844726</v>
          </cell>
          <cell r="AG491" t="str">
            <v>ENGR. MICHAEL C. SALARDA
MS. LEONARDA M. LATOR
MS. CARMENCITA VALDEZ
MS. SORAYA P. VERGARA</v>
          </cell>
          <cell r="AH491" t="str">
            <v>N/A</v>
          </cell>
          <cell r="AI491">
            <v>45383</v>
          </cell>
          <cell r="AJ491">
            <v>45383</v>
          </cell>
          <cell r="AK491">
            <v>45383</v>
          </cell>
          <cell r="AL491" t="str">
            <v>N/A</v>
          </cell>
          <cell r="AM491" t="str">
            <v>N/A</v>
          </cell>
          <cell r="AN491">
            <v>0</v>
          </cell>
          <cell r="AO491">
            <v>0</v>
          </cell>
        </row>
        <row r="492">
          <cell r="A492" t="str">
            <v>24-C1143</v>
          </cell>
          <cell r="B492" t="str">
            <v>OFFICE SUPPLIES</v>
          </cell>
          <cell r="C492" t="str">
            <v>PENRO</v>
          </cell>
          <cell r="D492" t="str">
            <v>No</v>
          </cell>
          <cell r="E492" t="str">
            <v>Shopping 52.1(b) - Regular Office Supplies and Equipment no available in PS</v>
          </cell>
          <cell r="F492" t="str">
            <v>N/A</v>
          </cell>
          <cell r="G492">
            <v>45384</v>
          </cell>
          <cell r="H492">
            <v>0</v>
          </cell>
          <cell r="I492" t="str">
            <v>N/A</v>
          </cell>
          <cell r="J492">
            <v>45407</v>
          </cell>
          <cell r="K492">
            <v>45407</v>
          </cell>
          <cell r="L492">
            <v>0</v>
          </cell>
          <cell r="M492" t="str">
            <v>N/A</v>
          </cell>
          <cell r="N492" t="str">
            <v>N/A</v>
          </cell>
          <cell r="O492">
            <v>45411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45450</v>
          </cell>
          <cell r="Y492">
            <v>0</v>
          </cell>
          <cell r="Z492">
            <v>0</v>
          </cell>
          <cell r="AA492">
            <v>128635</v>
          </cell>
          <cell r="AB492">
            <v>0</v>
          </cell>
          <cell r="AC492">
            <v>128635</v>
          </cell>
          <cell r="AD492">
            <v>127596</v>
          </cell>
          <cell r="AE492">
            <v>0</v>
          </cell>
          <cell r="AF492">
            <v>127596</v>
          </cell>
          <cell r="AG492" t="str">
            <v>ENGR. MICHAEL C. SALARDA
MS. LEONARDA M. LATOR
MS. CARMENCITA VALDEZ
MS. SORAYA P. VERGARA</v>
          </cell>
          <cell r="AH492" t="str">
            <v>N/A</v>
          </cell>
          <cell r="AI492" t="str">
            <v>N/A</v>
          </cell>
          <cell r="AJ492" t="str">
            <v>N/A</v>
          </cell>
          <cell r="AK492" t="str">
            <v>N/A</v>
          </cell>
          <cell r="AL492" t="str">
            <v>N/A</v>
          </cell>
          <cell r="AM492" t="str">
            <v>N/A</v>
          </cell>
          <cell r="AN492">
            <v>0</v>
          </cell>
          <cell r="AO492">
            <v>0</v>
          </cell>
        </row>
        <row r="493">
          <cell r="A493" t="str">
            <v>24-1917</v>
          </cell>
          <cell r="B493" t="str">
            <v>OFFICE SUPPLIES</v>
          </cell>
          <cell r="C493" t="str">
            <v>PGO</v>
          </cell>
          <cell r="D493" t="str">
            <v>No</v>
          </cell>
          <cell r="E493" t="str">
            <v>Shopping 52.1(b) - Regular Office Supplies and Equipment no available in PS</v>
          </cell>
          <cell r="F493" t="str">
            <v>N/A</v>
          </cell>
          <cell r="G493">
            <v>45384</v>
          </cell>
          <cell r="H493">
            <v>0</v>
          </cell>
          <cell r="I493" t="str">
            <v>N/A</v>
          </cell>
          <cell r="J493">
            <v>45407</v>
          </cell>
          <cell r="K493">
            <v>45407</v>
          </cell>
          <cell r="L493">
            <v>0</v>
          </cell>
          <cell r="M493" t="str">
            <v>N/A</v>
          </cell>
          <cell r="N493" t="str">
            <v>N/A</v>
          </cell>
          <cell r="O493">
            <v>45411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 t="e">
            <v>#N/A</v>
          </cell>
          <cell r="Y493">
            <v>0</v>
          </cell>
          <cell r="Z493">
            <v>0</v>
          </cell>
          <cell r="AA493">
            <v>1980</v>
          </cell>
          <cell r="AB493">
            <v>0</v>
          </cell>
          <cell r="AC493">
            <v>1980</v>
          </cell>
          <cell r="AD493">
            <v>1950</v>
          </cell>
          <cell r="AE493">
            <v>0</v>
          </cell>
          <cell r="AF493">
            <v>1950</v>
          </cell>
          <cell r="AG493" t="str">
            <v>ENGR. MICHAEL C. SALARDA
MS. LEONARDA M. LATOR
MS. CARMENCITA VALDEZ
MS. SORAYA P. VERGARA</v>
          </cell>
          <cell r="AH493" t="str">
            <v>N/A</v>
          </cell>
          <cell r="AI493" t="str">
            <v>N/A</v>
          </cell>
          <cell r="AJ493" t="str">
            <v>N/A</v>
          </cell>
          <cell r="AK493" t="str">
            <v>N/A</v>
          </cell>
          <cell r="AL493" t="str">
            <v>N/A</v>
          </cell>
          <cell r="AM493" t="str">
            <v>N/A</v>
          </cell>
          <cell r="AN493">
            <v>0</v>
          </cell>
          <cell r="AO493">
            <v>0</v>
          </cell>
        </row>
        <row r="494">
          <cell r="A494" t="str">
            <v>24-C1271</v>
          </cell>
          <cell r="B494" t="str">
            <v>OFFICE SUPPLIES</v>
          </cell>
          <cell r="C494" t="str">
            <v>SPO</v>
          </cell>
          <cell r="D494" t="str">
            <v>No</v>
          </cell>
          <cell r="E494" t="str">
            <v>Shopping 52.1(b) - Regular Office Supplies and Equipment no available in PS</v>
          </cell>
          <cell r="F494" t="str">
            <v>N/A</v>
          </cell>
          <cell r="G494">
            <v>45376</v>
          </cell>
          <cell r="H494">
            <v>0</v>
          </cell>
          <cell r="I494" t="str">
            <v>N/A</v>
          </cell>
          <cell r="J494">
            <v>45407</v>
          </cell>
          <cell r="K494">
            <v>45407</v>
          </cell>
          <cell r="L494">
            <v>0</v>
          </cell>
          <cell r="M494" t="str">
            <v>N/A</v>
          </cell>
          <cell r="N494" t="str">
            <v>N/A</v>
          </cell>
          <cell r="O494">
            <v>45411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45464</v>
          </cell>
          <cell r="Y494">
            <v>0</v>
          </cell>
          <cell r="Z494">
            <v>0</v>
          </cell>
          <cell r="AA494">
            <v>49648</v>
          </cell>
          <cell r="AB494">
            <v>0</v>
          </cell>
          <cell r="AC494">
            <v>49648</v>
          </cell>
          <cell r="AD494">
            <v>49483</v>
          </cell>
          <cell r="AE494">
            <v>0</v>
          </cell>
          <cell r="AF494">
            <v>49483</v>
          </cell>
          <cell r="AG494" t="str">
            <v>ENGR. MICHAEL C. SALARDA
MS. LEONARDA M. LATOR
MS. CARMENCITA VALDEZ
MS. SORAYA P. VERGARA</v>
          </cell>
          <cell r="AH494" t="str">
            <v>N/A</v>
          </cell>
          <cell r="AI494" t="str">
            <v>N/A</v>
          </cell>
          <cell r="AJ494" t="str">
            <v>N/A</v>
          </cell>
          <cell r="AK494" t="str">
            <v>N/A</v>
          </cell>
          <cell r="AL494" t="str">
            <v>N/A</v>
          </cell>
          <cell r="AM494" t="str">
            <v>N/A</v>
          </cell>
          <cell r="AN494">
            <v>0</v>
          </cell>
          <cell r="AO494">
            <v>0</v>
          </cell>
        </row>
        <row r="495">
          <cell r="A495" t="str">
            <v>24-C1208</v>
          </cell>
          <cell r="B495" t="str">
            <v>OFFICE SUPPLIES</v>
          </cell>
          <cell r="C495" t="str">
            <v>PVO</v>
          </cell>
          <cell r="D495" t="str">
            <v>No</v>
          </cell>
          <cell r="E495" t="str">
            <v>Shopping 52.1(b) - Regular Office Supplies and Equipment no available in PS</v>
          </cell>
          <cell r="F495" t="str">
            <v>N/A</v>
          </cell>
          <cell r="G495">
            <v>45385</v>
          </cell>
          <cell r="H495">
            <v>0</v>
          </cell>
          <cell r="I495" t="str">
            <v>N/A</v>
          </cell>
          <cell r="J495">
            <v>45407</v>
          </cell>
          <cell r="K495">
            <v>45407</v>
          </cell>
          <cell r="L495">
            <v>0</v>
          </cell>
          <cell r="M495" t="str">
            <v>N/A</v>
          </cell>
          <cell r="N495" t="str">
            <v>N/A</v>
          </cell>
          <cell r="O495">
            <v>45411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45448</v>
          </cell>
          <cell r="Y495">
            <v>0</v>
          </cell>
          <cell r="Z495">
            <v>0</v>
          </cell>
          <cell r="AA495">
            <v>99064</v>
          </cell>
          <cell r="AB495">
            <v>0</v>
          </cell>
          <cell r="AC495">
            <v>99064</v>
          </cell>
          <cell r="AD495">
            <v>98676.5</v>
          </cell>
          <cell r="AE495">
            <v>0</v>
          </cell>
          <cell r="AF495">
            <v>98676.5</v>
          </cell>
          <cell r="AG495" t="str">
            <v>ENGR. MICHAEL C. SALARDA
MS. LEONARDA M. LATOR
MS. CARMENCITA VALDEZ
MS. SORAYA P. VERGARA</v>
          </cell>
          <cell r="AH495" t="str">
            <v>N/A</v>
          </cell>
          <cell r="AI495" t="str">
            <v>N/A</v>
          </cell>
          <cell r="AJ495" t="str">
            <v>N/A</v>
          </cell>
          <cell r="AK495" t="str">
            <v>N/A</v>
          </cell>
          <cell r="AL495" t="str">
            <v>N/A</v>
          </cell>
          <cell r="AM495" t="str">
            <v>N/A</v>
          </cell>
          <cell r="AN495">
            <v>0</v>
          </cell>
          <cell r="AO495">
            <v>0</v>
          </cell>
        </row>
        <row r="496">
          <cell r="A496" t="str">
            <v>24-C1071</v>
          </cell>
          <cell r="B496" t="str">
            <v>OFFICE SUPPLIES</v>
          </cell>
          <cell r="C496" t="str">
            <v>PAO</v>
          </cell>
          <cell r="D496" t="str">
            <v>No</v>
          </cell>
          <cell r="E496" t="str">
            <v>Shopping 52.1(b) - Regular Office Supplies and Equipment no available in PS</v>
          </cell>
          <cell r="F496" t="str">
            <v>N/A</v>
          </cell>
          <cell r="G496">
            <v>45376</v>
          </cell>
          <cell r="H496">
            <v>0</v>
          </cell>
          <cell r="I496" t="str">
            <v>N/A</v>
          </cell>
          <cell r="J496">
            <v>45407</v>
          </cell>
          <cell r="K496">
            <v>45407</v>
          </cell>
          <cell r="L496">
            <v>0</v>
          </cell>
          <cell r="M496" t="str">
            <v>N/A</v>
          </cell>
          <cell r="N496" t="str">
            <v>N/A</v>
          </cell>
          <cell r="O496">
            <v>45411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227776.5</v>
          </cell>
          <cell r="AB496">
            <v>0</v>
          </cell>
          <cell r="AC496">
            <v>227776.5</v>
          </cell>
          <cell r="AD496">
            <v>221394.1</v>
          </cell>
          <cell r="AE496">
            <v>0</v>
          </cell>
          <cell r="AF496">
            <v>221394.1</v>
          </cell>
          <cell r="AG496" t="str">
            <v>ENGR. MICHAEL C. SALARDA
MS. LEONARDA M. LATOR
MS. CARMENCITA VALDEZ
MS. SORAYA P. VERGARA</v>
          </cell>
          <cell r="AH496" t="str">
            <v>N/A</v>
          </cell>
          <cell r="AI496" t="str">
            <v>N/A</v>
          </cell>
          <cell r="AJ496" t="str">
            <v>N/A</v>
          </cell>
          <cell r="AK496" t="str">
            <v>N/A</v>
          </cell>
          <cell r="AL496" t="str">
            <v>N/A</v>
          </cell>
          <cell r="AM496" t="str">
            <v>N/A</v>
          </cell>
          <cell r="AN496">
            <v>0</v>
          </cell>
          <cell r="AO496">
            <v>0</v>
          </cell>
        </row>
        <row r="497">
          <cell r="A497" t="str">
            <v>24-C1260</v>
          </cell>
          <cell r="B497" t="str">
            <v>OFFICE SUPPLIES</v>
          </cell>
          <cell r="C497" t="str">
            <v>PHRMDO</v>
          </cell>
          <cell r="D497" t="str">
            <v>No</v>
          </cell>
          <cell r="E497" t="str">
            <v>Shopping 52.1(b) - Regular Office Supplies and Equipment no available in PS</v>
          </cell>
          <cell r="F497">
            <v>45384</v>
          </cell>
          <cell r="G497">
            <v>45390</v>
          </cell>
          <cell r="H497">
            <v>0</v>
          </cell>
          <cell r="I497" t="str">
            <v>N/A</v>
          </cell>
          <cell r="J497">
            <v>45407</v>
          </cell>
          <cell r="K497">
            <v>45407</v>
          </cell>
          <cell r="L497">
            <v>0</v>
          </cell>
          <cell r="M497" t="str">
            <v>N/A</v>
          </cell>
          <cell r="N497" t="str">
            <v>N/A</v>
          </cell>
          <cell r="O497">
            <v>45411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45443</v>
          </cell>
          <cell r="Y497">
            <v>0</v>
          </cell>
          <cell r="Z497">
            <v>0</v>
          </cell>
          <cell r="AA497">
            <v>78882</v>
          </cell>
          <cell r="AB497">
            <v>0</v>
          </cell>
          <cell r="AC497">
            <v>78882</v>
          </cell>
          <cell r="AD497">
            <v>77577</v>
          </cell>
          <cell r="AE497">
            <v>0</v>
          </cell>
          <cell r="AF497">
            <v>77577</v>
          </cell>
          <cell r="AG497" t="str">
            <v>ENGR. MICHAEL C. SALARDA
MS. LEONARDA M. LATOR
MS. CARMENCITA VALDEZ
MS. SORAYA P. VERGARA</v>
          </cell>
          <cell r="AH497" t="str">
            <v>N/A</v>
          </cell>
          <cell r="AI497" t="str">
            <v>N/A</v>
          </cell>
          <cell r="AJ497" t="str">
            <v>N/A</v>
          </cell>
          <cell r="AK497" t="str">
            <v>N/A</v>
          </cell>
          <cell r="AL497" t="str">
            <v>N/A</v>
          </cell>
          <cell r="AM497" t="str">
            <v>N/A</v>
          </cell>
          <cell r="AN497">
            <v>0</v>
          </cell>
          <cell r="AO497">
            <v>0</v>
          </cell>
        </row>
        <row r="498">
          <cell r="A498" t="str">
            <v>24-C1209</v>
          </cell>
          <cell r="B498" t="str">
            <v>OFFICE SUPPLIES</v>
          </cell>
          <cell r="C498" t="str">
            <v>PGO</v>
          </cell>
          <cell r="D498" t="str">
            <v>No</v>
          </cell>
          <cell r="E498" t="str">
            <v>Shopping 52.1(b) - Regular Office Supplies and Equipment no available in PS</v>
          </cell>
          <cell r="F498" t="str">
            <v>N/A</v>
          </cell>
          <cell r="G498">
            <v>45390</v>
          </cell>
          <cell r="H498">
            <v>0</v>
          </cell>
          <cell r="I498" t="str">
            <v>N/A</v>
          </cell>
          <cell r="J498">
            <v>45407</v>
          </cell>
          <cell r="K498">
            <v>45407</v>
          </cell>
          <cell r="L498">
            <v>0</v>
          </cell>
          <cell r="M498" t="str">
            <v>N/A</v>
          </cell>
          <cell r="N498" t="str">
            <v>N/A</v>
          </cell>
          <cell r="O498">
            <v>45411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45450</v>
          </cell>
          <cell r="Y498">
            <v>0</v>
          </cell>
          <cell r="Z498">
            <v>0</v>
          </cell>
          <cell r="AA498">
            <v>76340</v>
          </cell>
          <cell r="AB498">
            <v>0</v>
          </cell>
          <cell r="AC498">
            <v>76340</v>
          </cell>
          <cell r="AD498">
            <v>74800</v>
          </cell>
          <cell r="AE498">
            <v>0</v>
          </cell>
          <cell r="AF498">
            <v>74800</v>
          </cell>
          <cell r="AG498" t="str">
            <v>ENGR. MICHAEL C. SALARDA
MS. LEONARDA M. LATOR
MS. CARMENCITA VALDEZ
MS. SORAYA P. VERGARA</v>
          </cell>
          <cell r="AH498" t="str">
            <v>N/A</v>
          </cell>
          <cell r="AI498" t="str">
            <v>N/A</v>
          </cell>
          <cell r="AJ498" t="str">
            <v>N/A</v>
          </cell>
          <cell r="AK498" t="str">
            <v>N/A</v>
          </cell>
          <cell r="AL498" t="str">
            <v>N/A</v>
          </cell>
          <cell r="AM498" t="str">
            <v>N/A</v>
          </cell>
          <cell r="AN498">
            <v>0</v>
          </cell>
          <cell r="AO498">
            <v>0</v>
          </cell>
        </row>
        <row r="499">
          <cell r="A499" t="str">
            <v>24-1744</v>
          </cell>
          <cell r="B499" t="str">
            <v>OFFICE SUPPLIES</v>
          </cell>
          <cell r="C499" t="str">
            <v>PAO</v>
          </cell>
          <cell r="D499" t="str">
            <v>No</v>
          </cell>
          <cell r="E499" t="str">
            <v>Shopping 52.1(b) - Regular Office Supplies and Equipment no available in PS</v>
          </cell>
          <cell r="F499">
            <v>45384</v>
          </cell>
          <cell r="G499">
            <v>45390</v>
          </cell>
          <cell r="H499">
            <v>0</v>
          </cell>
          <cell r="I499" t="str">
            <v>N/A</v>
          </cell>
          <cell r="J499">
            <v>45407</v>
          </cell>
          <cell r="K499">
            <v>45407</v>
          </cell>
          <cell r="L499">
            <v>0</v>
          </cell>
          <cell r="M499" t="str">
            <v>N/A</v>
          </cell>
          <cell r="N499" t="str">
            <v>N/A</v>
          </cell>
          <cell r="O499">
            <v>45411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 t="e">
            <v>#N/A</v>
          </cell>
          <cell r="Y499">
            <v>0</v>
          </cell>
          <cell r="Z499">
            <v>0</v>
          </cell>
          <cell r="AA499">
            <v>5582</v>
          </cell>
          <cell r="AB499">
            <v>0</v>
          </cell>
          <cell r="AC499">
            <v>5582</v>
          </cell>
          <cell r="AD499">
            <v>5460</v>
          </cell>
          <cell r="AE499">
            <v>0</v>
          </cell>
          <cell r="AF499">
            <v>5460</v>
          </cell>
          <cell r="AG499" t="str">
            <v>ENGR. MICHAEL C. SALARDA
MS. LEONARDA M. LATOR
MS. CARMENCITA VALDEZ
MS. SORAYA P. VERGARA</v>
          </cell>
          <cell r="AH499" t="str">
            <v>N/A</v>
          </cell>
          <cell r="AI499" t="str">
            <v>N/A</v>
          </cell>
          <cell r="AJ499" t="str">
            <v>N/A</v>
          </cell>
          <cell r="AK499" t="str">
            <v>N/A</v>
          </cell>
          <cell r="AL499" t="str">
            <v>N/A</v>
          </cell>
          <cell r="AM499" t="str">
            <v>N/A</v>
          </cell>
          <cell r="AN499">
            <v>0</v>
          </cell>
          <cell r="AO499">
            <v>0</v>
          </cell>
        </row>
        <row r="500">
          <cell r="A500" t="str">
            <v>24-C1297</v>
          </cell>
          <cell r="B500" t="str">
            <v>OFFICE SUPPLIES</v>
          </cell>
          <cell r="C500" t="str">
            <v>PAGRO</v>
          </cell>
          <cell r="D500" t="str">
            <v>No</v>
          </cell>
          <cell r="E500" t="str">
            <v>Shopping 52.1(b) - Regular Office Supplies and Equipment no available in PS</v>
          </cell>
          <cell r="F500" t="str">
            <v>N/A</v>
          </cell>
          <cell r="G500">
            <v>45390</v>
          </cell>
          <cell r="H500">
            <v>0</v>
          </cell>
          <cell r="I500" t="str">
            <v>N/A</v>
          </cell>
          <cell r="J500">
            <v>45407</v>
          </cell>
          <cell r="K500">
            <v>45407</v>
          </cell>
          <cell r="L500">
            <v>0</v>
          </cell>
          <cell r="M500" t="str">
            <v>N/A</v>
          </cell>
          <cell r="N500" t="str">
            <v>N/A</v>
          </cell>
          <cell r="O500">
            <v>45411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45463</v>
          </cell>
          <cell r="Y500">
            <v>0</v>
          </cell>
          <cell r="Z500">
            <v>0</v>
          </cell>
          <cell r="AA500">
            <v>5588</v>
          </cell>
          <cell r="AB500">
            <v>0</v>
          </cell>
          <cell r="AC500">
            <v>5588</v>
          </cell>
          <cell r="AD500">
            <v>5370</v>
          </cell>
          <cell r="AE500">
            <v>0</v>
          </cell>
          <cell r="AF500">
            <v>5370</v>
          </cell>
          <cell r="AG500" t="str">
            <v>ENGR. MICHAEL C. SALARDA
MS. LEONARDA M. LATOR
MS. CARMENCITA VALDEZ
MS. SORAYA P. VERGARA</v>
          </cell>
          <cell r="AH500" t="str">
            <v>N/A</v>
          </cell>
          <cell r="AI500" t="str">
            <v>N/A</v>
          </cell>
          <cell r="AJ500" t="str">
            <v>N/A</v>
          </cell>
          <cell r="AK500" t="str">
            <v>N/A</v>
          </cell>
          <cell r="AL500" t="str">
            <v>N/A</v>
          </cell>
          <cell r="AM500" t="str">
            <v>N/A</v>
          </cell>
          <cell r="AN500">
            <v>0</v>
          </cell>
          <cell r="AO500">
            <v>0</v>
          </cell>
        </row>
        <row r="501">
          <cell r="A501" t="str">
            <v>24-C1205</v>
          </cell>
          <cell r="B501" t="str">
            <v>OFFICE SUPPLIES</v>
          </cell>
          <cell r="C501" t="str">
            <v>PGSO</v>
          </cell>
          <cell r="D501" t="str">
            <v>No</v>
          </cell>
          <cell r="E501" t="str">
            <v>Shopping 52.1(b) - Regular Office Supplies and Equipment no available in PS</v>
          </cell>
          <cell r="F501" t="str">
            <v>N/A</v>
          </cell>
          <cell r="G501">
            <v>45376</v>
          </cell>
          <cell r="H501">
            <v>0</v>
          </cell>
          <cell r="I501" t="str">
            <v>N/A</v>
          </cell>
          <cell r="J501">
            <v>45407</v>
          </cell>
          <cell r="K501">
            <v>45407</v>
          </cell>
          <cell r="L501">
            <v>0</v>
          </cell>
          <cell r="M501" t="str">
            <v>N/A</v>
          </cell>
          <cell r="N501" t="str">
            <v>N/A</v>
          </cell>
          <cell r="O501">
            <v>45411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45464</v>
          </cell>
          <cell r="Y501">
            <v>0</v>
          </cell>
          <cell r="Z501">
            <v>0</v>
          </cell>
          <cell r="AA501">
            <v>41238</v>
          </cell>
          <cell r="AB501">
            <v>0</v>
          </cell>
          <cell r="AC501">
            <v>41238</v>
          </cell>
          <cell r="AD501">
            <v>41196</v>
          </cell>
          <cell r="AE501">
            <v>0</v>
          </cell>
          <cell r="AF501">
            <v>41196</v>
          </cell>
          <cell r="AG501" t="str">
            <v>ENGR. MICHAEL C. SALARDA
MS. LEONARDA M. LATOR
MS. CARMENCITA VALDEZ
MS. SORAYA P. VERGARA</v>
          </cell>
          <cell r="AH501" t="str">
            <v>N/A</v>
          </cell>
          <cell r="AI501" t="str">
            <v>N/A</v>
          </cell>
          <cell r="AJ501" t="str">
            <v>N/A</v>
          </cell>
          <cell r="AK501" t="str">
            <v>N/A</v>
          </cell>
          <cell r="AL501" t="str">
            <v>N/A</v>
          </cell>
          <cell r="AM501" t="str">
            <v>N/A</v>
          </cell>
          <cell r="AN501">
            <v>0</v>
          </cell>
          <cell r="AO501">
            <v>0</v>
          </cell>
        </row>
        <row r="502">
          <cell r="A502" t="str">
            <v>24-1773</v>
          </cell>
          <cell r="B502" t="str">
            <v>FOOD/CATERING SERVICES</v>
          </cell>
          <cell r="C502" t="str">
            <v>PGO</v>
          </cell>
          <cell r="D502" t="str">
            <v>No</v>
          </cell>
          <cell r="E502" t="str">
            <v>NP-53.9 - Small Value Procurement</v>
          </cell>
          <cell r="F502">
            <v>45373</v>
          </cell>
          <cell r="G502">
            <v>45384</v>
          </cell>
          <cell r="H502">
            <v>0</v>
          </cell>
          <cell r="I502" t="str">
            <v>N/A</v>
          </cell>
          <cell r="J502">
            <v>45407</v>
          </cell>
          <cell r="K502">
            <v>45407</v>
          </cell>
          <cell r="L502">
            <v>0</v>
          </cell>
          <cell r="M502" t="str">
            <v>N/A</v>
          </cell>
          <cell r="N502" t="str">
            <v>N/A</v>
          </cell>
          <cell r="O502">
            <v>45411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 t="e">
            <v>#N/A</v>
          </cell>
          <cell r="Y502">
            <v>0</v>
          </cell>
          <cell r="Z502">
            <v>0</v>
          </cell>
          <cell r="AA502">
            <v>68000</v>
          </cell>
          <cell r="AB502">
            <v>0</v>
          </cell>
          <cell r="AC502">
            <v>68000</v>
          </cell>
          <cell r="AD502">
            <v>67600</v>
          </cell>
          <cell r="AE502">
            <v>0</v>
          </cell>
          <cell r="AF502">
            <v>67600</v>
          </cell>
          <cell r="AG502" t="str">
            <v>ENGR. MICHAEL C. SALARDA
MS. LEONARDA M. LATOR
MS. CARMENCITA VALDEZ
MS. SORAYA P. VERGARA</v>
          </cell>
          <cell r="AH502" t="str">
            <v>N/A</v>
          </cell>
          <cell r="AI502" t="str">
            <v>N/A</v>
          </cell>
          <cell r="AJ502" t="str">
            <v>N/A</v>
          </cell>
          <cell r="AK502" t="str">
            <v>N/A</v>
          </cell>
          <cell r="AL502" t="str">
            <v>N/A</v>
          </cell>
          <cell r="AM502" t="str">
            <v>N/A</v>
          </cell>
          <cell r="AN502">
            <v>0</v>
          </cell>
          <cell r="AO502">
            <v>0</v>
          </cell>
        </row>
        <row r="503">
          <cell r="A503" t="str">
            <v>24-1926</v>
          </cell>
          <cell r="B503" t="str">
            <v>RICE, WELL MILLED</v>
          </cell>
          <cell r="C503" t="str">
            <v>PGO</v>
          </cell>
          <cell r="D503" t="str">
            <v>No</v>
          </cell>
          <cell r="E503" t="str">
            <v>NP-53.9 - Small Value Procurement</v>
          </cell>
          <cell r="F503">
            <v>45370</v>
          </cell>
          <cell r="G503">
            <v>45376</v>
          </cell>
          <cell r="H503">
            <v>0</v>
          </cell>
          <cell r="I503" t="str">
            <v>N/A</v>
          </cell>
          <cell r="J503">
            <v>45407</v>
          </cell>
          <cell r="K503">
            <v>45407</v>
          </cell>
          <cell r="L503">
            <v>0</v>
          </cell>
          <cell r="M503" t="str">
            <v>N/A</v>
          </cell>
          <cell r="N503" t="str">
            <v>N/A</v>
          </cell>
          <cell r="O503">
            <v>45411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 t="e">
            <v>#N/A</v>
          </cell>
          <cell r="Y503">
            <v>0</v>
          </cell>
          <cell r="Z503">
            <v>0</v>
          </cell>
          <cell r="AA503">
            <v>482790</v>
          </cell>
          <cell r="AB503">
            <v>0</v>
          </cell>
          <cell r="AC503">
            <v>482790</v>
          </cell>
          <cell r="AD503">
            <v>477400</v>
          </cell>
          <cell r="AE503">
            <v>0</v>
          </cell>
          <cell r="AF503">
            <v>477400</v>
          </cell>
          <cell r="AG503" t="str">
            <v>ENGR. MICHAEL C. SALARDA
MS. LEONARDA M. LATOR
MS. CARMENCITA VALDEZ
MS. SORAYA P. VERGARA</v>
          </cell>
          <cell r="AH503" t="str">
            <v>N/A</v>
          </cell>
          <cell r="AI503" t="str">
            <v>N/A</v>
          </cell>
          <cell r="AJ503" t="str">
            <v>N/A</v>
          </cell>
          <cell r="AK503" t="str">
            <v>N/A</v>
          </cell>
          <cell r="AL503" t="str">
            <v>N/A</v>
          </cell>
          <cell r="AM503" t="str">
            <v>N/A</v>
          </cell>
          <cell r="AN503">
            <v>0</v>
          </cell>
          <cell r="AO503">
            <v>0</v>
          </cell>
        </row>
        <row r="504">
          <cell r="A504" t="str">
            <v>24-1334</v>
          </cell>
          <cell r="B504" t="str">
            <v>SPAREPARTS (AIRCONDITION)</v>
          </cell>
          <cell r="C504" t="str">
            <v>PGSO</v>
          </cell>
          <cell r="D504" t="str">
            <v>No</v>
          </cell>
          <cell r="E504" t="str">
            <v>NP-53.9 - Small Value Procurement</v>
          </cell>
          <cell r="F504" t="str">
            <v>N/A</v>
          </cell>
          <cell r="G504">
            <v>45376</v>
          </cell>
          <cell r="H504">
            <v>0</v>
          </cell>
          <cell r="I504" t="str">
            <v>N/A</v>
          </cell>
          <cell r="J504">
            <v>45407</v>
          </cell>
          <cell r="K504">
            <v>45407</v>
          </cell>
          <cell r="L504">
            <v>0</v>
          </cell>
          <cell r="M504" t="str">
            <v>N/A</v>
          </cell>
          <cell r="N504" t="str">
            <v>N/A</v>
          </cell>
          <cell r="O504">
            <v>45411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 t="e">
            <v>#N/A</v>
          </cell>
          <cell r="Y504">
            <v>0</v>
          </cell>
          <cell r="Z504">
            <v>0</v>
          </cell>
          <cell r="AA504">
            <v>173316</v>
          </cell>
          <cell r="AB504">
            <v>0</v>
          </cell>
          <cell r="AC504">
            <v>173316</v>
          </cell>
          <cell r="AD504">
            <v>153764</v>
          </cell>
          <cell r="AE504">
            <v>0</v>
          </cell>
          <cell r="AF504">
            <v>153764</v>
          </cell>
          <cell r="AG504" t="str">
            <v>ENGR. MICHAEL C. SALARDA
MS. LEONARDA M. LATOR
MS. CARMENCITA VALDEZ
MS. SORAYA P. VERGARA</v>
          </cell>
          <cell r="AH504" t="str">
            <v>N/A</v>
          </cell>
          <cell r="AI504" t="str">
            <v>N/A</v>
          </cell>
          <cell r="AJ504" t="str">
            <v>N/A</v>
          </cell>
          <cell r="AK504" t="str">
            <v>N/A</v>
          </cell>
          <cell r="AL504" t="str">
            <v>N/A</v>
          </cell>
          <cell r="AM504" t="str">
            <v>N/A</v>
          </cell>
          <cell r="AN504">
            <v>0</v>
          </cell>
          <cell r="AO504">
            <v>0</v>
          </cell>
        </row>
        <row r="505">
          <cell r="A505" t="str">
            <v>24-1943</v>
          </cell>
          <cell r="B505" t="str">
            <v>FOOD/CATERING SERVICES</v>
          </cell>
          <cell r="C505" t="str">
            <v>PAGRO</v>
          </cell>
          <cell r="D505" t="str">
            <v>No</v>
          </cell>
          <cell r="E505" t="str">
            <v>NP-53.9 - Small Value Procurement</v>
          </cell>
          <cell r="F505">
            <v>45384</v>
          </cell>
          <cell r="G505">
            <v>45390</v>
          </cell>
          <cell r="H505">
            <v>0</v>
          </cell>
          <cell r="I505" t="str">
            <v>N/A</v>
          </cell>
          <cell r="J505">
            <v>45407</v>
          </cell>
          <cell r="K505">
            <v>45407</v>
          </cell>
          <cell r="L505">
            <v>0</v>
          </cell>
          <cell r="M505" t="str">
            <v>N/A</v>
          </cell>
          <cell r="N505" t="str">
            <v>N/A</v>
          </cell>
          <cell r="O505">
            <v>45411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 t="e">
            <v>#N/A</v>
          </cell>
          <cell r="Y505">
            <v>0</v>
          </cell>
          <cell r="Z505">
            <v>0</v>
          </cell>
          <cell r="AA505">
            <v>46000</v>
          </cell>
          <cell r="AB505">
            <v>0</v>
          </cell>
          <cell r="AC505">
            <v>46000</v>
          </cell>
          <cell r="AD505">
            <v>46000</v>
          </cell>
          <cell r="AE505">
            <v>0</v>
          </cell>
          <cell r="AF505">
            <v>46000</v>
          </cell>
          <cell r="AG505" t="str">
            <v>ENGR. MICHAEL C. SALARDA
MS. LEONARDA M. LATOR
MS. CARMENCITA VALDEZ
MS. SORAYA P. VERGARA</v>
          </cell>
          <cell r="AH505" t="str">
            <v>N/A</v>
          </cell>
          <cell r="AI505" t="str">
            <v>N/A</v>
          </cell>
          <cell r="AJ505" t="str">
            <v>N/A</v>
          </cell>
          <cell r="AK505" t="str">
            <v>N/A</v>
          </cell>
          <cell r="AL505" t="str">
            <v>N/A</v>
          </cell>
          <cell r="AM505" t="str">
            <v>N/A</v>
          </cell>
          <cell r="AN505">
            <v>0</v>
          </cell>
          <cell r="AO505">
            <v>0</v>
          </cell>
        </row>
        <row r="506">
          <cell r="A506" t="str">
            <v>24-1650</v>
          </cell>
          <cell r="B506" t="str">
            <v>SPHYGMOMANOMETER</v>
          </cell>
          <cell r="C506" t="str">
            <v>PAO</v>
          </cell>
          <cell r="D506" t="str">
            <v>No</v>
          </cell>
          <cell r="E506" t="str">
            <v>NP-53.9 - Small Value Procurement</v>
          </cell>
          <cell r="F506" t="str">
            <v>N/A</v>
          </cell>
          <cell r="G506">
            <v>45385</v>
          </cell>
          <cell r="H506">
            <v>0</v>
          </cell>
          <cell r="I506" t="str">
            <v>N/A</v>
          </cell>
          <cell r="J506">
            <v>45407</v>
          </cell>
          <cell r="K506">
            <v>45407</v>
          </cell>
          <cell r="L506">
            <v>0</v>
          </cell>
          <cell r="M506" t="str">
            <v>N/A</v>
          </cell>
          <cell r="N506" t="str">
            <v>N/A</v>
          </cell>
          <cell r="O506">
            <v>45411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 t="e">
            <v>#N/A</v>
          </cell>
          <cell r="Y506">
            <v>0</v>
          </cell>
          <cell r="Z506">
            <v>0</v>
          </cell>
          <cell r="AA506">
            <v>6600</v>
          </cell>
          <cell r="AB506">
            <v>0</v>
          </cell>
          <cell r="AC506">
            <v>6600</v>
          </cell>
          <cell r="AD506">
            <v>2000</v>
          </cell>
          <cell r="AE506">
            <v>0</v>
          </cell>
          <cell r="AF506">
            <v>2000</v>
          </cell>
          <cell r="AG506" t="str">
            <v>ENGR. MICHAEL C. SALARDA
MS. LEONARDA M. LATOR
MS. CARMENCITA VALDEZ
MS. SORAYA P. VERGARA</v>
          </cell>
          <cell r="AH506" t="str">
            <v>N/A</v>
          </cell>
          <cell r="AI506" t="str">
            <v>N/A</v>
          </cell>
          <cell r="AJ506" t="str">
            <v>N/A</v>
          </cell>
          <cell r="AK506" t="str">
            <v>N/A</v>
          </cell>
          <cell r="AL506" t="str">
            <v>N/A</v>
          </cell>
          <cell r="AM506" t="str">
            <v>N/A</v>
          </cell>
          <cell r="AN506">
            <v>0</v>
          </cell>
          <cell r="AO506">
            <v>0</v>
          </cell>
        </row>
        <row r="507">
          <cell r="A507" t="str">
            <v>24-2085</v>
          </cell>
          <cell r="B507" t="str">
            <v>OIL, 2T</v>
          </cell>
          <cell r="C507" t="str">
            <v>PENRO</v>
          </cell>
          <cell r="D507" t="str">
            <v>No</v>
          </cell>
          <cell r="E507" t="str">
            <v>NP-53.9 - Small Value Procurement</v>
          </cell>
          <cell r="F507" t="str">
            <v>N/A</v>
          </cell>
          <cell r="G507">
            <v>45384</v>
          </cell>
          <cell r="H507">
            <v>0</v>
          </cell>
          <cell r="I507" t="str">
            <v>N/A</v>
          </cell>
          <cell r="J507">
            <v>45407</v>
          </cell>
          <cell r="K507">
            <v>45407</v>
          </cell>
          <cell r="L507">
            <v>0</v>
          </cell>
          <cell r="M507" t="str">
            <v>N/A</v>
          </cell>
          <cell r="N507" t="str">
            <v>N/A</v>
          </cell>
          <cell r="O507">
            <v>45411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 t="e">
            <v>#N/A</v>
          </cell>
          <cell r="Y507">
            <v>0</v>
          </cell>
          <cell r="Z507">
            <v>0</v>
          </cell>
          <cell r="AA507">
            <v>408</v>
          </cell>
          <cell r="AB507">
            <v>0</v>
          </cell>
          <cell r="AC507">
            <v>408</v>
          </cell>
          <cell r="AD507">
            <v>402</v>
          </cell>
          <cell r="AE507">
            <v>0</v>
          </cell>
          <cell r="AF507">
            <v>402</v>
          </cell>
          <cell r="AG507" t="str">
            <v>ENGR. MICHAEL C. SALARDA
MS. LEONARDA M. LATOR
MS. CARMENCITA VALDEZ
MS. SORAYA P. VERGARA</v>
          </cell>
          <cell r="AH507" t="str">
            <v>N/A</v>
          </cell>
          <cell r="AI507" t="str">
            <v>N/A</v>
          </cell>
          <cell r="AJ507" t="str">
            <v>N/A</v>
          </cell>
          <cell r="AK507" t="str">
            <v>N/A</v>
          </cell>
          <cell r="AL507" t="str">
            <v>N/A</v>
          </cell>
          <cell r="AM507" t="str">
            <v>N/A</v>
          </cell>
          <cell r="AN507">
            <v>0</v>
          </cell>
          <cell r="AO507">
            <v>0</v>
          </cell>
        </row>
        <row r="508">
          <cell r="A508" t="str">
            <v>24-1915</v>
          </cell>
          <cell r="B508" t="str">
            <v>TARPAULIN</v>
          </cell>
          <cell r="C508" t="str">
            <v>PSWDO</v>
          </cell>
          <cell r="D508" t="str">
            <v>No</v>
          </cell>
          <cell r="E508" t="str">
            <v>NP-53.9 - Small Value Procurement</v>
          </cell>
          <cell r="F508" t="str">
            <v>N/A</v>
          </cell>
          <cell r="G508">
            <v>45385</v>
          </cell>
          <cell r="H508">
            <v>0</v>
          </cell>
          <cell r="I508" t="str">
            <v>N/A</v>
          </cell>
          <cell r="J508">
            <v>45407</v>
          </cell>
          <cell r="K508">
            <v>45407</v>
          </cell>
          <cell r="L508">
            <v>0</v>
          </cell>
          <cell r="M508" t="str">
            <v>N/A</v>
          </cell>
          <cell r="N508" t="str">
            <v>N/A</v>
          </cell>
          <cell r="O508">
            <v>45411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 t="e">
            <v>#N/A</v>
          </cell>
          <cell r="Y508">
            <v>0</v>
          </cell>
          <cell r="Z508">
            <v>0</v>
          </cell>
          <cell r="AA508">
            <v>6720</v>
          </cell>
          <cell r="AB508">
            <v>0</v>
          </cell>
          <cell r="AC508">
            <v>6720</v>
          </cell>
          <cell r="AD508">
            <v>6720</v>
          </cell>
          <cell r="AE508">
            <v>0</v>
          </cell>
          <cell r="AF508">
            <v>6720</v>
          </cell>
          <cell r="AG508" t="str">
            <v>ENGR. MICHAEL C. SALARDA
MS. LEONARDA M. LATOR
MS. CARMENCITA VALDEZ
MS. SORAYA P. VERGARA</v>
          </cell>
          <cell r="AH508" t="str">
            <v>N/A</v>
          </cell>
          <cell r="AI508" t="str">
            <v>N/A</v>
          </cell>
          <cell r="AJ508" t="str">
            <v>N/A</v>
          </cell>
          <cell r="AK508" t="str">
            <v>N/A</v>
          </cell>
          <cell r="AL508" t="str">
            <v>N/A</v>
          </cell>
          <cell r="AM508" t="str">
            <v>N/A</v>
          </cell>
          <cell r="AN508">
            <v>0</v>
          </cell>
          <cell r="AO508">
            <v>0</v>
          </cell>
        </row>
        <row r="509">
          <cell r="A509" t="str">
            <v>24-C1181</v>
          </cell>
          <cell r="B509" t="str">
            <v>JANITORIAL SUPPLIES</v>
          </cell>
          <cell r="C509" t="str">
            <v>PHO</v>
          </cell>
          <cell r="D509" t="str">
            <v>No</v>
          </cell>
          <cell r="E509" t="str">
            <v>NP-53.9 - Small Value Procurement</v>
          </cell>
          <cell r="F509" t="str">
            <v>N/A</v>
          </cell>
          <cell r="G509">
            <v>45376</v>
          </cell>
          <cell r="H509">
            <v>0</v>
          </cell>
          <cell r="I509" t="str">
            <v>N/A</v>
          </cell>
          <cell r="J509">
            <v>45407</v>
          </cell>
          <cell r="K509">
            <v>45407</v>
          </cell>
          <cell r="L509">
            <v>0</v>
          </cell>
          <cell r="M509" t="str">
            <v>N/A</v>
          </cell>
          <cell r="N509" t="str">
            <v>N/A</v>
          </cell>
          <cell r="O509">
            <v>45411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45446</v>
          </cell>
          <cell r="Y509">
            <v>0</v>
          </cell>
          <cell r="Z509">
            <v>0</v>
          </cell>
          <cell r="AA509">
            <v>115118.6</v>
          </cell>
          <cell r="AB509">
            <v>0</v>
          </cell>
          <cell r="AC509">
            <v>115118.6</v>
          </cell>
          <cell r="AD509">
            <v>110548</v>
          </cell>
          <cell r="AE509">
            <v>0</v>
          </cell>
          <cell r="AF509">
            <v>110548</v>
          </cell>
          <cell r="AG509" t="str">
            <v>ENGR. MICHAEL C. SALARDA
MS. LEONARDA M. LATOR
MS. CARMENCITA VALDEZ
MS. SORAYA P. VERGARA</v>
          </cell>
          <cell r="AH509" t="str">
            <v>N/A</v>
          </cell>
          <cell r="AI509" t="str">
            <v>N/A</v>
          </cell>
          <cell r="AJ509" t="str">
            <v>N/A</v>
          </cell>
          <cell r="AK509" t="str">
            <v>N/A</v>
          </cell>
          <cell r="AL509" t="str">
            <v>N/A</v>
          </cell>
          <cell r="AM509" t="str">
            <v>N/A</v>
          </cell>
          <cell r="AN509">
            <v>0</v>
          </cell>
          <cell r="AO509">
            <v>0</v>
          </cell>
        </row>
        <row r="510">
          <cell r="A510" t="str">
            <v>24-0036</v>
          </cell>
          <cell r="B510" t="str">
            <v>CARD, TAX</v>
          </cell>
          <cell r="C510" t="str">
            <v>PTO</v>
          </cell>
          <cell r="D510" t="str">
            <v>No</v>
          </cell>
          <cell r="E510" t="str">
            <v>NP-53.9 - Small Value Procurement</v>
          </cell>
          <cell r="F510">
            <v>45370</v>
          </cell>
          <cell r="G510">
            <v>45376</v>
          </cell>
          <cell r="H510">
            <v>0</v>
          </cell>
          <cell r="I510" t="str">
            <v>N/A</v>
          </cell>
          <cell r="J510">
            <v>45407</v>
          </cell>
          <cell r="K510">
            <v>45407</v>
          </cell>
          <cell r="L510">
            <v>0</v>
          </cell>
          <cell r="M510" t="str">
            <v>N/A</v>
          </cell>
          <cell r="N510" t="str">
            <v>N/A</v>
          </cell>
          <cell r="O510">
            <v>45411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 t="e">
            <v>#N/A</v>
          </cell>
          <cell r="Y510">
            <v>0</v>
          </cell>
          <cell r="Z510">
            <v>0</v>
          </cell>
          <cell r="AA510">
            <v>5500</v>
          </cell>
          <cell r="AB510">
            <v>0</v>
          </cell>
          <cell r="AC510">
            <v>5500</v>
          </cell>
          <cell r="AD510">
            <v>5500</v>
          </cell>
          <cell r="AE510">
            <v>0</v>
          </cell>
          <cell r="AF510">
            <v>5500</v>
          </cell>
          <cell r="AG510" t="str">
            <v>ENGR. MICHAEL C. SALARDA
MS. LEONARDA M. LATOR
MS. CARMENCITA VALDEZ
MS. SORAYA P. VERGARA</v>
          </cell>
          <cell r="AH510" t="str">
            <v>N/A</v>
          </cell>
          <cell r="AI510" t="str">
            <v>N/A</v>
          </cell>
          <cell r="AJ510" t="str">
            <v>N/A</v>
          </cell>
          <cell r="AK510" t="str">
            <v>N/A</v>
          </cell>
          <cell r="AL510" t="str">
            <v>N/A</v>
          </cell>
          <cell r="AM510" t="str">
            <v>N/A</v>
          </cell>
          <cell r="AN510">
            <v>0</v>
          </cell>
          <cell r="AO510">
            <v>0</v>
          </cell>
        </row>
        <row r="511">
          <cell r="A511" t="str">
            <v>24-2076</v>
          </cell>
          <cell r="B511" t="str">
            <v>TARPAULIN</v>
          </cell>
          <cell r="C511" t="str">
            <v>PHRMDO</v>
          </cell>
          <cell r="D511" t="str">
            <v>No</v>
          </cell>
          <cell r="E511" t="str">
            <v>NP-53.9 - Small Value Procurement</v>
          </cell>
          <cell r="F511" t="str">
            <v>N/A</v>
          </cell>
          <cell r="G511">
            <v>45385</v>
          </cell>
          <cell r="H511">
            <v>0</v>
          </cell>
          <cell r="I511" t="str">
            <v>N/A</v>
          </cell>
          <cell r="J511">
            <v>45407</v>
          </cell>
          <cell r="K511">
            <v>45407</v>
          </cell>
          <cell r="L511">
            <v>0</v>
          </cell>
          <cell r="M511" t="str">
            <v>N/A</v>
          </cell>
          <cell r="N511" t="str">
            <v>N/A</v>
          </cell>
          <cell r="O511">
            <v>45411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 t="e">
            <v>#N/A</v>
          </cell>
          <cell r="Y511">
            <v>0</v>
          </cell>
          <cell r="Z511">
            <v>0</v>
          </cell>
          <cell r="AA511">
            <v>14140</v>
          </cell>
          <cell r="AB511">
            <v>0</v>
          </cell>
          <cell r="AC511">
            <v>14140</v>
          </cell>
          <cell r="AD511">
            <v>14140</v>
          </cell>
          <cell r="AE511">
            <v>0</v>
          </cell>
          <cell r="AF511">
            <v>14140</v>
          </cell>
          <cell r="AG511" t="str">
            <v>ENGR. MICHAEL C. SALARDA
MS. LEONARDA M. LATOR
MS. CARMENCITA VALDEZ
MS. SORAYA P. VERGARA</v>
          </cell>
          <cell r="AH511" t="str">
            <v>N/A</v>
          </cell>
          <cell r="AI511" t="str">
            <v>N/A</v>
          </cell>
          <cell r="AJ511" t="str">
            <v>N/A</v>
          </cell>
          <cell r="AK511" t="str">
            <v>N/A</v>
          </cell>
          <cell r="AL511" t="str">
            <v>N/A</v>
          </cell>
          <cell r="AM511" t="str">
            <v>N/A</v>
          </cell>
          <cell r="AN511">
            <v>0</v>
          </cell>
          <cell r="AO511">
            <v>0</v>
          </cell>
        </row>
        <row r="512">
          <cell r="A512" t="str">
            <v>24-C1292</v>
          </cell>
          <cell r="B512" t="str">
            <v>SPAREPARTS (LIGHT VEHICLES)</v>
          </cell>
          <cell r="C512" t="str">
            <v>PEEMO</v>
          </cell>
          <cell r="D512" t="str">
            <v>No</v>
          </cell>
          <cell r="E512" t="str">
            <v>NP-53.9 - Small Value Procurement</v>
          </cell>
          <cell r="F512" t="str">
            <v>N/A</v>
          </cell>
          <cell r="G512">
            <v>45385</v>
          </cell>
          <cell r="H512">
            <v>0</v>
          </cell>
          <cell r="I512" t="str">
            <v>N/A</v>
          </cell>
          <cell r="J512">
            <v>45407</v>
          </cell>
          <cell r="K512">
            <v>45407</v>
          </cell>
          <cell r="L512">
            <v>0</v>
          </cell>
          <cell r="M512" t="str">
            <v>N/A</v>
          </cell>
          <cell r="N512" t="str">
            <v>N/A</v>
          </cell>
          <cell r="O512">
            <v>45411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45448</v>
          </cell>
          <cell r="Y512">
            <v>0</v>
          </cell>
          <cell r="Z512">
            <v>0</v>
          </cell>
          <cell r="AA512">
            <v>233417</v>
          </cell>
          <cell r="AB512">
            <v>0</v>
          </cell>
          <cell r="AC512">
            <v>233417</v>
          </cell>
          <cell r="AD512">
            <v>228172</v>
          </cell>
          <cell r="AE512">
            <v>0</v>
          </cell>
          <cell r="AF512">
            <v>228172</v>
          </cell>
          <cell r="AG512" t="str">
            <v>ENGR. MICHAEL C. SALARDA
MS. LEONARDA M. LATOR
MS. CARMENCITA VALDEZ
MS. SORAYA P. VERGARA</v>
          </cell>
          <cell r="AH512" t="str">
            <v>N/A</v>
          </cell>
          <cell r="AI512" t="str">
            <v>N/A</v>
          </cell>
          <cell r="AJ512" t="str">
            <v>N/A</v>
          </cell>
          <cell r="AK512" t="str">
            <v>N/A</v>
          </cell>
          <cell r="AL512" t="str">
            <v>N/A</v>
          </cell>
          <cell r="AM512" t="str">
            <v>N/A</v>
          </cell>
          <cell r="AN512">
            <v>0</v>
          </cell>
          <cell r="AO512">
            <v>0</v>
          </cell>
        </row>
        <row r="513">
          <cell r="A513" t="str">
            <v>24-C1199</v>
          </cell>
          <cell r="B513" t="str">
            <v>TARPAULIN</v>
          </cell>
          <cell r="C513" t="str">
            <v>PGO</v>
          </cell>
          <cell r="D513" t="str">
            <v>No</v>
          </cell>
          <cell r="E513" t="str">
            <v>NP-53.9 - Small Value Procurement</v>
          </cell>
          <cell r="F513" t="str">
            <v>N/A</v>
          </cell>
          <cell r="G513">
            <v>45385</v>
          </cell>
          <cell r="H513">
            <v>0</v>
          </cell>
          <cell r="I513" t="str">
            <v>N/A</v>
          </cell>
          <cell r="J513">
            <v>45407</v>
          </cell>
          <cell r="K513">
            <v>45407</v>
          </cell>
          <cell r="L513">
            <v>0</v>
          </cell>
          <cell r="M513" t="str">
            <v>N/A</v>
          </cell>
          <cell r="N513" t="str">
            <v>N/A</v>
          </cell>
          <cell r="O513">
            <v>45411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45456</v>
          </cell>
          <cell r="Y513">
            <v>0</v>
          </cell>
          <cell r="Z513">
            <v>0</v>
          </cell>
          <cell r="AA513">
            <v>42784</v>
          </cell>
          <cell r="AB513">
            <v>0</v>
          </cell>
          <cell r="AC513">
            <v>42784</v>
          </cell>
          <cell r="AD513">
            <v>42784</v>
          </cell>
          <cell r="AE513">
            <v>0</v>
          </cell>
          <cell r="AF513">
            <v>42784</v>
          </cell>
          <cell r="AG513" t="str">
            <v>ENGR. MICHAEL C. SALARDA
MS. LEONARDA M. LATOR
MS. CARMENCITA VALDEZ
MS. SORAYA P. VERGARA</v>
          </cell>
          <cell r="AH513" t="str">
            <v>N/A</v>
          </cell>
          <cell r="AI513" t="str">
            <v>N/A</v>
          </cell>
          <cell r="AJ513" t="str">
            <v>N/A</v>
          </cell>
          <cell r="AK513" t="str">
            <v>N/A</v>
          </cell>
          <cell r="AL513" t="str">
            <v>N/A</v>
          </cell>
          <cell r="AM513" t="str">
            <v>N/A</v>
          </cell>
          <cell r="AN513">
            <v>0</v>
          </cell>
          <cell r="AO513">
            <v>0</v>
          </cell>
        </row>
        <row r="514">
          <cell r="A514" t="str">
            <v>24-C1295</v>
          </cell>
          <cell r="B514" t="str">
            <v>FOOD AND CATERING SERVICES</v>
          </cell>
          <cell r="C514" t="str">
            <v>PGO</v>
          </cell>
          <cell r="D514" t="str">
            <v>No</v>
          </cell>
          <cell r="E514" t="str">
            <v>NP-53.9 - Small Value Procurement</v>
          </cell>
          <cell r="F514">
            <v>45384</v>
          </cell>
          <cell r="G514">
            <v>45390</v>
          </cell>
          <cell r="H514">
            <v>0</v>
          </cell>
          <cell r="I514" t="str">
            <v>N/A</v>
          </cell>
          <cell r="J514">
            <v>45407</v>
          </cell>
          <cell r="K514">
            <v>45407</v>
          </cell>
          <cell r="L514">
            <v>0</v>
          </cell>
          <cell r="M514" t="str">
            <v>N/A</v>
          </cell>
          <cell r="N514" t="str">
            <v>N/A</v>
          </cell>
          <cell r="O514">
            <v>45411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70140</v>
          </cell>
          <cell r="AB514">
            <v>0</v>
          </cell>
          <cell r="AC514">
            <v>70140</v>
          </cell>
          <cell r="AD514">
            <v>70015</v>
          </cell>
          <cell r="AE514">
            <v>0</v>
          </cell>
          <cell r="AF514">
            <v>70015</v>
          </cell>
          <cell r="AG514" t="str">
            <v>ENGR. MICHAEL C. SALARDA
MS. LEONARDA M. LATOR
MS. CARMENCITA VALDEZ
MS. SORAYA P. VERGARA</v>
          </cell>
          <cell r="AH514" t="str">
            <v>N/A</v>
          </cell>
          <cell r="AI514" t="str">
            <v>N/A</v>
          </cell>
          <cell r="AJ514" t="str">
            <v>N/A</v>
          </cell>
          <cell r="AK514" t="str">
            <v>N/A</v>
          </cell>
          <cell r="AL514" t="str">
            <v>N/A</v>
          </cell>
          <cell r="AM514" t="str">
            <v>N/A</v>
          </cell>
          <cell r="AN514">
            <v>0</v>
          </cell>
          <cell r="AO514">
            <v>0</v>
          </cell>
        </row>
        <row r="515">
          <cell r="A515" t="str">
            <v>24-1697</v>
          </cell>
          <cell r="B515" t="str">
            <v>POSTER, CALENDAR</v>
          </cell>
          <cell r="C515" t="str">
            <v>PAO</v>
          </cell>
          <cell r="D515" t="str">
            <v>No</v>
          </cell>
          <cell r="E515" t="str">
            <v>NP-53.9 - Small Value Procurement</v>
          </cell>
          <cell r="F515" t="str">
            <v>N/A</v>
          </cell>
          <cell r="G515">
            <v>45385</v>
          </cell>
          <cell r="H515">
            <v>0</v>
          </cell>
          <cell r="I515" t="str">
            <v>N/A</v>
          </cell>
          <cell r="J515">
            <v>45407</v>
          </cell>
          <cell r="K515">
            <v>45407</v>
          </cell>
          <cell r="L515">
            <v>0</v>
          </cell>
          <cell r="M515" t="str">
            <v>N/A</v>
          </cell>
          <cell r="N515" t="str">
            <v>N/A</v>
          </cell>
          <cell r="O515">
            <v>45411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 t="e">
            <v>#N/A</v>
          </cell>
          <cell r="Y515">
            <v>0</v>
          </cell>
          <cell r="Z515">
            <v>0</v>
          </cell>
          <cell r="AA515">
            <v>21978</v>
          </cell>
          <cell r="AB515">
            <v>0</v>
          </cell>
          <cell r="AC515">
            <v>21978</v>
          </cell>
          <cell r="AD515">
            <v>21978</v>
          </cell>
          <cell r="AE515">
            <v>0</v>
          </cell>
          <cell r="AF515">
            <v>21978</v>
          </cell>
          <cell r="AG515" t="str">
            <v>ENGR. MICHAEL C. SALARDA
MS. LEONARDA M. LATOR
MS. CARMENCITA VALDEZ
MS. SORAYA P. VERGARA</v>
          </cell>
          <cell r="AH515" t="str">
            <v>N/A</v>
          </cell>
          <cell r="AI515" t="str">
            <v>N/A</v>
          </cell>
          <cell r="AJ515" t="str">
            <v>N/A</v>
          </cell>
          <cell r="AK515" t="str">
            <v>N/A</v>
          </cell>
          <cell r="AL515" t="str">
            <v>N/A</v>
          </cell>
          <cell r="AM515" t="str">
            <v>N/A</v>
          </cell>
          <cell r="AN515">
            <v>0</v>
          </cell>
          <cell r="AO515">
            <v>0</v>
          </cell>
        </row>
        <row r="516">
          <cell r="A516" t="str">
            <v>24-C1293</v>
          </cell>
          <cell r="B516" t="str">
            <v>FOOD/CATERING SERVICES</v>
          </cell>
          <cell r="C516" t="str">
            <v>PAGRO</v>
          </cell>
          <cell r="D516" t="str">
            <v>No</v>
          </cell>
          <cell r="E516" t="str">
            <v>NP-53.9 - Small Value Procurement</v>
          </cell>
          <cell r="F516">
            <v>45384</v>
          </cell>
          <cell r="G516">
            <v>45390</v>
          </cell>
          <cell r="H516">
            <v>0</v>
          </cell>
          <cell r="I516" t="str">
            <v>N/A</v>
          </cell>
          <cell r="J516">
            <v>45407</v>
          </cell>
          <cell r="K516">
            <v>45407</v>
          </cell>
          <cell r="L516">
            <v>0</v>
          </cell>
          <cell r="M516" t="str">
            <v>N/A</v>
          </cell>
          <cell r="N516" t="str">
            <v>N/A</v>
          </cell>
          <cell r="O516">
            <v>45411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174820</v>
          </cell>
          <cell r="AB516">
            <v>0</v>
          </cell>
          <cell r="AC516">
            <v>174820</v>
          </cell>
          <cell r="AD516">
            <v>174820</v>
          </cell>
          <cell r="AE516">
            <v>0</v>
          </cell>
          <cell r="AF516">
            <v>174820</v>
          </cell>
          <cell r="AG516" t="str">
            <v>ENGR. MICHAEL C. SALARDA
MS. LEONARDA M. LATOR
MS. CARMENCITA VALDEZ
MS. SORAYA P. VERGARA</v>
          </cell>
          <cell r="AH516" t="str">
            <v>N/A</v>
          </cell>
          <cell r="AI516" t="str">
            <v>N/A</v>
          </cell>
          <cell r="AJ516" t="str">
            <v>N/A</v>
          </cell>
          <cell r="AK516" t="str">
            <v>N/A</v>
          </cell>
          <cell r="AL516" t="str">
            <v>N/A</v>
          </cell>
          <cell r="AM516" t="str">
            <v>N/A</v>
          </cell>
          <cell r="AN516">
            <v>0</v>
          </cell>
          <cell r="AO516">
            <v>0</v>
          </cell>
        </row>
        <row r="517">
          <cell r="A517" t="str">
            <v>24-1659</v>
          </cell>
          <cell r="B517" t="str">
            <v>SAFETY GEARS &amp; EQUIPMENT</v>
          </cell>
          <cell r="C517" t="str">
            <v>PTO</v>
          </cell>
          <cell r="D517" t="str">
            <v>No</v>
          </cell>
          <cell r="E517" t="str">
            <v>NP-53.9 - Small Value Procurement</v>
          </cell>
          <cell r="F517" t="str">
            <v>N/A</v>
          </cell>
          <cell r="G517">
            <v>45376</v>
          </cell>
          <cell r="H517">
            <v>0</v>
          </cell>
          <cell r="I517" t="str">
            <v>N/A</v>
          </cell>
          <cell r="J517">
            <v>45407</v>
          </cell>
          <cell r="K517">
            <v>45407</v>
          </cell>
          <cell r="L517">
            <v>0</v>
          </cell>
          <cell r="M517" t="str">
            <v>N/A</v>
          </cell>
          <cell r="N517" t="str">
            <v>N/A</v>
          </cell>
          <cell r="O517">
            <v>45411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 t="e">
            <v>#N/A</v>
          </cell>
          <cell r="Y517">
            <v>0</v>
          </cell>
          <cell r="Z517">
            <v>0</v>
          </cell>
          <cell r="AA517">
            <v>45496</v>
          </cell>
          <cell r="AB517">
            <v>0</v>
          </cell>
          <cell r="AC517">
            <v>45496</v>
          </cell>
          <cell r="AD517">
            <v>45475</v>
          </cell>
          <cell r="AE517">
            <v>0</v>
          </cell>
          <cell r="AF517">
            <v>45475</v>
          </cell>
          <cell r="AG517" t="str">
            <v>ENGR. MICHAEL C. SALARDA
MS. LEONARDA M. LATOR
MS. CARMENCITA VALDEZ
MS. SORAYA P. VERGARA</v>
          </cell>
          <cell r="AH517" t="str">
            <v>N/A</v>
          </cell>
          <cell r="AI517" t="str">
            <v>N/A</v>
          </cell>
          <cell r="AJ517" t="str">
            <v>N/A</v>
          </cell>
          <cell r="AK517" t="str">
            <v>N/A</v>
          </cell>
          <cell r="AL517" t="str">
            <v>N/A</v>
          </cell>
          <cell r="AM517" t="str">
            <v>N/A</v>
          </cell>
          <cell r="AN517">
            <v>0</v>
          </cell>
          <cell r="AO517">
            <v>0</v>
          </cell>
        </row>
        <row r="518">
          <cell r="A518" t="str">
            <v>24-1695</v>
          </cell>
          <cell r="B518" t="str">
            <v>FIRST AID KIT</v>
          </cell>
          <cell r="C518" t="str">
            <v>PGO</v>
          </cell>
          <cell r="D518" t="str">
            <v>No</v>
          </cell>
          <cell r="E518" t="str">
            <v>NP-53.9 - Small Value Procurement</v>
          </cell>
          <cell r="F518" t="str">
            <v>N/A</v>
          </cell>
          <cell r="G518">
            <v>45385</v>
          </cell>
          <cell r="H518">
            <v>0</v>
          </cell>
          <cell r="I518" t="str">
            <v>N/A</v>
          </cell>
          <cell r="J518">
            <v>45407</v>
          </cell>
          <cell r="K518">
            <v>45407</v>
          </cell>
          <cell r="L518">
            <v>0</v>
          </cell>
          <cell r="M518" t="str">
            <v>N/A</v>
          </cell>
          <cell r="N518" t="str">
            <v>N/A</v>
          </cell>
          <cell r="O518">
            <v>45411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 t="e">
            <v>#N/A</v>
          </cell>
          <cell r="Y518">
            <v>0</v>
          </cell>
          <cell r="Z518">
            <v>0</v>
          </cell>
          <cell r="AA518">
            <v>4000</v>
          </cell>
          <cell r="AB518">
            <v>0</v>
          </cell>
          <cell r="AC518">
            <v>4000</v>
          </cell>
          <cell r="AD518">
            <v>3990</v>
          </cell>
          <cell r="AE518">
            <v>0</v>
          </cell>
          <cell r="AF518">
            <v>3990</v>
          </cell>
          <cell r="AG518" t="str">
            <v>ENGR. MICHAEL C. SALARDA
MS. LEONARDA M. LATOR
MS. CARMENCITA VALDEZ
MS. SORAYA P. VERGARA</v>
          </cell>
          <cell r="AH518" t="str">
            <v>N/A</v>
          </cell>
          <cell r="AI518" t="str">
            <v>N/A</v>
          </cell>
          <cell r="AJ518" t="str">
            <v>N/A</v>
          </cell>
          <cell r="AK518" t="str">
            <v>N/A</v>
          </cell>
          <cell r="AL518" t="str">
            <v>N/A</v>
          </cell>
          <cell r="AM518" t="str">
            <v>N/A</v>
          </cell>
          <cell r="AN518">
            <v>0</v>
          </cell>
          <cell r="AO518">
            <v>0</v>
          </cell>
        </row>
        <row r="519">
          <cell r="A519" t="str">
            <v>24-1790</v>
          </cell>
          <cell r="B519" t="str">
            <v>PROJECTOR</v>
          </cell>
          <cell r="C519" t="str">
            <v>PGO</v>
          </cell>
          <cell r="D519" t="str">
            <v>No</v>
          </cell>
          <cell r="E519" t="str">
            <v>NP-53.9 - Small Value Procurement</v>
          </cell>
          <cell r="F519" t="str">
            <v>N/A</v>
          </cell>
          <cell r="G519">
            <v>45385</v>
          </cell>
          <cell r="H519">
            <v>0</v>
          </cell>
          <cell r="I519" t="str">
            <v>N/A</v>
          </cell>
          <cell r="J519">
            <v>45407</v>
          </cell>
          <cell r="K519">
            <v>45407</v>
          </cell>
          <cell r="L519">
            <v>0</v>
          </cell>
          <cell r="M519" t="str">
            <v>N/A</v>
          </cell>
          <cell r="N519" t="str">
            <v>N/A</v>
          </cell>
          <cell r="O519">
            <v>45411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 t="e">
            <v>#N/A</v>
          </cell>
          <cell r="Y519">
            <v>0</v>
          </cell>
          <cell r="Z519">
            <v>0</v>
          </cell>
          <cell r="AA519">
            <v>49500</v>
          </cell>
          <cell r="AB519">
            <v>0</v>
          </cell>
          <cell r="AC519">
            <v>49500</v>
          </cell>
          <cell r="AD519">
            <v>37939</v>
          </cell>
          <cell r="AE519">
            <v>0</v>
          </cell>
          <cell r="AF519">
            <v>37939</v>
          </cell>
          <cell r="AG519" t="str">
            <v>ENGR. MICHAEL C. SALARDA
MS. LEONARDA M. LATOR
MS. CARMENCITA VALDEZ
MS. SORAYA P. VERGARA</v>
          </cell>
          <cell r="AH519" t="str">
            <v>N/A</v>
          </cell>
          <cell r="AI519" t="str">
            <v>N/A</v>
          </cell>
          <cell r="AJ519" t="str">
            <v>N/A</v>
          </cell>
          <cell r="AK519" t="str">
            <v>N/A</v>
          </cell>
          <cell r="AL519" t="str">
            <v>N/A</v>
          </cell>
          <cell r="AM519" t="str">
            <v>N/A</v>
          </cell>
          <cell r="AN519">
            <v>0</v>
          </cell>
          <cell r="AO519">
            <v>0</v>
          </cell>
        </row>
        <row r="520">
          <cell r="A520" t="str">
            <v>24-2134</v>
          </cell>
          <cell r="B520" t="str">
            <v>CHAIR, MONOBLOC</v>
          </cell>
          <cell r="C520" t="str">
            <v>SEF</v>
          </cell>
          <cell r="D520" t="str">
            <v>No</v>
          </cell>
          <cell r="E520" t="str">
            <v>NP-53.9 - Small Value Procurement</v>
          </cell>
          <cell r="F520" t="str">
            <v>N/A</v>
          </cell>
          <cell r="G520">
            <v>45384</v>
          </cell>
          <cell r="H520">
            <v>0</v>
          </cell>
          <cell r="I520" t="str">
            <v>N/A</v>
          </cell>
          <cell r="J520">
            <v>45407</v>
          </cell>
          <cell r="K520">
            <v>45407</v>
          </cell>
          <cell r="L520">
            <v>0</v>
          </cell>
          <cell r="M520" t="str">
            <v>N/A</v>
          </cell>
          <cell r="N520" t="str">
            <v>N/A</v>
          </cell>
          <cell r="O520">
            <v>45411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 t="e">
            <v>#N/A</v>
          </cell>
          <cell r="Y520">
            <v>0</v>
          </cell>
          <cell r="Z520">
            <v>0</v>
          </cell>
          <cell r="AA520">
            <v>72098</v>
          </cell>
          <cell r="AB520">
            <v>0</v>
          </cell>
          <cell r="AC520">
            <v>72098</v>
          </cell>
          <cell r="AD520">
            <v>72068.5</v>
          </cell>
          <cell r="AE520">
            <v>0</v>
          </cell>
          <cell r="AF520">
            <v>72068.5</v>
          </cell>
          <cell r="AG520" t="str">
            <v>ENGR. MICHAEL C. SALARDA
MS. LEONARDA M. LATOR
MS. CARMENCITA VALDEZ
MS. SORAYA P. VERGARA</v>
          </cell>
          <cell r="AH520" t="str">
            <v>N/A</v>
          </cell>
          <cell r="AI520" t="str">
            <v>N/A</v>
          </cell>
          <cell r="AJ520" t="str">
            <v>N/A</v>
          </cell>
          <cell r="AK520" t="str">
            <v>N/A</v>
          </cell>
          <cell r="AL520" t="str">
            <v>N/A</v>
          </cell>
          <cell r="AM520" t="str">
            <v>N/A</v>
          </cell>
          <cell r="AN520">
            <v>0</v>
          </cell>
          <cell r="AO520">
            <v>0</v>
          </cell>
        </row>
        <row r="521">
          <cell r="A521" t="str">
            <v>24-C1152</v>
          </cell>
          <cell r="B521" t="str">
            <v>REPAIR MATERIALS</v>
          </cell>
          <cell r="C521" t="str">
            <v>PGSO</v>
          </cell>
          <cell r="D521" t="str">
            <v>No</v>
          </cell>
          <cell r="E521" t="str">
            <v>NP-53.9 - Small Value Procurement</v>
          </cell>
          <cell r="F521">
            <v>45373</v>
          </cell>
          <cell r="G521">
            <v>45384</v>
          </cell>
          <cell r="H521">
            <v>0</v>
          </cell>
          <cell r="I521" t="str">
            <v>N/A</v>
          </cell>
          <cell r="J521">
            <v>45407</v>
          </cell>
          <cell r="K521">
            <v>45407</v>
          </cell>
          <cell r="L521">
            <v>0</v>
          </cell>
          <cell r="M521" t="str">
            <v>N/A</v>
          </cell>
          <cell r="N521" t="str">
            <v>N/A</v>
          </cell>
          <cell r="O521">
            <v>45411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46511.56</v>
          </cell>
          <cell r="AB521">
            <v>0</v>
          </cell>
          <cell r="AC521">
            <v>46511.56</v>
          </cell>
          <cell r="AD521">
            <v>46506</v>
          </cell>
          <cell r="AE521">
            <v>0</v>
          </cell>
          <cell r="AF521">
            <v>46506</v>
          </cell>
          <cell r="AG521" t="str">
            <v>ENGR. MICHAEL C. SALARDA
MS. LEONARDA M. LATOR
MS. CARMENCITA VALDEZ
MS. SORAYA P. VERGARA</v>
          </cell>
          <cell r="AH521" t="str">
            <v>N/A</v>
          </cell>
          <cell r="AI521" t="str">
            <v>N/A</v>
          </cell>
          <cell r="AJ521" t="str">
            <v>N/A</v>
          </cell>
          <cell r="AK521" t="str">
            <v>N/A</v>
          </cell>
          <cell r="AL521" t="str">
            <v>N/A</v>
          </cell>
          <cell r="AM521" t="str">
            <v>N/A</v>
          </cell>
          <cell r="AN521">
            <v>0</v>
          </cell>
          <cell r="AO521">
            <v>0</v>
          </cell>
        </row>
        <row r="522">
          <cell r="A522" t="str">
            <v>24-C0937</v>
          </cell>
          <cell r="B522" t="str">
            <v>BOOKBINDING AND TARPAULIN</v>
          </cell>
          <cell r="C522" t="str">
            <v>PPDO</v>
          </cell>
          <cell r="D522" t="str">
            <v>No</v>
          </cell>
          <cell r="E522" t="str">
            <v>NP-53.9 - Small Value Procurement</v>
          </cell>
          <cell r="F522" t="str">
            <v>N/A</v>
          </cell>
          <cell r="G522">
            <v>45376</v>
          </cell>
          <cell r="H522">
            <v>0</v>
          </cell>
          <cell r="I522" t="str">
            <v>N/A</v>
          </cell>
          <cell r="J522">
            <v>45407</v>
          </cell>
          <cell r="K522">
            <v>45407</v>
          </cell>
          <cell r="L522">
            <v>0</v>
          </cell>
          <cell r="M522" t="str">
            <v>N/A</v>
          </cell>
          <cell r="N522" t="str">
            <v>N/A</v>
          </cell>
          <cell r="O522">
            <v>45411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45441</v>
          </cell>
          <cell r="Y522">
            <v>0</v>
          </cell>
          <cell r="Z522">
            <v>0</v>
          </cell>
          <cell r="AA522">
            <v>25350</v>
          </cell>
          <cell r="AB522">
            <v>0</v>
          </cell>
          <cell r="AC522">
            <v>25350</v>
          </cell>
          <cell r="AD522">
            <v>25350</v>
          </cell>
          <cell r="AE522">
            <v>0</v>
          </cell>
          <cell r="AF522">
            <v>25350</v>
          </cell>
          <cell r="AG522" t="str">
            <v>ENGR. MICHAEL C. SALARDA
MS. LEONARDA M. LATOR
MS. CARMENCITA VALDEZ
MS. SORAYA P. VERGARA</v>
          </cell>
          <cell r="AH522" t="str">
            <v>N/A</v>
          </cell>
          <cell r="AI522" t="str">
            <v>N/A</v>
          </cell>
          <cell r="AJ522" t="str">
            <v>N/A</v>
          </cell>
          <cell r="AK522" t="str">
            <v>N/A</v>
          </cell>
          <cell r="AL522" t="str">
            <v>N/A</v>
          </cell>
          <cell r="AM522" t="str">
            <v>N/A</v>
          </cell>
          <cell r="AN522">
            <v>0</v>
          </cell>
          <cell r="AO522">
            <v>0</v>
          </cell>
        </row>
        <row r="523">
          <cell r="A523" t="str">
            <v>24-1567</v>
          </cell>
          <cell r="B523" t="str">
            <v>JOB OUT</v>
          </cell>
          <cell r="C523" t="str">
            <v>PGSO</v>
          </cell>
          <cell r="D523" t="str">
            <v>No</v>
          </cell>
          <cell r="E523" t="str">
            <v>NP-53.9 - Small Value Procurement</v>
          </cell>
          <cell r="F523">
            <v>45370</v>
          </cell>
          <cell r="G523">
            <v>45376</v>
          </cell>
          <cell r="H523">
            <v>0</v>
          </cell>
          <cell r="I523" t="str">
            <v>N/A</v>
          </cell>
          <cell r="J523">
            <v>45407</v>
          </cell>
          <cell r="K523">
            <v>45407</v>
          </cell>
          <cell r="L523">
            <v>0</v>
          </cell>
          <cell r="M523" t="str">
            <v>N/A</v>
          </cell>
          <cell r="N523" t="str">
            <v>N/A</v>
          </cell>
          <cell r="O523">
            <v>45411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 t="e">
            <v>#N/A</v>
          </cell>
          <cell r="Y523">
            <v>0</v>
          </cell>
          <cell r="Z523">
            <v>0</v>
          </cell>
          <cell r="AA523">
            <v>20500</v>
          </cell>
          <cell r="AB523">
            <v>0</v>
          </cell>
          <cell r="AC523">
            <v>20500</v>
          </cell>
          <cell r="AD523">
            <v>20000</v>
          </cell>
          <cell r="AE523">
            <v>0</v>
          </cell>
          <cell r="AF523">
            <v>20000</v>
          </cell>
          <cell r="AG523" t="str">
            <v>ENGR. MICHAEL C. SALARDA
MS. LEONARDA M. LATOR
MS. CARMENCITA VALDEZ
MS. SORAYA P. VERGARA</v>
          </cell>
          <cell r="AH523" t="str">
            <v>N/A</v>
          </cell>
          <cell r="AI523" t="str">
            <v>N/A</v>
          </cell>
          <cell r="AJ523" t="str">
            <v>N/A</v>
          </cell>
          <cell r="AK523" t="str">
            <v>N/A</v>
          </cell>
          <cell r="AL523" t="str">
            <v>N/A</v>
          </cell>
          <cell r="AM523" t="str">
            <v>N/A</v>
          </cell>
          <cell r="AN523">
            <v>0</v>
          </cell>
          <cell r="AO523">
            <v>0</v>
          </cell>
        </row>
        <row r="524">
          <cell r="A524" t="str">
            <v>24-C1149</v>
          </cell>
          <cell r="B524" t="str">
            <v>MEIDCAL SUPPLIES</v>
          </cell>
          <cell r="C524" t="str">
            <v>PGO</v>
          </cell>
          <cell r="D524" t="str">
            <v>No</v>
          </cell>
          <cell r="E524" t="str">
            <v>NP-53.9 - Small Value Procurement</v>
          </cell>
          <cell r="F524" t="str">
            <v>N/A</v>
          </cell>
          <cell r="G524">
            <v>45385</v>
          </cell>
          <cell r="H524">
            <v>0</v>
          </cell>
          <cell r="I524" t="str">
            <v>N/A</v>
          </cell>
          <cell r="J524">
            <v>45407</v>
          </cell>
          <cell r="K524">
            <v>45407</v>
          </cell>
          <cell r="L524">
            <v>0</v>
          </cell>
          <cell r="M524" t="str">
            <v>N/A</v>
          </cell>
          <cell r="N524" t="str">
            <v>N/A</v>
          </cell>
          <cell r="O524">
            <v>45411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45448</v>
          </cell>
          <cell r="Y524">
            <v>0</v>
          </cell>
          <cell r="Z524">
            <v>0</v>
          </cell>
          <cell r="AA524">
            <v>173835</v>
          </cell>
          <cell r="AB524">
            <v>0</v>
          </cell>
          <cell r="AC524">
            <v>173835</v>
          </cell>
          <cell r="AD524">
            <v>153060</v>
          </cell>
          <cell r="AE524">
            <v>0</v>
          </cell>
          <cell r="AF524">
            <v>153060</v>
          </cell>
          <cell r="AG524" t="str">
            <v>ENGR. MICHAEL C. SALARDA
MS. LEONARDA M. LATOR
MS. CARMENCITA VALDEZ
MS. SORAYA P. VERGARA</v>
          </cell>
          <cell r="AH524" t="str">
            <v>N/A</v>
          </cell>
          <cell r="AI524" t="str">
            <v>N/A</v>
          </cell>
          <cell r="AJ524" t="str">
            <v>N/A</v>
          </cell>
          <cell r="AK524" t="str">
            <v>N/A</v>
          </cell>
          <cell r="AL524" t="str">
            <v>N/A</v>
          </cell>
          <cell r="AM524" t="str">
            <v>N/A</v>
          </cell>
          <cell r="AN524">
            <v>0</v>
          </cell>
          <cell r="AO524">
            <v>0</v>
          </cell>
        </row>
        <row r="525">
          <cell r="A525" t="str">
            <v>24-1872</v>
          </cell>
          <cell r="B525" t="str">
            <v>MONOBLOC PLASTIC CHAIR</v>
          </cell>
          <cell r="C525" t="str">
            <v>PGO</v>
          </cell>
          <cell r="D525" t="str">
            <v>No</v>
          </cell>
          <cell r="E525" t="str">
            <v>NP-53.9 - Small Value Procurement</v>
          </cell>
          <cell r="F525" t="str">
            <v>N/A</v>
          </cell>
          <cell r="G525">
            <v>45376</v>
          </cell>
          <cell r="H525">
            <v>0</v>
          </cell>
          <cell r="I525" t="str">
            <v>N/A</v>
          </cell>
          <cell r="J525">
            <v>45407</v>
          </cell>
          <cell r="K525">
            <v>45407</v>
          </cell>
          <cell r="L525">
            <v>0</v>
          </cell>
          <cell r="M525" t="str">
            <v>N/A</v>
          </cell>
          <cell r="N525" t="str">
            <v>N/A</v>
          </cell>
          <cell r="O525">
            <v>45411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 t="e">
            <v>#N/A</v>
          </cell>
          <cell r="Y525">
            <v>0</v>
          </cell>
          <cell r="Z525">
            <v>0</v>
          </cell>
          <cell r="AA525">
            <v>133500</v>
          </cell>
          <cell r="AB525">
            <v>0</v>
          </cell>
          <cell r="AC525">
            <v>133500</v>
          </cell>
          <cell r="AD525">
            <v>132500</v>
          </cell>
          <cell r="AE525">
            <v>0</v>
          </cell>
          <cell r="AF525">
            <v>132500</v>
          </cell>
          <cell r="AG525" t="str">
            <v>ENGR. MICHAEL C. SALARDA
MS. LEONARDA M. LATOR
MS. CARMENCITA VALDEZ
MS. SORAYA P. VERGARA</v>
          </cell>
          <cell r="AH525" t="str">
            <v>N/A</v>
          </cell>
          <cell r="AI525" t="str">
            <v>N/A</v>
          </cell>
          <cell r="AJ525" t="str">
            <v>N/A</v>
          </cell>
          <cell r="AK525" t="str">
            <v>N/A</v>
          </cell>
          <cell r="AL525" t="str">
            <v>N/A</v>
          </cell>
          <cell r="AM525" t="str">
            <v>N/A</v>
          </cell>
          <cell r="AN525">
            <v>0</v>
          </cell>
          <cell r="AO525">
            <v>0</v>
          </cell>
        </row>
        <row r="526">
          <cell r="A526" t="str">
            <v>24-1704</v>
          </cell>
          <cell r="B526" t="str">
            <v>OIL, DIESEL ENGINE</v>
          </cell>
          <cell r="C526" t="str">
            <v>PGO</v>
          </cell>
          <cell r="D526" t="str">
            <v>No</v>
          </cell>
          <cell r="E526" t="str">
            <v>NP-53.9 - Small Value Procurement</v>
          </cell>
          <cell r="F526" t="str">
            <v>N/A</v>
          </cell>
          <cell r="G526">
            <v>45384</v>
          </cell>
          <cell r="H526">
            <v>0</v>
          </cell>
          <cell r="I526" t="str">
            <v>N/A</v>
          </cell>
          <cell r="J526">
            <v>45407</v>
          </cell>
          <cell r="K526">
            <v>45407</v>
          </cell>
          <cell r="L526">
            <v>0</v>
          </cell>
          <cell r="M526" t="str">
            <v>N/A</v>
          </cell>
          <cell r="N526" t="str">
            <v>N/A</v>
          </cell>
          <cell r="O526">
            <v>45411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 t="e">
            <v>#N/A</v>
          </cell>
          <cell r="Y526">
            <v>0</v>
          </cell>
          <cell r="Z526">
            <v>0</v>
          </cell>
          <cell r="AA526">
            <v>10560</v>
          </cell>
          <cell r="AB526">
            <v>0</v>
          </cell>
          <cell r="AC526">
            <v>10560</v>
          </cell>
          <cell r="AD526">
            <v>10320</v>
          </cell>
          <cell r="AE526">
            <v>0</v>
          </cell>
          <cell r="AF526">
            <v>10320</v>
          </cell>
          <cell r="AG526" t="str">
            <v>ENGR. MICHAEL C. SALARDA
MS. LEONARDA M. LATOR
MS. CARMENCITA VALDEZ
MS. SORAYA P. VERGARA</v>
          </cell>
          <cell r="AH526" t="str">
            <v>N/A</v>
          </cell>
          <cell r="AI526" t="str">
            <v>N/A</v>
          </cell>
          <cell r="AJ526" t="str">
            <v>N/A</v>
          </cell>
          <cell r="AK526" t="str">
            <v>N/A</v>
          </cell>
          <cell r="AL526" t="str">
            <v>N/A</v>
          </cell>
          <cell r="AM526" t="str">
            <v>N/A</v>
          </cell>
          <cell r="AN526">
            <v>0</v>
          </cell>
          <cell r="AO526">
            <v>0</v>
          </cell>
        </row>
        <row r="527">
          <cell r="A527" t="str">
            <v>24-1980</v>
          </cell>
          <cell r="B527" t="str">
            <v>MEDICAL SUPPLIES</v>
          </cell>
          <cell r="C527" t="str">
            <v>PHO</v>
          </cell>
          <cell r="D527" t="str">
            <v>No</v>
          </cell>
          <cell r="E527" t="str">
            <v>NP-53.9 - Small Value Procurement</v>
          </cell>
          <cell r="F527" t="str">
            <v>N/A</v>
          </cell>
          <cell r="G527">
            <v>45376</v>
          </cell>
          <cell r="H527">
            <v>0</v>
          </cell>
          <cell r="I527" t="str">
            <v>N/A</v>
          </cell>
          <cell r="J527">
            <v>45407</v>
          </cell>
          <cell r="K527">
            <v>45407</v>
          </cell>
          <cell r="L527">
            <v>0</v>
          </cell>
          <cell r="M527" t="str">
            <v>N/A</v>
          </cell>
          <cell r="N527" t="str">
            <v>N/A</v>
          </cell>
          <cell r="O527">
            <v>45411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 t="e">
            <v>#N/A</v>
          </cell>
          <cell r="Y527">
            <v>0</v>
          </cell>
          <cell r="Z527">
            <v>0</v>
          </cell>
          <cell r="AA527">
            <v>17024</v>
          </cell>
          <cell r="AB527">
            <v>0</v>
          </cell>
          <cell r="AC527">
            <v>17024</v>
          </cell>
          <cell r="AD527">
            <v>12790</v>
          </cell>
          <cell r="AE527">
            <v>0</v>
          </cell>
          <cell r="AF527">
            <v>12790</v>
          </cell>
          <cell r="AG527" t="str">
            <v>ENGR. MICHAEL C. SALARDA
MS. LEONARDA M. LATOR
MS. CARMENCITA VALDEZ
MS. SORAYA P. VERGARA</v>
          </cell>
          <cell r="AH527" t="str">
            <v>N/A</v>
          </cell>
          <cell r="AI527" t="str">
            <v>N/A</v>
          </cell>
          <cell r="AJ527" t="str">
            <v>N/A</v>
          </cell>
          <cell r="AK527" t="str">
            <v>N/A</v>
          </cell>
          <cell r="AL527" t="str">
            <v>N/A</v>
          </cell>
          <cell r="AM527" t="str">
            <v>N/A</v>
          </cell>
          <cell r="AN527">
            <v>0</v>
          </cell>
          <cell r="AO527">
            <v>0</v>
          </cell>
        </row>
        <row r="528">
          <cell r="A528" t="str">
            <v>24-2072</v>
          </cell>
          <cell r="B528" t="str">
            <v>FOOD/CATERING SERVICES</v>
          </cell>
          <cell r="C528" t="str">
            <v>PHRMDO</v>
          </cell>
          <cell r="D528" t="str">
            <v>No</v>
          </cell>
          <cell r="E528" t="str">
            <v>NP-53.9 - Small Value Procurement</v>
          </cell>
          <cell r="F528">
            <v>45384</v>
          </cell>
          <cell r="G528">
            <v>45390</v>
          </cell>
          <cell r="H528">
            <v>0</v>
          </cell>
          <cell r="I528" t="str">
            <v>N/A</v>
          </cell>
          <cell r="J528">
            <v>45407</v>
          </cell>
          <cell r="K528">
            <v>45407</v>
          </cell>
          <cell r="L528">
            <v>0</v>
          </cell>
          <cell r="M528" t="str">
            <v>N/A</v>
          </cell>
          <cell r="N528" t="str">
            <v>N/A</v>
          </cell>
          <cell r="O528">
            <v>45411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 t="e">
            <v>#N/A</v>
          </cell>
          <cell r="Y528">
            <v>0</v>
          </cell>
          <cell r="Z528">
            <v>0</v>
          </cell>
          <cell r="AA528">
            <v>33140</v>
          </cell>
          <cell r="AB528">
            <v>0</v>
          </cell>
          <cell r="AC528">
            <v>33140</v>
          </cell>
          <cell r="AD528">
            <v>32822</v>
          </cell>
          <cell r="AE528">
            <v>0</v>
          </cell>
          <cell r="AF528">
            <v>32822</v>
          </cell>
          <cell r="AG528" t="str">
            <v>ENGR. MICHAEL C. SALARDA
MS. LEONARDA M. LATOR
MS. CARMENCITA VALDEZ
MS. SORAYA P. VERGARA</v>
          </cell>
          <cell r="AH528" t="str">
            <v>N/A</v>
          </cell>
          <cell r="AI528" t="str">
            <v>N/A</v>
          </cell>
          <cell r="AJ528" t="str">
            <v>N/A</v>
          </cell>
          <cell r="AK528" t="str">
            <v>N/A</v>
          </cell>
          <cell r="AL528" t="str">
            <v>N/A</v>
          </cell>
          <cell r="AM528" t="str">
            <v>N/A</v>
          </cell>
          <cell r="AN528">
            <v>0</v>
          </cell>
          <cell r="AO528">
            <v>0</v>
          </cell>
        </row>
        <row r="529">
          <cell r="A529" t="str">
            <v>24-C1184</v>
          </cell>
          <cell r="B529" t="str">
            <v>COMMUNICATION SUPPLIES &amp; EQUIPMENT</v>
          </cell>
          <cell r="C529" t="str">
            <v>PICTO</v>
          </cell>
          <cell r="D529" t="str">
            <v>No</v>
          </cell>
          <cell r="E529" t="str">
            <v>NP-53.9 - Small Value Procurement</v>
          </cell>
          <cell r="F529" t="str">
            <v>N/A</v>
          </cell>
          <cell r="G529">
            <v>45385</v>
          </cell>
          <cell r="H529">
            <v>0</v>
          </cell>
          <cell r="I529" t="str">
            <v>N/A</v>
          </cell>
          <cell r="J529">
            <v>45407</v>
          </cell>
          <cell r="K529">
            <v>45407</v>
          </cell>
          <cell r="L529">
            <v>0</v>
          </cell>
          <cell r="M529" t="str">
            <v>N/A</v>
          </cell>
          <cell r="N529" t="str">
            <v>N/A</v>
          </cell>
          <cell r="O529">
            <v>45411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154054</v>
          </cell>
          <cell r="AB529">
            <v>0</v>
          </cell>
          <cell r="AC529">
            <v>154054</v>
          </cell>
          <cell r="AD529">
            <v>154054</v>
          </cell>
          <cell r="AE529">
            <v>0</v>
          </cell>
          <cell r="AF529">
            <v>154054</v>
          </cell>
          <cell r="AG529" t="str">
            <v>ENGR. MICHAEL C. SALARDA
MS. LEONARDA M. LATOR
MS. CARMENCITA VALDEZ
MS. SORAYA P. VERGARA</v>
          </cell>
          <cell r="AH529" t="str">
            <v>N/A</v>
          </cell>
          <cell r="AI529" t="str">
            <v>N/A</v>
          </cell>
          <cell r="AJ529" t="str">
            <v>N/A</v>
          </cell>
          <cell r="AK529" t="str">
            <v>N/A</v>
          </cell>
          <cell r="AL529" t="str">
            <v>N/A</v>
          </cell>
          <cell r="AM529" t="str">
            <v>N/A</v>
          </cell>
          <cell r="AN529">
            <v>0</v>
          </cell>
          <cell r="AO529">
            <v>0</v>
          </cell>
        </row>
        <row r="530">
          <cell r="A530" t="str">
            <v>24-1574</v>
          </cell>
          <cell r="B530" t="str">
            <v>SPAREPARTS (LIGHT VEHICLES)</v>
          </cell>
          <cell r="C530" t="str">
            <v>PGSO</v>
          </cell>
          <cell r="D530" t="str">
            <v>No</v>
          </cell>
          <cell r="E530" t="str">
            <v>NP-53.9 - Small Value Procurement</v>
          </cell>
          <cell r="F530">
            <v>45370</v>
          </cell>
          <cell r="G530">
            <v>45376</v>
          </cell>
          <cell r="H530">
            <v>0</v>
          </cell>
          <cell r="I530" t="str">
            <v>N/A</v>
          </cell>
          <cell r="J530">
            <v>45407</v>
          </cell>
          <cell r="K530">
            <v>45407</v>
          </cell>
          <cell r="L530">
            <v>0</v>
          </cell>
          <cell r="M530" t="str">
            <v>N/A</v>
          </cell>
          <cell r="N530" t="str">
            <v>N/A</v>
          </cell>
          <cell r="O530">
            <v>45411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 t="e">
            <v>#N/A</v>
          </cell>
          <cell r="Y530">
            <v>0</v>
          </cell>
          <cell r="Z530">
            <v>0</v>
          </cell>
          <cell r="AA530">
            <v>70600</v>
          </cell>
          <cell r="AB530">
            <v>0</v>
          </cell>
          <cell r="AC530">
            <v>70600</v>
          </cell>
          <cell r="AD530">
            <v>56400</v>
          </cell>
          <cell r="AE530">
            <v>0</v>
          </cell>
          <cell r="AF530">
            <v>56400</v>
          </cell>
          <cell r="AG530" t="str">
            <v>ENGR. MICHAEL C. SALARDA
MS. LEONARDA M. LATOR
MS. CARMENCITA VALDEZ
MS. SORAYA P. VERGARA</v>
          </cell>
          <cell r="AH530" t="str">
            <v>N/A</v>
          </cell>
          <cell r="AI530" t="str">
            <v>N/A</v>
          </cell>
          <cell r="AJ530" t="str">
            <v>N/A</v>
          </cell>
          <cell r="AK530" t="str">
            <v>N/A</v>
          </cell>
          <cell r="AL530" t="str">
            <v>N/A</v>
          </cell>
          <cell r="AM530" t="str">
            <v>N/A</v>
          </cell>
          <cell r="AN530">
            <v>0</v>
          </cell>
          <cell r="AO530">
            <v>0</v>
          </cell>
        </row>
        <row r="531">
          <cell r="A531" t="str">
            <v>24-C1153</v>
          </cell>
          <cell r="B531" t="str">
            <v>LABOR FOR REPLACEMENT</v>
          </cell>
          <cell r="C531" t="str">
            <v>PGSO</v>
          </cell>
          <cell r="D531" t="str">
            <v>No</v>
          </cell>
          <cell r="E531" t="str">
            <v>NP-53.9 - Small Value Procurement</v>
          </cell>
          <cell r="F531">
            <v>45370</v>
          </cell>
          <cell r="G531">
            <v>45376</v>
          </cell>
          <cell r="H531">
            <v>0</v>
          </cell>
          <cell r="I531" t="str">
            <v>N/A</v>
          </cell>
          <cell r="J531">
            <v>45407</v>
          </cell>
          <cell r="K531">
            <v>45407</v>
          </cell>
          <cell r="L531">
            <v>0</v>
          </cell>
          <cell r="M531" t="str">
            <v>N/A</v>
          </cell>
          <cell r="N531" t="str">
            <v>N/A</v>
          </cell>
          <cell r="O531">
            <v>45411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45458</v>
          </cell>
          <cell r="Y531">
            <v>0</v>
          </cell>
          <cell r="Z531">
            <v>0</v>
          </cell>
          <cell r="AA531">
            <v>103500</v>
          </cell>
          <cell r="AB531">
            <v>0</v>
          </cell>
          <cell r="AC531">
            <v>103500</v>
          </cell>
          <cell r="AD531">
            <v>83000</v>
          </cell>
          <cell r="AE531">
            <v>0</v>
          </cell>
          <cell r="AF531">
            <v>83000</v>
          </cell>
          <cell r="AG531" t="str">
            <v>ENGR. MICHAEL C. SALARDA
MS. LEONARDA M. LATOR
MS. CARMENCITA VALDEZ
MS. SORAYA P. VERGARA</v>
          </cell>
          <cell r="AH531" t="str">
            <v>N/A</v>
          </cell>
          <cell r="AI531" t="str">
            <v>N/A</v>
          </cell>
          <cell r="AJ531" t="str">
            <v>N/A</v>
          </cell>
          <cell r="AK531" t="str">
            <v>N/A</v>
          </cell>
          <cell r="AL531" t="str">
            <v>N/A</v>
          </cell>
          <cell r="AM531" t="str">
            <v>N/A</v>
          </cell>
          <cell r="AN531">
            <v>0</v>
          </cell>
          <cell r="AO531">
            <v>0</v>
          </cell>
        </row>
        <row r="532">
          <cell r="A532" t="str">
            <v>24-C1298</v>
          </cell>
          <cell r="B532" t="str">
            <v>JANITORIAL SUPPLIES</v>
          </cell>
          <cell r="C532" t="str">
            <v>PAGRO</v>
          </cell>
          <cell r="D532" t="str">
            <v>No</v>
          </cell>
          <cell r="E532" t="str">
            <v>NP-53.9 - Small Value Procurement</v>
          </cell>
          <cell r="F532" t="str">
            <v>N/A</v>
          </cell>
          <cell r="G532">
            <v>45390</v>
          </cell>
          <cell r="H532">
            <v>0</v>
          </cell>
          <cell r="I532" t="str">
            <v>N/A</v>
          </cell>
          <cell r="J532">
            <v>45407</v>
          </cell>
          <cell r="K532">
            <v>45407</v>
          </cell>
          <cell r="L532">
            <v>0</v>
          </cell>
          <cell r="M532" t="str">
            <v>N/A</v>
          </cell>
          <cell r="N532" t="str">
            <v>N/A</v>
          </cell>
          <cell r="O532">
            <v>45411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45457</v>
          </cell>
          <cell r="Y532">
            <v>0</v>
          </cell>
          <cell r="Z532">
            <v>0</v>
          </cell>
          <cell r="AA532">
            <v>13451</v>
          </cell>
          <cell r="AB532">
            <v>0</v>
          </cell>
          <cell r="AC532">
            <v>13451</v>
          </cell>
          <cell r="AD532">
            <v>13002</v>
          </cell>
          <cell r="AE532">
            <v>0</v>
          </cell>
          <cell r="AF532">
            <v>13002</v>
          </cell>
          <cell r="AG532" t="str">
            <v>ENGR. MICHAEL C. SALARDA
MS. LEONARDA M. LATOR
MS. CARMENCITA VALDEZ
MS. SORAYA P. VERGARA</v>
          </cell>
          <cell r="AH532" t="str">
            <v>N/A</v>
          </cell>
          <cell r="AI532" t="str">
            <v>N/A</v>
          </cell>
          <cell r="AJ532" t="str">
            <v>N/A</v>
          </cell>
          <cell r="AK532" t="str">
            <v>N/A</v>
          </cell>
          <cell r="AL532" t="str">
            <v>N/A</v>
          </cell>
          <cell r="AM532" t="str">
            <v>N/A</v>
          </cell>
          <cell r="AN532">
            <v>0</v>
          </cell>
          <cell r="AO532">
            <v>0</v>
          </cell>
        </row>
        <row r="533">
          <cell r="A533" t="str">
            <v>24-C1320</v>
          </cell>
          <cell r="B533" t="str">
            <v>MEDICAL CERTIFICATE</v>
          </cell>
          <cell r="C533" t="str">
            <v>PVO</v>
          </cell>
          <cell r="D533" t="str">
            <v>No</v>
          </cell>
          <cell r="E533" t="str">
            <v>NP-53.9 - Small Value Procurement</v>
          </cell>
          <cell r="F533">
            <v>45384</v>
          </cell>
          <cell r="G533">
            <v>45390</v>
          </cell>
          <cell r="H533">
            <v>0</v>
          </cell>
          <cell r="I533" t="str">
            <v>N/A</v>
          </cell>
          <cell r="J533">
            <v>45407</v>
          </cell>
          <cell r="K533">
            <v>45407</v>
          </cell>
          <cell r="L533">
            <v>0</v>
          </cell>
          <cell r="M533" t="str">
            <v>N/A</v>
          </cell>
          <cell r="N533" t="str">
            <v>N/A</v>
          </cell>
          <cell r="O533">
            <v>45411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45446</v>
          </cell>
          <cell r="Y533">
            <v>0</v>
          </cell>
          <cell r="Z533">
            <v>0</v>
          </cell>
          <cell r="AA533">
            <v>3850</v>
          </cell>
          <cell r="AB533">
            <v>0</v>
          </cell>
          <cell r="AC533">
            <v>3850</v>
          </cell>
          <cell r="AD533">
            <v>3746</v>
          </cell>
          <cell r="AE533">
            <v>0</v>
          </cell>
          <cell r="AF533">
            <v>3746</v>
          </cell>
          <cell r="AG533" t="str">
            <v>ENGR. MICHAEL C. SALARDA
MS. LEONARDA M. LATOR
MS. CARMENCITA VALDEZ
MS. SORAYA P. VERGARA</v>
          </cell>
          <cell r="AH533" t="str">
            <v>N/A</v>
          </cell>
          <cell r="AI533" t="str">
            <v>N/A</v>
          </cell>
          <cell r="AJ533" t="str">
            <v>N/A</v>
          </cell>
          <cell r="AK533" t="str">
            <v>N/A</v>
          </cell>
          <cell r="AL533" t="str">
            <v>N/A</v>
          </cell>
          <cell r="AM533" t="str">
            <v>N/A</v>
          </cell>
          <cell r="AN533">
            <v>0</v>
          </cell>
          <cell r="AO533">
            <v>0</v>
          </cell>
        </row>
        <row r="534">
          <cell r="A534" t="str">
            <v>24-C0968</v>
          </cell>
          <cell r="B534" t="str">
            <v>ELECTRICAL SUPPLIES</v>
          </cell>
          <cell r="C534" t="str">
            <v>PEEMO</v>
          </cell>
          <cell r="D534" t="str">
            <v>No</v>
          </cell>
          <cell r="E534" t="str">
            <v>NP-53.9 - Small Value Procurement</v>
          </cell>
          <cell r="F534" t="str">
            <v>N/A</v>
          </cell>
          <cell r="G534">
            <v>45390</v>
          </cell>
          <cell r="H534">
            <v>0</v>
          </cell>
          <cell r="I534" t="str">
            <v>N/A</v>
          </cell>
          <cell r="J534">
            <v>45407</v>
          </cell>
          <cell r="K534">
            <v>45407</v>
          </cell>
          <cell r="L534">
            <v>0</v>
          </cell>
          <cell r="M534" t="str">
            <v>N/A</v>
          </cell>
          <cell r="N534" t="str">
            <v>N/A</v>
          </cell>
          <cell r="O534">
            <v>45411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45446</v>
          </cell>
          <cell r="Y534">
            <v>0</v>
          </cell>
          <cell r="Z534">
            <v>0</v>
          </cell>
          <cell r="AA534">
            <v>162933.4</v>
          </cell>
          <cell r="AB534">
            <v>0</v>
          </cell>
          <cell r="AC534">
            <v>162933.4</v>
          </cell>
          <cell r="AD534">
            <v>161647</v>
          </cell>
          <cell r="AE534">
            <v>0</v>
          </cell>
          <cell r="AF534">
            <v>161647</v>
          </cell>
          <cell r="AG534" t="str">
            <v>ENGR. MICHAEL C. SALARDA
MS. LEONARDA M. LATOR
MS. CARMENCITA VALDEZ
MS. SORAYA P. VERGARA</v>
          </cell>
          <cell r="AH534" t="str">
            <v>N/A</v>
          </cell>
          <cell r="AI534" t="str">
            <v>N/A</v>
          </cell>
          <cell r="AJ534" t="str">
            <v>N/A</v>
          </cell>
          <cell r="AK534" t="str">
            <v>N/A</v>
          </cell>
          <cell r="AL534" t="str">
            <v>N/A</v>
          </cell>
          <cell r="AM534" t="str">
            <v>N/A</v>
          </cell>
          <cell r="AN534">
            <v>0</v>
          </cell>
          <cell r="AO534">
            <v>0</v>
          </cell>
        </row>
        <row r="535">
          <cell r="A535" t="str">
            <v>24-0428</v>
          </cell>
          <cell r="B535" t="str">
            <v>T-SHIRT WITH PRINT</v>
          </cell>
          <cell r="C535" t="str">
            <v>PGO</v>
          </cell>
          <cell r="D535" t="str">
            <v>No</v>
          </cell>
          <cell r="E535" t="str">
            <v>NP-53.9 - Small Value Procurement</v>
          </cell>
          <cell r="F535" t="str">
            <v>N/A</v>
          </cell>
          <cell r="G535">
            <v>45397</v>
          </cell>
          <cell r="H535">
            <v>0</v>
          </cell>
          <cell r="I535" t="str">
            <v>N/A</v>
          </cell>
          <cell r="J535">
            <v>45407</v>
          </cell>
          <cell r="K535">
            <v>45407</v>
          </cell>
          <cell r="L535">
            <v>0</v>
          </cell>
          <cell r="M535" t="str">
            <v>N/A</v>
          </cell>
          <cell r="N535" t="str">
            <v>N/A</v>
          </cell>
          <cell r="O535">
            <v>45411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 t="e">
            <v>#N/A</v>
          </cell>
          <cell r="Y535">
            <v>0</v>
          </cell>
          <cell r="Z535">
            <v>0</v>
          </cell>
          <cell r="AA535">
            <v>13475</v>
          </cell>
          <cell r="AB535">
            <v>0</v>
          </cell>
          <cell r="AC535">
            <v>13475</v>
          </cell>
          <cell r="AD535">
            <v>13475</v>
          </cell>
          <cell r="AE535">
            <v>0</v>
          </cell>
          <cell r="AF535">
            <v>13475</v>
          </cell>
          <cell r="AG535" t="str">
            <v>ENGR. MICHAEL C. SALARDA
MS. LEONARDA M. LATOR
MS. CARMENCITA VALDEZ
MS. SORAYA P. VERGARA</v>
          </cell>
          <cell r="AH535" t="str">
            <v>N/A</v>
          </cell>
          <cell r="AI535" t="str">
            <v>N/A</v>
          </cell>
          <cell r="AJ535" t="str">
            <v>N/A</v>
          </cell>
          <cell r="AK535" t="str">
            <v>N/A</v>
          </cell>
          <cell r="AL535" t="str">
            <v>N/A</v>
          </cell>
          <cell r="AM535" t="str">
            <v>N/A</v>
          </cell>
          <cell r="AN535">
            <v>0</v>
          </cell>
          <cell r="AO535">
            <v>0</v>
          </cell>
        </row>
        <row r="536">
          <cell r="A536" t="str">
            <v>24-2353</v>
          </cell>
          <cell r="B536" t="str">
            <v>STICKER</v>
          </cell>
          <cell r="C536" t="str">
            <v>PTO</v>
          </cell>
          <cell r="D536" t="str">
            <v>No</v>
          </cell>
          <cell r="E536" t="str">
            <v>NP-53.9 - Small Value Procurement</v>
          </cell>
          <cell r="F536" t="str">
            <v>N/A</v>
          </cell>
          <cell r="G536">
            <v>45397</v>
          </cell>
          <cell r="H536">
            <v>0</v>
          </cell>
          <cell r="I536" t="str">
            <v>N/A</v>
          </cell>
          <cell r="J536">
            <v>45407</v>
          </cell>
          <cell r="K536">
            <v>45407</v>
          </cell>
          <cell r="L536">
            <v>0</v>
          </cell>
          <cell r="M536" t="str">
            <v>N/A</v>
          </cell>
          <cell r="N536" t="str">
            <v>N/A</v>
          </cell>
          <cell r="O536">
            <v>45411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 t="e">
            <v>#N/A</v>
          </cell>
          <cell r="Y536">
            <v>0</v>
          </cell>
          <cell r="Z536">
            <v>0</v>
          </cell>
          <cell r="AA536">
            <v>98000</v>
          </cell>
          <cell r="AB536">
            <v>0</v>
          </cell>
          <cell r="AC536">
            <v>98000</v>
          </cell>
          <cell r="AD536">
            <v>87500</v>
          </cell>
          <cell r="AE536">
            <v>0</v>
          </cell>
          <cell r="AF536">
            <v>87500</v>
          </cell>
          <cell r="AG536" t="str">
            <v>ENGR. MICHAEL C. SALARDA
MS. LEONARDA M. LATOR
MS. CARMENCITA VALDEZ
MS. SORAYA P. VERGARA</v>
          </cell>
          <cell r="AH536" t="str">
            <v>N/A</v>
          </cell>
          <cell r="AI536" t="str">
            <v>N/A</v>
          </cell>
          <cell r="AJ536" t="str">
            <v>N/A</v>
          </cell>
          <cell r="AK536" t="str">
            <v>N/A</v>
          </cell>
          <cell r="AL536" t="str">
            <v>N/A</v>
          </cell>
          <cell r="AM536" t="str">
            <v>N/A</v>
          </cell>
          <cell r="AN536">
            <v>0</v>
          </cell>
          <cell r="AO536">
            <v>0</v>
          </cell>
        </row>
        <row r="537">
          <cell r="A537" t="str">
            <v>24-2345</v>
          </cell>
          <cell r="B537" t="str">
            <v>COMPUTER SET</v>
          </cell>
          <cell r="C537" t="str">
            <v>PTO</v>
          </cell>
          <cell r="D537" t="str">
            <v>No</v>
          </cell>
          <cell r="E537" t="str">
            <v>NP-53.9 - Small Value Procurement</v>
          </cell>
          <cell r="F537" t="str">
            <v>N/A</v>
          </cell>
          <cell r="G537">
            <v>45397</v>
          </cell>
          <cell r="H537">
            <v>0</v>
          </cell>
          <cell r="I537" t="str">
            <v>N/A</v>
          </cell>
          <cell r="J537">
            <v>45407</v>
          </cell>
          <cell r="K537">
            <v>45407</v>
          </cell>
          <cell r="L537">
            <v>0</v>
          </cell>
          <cell r="M537" t="str">
            <v>N/A</v>
          </cell>
          <cell r="N537" t="str">
            <v>N/A</v>
          </cell>
          <cell r="O537">
            <v>45411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 t="e">
            <v>#N/A</v>
          </cell>
          <cell r="Y537">
            <v>0</v>
          </cell>
          <cell r="Z537">
            <v>0</v>
          </cell>
          <cell r="AA537">
            <v>135000</v>
          </cell>
          <cell r="AB537">
            <v>0</v>
          </cell>
          <cell r="AC537">
            <v>135000</v>
          </cell>
          <cell r="AD537">
            <v>134700</v>
          </cell>
          <cell r="AE537">
            <v>0</v>
          </cell>
          <cell r="AF537">
            <v>134700</v>
          </cell>
          <cell r="AG537" t="str">
            <v>ENGR. MICHAEL C. SALARDA
MS. LEONARDA M. LATOR
MS. CARMENCITA VALDEZ
MS. SORAYA P. VERGARA</v>
          </cell>
          <cell r="AH537" t="str">
            <v>N/A</v>
          </cell>
          <cell r="AI537" t="str">
            <v>N/A</v>
          </cell>
          <cell r="AJ537" t="str">
            <v>N/A</v>
          </cell>
          <cell r="AK537" t="str">
            <v>N/A</v>
          </cell>
          <cell r="AL537" t="str">
            <v>N/A</v>
          </cell>
          <cell r="AM537" t="str">
            <v>N/A</v>
          </cell>
          <cell r="AN537">
            <v>0</v>
          </cell>
          <cell r="AO537">
            <v>0</v>
          </cell>
        </row>
        <row r="538">
          <cell r="A538" t="str">
            <v>24-C1304</v>
          </cell>
          <cell r="B538" t="str">
            <v>VETERINARY SUPPLIES</v>
          </cell>
          <cell r="C538" t="str">
            <v>PVO</v>
          </cell>
          <cell r="D538" t="str">
            <v>No</v>
          </cell>
          <cell r="E538" t="str">
            <v>NP-53.9 - Small Value Procurement</v>
          </cell>
          <cell r="F538" t="str">
            <v>N/A</v>
          </cell>
          <cell r="G538">
            <v>45385</v>
          </cell>
          <cell r="H538">
            <v>0</v>
          </cell>
          <cell r="I538" t="str">
            <v>N/A</v>
          </cell>
          <cell r="J538">
            <v>45407</v>
          </cell>
          <cell r="K538">
            <v>45407</v>
          </cell>
          <cell r="L538">
            <v>0</v>
          </cell>
          <cell r="M538" t="str">
            <v>N/A</v>
          </cell>
          <cell r="N538" t="str">
            <v>N/A</v>
          </cell>
          <cell r="O538">
            <v>45411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45448</v>
          </cell>
          <cell r="Y538">
            <v>0</v>
          </cell>
          <cell r="Z538">
            <v>0</v>
          </cell>
          <cell r="AA538">
            <v>72177</v>
          </cell>
          <cell r="AB538">
            <v>0</v>
          </cell>
          <cell r="AC538">
            <v>72177</v>
          </cell>
          <cell r="AD538">
            <v>71932</v>
          </cell>
          <cell r="AE538">
            <v>0</v>
          </cell>
          <cell r="AF538">
            <v>71932</v>
          </cell>
          <cell r="AG538" t="str">
            <v>ENGR. MICHAEL C. SALARDA
MS. LEONARDA M. LATOR
MS. CARMENCITA VALDEZ
MS. SORAYA P. VERGARA</v>
          </cell>
          <cell r="AH538" t="str">
            <v>N/A</v>
          </cell>
          <cell r="AI538" t="str">
            <v>N/A</v>
          </cell>
          <cell r="AJ538" t="str">
            <v>N/A</v>
          </cell>
          <cell r="AK538" t="str">
            <v>N/A</v>
          </cell>
          <cell r="AL538" t="str">
            <v>N/A</v>
          </cell>
          <cell r="AM538" t="str">
            <v>N/A</v>
          </cell>
          <cell r="AN538">
            <v>0</v>
          </cell>
          <cell r="AO538">
            <v>0</v>
          </cell>
        </row>
        <row r="539">
          <cell r="A539" t="str">
            <v>24-2340</v>
          </cell>
          <cell r="B539" t="str">
            <v>EXTERNAL DRIVE</v>
          </cell>
          <cell r="C539" t="str">
            <v>PTO</v>
          </cell>
          <cell r="D539" t="str">
            <v>No</v>
          </cell>
          <cell r="E539" t="str">
            <v>NP-53.9 - Small Value Procurement</v>
          </cell>
          <cell r="F539" t="str">
            <v>N/A</v>
          </cell>
          <cell r="G539">
            <v>45397</v>
          </cell>
          <cell r="H539">
            <v>0</v>
          </cell>
          <cell r="I539" t="str">
            <v>N/A</v>
          </cell>
          <cell r="J539">
            <v>45407</v>
          </cell>
          <cell r="K539">
            <v>45407</v>
          </cell>
          <cell r="L539">
            <v>0</v>
          </cell>
          <cell r="M539" t="str">
            <v>N/A</v>
          </cell>
          <cell r="N539" t="str">
            <v>N/A</v>
          </cell>
          <cell r="O539">
            <v>45411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 t="e">
            <v>#N/A</v>
          </cell>
          <cell r="Y539">
            <v>0</v>
          </cell>
          <cell r="Z539">
            <v>0</v>
          </cell>
          <cell r="AA539">
            <v>18700</v>
          </cell>
          <cell r="AB539">
            <v>0</v>
          </cell>
          <cell r="AC539">
            <v>18700</v>
          </cell>
          <cell r="AD539">
            <v>18000</v>
          </cell>
          <cell r="AE539">
            <v>0</v>
          </cell>
          <cell r="AF539">
            <v>18000</v>
          </cell>
          <cell r="AG539" t="str">
            <v>ENGR. MICHAEL C. SALARDA
MS. LEONARDA M. LATOR
MS. CARMENCITA VALDEZ
MS. SORAYA P. VERGARA</v>
          </cell>
          <cell r="AH539" t="str">
            <v>N/A</v>
          </cell>
          <cell r="AI539" t="str">
            <v>N/A</v>
          </cell>
          <cell r="AJ539" t="str">
            <v>N/A</v>
          </cell>
          <cell r="AK539" t="str">
            <v>N/A</v>
          </cell>
          <cell r="AL539" t="str">
            <v>N/A</v>
          </cell>
          <cell r="AM539" t="str">
            <v>N/A</v>
          </cell>
          <cell r="AN539">
            <v>0</v>
          </cell>
          <cell r="AO539">
            <v>0</v>
          </cell>
        </row>
        <row r="540">
          <cell r="A540" t="str">
            <v>24-C1214</v>
          </cell>
          <cell r="B540" t="str">
            <v>DOG VACCINATION CERTIFICATE AND TARPAULIN</v>
          </cell>
          <cell r="C540" t="str">
            <v>PVO</v>
          </cell>
          <cell r="D540" t="str">
            <v>No</v>
          </cell>
          <cell r="E540" t="str">
            <v>NP-53.9 - Small Value Procurement</v>
          </cell>
          <cell r="F540" t="str">
            <v>N/A</v>
          </cell>
          <cell r="G540">
            <v>45390</v>
          </cell>
          <cell r="H540">
            <v>0</v>
          </cell>
          <cell r="I540" t="str">
            <v>N/A</v>
          </cell>
          <cell r="J540">
            <v>45407</v>
          </cell>
          <cell r="K540">
            <v>45407</v>
          </cell>
          <cell r="L540">
            <v>0</v>
          </cell>
          <cell r="M540" t="str">
            <v>N/A</v>
          </cell>
          <cell r="N540" t="str">
            <v>N/A</v>
          </cell>
          <cell r="O540">
            <v>45411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45447</v>
          </cell>
          <cell r="Y540">
            <v>0</v>
          </cell>
          <cell r="Z540">
            <v>0</v>
          </cell>
          <cell r="AA540">
            <v>31560</v>
          </cell>
          <cell r="AB540">
            <v>0</v>
          </cell>
          <cell r="AC540">
            <v>31560</v>
          </cell>
          <cell r="AD540">
            <v>31560</v>
          </cell>
          <cell r="AE540">
            <v>0</v>
          </cell>
          <cell r="AF540">
            <v>31560</v>
          </cell>
          <cell r="AG540" t="str">
            <v>ENGR. MICHAEL C. SALARDA
MS. LEONARDA M. LATOR
MS. CARMENCITA VALDEZ
MS. SORAYA P. VERGARA</v>
          </cell>
          <cell r="AH540" t="str">
            <v>N/A</v>
          </cell>
          <cell r="AI540" t="str">
            <v>N/A</v>
          </cell>
          <cell r="AJ540" t="str">
            <v>N/A</v>
          </cell>
          <cell r="AK540" t="str">
            <v>N/A</v>
          </cell>
          <cell r="AL540" t="str">
            <v>N/A</v>
          </cell>
          <cell r="AM540" t="str">
            <v>N/A</v>
          </cell>
          <cell r="AN540">
            <v>0</v>
          </cell>
          <cell r="AO540">
            <v>0</v>
          </cell>
        </row>
        <row r="541">
          <cell r="A541" t="str">
            <v>24-2289</v>
          </cell>
          <cell r="B541" t="str">
            <v>SPAREPARTS (MOTORCYCLE)</v>
          </cell>
          <cell r="C541" t="str">
            <v>PGSO</v>
          </cell>
          <cell r="D541" t="str">
            <v>No</v>
          </cell>
          <cell r="E541" t="str">
            <v>NP-53.9 - Small Value Procurement</v>
          </cell>
          <cell r="F541">
            <v>45390</v>
          </cell>
          <cell r="G541">
            <v>45397</v>
          </cell>
          <cell r="H541">
            <v>0</v>
          </cell>
          <cell r="I541" t="str">
            <v>N/A</v>
          </cell>
          <cell r="J541">
            <v>45407</v>
          </cell>
          <cell r="K541">
            <v>45407</v>
          </cell>
          <cell r="L541">
            <v>0</v>
          </cell>
          <cell r="M541" t="str">
            <v>N/A</v>
          </cell>
          <cell r="N541" t="str">
            <v>N/A</v>
          </cell>
          <cell r="O541">
            <v>45411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 t="e">
            <v>#N/A</v>
          </cell>
          <cell r="Y541">
            <v>0</v>
          </cell>
          <cell r="Z541">
            <v>0</v>
          </cell>
          <cell r="AA541">
            <v>8680</v>
          </cell>
          <cell r="AB541">
            <v>0</v>
          </cell>
          <cell r="AC541">
            <v>8680</v>
          </cell>
          <cell r="AD541">
            <v>8620</v>
          </cell>
          <cell r="AE541">
            <v>0</v>
          </cell>
          <cell r="AF541">
            <v>8620</v>
          </cell>
          <cell r="AG541" t="str">
            <v>ENGR. MICHAEL C. SALARDA
MS. LEONARDA M. LATOR
MS. CARMENCITA VALDEZ
MS. SORAYA P. VERGARA</v>
          </cell>
          <cell r="AH541" t="str">
            <v>N/A</v>
          </cell>
          <cell r="AI541" t="str">
            <v>N/A</v>
          </cell>
          <cell r="AJ541" t="str">
            <v>N/A</v>
          </cell>
          <cell r="AK541" t="str">
            <v>N/A</v>
          </cell>
          <cell r="AL541" t="str">
            <v>N/A</v>
          </cell>
          <cell r="AM541" t="str">
            <v>N/A</v>
          </cell>
          <cell r="AN541">
            <v>0</v>
          </cell>
          <cell r="AO541">
            <v>0</v>
          </cell>
        </row>
        <row r="542">
          <cell r="A542" t="str">
            <v>24-0848</v>
          </cell>
          <cell r="B542" t="str">
            <v>GARMENTS</v>
          </cell>
          <cell r="C542" t="str">
            <v>PGO</v>
          </cell>
          <cell r="D542" t="str">
            <v>No</v>
          </cell>
          <cell r="E542" t="str">
            <v>NP-53.9 - Small Value Procurement</v>
          </cell>
          <cell r="F542" t="str">
            <v>N/A</v>
          </cell>
          <cell r="G542">
            <v>45390</v>
          </cell>
          <cell r="H542">
            <v>0</v>
          </cell>
          <cell r="I542" t="str">
            <v>N/A</v>
          </cell>
          <cell r="J542">
            <v>45407</v>
          </cell>
          <cell r="K542">
            <v>45407</v>
          </cell>
          <cell r="L542">
            <v>0</v>
          </cell>
          <cell r="M542" t="str">
            <v>N/A</v>
          </cell>
          <cell r="N542" t="str">
            <v>N/A</v>
          </cell>
          <cell r="O542">
            <v>45411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 t="e">
            <v>#N/A</v>
          </cell>
          <cell r="Y542">
            <v>0</v>
          </cell>
          <cell r="Z542">
            <v>0</v>
          </cell>
          <cell r="AA542">
            <v>26400</v>
          </cell>
          <cell r="AB542">
            <v>0</v>
          </cell>
          <cell r="AC542">
            <v>26400</v>
          </cell>
          <cell r="AD542">
            <v>26400</v>
          </cell>
          <cell r="AE542">
            <v>0</v>
          </cell>
          <cell r="AF542">
            <v>26400</v>
          </cell>
          <cell r="AG542" t="str">
            <v>ENGR. MICHAEL C. SALARDA
MS. LEONARDA M. LATOR
MS. CARMENCITA VALDEZ
MS. SORAYA P. VERGARA</v>
          </cell>
          <cell r="AH542" t="str">
            <v>N/A</v>
          </cell>
          <cell r="AI542" t="str">
            <v>N/A</v>
          </cell>
          <cell r="AJ542" t="str">
            <v>N/A</v>
          </cell>
          <cell r="AK542" t="str">
            <v>N/A</v>
          </cell>
          <cell r="AL542" t="str">
            <v>N/A</v>
          </cell>
          <cell r="AM542" t="str">
            <v>N/A</v>
          </cell>
          <cell r="AN542">
            <v>0</v>
          </cell>
          <cell r="AO542">
            <v>0</v>
          </cell>
        </row>
        <row r="543">
          <cell r="A543" t="str">
            <v>24-2279</v>
          </cell>
          <cell r="B543" t="str">
            <v>SPAREPARTS (MOTORCYCLE)</v>
          </cell>
          <cell r="C543" t="str">
            <v>PGSO</v>
          </cell>
          <cell r="D543" t="str">
            <v>No</v>
          </cell>
          <cell r="E543" t="str">
            <v>NP-53.9 - Small Value Procurement</v>
          </cell>
          <cell r="F543">
            <v>45390</v>
          </cell>
          <cell r="G543">
            <v>45397</v>
          </cell>
          <cell r="H543">
            <v>0</v>
          </cell>
          <cell r="I543" t="str">
            <v>N/A</v>
          </cell>
          <cell r="J543">
            <v>45407</v>
          </cell>
          <cell r="K543">
            <v>45407</v>
          </cell>
          <cell r="L543">
            <v>0</v>
          </cell>
          <cell r="M543" t="str">
            <v>N/A</v>
          </cell>
          <cell r="N543" t="str">
            <v>N/A</v>
          </cell>
          <cell r="O543">
            <v>45411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 t="e">
            <v>#N/A</v>
          </cell>
          <cell r="Y543">
            <v>0</v>
          </cell>
          <cell r="Z543">
            <v>0</v>
          </cell>
          <cell r="AA543">
            <v>4900</v>
          </cell>
          <cell r="AB543">
            <v>0</v>
          </cell>
          <cell r="AC543">
            <v>4900</v>
          </cell>
          <cell r="AD543">
            <v>4863</v>
          </cell>
          <cell r="AE543">
            <v>0</v>
          </cell>
          <cell r="AF543">
            <v>4863</v>
          </cell>
          <cell r="AG543" t="str">
            <v>ENGR. MICHAEL C. SALARDA
MS. LEONARDA M. LATOR
MS. CARMENCITA VALDEZ
MS. SORAYA P. VERGARA</v>
          </cell>
          <cell r="AH543" t="str">
            <v>N/A</v>
          </cell>
          <cell r="AI543" t="str">
            <v>N/A</v>
          </cell>
          <cell r="AJ543" t="str">
            <v>N/A</v>
          </cell>
          <cell r="AK543" t="str">
            <v>N/A</v>
          </cell>
          <cell r="AL543" t="str">
            <v>N/A</v>
          </cell>
          <cell r="AM543" t="str">
            <v>N/A</v>
          </cell>
          <cell r="AN543">
            <v>0</v>
          </cell>
          <cell r="AO543">
            <v>0</v>
          </cell>
        </row>
        <row r="544">
          <cell r="A544" t="str">
            <v>24-C1215</v>
          </cell>
          <cell r="B544" t="str">
            <v>AGRICULTURAL SUPPLIES</v>
          </cell>
          <cell r="C544" t="str">
            <v>PVO</v>
          </cell>
          <cell r="D544" t="str">
            <v>No</v>
          </cell>
          <cell r="E544" t="str">
            <v>NP-53.9 - Small Value Procurement</v>
          </cell>
          <cell r="F544" t="str">
            <v>N/A</v>
          </cell>
          <cell r="G544">
            <v>45390</v>
          </cell>
          <cell r="H544">
            <v>0</v>
          </cell>
          <cell r="I544" t="str">
            <v>N/A</v>
          </cell>
          <cell r="J544">
            <v>45407</v>
          </cell>
          <cell r="K544">
            <v>45407</v>
          </cell>
          <cell r="L544">
            <v>0</v>
          </cell>
          <cell r="M544" t="str">
            <v>N/A</v>
          </cell>
          <cell r="N544" t="str">
            <v>N/A</v>
          </cell>
          <cell r="O544">
            <v>45411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249835</v>
          </cell>
          <cell r="AB544">
            <v>0</v>
          </cell>
          <cell r="AC544">
            <v>249835</v>
          </cell>
          <cell r="AD544">
            <v>248050</v>
          </cell>
          <cell r="AE544">
            <v>0</v>
          </cell>
          <cell r="AF544">
            <v>248050</v>
          </cell>
          <cell r="AG544" t="str">
            <v>ENGR. MICHAEL C. SALARDA
MS. LEONARDA M. LATOR
MS. CARMENCITA VALDEZ
MS. SORAYA P. VERGARA</v>
          </cell>
          <cell r="AH544" t="str">
            <v>N/A</v>
          </cell>
          <cell r="AI544" t="str">
            <v>N/A</v>
          </cell>
          <cell r="AJ544" t="str">
            <v>N/A</v>
          </cell>
          <cell r="AK544" t="str">
            <v>N/A</v>
          </cell>
          <cell r="AL544" t="str">
            <v>N/A</v>
          </cell>
          <cell r="AM544" t="str">
            <v>N/A</v>
          </cell>
          <cell r="AN544">
            <v>0</v>
          </cell>
          <cell r="AO544">
            <v>0</v>
          </cell>
        </row>
        <row r="545">
          <cell r="A545" t="str">
            <v>24-2286</v>
          </cell>
          <cell r="B545" t="str">
            <v>SPAREPARTS (MOTORCYCLE)</v>
          </cell>
          <cell r="C545" t="str">
            <v>PGSO</v>
          </cell>
          <cell r="D545" t="str">
            <v>No</v>
          </cell>
          <cell r="E545" t="str">
            <v>NP-53.9 - Small Value Procurement</v>
          </cell>
          <cell r="F545">
            <v>45390</v>
          </cell>
          <cell r="G545">
            <v>45397</v>
          </cell>
          <cell r="H545">
            <v>0</v>
          </cell>
          <cell r="I545" t="str">
            <v>N/A</v>
          </cell>
          <cell r="J545">
            <v>45407</v>
          </cell>
          <cell r="K545">
            <v>45407</v>
          </cell>
          <cell r="L545">
            <v>0</v>
          </cell>
          <cell r="M545" t="str">
            <v>N/A</v>
          </cell>
          <cell r="N545" t="str">
            <v>N/A</v>
          </cell>
          <cell r="O545">
            <v>45411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 t="e">
            <v>#N/A</v>
          </cell>
          <cell r="Y545">
            <v>0</v>
          </cell>
          <cell r="Z545">
            <v>0</v>
          </cell>
          <cell r="AA545">
            <v>12430</v>
          </cell>
          <cell r="AB545">
            <v>0</v>
          </cell>
          <cell r="AC545">
            <v>12430</v>
          </cell>
          <cell r="AD545">
            <v>12250</v>
          </cell>
          <cell r="AE545">
            <v>0</v>
          </cell>
          <cell r="AF545">
            <v>12250</v>
          </cell>
          <cell r="AG545" t="str">
            <v>ENGR. MICHAEL C. SALARDA
MS. LEONARDA M. LATOR
MS. CARMENCITA VALDEZ
MS. SORAYA P. VERGARA</v>
          </cell>
          <cell r="AH545" t="str">
            <v>N/A</v>
          </cell>
          <cell r="AI545" t="str">
            <v>N/A</v>
          </cell>
          <cell r="AJ545" t="str">
            <v>N/A</v>
          </cell>
          <cell r="AK545" t="str">
            <v>N/A</v>
          </cell>
          <cell r="AL545" t="str">
            <v>N/A</v>
          </cell>
          <cell r="AM545" t="str">
            <v>N/A</v>
          </cell>
          <cell r="AN545">
            <v>0</v>
          </cell>
          <cell r="AO545">
            <v>0</v>
          </cell>
        </row>
        <row r="546">
          <cell r="A546" t="str">
            <v>24-0466</v>
          </cell>
          <cell r="B546" t="str">
            <v>GARMENTS</v>
          </cell>
          <cell r="C546" t="str">
            <v>PGO</v>
          </cell>
          <cell r="D546" t="str">
            <v>No</v>
          </cell>
          <cell r="E546" t="str">
            <v>NP-53.9 - Small Value Procurement</v>
          </cell>
          <cell r="F546" t="str">
            <v>N/A</v>
          </cell>
          <cell r="G546">
            <v>45390</v>
          </cell>
          <cell r="H546">
            <v>0</v>
          </cell>
          <cell r="I546" t="str">
            <v>N/A</v>
          </cell>
          <cell r="J546">
            <v>45407</v>
          </cell>
          <cell r="K546">
            <v>45407</v>
          </cell>
          <cell r="L546">
            <v>0</v>
          </cell>
          <cell r="M546" t="str">
            <v>N/A</v>
          </cell>
          <cell r="N546" t="str">
            <v>N/A</v>
          </cell>
          <cell r="O546">
            <v>45411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#N/A</v>
          </cell>
          <cell r="Y546">
            <v>0</v>
          </cell>
          <cell r="Z546">
            <v>0</v>
          </cell>
          <cell r="AA546">
            <v>28000</v>
          </cell>
          <cell r="AB546">
            <v>0</v>
          </cell>
          <cell r="AC546">
            <v>28000</v>
          </cell>
          <cell r="AD546">
            <v>28000</v>
          </cell>
          <cell r="AE546">
            <v>0</v>
          </cell>
          <cell r="AF546">
            <v>28000</v>
          </cell>
          <cell r="AG546" t="str">
            <v>ENGR. MICHAEL C. SALARDA
MS. LEONARDA M. LATOR
MS. CARMENCITA VALDEZ
MS. SORAYA P. VERGARA</v>
          </cell>
          <cell r="AH546" t="str">
            <v>N/A</v>
          </cell>
          <cell r="AI546" t="str">
            <v>N/A</v>
          </cell>
          <cell r="AJ546" t="str">
            <v>N/A</v>
          </cell>
          <cell r="AK546" t="str">
            <v>N/A</v>
          </cell>
          <cell r="AL546" t="str">
            <v>N/A</v>
          </cell>
          <cell r="AM546" t="str">
            <v>N/A</v>
          </cell>
          <cell r="AN546">
            <v>0</v>
          </cell>
          <cell r="AO546">
            <v>0</v>
          </cell>
        </row>
        <row r="547">
          <cell r="A547" t="str">
            <v>24-1906</v>
          </cell>
          <cell r="B547" t="str">
            <v>RICE, WELL MILLED</v>
          </cell>
          <cell r="C547" t="str">
            <v>PGO</v>
          </cell>
          <cell r="D547" t="str">
            <v>No</v>
          </cell>
          <cell r="E547" t="str">
            <v>NP-53.9 - Small Value Procurement</v>
          </cell>
          <cell r="F547">
            <v>45384</v>
          </cell>
          <cell r="G547">
            <v>45390</v>
          </cell>
          <cell r="H547">
            <v>0</v>
          </cell>
          <cell r="I547" t="str">
            <v>N/A</v>
          </cell>
          <cell r="J547">
            <v>45407</v>
          </cell>
          <cell r="K547">
            <v>45407</v>
          </cell>
          <cell r="L547">
            <v>0</v>
          </cell>
          <cell r="M547" t="str">
            <v>N/A</v>
          </cell>
          <cell r="N547" t="str">
            <v>N/A</v>
          </cell>
          <cell r="O547">
            <v>45411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 t="e">
            <v>#N/A</v>
          </cell>
          <cell r="Y547">
            <v>0</v>
          </cell>
          <cell r="Z547">
            <v>0</v>
          </cell>
          <cell r="AA547">
            <v>128535</v>
          </cell>
          <cell r="AB547">
            <v>0</v>
          </cell>
          <cell r="AC547">
            <v>128535</v>
          </cell>
          <cell r="AD547">
            <v>123000</v>
          </cell>
          <cell r="AE547">
            <v>0</v>
          </cell>
          <cell r="AF547">
            <v>123000</v>
          </cell>
          <cell r="AG547" t="str">
            <v>ENGR. MICHAEL C. SALARDA
MS. LEONARDA M. LATOR
MS. CARMENCITA VALDEZ
MS. SORAYA P. VERGARA</v>
          </cell>
          <cell r="AH547" t="str">
            <v>N/A</v>
          </cell>
          <cell r="AI547" t="str">
            <v>N/A</v>
          </cell>
          <cell r="AJ547" t="str">
            <v>N/A</v>
          </cell>
          <cell r="AK547" t="str">
            <v>N/A</v>
          </cell>
          <cell r="AL547" t="str">
            <v>N/A</v>
          </cell>
          <cell r="AM547" t="str">
            <v>N/A</v>
          </cell>
          <cell r="AN547">
            <v>0</v>
          </cell>
          <cell r="AO547">
            <v>0</v>
          </cell>
        </row>
        <row r="548">
          <cell r="A548" t="str">
            <v>24-C1066</v>
          </cell>
          <cell r="B548" t="str">
            <v>TARPAULIN</v>
          </cell>
          <cell r="C548" t="str">
            <v>PVO</v>
          </cell>
          <cell r="D548" t="str">
            <v>No</v>
          </cell>
          <cell r="E548" t="str">
            <v>NP-53.9 - Small Value Procurement</v>
          </cell>
          <cell r="F548">
            <v>45384</v>
          </cell>
          <cell r="G548">
            <v>45390</v>
          </cell>
          <cell r="H548">
            <v>0</v>
          </cell>
          <cell r="I548" t="str">
            <v>N/A</v>
          </cell>
          <cell r="J548">
            <v>45407</v>
          </cell>
          <cell r="K548">
            <v>45407</v>
          </cell>
          <cell r="L548">
            <v>0</v>
          </cell>
          <cell r="M548" t="str">
            <v>N/A</v>
          </cell>
          <cell r="N548" t="str">
            <v>N/A</v>
          </cell>
          <cell r="O548">
            <v>45411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3584</v>
          </cell>
          <cell r="AB548">
            <v>0</v>
          </cell>
          <cell r="AC548">
            <v>3584</v>
          </cell>
          <cell r="AD548">
            <v>3584</v>
          </cell>
          <cell r="AE548">
            <v>0</v>
          </cell>
          <cell r="AF548">
            <v>3584</v>
          </cell>
          <cell r="AG548" t="str">
            <v>ENGR. MICHAEL C. SALARDA
MS. LEONARDA M. LATOR
MS. CARMENCITA VALDEZ
MS. SORAYA P. VERGARA</v>
          </cell>
          <cell r="AH548" t="str">
            <v>N/A</v>
          </cell>
          <cell r="AI548" t="str">
            <v>N/A</v>
          </cell>
          <cell r="AJ548" t="str">
            <v>N/A</v>
          </cell>
          <cell r="AK548" t="str">
            <v>N/A</v>
          </cell>
          <cell r="AL548" t="str">
            <v>N/A</v>
          </cell>
          <cell r="AM548" t="str">
            <v>N/A</v>
          </cell>
          <cell r="AN548">
            <v>0</v>
          </cell>
          <cell r="AO548">
            <v>0</v>
          </cell>
        </row>
        <row r="549">
          <cell r="A549" t="str">
            <v>24-1237</v>
          </cell>
          <cell r="B549" t="str">
            <v>FREON</v>
          </cell>
          <cell r="C549" t="str">
            <v>SPO</v>
          </cell>
          <cell r="D549" t="str">
            <v>No</v>
          </cell>
          <cell r="E549" t="str">
            <v>NP-53.9 - Small Value Procurement</v>
          </cell>
          <cell r="F549" t="str">
            <v>N/A</v>
          </cell>
          <cell r="G549">
            <v>45359</v>
          </cell>
          <cell r="H549">
            <v>0</v>
          </cell>
          <cell r="I549" t="str">
            <v>N/A</v>
          </cell>
          <cell r="J549">
            <v>45407</v>
          </cell>
          <cell r="K549">
            <v>45407</v>
          </cell>
          <cell r="L549">
            <v>0</v>
          </cell>
          <cell r="M549" t="str">
            <v>N/A</v>
          </cell>
          <cell r="N549" t="str">
            <v>N/A</v>
          </cell>
          <cell r="O549">
            <v>45411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 t="e">
            <v>#N/A</v>
          </cell>
          <cell r="Y549">
            <v>0</v>
          </cell>
          <cell r="Z549">
            <v>0</v>
          </cell>
          <cell r="AA549">
            <v>9300</v>
          </cell>
          <cell r="AB549">
            <v>0</v>
          </cell>
          <cell r="AC549">
            <v>9300</v>
          </cell>
          <cell r="AD549">
            <v>9150</v>
          </cell>
          <cell r="AE549">
            <v>0</v>
          </cell>
          <cell r="AF549">
            <v>9150</v>
          </cell>
          <cell r="AG549" t="str">
            <v>ENGR. MICHAEL C. SALARDA
MS. LEONARDA M. LATOR
MS. CARMENCITA VALDEZ
MS. SORAYA P. VERGARA</v>
          </cell>
          <cell r="AH549" t="str">
            <v>N/A</v>
          </cell>
          <cell r="AI549" t="str">
            <v>N/A</v>
          </cell>
          <cell r="AJ549" t="str">
            <v>N/A</v>
          </cell>
          <cell r="AK549" t="str">
            <v>N/A</v>
          </cell>
          <cell r="AL549" t="str">
            <v>N/A</v>
          </cell>
          <cell r="AM549" t="str">
            <v>N/A</v>
          </cell>
          <cell r="AN549">
            <v>0</v>
          </cell>
          <cell r="AO549">
            <v>0</v>
          </cell>
        </row>
        <row r="550">
          <cell r="A550" t="str">
            <v>24-2281</v>
          </cell>
          <cell r="B550" t="str">
            <v>SPAREPARTS (MOTORCYCLE)</v>
          </cell>
          <cell r="C550" t="str">
            <v>PGSO</v>
          </cell>
          <cell r="D550" t="str">
            <v>No</v>
          </cell>
          <cell r="E550" t="str">
            <v>NP-53.9 - Small Value Procurement</v>
          </cell>
          <cell r="F550">
            <v>45390</v>
          </cell>
          <cell r="G550">
            <v>45407</v>
          </cell>
          <cell r="H550">
            <v>0</v>
          </cell>
          <cell r="I550" t="str">
            <v>N/A</v>
          </cell>
          <cell r="J550">
            <v>45407</v>
          </cell>
          <cell r="K550">
            <v>45407</v>
          </cell>
          <cell r="L550">
            <v>0</v>
          </cell>
          <cell r="M550" t="str">
            <v>N/A</v>
          </cell>
          <cell r="N550" t="str">
            <v>N/A</v>
          </cell>
          <cell r="O550">
            <v>45411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 t="e">
            <v>#N/A</v>
          </cell>
          <cell r="Y550">
            <v>0</v>
          </cell>
          <cell r="Z550">
            <v>0</v>
          </cell>
          <cell r="AA550">
            <v>10300</v>
          </cell>
          <cell r="AB550">
            <v>0</v>
          </cell>
          <cell r="AC550">
            <v>10300</v>
          </cell>
          <cell r="AD550">
            <v>10252</v>
          </cell>
          <cell r="AE550">
            <v>0</v>
          </cell>
          <cell r="AF550">
            <v>10252</v>
          </cell>
          <cell r="AG550" t="str">
            <v>ENGR. MICHAEL C. SALARDA
MS. LEONARDA M. LATOR
MS. CARMENCITA VALDEZ
MS. SORAYA P. VERGARA</v>
          </cell>
          <cell r="AH550" t="str">
            <v>N/A</v>
          </cell>
          <cell r="AI550" t="str">
            <v>N/A</v>
          </cell>
          <cell r="AJ550" t="str">
            <v>N/A</v>
          </cell>
          <cell r="AK550" t="str">
            <v>N/A</v>
          </cell>
          <cell r="AL550" t="str">
            <v>N/A</v>
          </cell>
          <cell r="AM550" t="str">
            <v>N/A</v>
          </cell>
          <cell r="AN550">
            <v>0</v>
          </cell>
          <cell r="AO550">
            <v>0</v>
          </cell>
        </row>
        <row r="551">
          <cell r="A551" t="str">
            <v>24-2288</v>
          </cell>
          <cell r="B551" t="str">
            <v>SPAREPARTS (LIGHT VEHICLES)</v>
          </cell>
          <cell r="C551" t="str">
            <v>PGSO</v>
          </cell>
          <cell r="D551" t="str">
            <v>No</v>
          </cell>
          <cell r="E551" t="str">
            <v>NP-53.9 - Small Value Procurement</v>
          </cell>
          <cell r="F551">
            <v>45390</v>
          </cell>
          <cell r="G551">
            <v>45397</v>
          </cell>
          <cell r="H551">
            <v>0</v>
          </cell>
          <cell r="I551" t="str">
            <v>N/A</v>
          </cell>
          <cell r="J551">
            <v>45407</v>
          </cell>
          <cell r="K551">
            <v>45407</v>
          </cell>
          <cell r="L551">
            <v>0</v>
          </cell>
          <cell r="M551" t="str">
            <v>N/A</v>
          </cell>
          <cell r="N551" t="str">
            <v>N/A</v>
          </cell>
          <cell r="O551">
            <v>45411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 t="e">
            <v>#N/A</v>
          </cell>
          <cell r="Y551">
            <v>0</v>
          </cell>
          <cell r="Z551">
            <v>0</v>
          </cell>
          <cell r="AA551">
            <v>70212</v>
          </cell>
          <cell r="AB551">
            <v>0</v>
          </cell>
          <cell r="AC551">
            <v>70212</v>
          </cell>
          <cell r="AD551">
            <v>70212</v>
          </cell>
          <cell r="AE551">
            <v>0</v>
          </cell>
          <cell r="AF551">
            <v>70212</v>
          </cell>
          <cell r="AG551" t="str">
            <v>ENGR. MICHAEL C. SALARDA
MS. LEONARDA M. LATOR
MS. CARMENCITA VALDEZ
MS. SORAYA P. VERGARA</v>
          </cell>
          <cell r="AH551" t="str">
            <v>N/A</v>
          </cell>
          <cell r="AI551" t="str">
            <v>N/A</v>
          </cell>
          <cell r="AJ551" t="str">
            <v>N/A</v>
          </cell>
          <cell r="AK551" t="str">
            <v>N/A</v>
          </cell>
          <cell r="AL551" t="str">
            <v>N/A</v>
          </cell>
          <cell r="AM551" t="str">
            <v>N/A</v>
          </cell>
          <cell r="AN551">
            <v>0</v>
          </cell>
          <cell r="AO551">
            <v>0</v>
          </cell>
        </row>
        <row r="552">
          <cell r="A552" t="str">
            <v>24-0514</v>
          </cell>
          <cell r="B552" t="str">
            <v>OTHER MACHINERIES AND EQUIPMENT</v>
          </cell>
          <cell r="C552" t="str">
            <v>PDRRMO</v>
          </cell>
          <cell r="D552" t="str">
            <v>No</v>
          </cell>
          <cell r="E552" t="str">
            <v>NP-53.9 - Small Value Procurement</v>
          </cell>
          <cell r="F552" t="str">
            <v>N/A</v>
          </cell>
          <cell r="G552">
            <v>45359</v>
          </cell>
          <cell r="H552">
            <v>0</v>
          </cell>
          <cell r="I552" t="str">
            <v>N/A</v>
          </cell>
          <cell r="J552">
            <v>45407</v>
          </cell>
          <cell r="K552">
            <v>45407</v>
          </cell>
          <cell r="L552">
            <v>0</v>
          </cell>
          <cell r="M552" t="str">
            <v>N/A</v>
          </cell>
          <cell r="N552" t="str">
            <v>N/A</v>
          </cell>
          <cell r="O552">
            <v>45411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 t="e">
            <v>#N/A</v>
          </cell>
          <cell r="Y552">
            <v>0</v>
          </cell>
          <cell r="Z552">
            <v>0</v>
          </cell>
          <cell r="AA552">
            <v>62535</v>
          </cell>
          <cell r="AB552">
            <v>0</v>
          </cell>
          <cell r="AC552">
            <v>62535</v>
          </cell>
          <cell r="AD552">
            <v>61400</v>
          </cell>
          <cell r="AE552">
            <v>0</v>
          </cell>
          <cell r="AF552">
            <v>61400</v>
          </cell>
          <cell r="AG552" t="str">
            <v>ENGR. MICHAEL C. SALARDA
MS. LEONARDA M. LATOR
MS. CARMENCITA VALDEZ
MS. SORAYA P. VERGARA</v>
          </cell>
          <cell r="AH552" t="str">
            <v>N/A</v>
          </cell>
          <cell r="AI552" t="str">
            <v>N/A</v>
          </cell>
          <cell r="AJ552" t="str">
            <v>N/A</v>
          </cell>
          <cell r="AK552" t="str">
            <v>N/A</v>
          </cell>
          <cell r="AL552" t="str">
            <v>N/A</v>
          </cell>
          <cell r="AM552" t="str">
            <v>N/A</v>
          </cell>
          <cell r="AN552">
            <v>0</v>
          </cell>
          <cell r="AO552">
            <v>0</v>
          </cell>
        </row>
        <row r="553">
          <cell r="A553" t="str">
            <v>24-0542</v>
          </cell>
          <cell r="B553" t="str">
            <v>TARPAULIN</v>
          </cell>
          <cell r="C553" t="str">
            <v>PGO</v>
          </cell>
          <cell r="D553" t="str">
            <v>No</v>
          </cell>
          <cell r="E553" t="str">
            <v>NP-53.9 - Small Value Procurement</v>
          </cell>
          <cell r="F553">
            <v>45390</v>
          </cell>
          <cell r="G553">
            <v>45397</v>
          </cell>
          <cell r="H553">
            <v>0</v>
          </cell>
          <cell r="I553" t="str">
            <v>N/A</v>
          </cell>
          <cell r="J553">
            <v>45407</v>
          </cell>
          <cell r="K553">
            <v>45407</v>
          </cell>
          <cell r="L553">
            <v>0</v>
          </cell>
          <cell r="M553" t="str">
            <v>N/A</v>
          </cell>
          <cell r="N553" t="str">
            <v>N/A</v>
          </cell>
          <cell r="O553">
            <v>45411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 t="e">
            <v>#N/A</v>
          </cell>
          <cell r="Y553">
            <v>0</v>
          </cell>
          <cell r="Z553">
            <v>0</v>
          </cell>
          <cell r="AA553">
            <v>24976</v>
          </cell>
          <cell r="AB553">
            <v>0</v>
          </cell>
          <cell r="AC553">
            <v>24976</v>
          </cell>
          <cell r="AD553">
            <v>24976</v>
          </cell>
          <cell r="AE553">
            <v>0</v>
          </cell>
          <cell r="AF553">
            <v>24976</v>
          </cell>
          <cell r="AG553" t="str">
            <v>ENGR. MICHAEL C. SALARDA
MS. LEONARDA M. LATOR
MS. CARMENCITA VALDEZ
MS. SORAYA P. VERGARA</v>
          </cell>
          <cell r="AH553" t="str">
            <v>N/A</v>
          </cell>
          <cell r="AI553" t="str">
            <v>N/A</v>
          </cell>
          <cell r="AJ553" t="str">
            <v>N/A</v>
          </cell>
          <cell r="AK553" t="str">
            <v>N/A</v>
          </cell>
          <cell r="AL553" t="str">
            <v>N/A</v>
          </cell>
          <cell r="AM553" t="str">
            <v>N/A</v>
          </cell>
          <cell r="AN553">
            <v>0</v>
          </cell>
          <cell r="AO553">
            <v>0</v>
          </cell>
        </row>
        <row r="554">
          <cell r="A554" t="str">
            <v>24-1327</v>
          </cell>
          <cell r="B554" t="str">
            <v>PADLOCK &amp; VARNISH</v>
          </cell>
          <cell r="C554" t="str">
            <v>PGSO</v>
          </cell>
          <cell r="D554" t="str">
            <v>No</v>
          </cell>
          <cell r="E554" t="str">
            <v>NP-53.9 - Small Value Procurement</v>
          </cell>
          <cell r="F554" t="str">
            <v>N/A</v>
          </cell>
          <cell r="G554">
            <v>45397</v>
          </cell>
          <cell r="H554">
            <v>0</v>
          </cell>
          <cell r="I554" t="str">
            <v>N/A</v>
          </cell>
          <cell r="J554">
            <v>45407</v>
          </cell>
          <cell r="K554">
            <v>45407</v>
          </cell>
          <cell r="L554">
            <v>0</v>
          </cell>
          <cell r="M554" t="str">
            <v>N/A</v>
          </cell>
          <cell r="N554" t="str">
            <v>N/A</v>
          </cell>
          <cell r="O554">
            <v>45411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 t="e">
            <v>#N/A</v>
          </cell>
          <cell r="Y554">
            <v>0</v>
          </cell>
          <cell r="Z554">
            <v>0</v>
          </cell>
          <cell r="AA554">
            <v>2785</v>
          </cell>
          <cell r="AB554">
            <v>0</v>
          </cell>
          <cell r="AC554">
            <v>2785</v>
          </cell>
          <cell r="AD554">
            <v>2785</v>
          </cell>
          <cell r="AE554">
            <v>0</v>
          </cell>
          <cell r="AF554">
            <v>2785</v>
          </cell>
          <cell r="AG554" t="str">
            <v>ENGR. MICHAEL C. SALARDA
MS. LEONARDA M. LATOR
MS. CARMENCITA VALDEZ
MS. SORAYA P. VERGARA</v>
          </cell>
          <cell r="AH554" t="str">
            <v>N/A</v>
          </cell>
          <cell r="AI554" t="str">
            <v>N/A</v>
          </cell>
          <cell r="AJ554" t="str">
            <v>N/A</v>
          </cell>
          <cell r="AK554" t="str">
            <v>N/A</v>
          </cell>
          <cell r="AL554" t="str">
            <v>N/A</v>
          </cell>
          <cell r="AM554" t="str">
            <v>N/A</v>
          </cell>
          <cell r="AN554">
            <v>0</v>
          </cell>
          <cell r="AO554">
            <v>0</v>
          </cell>
        </row>
        <row r="555">
          <cell r="A555" t="str">
            <v>24-1325</v>
          </cell>
          <cell r="B555" t="str">
            <v>POWER SPRAYER, ELECTRIC POWER SPRAY</v>
          </cell>
          <cell r="C555" t="str">
            <v>PGSO</v>
          </cell>
          <cell r="D555" t="str">
            <v>No</v>
          </cell>
          <cell r="E555" t="str">
            <v>NP-53.9 - Small Value Procurement</v>
          </cell>
          <cell r="F555" t="str">
            <v>N/A</v>
          </cell>
          <cell r="G555">
            <v>45376</v>
          </cell>
          <cell r="H555">
            <v>0</v>
          </cell>
          <cell r="I555" t="str">
            <v>N/A</v>
          </cell>
          <cell r="J555">
            <v>45407</v>
          </cell>
          <cell r="K555">
            <v>45407</v>
          </cell>
          <cell r="L555">
            <v>0</v>
          </cell>
          <cell r="M555" t="str">
            <v>N/A</v>
          </cell>
          <cell r="N555" t="str">
            <v>N/A</v>
          </cell>
          <cell r="O555">
            <v>45411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 t="e">
            <v>#N/A</v>
          </cell>
          <cell r="Y555">
            <v>0</v>
          </cell>
          <cell r="Z555">
            <v>0</v>
          </cell>
          <cell r="AA555">
            <v>26000</v>
          </cell>
          <cell r="AB555">
            <v>0</v>
          </cell>
          <cell r="AC555">
            <v>26000</v>
          </cell>
          <cell r="AD555">
            <v>25999.599999999999</v>
          </cell>
          <cell r="AE555">
            <v>0</v>
          </cell>
          <cell r="AF555">
            <v>25999.599999999999</v>
          </cell>
          <cell r="AG555" t="str">
            <v>ENGR. MICHAEL C. SALARDA
MS. LEONARDA M. LATOR
MS. CARMENCITA VALDEZ
MS. SORAYA P. VERGARA</v>
          </cell>
          <cell r="AH555" t="str">
            <v>N/A</v>
          </cell>
          <cell r="AI555" t="str">
            <v>N/A</v>
          </cell>
          <cell r="AJ555" t="str">
            <v>N/A</v>
          </cell>
          <cell r="AK555" t="str">
            <v>N/A</v>
          </cell>
          <cell r="AL555" t="str">
            <v>N/A</v>
          </cell>
          <cell r="AM555" t="str">
            <v>N/A</v>
          </cell>
          <cell r="AN555">
            <v>0</v>
          </cell>
          <cell r="AO555">
            <v>0</v>
          </cell>
        </row>
        <row r="556">
          <cell r="A556" t="str">
            <v>24-0853</v>
          </cell>
          <cell r="B556" t="str">
            <v>MEGAPHONE W/ SIREN &amp; WHISTLE</v>
          </cell>
          <cell r="C556" t="str">
            <v>PGO</v>
          </cell>
          <cell r="D556" t="str">
            <v>No</v>
          </cell>
          <cell r="E556" t="str">
            <v>NP-53.9 - Small Value Procurement</v>
          </cell>
          <cell r="F556" t="str">
            <v>N/A</v>
          </cell>
          <cell r="G556">
            <v>45390</v>
          </cell>
          <cell r="H556">
            <v>0</v>
          </cell>
          <cell r="I556" t="str">
            <v>N/A</v>
          </cell>
          <cell r="J556">
            <v>45407</v>
          </cell>
          <cell r="K556">
            <v>45407</v>
          </cell>
          <cell r="L556">
            <v>0</v>
          </cell>
          <cell r="M556" t="str">
            <v>N/A</v>
          </cell>
          <cell r="N556" t="str">
            <v>N/A</v>
          </cell>
          <cell r="O556">
            <v>45411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 t="e">
            <v>#N/A</v>
          </cell>
          <cell r="Y556">
            <v>0</v>
          </cell>
          <cell r="Z556">
            <v>0</v>
          </cell>
          <cell r="AA556">
            <v>7000</v>
          </cell>
          <cell r="AB556">
            <v>0</v>
          </cell>
          <cell r="AC556">
            <v>7000</v>
          </cell>
          <cell r="AD556">
            <v>5000</v>
          </cell>
          <cell r="AE556">
            <v>0</v>
          </cell>
          <cell r="AF556">
            <v>5000</v>
          </cell>
          <cell r="AG556" t="str">
            <v>ENGR. MICHAEL C. SALARDA
MS. LEONARDA M. LATOR
MS. CARMENCITA VALDEZ
MS. SORAYA P. VERGARA</v>
          </cell>
          <cell r="AH556" t="str">
            <v>N/A</v>
          </cell>
          <cell r="AI556" t="str">
            <v>N/A</v>
          </cell>
          <cell r="AJ556" t="str">
            <v>N/A</v>
          </cell>
          <cell r="AK556" t="str">
            <v>N/A</v>
          </cell>
          <cell r="AL556" t="str">
            <v>N/A</v>
          </cell>
          <cell r="AM556" t="str">
            <v>N/A</v>
          </cell>
          <cell r="AN556">
            <v>0</v>
          </cell>
          <cell r="AO556">
            <v>0</v>
          </cell>
        </row>
        <row r="557">
          <cell r="A557" t="str">
            <v>24-2119</v>
          </cell>
          <cell r="B557" t="str">
            <v>SPAREPARTS ( MOTORCYCLE)</v>
          </cell>
          <cell r="C557" t="str">
            <v>PGSO</v>
          </cell>
          <cell r="D557" t="str">
            <v>No</v>
          </cell>
          <cell r="E557" t="str">
            <v>NP-53.9 - Small Value Procurement</v>
          </cell>
          <cell r="F557">
            <v>45390</v>
          </cell>
          <cell r="G557">
            <v>45397</v>
          </cell>
          <cell r="H557">
            <v>0</v>
          </cell>
          <cell r="I557" t="str">
            <v>N/A</v>
          </cell>
          <cell r="J557">
            <v>45407</v>
          </cell>
          <cell r="K557">
            <v>45407</v>
          </cell>
          <cell r="L557">
            <v>0</v>
          </cell>
          <cell r="M557" t="str">
            <v>N/A</v>
          </cell>
          <cell r="N557" t="str">
            <v>N/A</v>
          </cell>
          <cell r="O557">
            <v>45411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 t="e">
            <v>#N/A</v>
          </cell>
          <cell r="Y557">
            <v>0</v>
          </cell>
          <cell r="Z557">
            <v>0</v>
          </cell>
          <cell r="AA557">
            <v>17390</v>
          </cell>
          <cell r="AB557">
            <v>0</v>
          </cell>
          <cell r="AC557">
            <v>17390</v>
          </cell>
          <cell r="AD557">
            <v>17225</v>
          </cell>
          <cell r="AE557">
            <v>0</v>
          </cell>
          <cell r="AF557">
            <v>17225</v>
          </cell>
          <cell r="AG557" t="str">
            <v>ENGR. MICHAEL C. SALARDA
MS. LEONARDA M. LATOR
MS. CARMENCITA VALDEZ
MS. SORAYA P. VERGARA</v>
          </cell>
          <cell r="AH557" t="str">
            <v>N/A</v>
          </cell>
          <cell r="AI557" t="str">
            <v>N/A</v>
          </cell>
          <cell r="AJ557" t="str">
            <v>N/A</v>
          </cell>
          <cell r="AK557" t="str">
            <v>N/A</v>
          </cell>
          <cell r="AL557" t="str">
            <v>N/A</v>
          </cell>
          <cell r="AM557" t="str">
            <v>N/A</v>
          </cell>
          <cell r="AN557">
            <v>0</v>
          </cell>
          <cell r="AO557">
            <v>0</v>
          </cell>
        </row>
        <row r="558">
          <cell r="A558" t="str">
            <v>24-1960</v>
          </cell>
          <cell r="B558" t="str">
            <v>TARPAULIN</v>
          </cell>
          <cell r="C558" t="str">
            <v>PHO</v>
          </cell>
          <cell r="D558" t="str">
            <v>No</v>
          </cell>
          <cell r="E558" t="str">
            <v>NP-53.9 - Small Value Procurement</v>
          </cell>
          <cell r="F558" t="str">
            <v>N/A</v>
          </cell>
          <cell r="G558">
            <v>45397</v>
          </cell>
          <cell r="H558">
            <v>0</v>
          </cell>
          <cell r="I558" t="str">
            <v>N/A</v>
          </cell>
          <cell r="J558">
            <v>45407</v>
          </cell>
          <cell r="K558">
            <v>45407</v>
          </cell>
          <cell r="L558">
            <v>0</v>
          </cell>
          <cell r="M558" t="str">
            <v>N/A</v>
          </cell>
          <cell r="N558" t="str">
            <v>N/A</v>
          </cell>
          <cell r="O558">
            <v>45411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 t="e">
            <v>#N/A</v>
          </cell>
          <cell r="Y558">
            <v>0</v>
          </cell>
          <cell r="Z558">
            <v>0</v>
          </cell>
          <cell r="AA558">
            <v>5628</v>
          </cell>
          <cell r="AB558">
            <v>0</v>
          </cell>
          <cell r="AC558">
            <v>5628</v>
          </cell>
          <cell r="AD558">
            <v>5628</v>
          </cell>
          <cell r="AE558">
            <v>0</v>
          </cell>
          <cell r="AF558">
            <v>5628</v>
          </cell>
          <cell r="AG558" t="str">
            <v>ENGR. MICHAEL C. SALARDA
MS. LEONARDA M. LATOR
MS. CARMENCITA VALDEZ
MS. SORAYA P. VERGARA</v>
          </cell>
          <cell r="AH558" t="str">
            <v>N/A</v>
          </cell>
          <cell r="AI558" t="str">
            <v>N/A</v>
          </cell>
          <cell r="AJ558" t="str">
            <v>N/A</v>
          </cell>
          <cell r="AK558" t="str">
            <v>N/A</v>
          </cell>
          <cell r="AL558" t="str">
            <v>N/A</v>
          </cell>
          <cell r="AM558" t="str">
            <v>N/A</v>
          </cell>
          <cell r="AN558">
            <v>0</v>
          </cell>
          <cell r="AO558">
            <v>0</v>
          </cell>
        </row>
        <row r="559">
          <cell r="A559" t="str">
            <v>24-C1119</v>
          </cell>
          <cell r="B559" t="str">
            <v>OFFICE EQUIPMENT</v>
          </cell>
          <cell r="C559" t="str">
            <v>PDRRMO</v>
          </cell>
          <cell r="D559" t="str">
            <v>No</v>
          </cell>
          <cell r="E559" t="str">
            <v>NP-53.9 - Small Value Procurement</v>
          </cell>
          <cell r="F559" t="str">
            <v>N/A</v>
          </cell>
          <cell r="G559">
            <v>45385</v>
          </cell>
          <cell r="H559">
            <v>0</v>
          </cell>
          <cell r="I559" t="str">
            <v>N/A</v>
          </cell>
          <cell r="J559">
            <v>45407</v>
          </cell>
          <cell r="K559">
            <v>45407</v>
          </cell>
          <cell r="L559">
            <v>0</v>
          </cell>
          <cell r="M559" t="str">
            <v>N/A</v>
          </cell>
          <cell r="N559" t="str">
            <v>N/A</v>
          </cell>
          <cell r="O559">
            <v>45411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45439</v>
          </cell>
          <cell r="Y559">
            <v>0</v>
          </cell>
          <cell r="Z559">
            <v>0</v>
          </cell>
          <cell r="AA559">
            <v>196864</v>
          </cell>
          <cell r="AB559">
            <v>0</v>
          </cell>
          <cell r="AC559">
            <v>196864</v>
          </cell>
          <cell r="AD559">
            <v>196200</v>
          </cell>
          <cell r="AE559">
            <v>0</v>
          </cell>
          <cell r="AF559">
            <v>196200</v>
          </cell>
          <cell r="AG559" t="str">
            <v>ENGR. MICHAEL C. SALARDA
MS. LEONARDA M. LATOR
MS. CARMENCITA VALDEZ
MS. SORAYA P. VERGARA</v>
          </cell>
          <cell r="AH559" t="str">
            <v>N/A</v>
          </cell>
          <cell r="AI559" t="str">
            <v>N/A</v>
          </cell>
          <cell r="AJ559" t="str">
            <v>N/A</v>
          </cell>
          <cell r="AK559" t="str">
            <v>N/A</v>
          </cell>
          <cell r="AL559" t="str">
            <v>N/A</v>
          </cell>
          <cell r="AM559" t="str">
            <v>N/A</v>
          </cell>
          <cell r="AN559">
            <v>0</v>
          </cell>
          <cell r="AO559">
            <v>0</v>
          </cell>
        </row>
        <row r="560">
          <cell r="A560" t="str">
            <v>24-2020</v>
          </cell>
          <cell r="B560" t="str">
            <v>COMPUTER PRINTER</v>
          </cell>
          <cell r="C560" t="str">
            <v>PDRRMO</v>
          </cell>
          <cell r="D560" t="str">
            <v>No</v>
          </cell>
          <cell r="E560" t="str">
            <v>NP-53.9 - Small Value Procurement</v>
          </cell>
          <cell r="F560" t="str">
            <v>N/A</v>
          </cell>
          <cell r="G560">
            <v>45390</v>
          </cell>
          <cell r="H560">
            <v>0</v>
          </cell>
          <cell r="I560" t="str">
            <v>N/A</v>
          </cell>
          <cell r="J560">
            <v>45407</v>
          </cell>
          <cell r="K560">
            <v>45407</v>
          </cell>
          <cell r="L560">
            <v>0</v>
          </cell>
          <cell r="M560" t="str">
            <v>N/A</v>
          </cell>
          <cell r="N560" t="str">
            <v>N/A</v>
          </cell>
          <cell r="O560">
            <v>45411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 t="e">
            <v>#N/A</v>
          </cell>
          <cell r="Y560">
            <v>0</v>
          </cell>
          <cell r="Z560">
            <v>0</v>
          </cell>
          <cell r="AA560">
            <v>10000</v>
          </cell>
          <cell r="AB560">
            <v>0</v>
          </cell>
          <cell r="AC560">
            <v>10000</v>
          </cell>
          <cell r="AD560">
            <v>9323</v>
          </cell>
          <cell r="AE560">
            <v>0</v>
          </cell>
          <cell r="AF560">
            <v>9323</v>
          </cell>
          <cell r="AG560" t="str">
            <v>ENGR. MICHAEL C. SALARDA
MS. LEONARDA M. LATOR
MS. CARMENCITA VALDEZ
MS. SORAYA P. VERGARA</v>
          </cell>
          <cell r="AH560" t="str">
            <v>N/A</v>
          </cell>
          <cell r="AI560" t="str">
            <v>N/A</v>
          </cell>
          <cell r="AJ560" t="str">
            <v>N/A</v>
          </cell>
          <cell r="AK560" t="str">
            <v>N/A</v>
          </cell>
          <cell r="AL560" t="str">
            <v>N/A</v>
          </cell>
          <cell r="AM560" t="str">
            <v>N/A</v>
          </cell>
          <cell r="AN560">
            <v>0</v>
          </cell>
          <cell r="AO560">
            <v>0</v>
          </cell>
        </row>
        <row r="561">
          <cell r="A561" t="str">
            <v>24-C1332</v>
          </cell>
          <cell r="B561" t="str">
            <v>GRASSCUTTER &amp; SUBMERSIBLE PUMP</v>
          </cell>
          <cell r="C561" t="str">
            <v>PAGRO</v>
          </cell>
          <cell r="D561" t="str">
            <v>No</v>
          </cell>
          <cell r="E561" t="str">
            <v>NP-53.9 - Small Value Procurement</v>
          </cell>
          <cell r="F561" t="str">
            <v>N/A</v>
          </cell>
          <cell r="G561">
            <v>45397</v>
          </cell>
          <cell r="H561">
            <v>0</v>
          </cell>
          <cell r="I561" t="str">
            <v>N/A</v>
          </cell>
          <cell r="J561">
            <v>45407</v>
          </cell>
          <cell r="K561">
            <v>45407</v>
          </cell>
          <cell r="L561">
            <v>0</v>
          </cell>
          <cell r="M561" t="str">
            <v>N/A</v>
          </cell>
          <cell r="N561" t="str">
            <v>N/A</v>
          </cell>
          <cell r="O561">
            <v>45411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45440</v>
          </cell>
          <cell r="Y561">
            <v>0</v>
          </cell>
          <cell r="Z561">
            <v>0</v>
          </cell>
          <cell r="AA561">
            <v>28500</v>
          </cell>
          <cell r="AB561">
            <v>0</v>
          </cell>
          <cell r="AC561">
            <v>28500</v>
          </cell>
          <cell r="AD561">
            <v>27750</v>
          </cell>
          <cell r="AE561">
            <v>0</v>
          </cell>
          <cell r="AF561">
            <v>27750</v>
          </cell>
          <cell r="AG561" t="str">
            <v>ENGR. MICHAEL C. SALARDA
MS. LEONARDA M. LATOR
MS. CARMENCITA VALDEZ
MS. SORAYA P. VERGARA</v>
          </cell>
          <cell r="AH561" t="str">
            <v>N/A</v>
          </cell>
          <cell r="AI561" t="str">
            <v>N/A</v>
          </cell>
          <cell r="AJ561" t="str">
            <v>N/A</v>
          </cell>
          <cell r="AK561" t="str">
            <v>N/A</v>
          </cell>
          <cell r="AL561" t="str">
            <v>N/A</v>
          </cell>
          <cell r="AM561" t="str">
            <v>N/A</v>
          </cell>
          <cell r="AN561">
            <v>0</v>
          </cell>
          <cell r="AO561">
            <v>0</v>
          </cell>
        </row>
        <row r="562">
          <cell r="A562" t="str">
            <v>24-2037</v>
          </cell>
          <cell r="B562" t="str">
            <v>TARPAULIN</v>
          </cell>
          <cell r="C562" t="str">
            <v>SEF</v>
          </cell>
          <cell r="D562" t="str">
            <v>No</v>
          </cell>
          <cell r="E562" t="str">
            <v>NP-53.9 - Small Value Procurement</v>
          </cell>
          <cell r="F562">
            <v>45390</v>
          </cell>
          <cell r="G562">
            <v>45397</v>
          </cell>
          <cell r="H562">
            <v>0</v>
          </cell>
          <cell r="I562" t="str">
            <v>N/A</v>
          </cell>
          <cell r="J562">
            <v>45407</v>
          </cell>
          <cell r="K562">
            <v>45407</v>
          </cell>
          <cell r="L562">
            <v>0</v>
          </cell>
          <cell r="M562" t="str">
            <v>N/A</v>
          </cell>
          <cell r="N562" t="str">
            <v>N/A</v>
          </cell>
          <cell r="O562">
            <v>45411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 t="e">
            <v>#N/A</v>
          </cell>
          <cell r="Y562">
            <v>0</v>
          </cell>
          <cell r="Z562">
            <v>0</v>
          </cell>
          <cell r="AA562">
            <v>1792</v>
          </cell>
          <cell r="AB562">
            <v>0</v>
          </cell>
          <cell r="AC562">
            <v>1792</v>
          </cell>
          <cell r="AD562">
            <v>1792</v>
          </cell>
          <cell r="AE562">
            <v>0</v>
          </cell>
          <cell r="AF562">
            <v>1792</v>
          </cell>
          <cell r="AG562" t="str">
            <v>ENGR. MICHAEL C. SALARDA
MS. LEONARDA M. LATOR
MS. CARMENCITA VALDEZ
MS. SORAYA P. VERGARA</v>
          </cell>
          <cell r="AH562" t="str">
            <v>N/A</v>
          </cell>
          <cell r="AI562" t="str">
            <v>N/A</v>
          </cell>
          <cell r="AJ562" t="str">
            <v>N/A</v>
          </cell>
          <cell r="AK562" t="str">
            <v>N/A</v>
          </cell>
          <cell r="AL562" t="str">
            <v>N/A</v>
          </cell>
          <cell r="AM562" t="str">
            <v>N/A</v>
          </cell>
          <cell r="AN562">
            <v>0</v>
          </cell>
          <cell r="AO562">
            <v>0</v>
          </cell>
        </row>
        <row r="563">
          <cell r="A563" t="str">
            <v>24-C1283</v>
          </cell>
          <cell r="B563" t="str">
            <v>RICE-WELL MILLED</v>
          </cell>
          <cell r="C563" t="str">
            <v>PGO</v>
          </cell>
          <cell r="D563" t="str">
            <v>No</v>
          </cell>
          <cell r="E563" t="str">
            <v>NP-53.9 - Small Value Procurement</v>
          </cell>
          <cell r="F563" t="str">
            <v>N/A</v>
          </cell>
          <cell r="G563">
            <v>45385</v>
          </cell>
          <cell r="H563">
            <v>0</v>
          </cell>
          <cell r="I563" t="str">
            <v>N/A</v>
          </cell>
          <cell r="J563">
            <v>45407</v>
          </cell>
          <cell r="K563">
            <v>45407</v>
          </cell>
          <cell r="L563">
            <v>0</v>
          </cell>
          <cell r="M563" t="str">
            <v>N/A</v>
          </cell>
          <cell r="N563" t="str">
            <v>N/A</v>
          </cell>
          <cell r="O563">
            <v>45411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45449</v>
          </cell>
          <cell r="Y563">
            <v>0</v>
          </cell>
          <cell r="Z563">
            <v>0</v>
          </cell>
          <cell r="AA563">
            <v>272745</v>
          </cell>
          <cell r="AB563">
            <v>0</v>
          </cell>
          <cell r="AC563">
            <v>272745</v>
          </cell>
          <cell r="AD563">
            <v>272745</v>
          </cell>
          <cell r="AE563">
            <v>0</v>
          </cell>
          <cell r="AF563">
            <v>272745</v>
          </cell>
          <cell r="AG563" t="str">
            <v>ENGR. MICHAEL C. SALARDA
MS. LEONARDA M. LATOR
MS. CARMENCITA VALDEZ
MS. SORAYA P. VERGARA</v>
          </cell>
          <cell r="AH563" t="str">
            <v>N/A</v>
          </cell>
          <cell r="AI563" t="str">
            <v>N/A</v>
          </cell>
          <cell r="AJ563" t="str">
            <v>N/A</v>
          </cell>
          <cell r="AK563" t="str">
            <v>N/A</v>
          </cell>
          <cell r="AL563" t="str">
            <v>N/A</v>
          </cell>
          <cell r="AM563" t="str">
            <v>N/A</v>
          </cell>
          <cell r="AN563">
            <v>0</v>
          </cell>
          <cell r="AO563">
            <v>0</v>
          </cell>
        </row>
        <row r="564">
          <cell r="A564" t="str">
            <v>24-C1286</v>
          </cell>
          <cell r="B564" t="str">
            <v>FOOD SUPPLIES</v>
          </cell>
          <cell r="C564" t="str">
            <v>PEEMO</v>
          </cell>
          <cell r="D564" t="str">
            <v>No</v>
          </cell>
          <cell r="E564" t="str">
            <v>NP-53.9 - Small Value Procurement</v>
          </cell>
          <cell r="F564">
            <v>45390</v>
          </cell>
          <cell r="G564">
            <v>45397</v>
          </cell>
          <cell r="H564">
            <v>0</v>
          </cell>
          <cell r="I564" t="str">
            <v>N/A</v>
          </cell>
          <cell r="J564">
            <v>45407</v>
          </cell>
          <cell r="K564">
            <v>45407</v>
          </cell>
          <cell r="L564">
            <v>0</v>
          </cell>
          <cell r="M564" t="str">
            <v>N/A</v>
          </cell>
          <cell r="N564" t="str">
            <v>N/A</v>
          </cell>
          <cell r="O564">
            <v>45411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45446</v>
          </cell>
          <cell r="Y564">
            <v>0</v>
          </cell>
          <cell r="Z564">
            <v>0</v>
          </cell>
          <cell r="AA564">
            <v>133014</v>
          </cell>
          <cell r="AB564">
            <v>0</v>
          </cell>
          <cell r="AC564">
            <v>133014</v>
          </cell>
          <cell r="AD564">
            <v>132249</v>
          </cell>
          <cell r="AE564">
            <v>0</v>
          </cell>
          <cell r="AF564">
            <v>132249</v>
          </cell>
          <cell r="AG564" t="str">
            <v>ENGR. MICHAEL C. SALARDA
MS. LEONARDA M. LATOR
MS. CARMENCITA VALDEZ
MS. SORAYA P. VERGARA</v>
          </cell>
          <cell r="AH564" t="str">
            <v>N/A</v>
          </cell>
          <cell r="AI564" t="str">
            <v>N/A</v>
          </cell>
          <cell r="AJ564" t="str">
            <v>N/A</v>
          </cell>
          <cell r="AK564" t="str">
            <v>N/A</v>
          </cell>
          <cell r="AL564" t="str">
            <v>N/A</v>
          </cell>
          <cell r="AM564" t="str">
            <v>N/A</v>
          </cell>
          <cell r="AN564">
            <v>0</v>
          </cell>
          <cell r="AO564">
            <v>0</v>
          </cell>
        </row>
        <row r="565">
          <cell r="A565" t="str">
            <v>24-C1192</v>
          </cell>
          <cell r="B565" t="str">
            <v>SPAREPARTS (OFFICE &amp; IT EQUIPMENT)</v>
          </cell>
          <cell r="C565" t="str">
            <v>PICTO</v>
          </cell>
          <cell r="D565" t="str">
            <v>No</v>
          </cell>
          <cell r="E565" t="str">
            <v>NP-53.9 - Small Value Procurement</v>
          </cell>
          <cell r="F565" t="str">
            <v>N/A</v>
          </cell>
          <cell r="G565">
            <v>45385</v>
          </cell>
          <cell r="H565">
            <v>0</v>
          </cell>
          <cell r="I565" t="str">
            <v>N/A</v>
          </cell>
          <cell r="J565">
            <v>45407</v>
          </cell>
          <cell r="K565">
            <v>45407</v>
          </cell>
          <cell r="L565">
            <v>0</v>
          </cell>
          <cell r="M565" t="str">
            <v>N/A</v>
          </cell>
          <cell r="N565" t="str">
            <v>N/A</v>
          </cell>
          <cell r="O565">
            <v>45411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45447</v>
          </cell>
          <cell r="Y565">
            <v>0</v>
          </cell>
          <cell r="Z565">
            <v>0</v>
          </cell>
          <cell r="AA565">
            <v>157734</v>
          </cell>
          <cell r="AB565">
            <v>0</v>
          </cell>
          <cell r="AC565">
            <v>157734</v>
          </cell>
          <cell r="AD565">
            <v>142348</v>
          </cell>
          <cell r="AE565">
            <v>0</v>
          </cell>
          <cell r="AF565">
            <v>142348</v>
          </cell>
          <cell r="AG565" t="str">
            <v>ENGR. MICHAEL C. SALARDA
MS. LEONARDA M. LATOR
MS. CARMENCITA VALDEZ
MS. SORAYA P. VERGARA</v>
          </cell>
          <cell r="AH565" t="str">
            <v>N/A</v>
          </cell>
          <cell r="AI565" t="str">
            <v>N/A</v>
          </cell>
          <cell r="AJ565" t="str">
            <v>N/A</v>
          </cell>
          <cell r="AK565" t="str">
            <v>N/A</v>
          </cell>
          <cell r="AL565" t="str">
            <v>N/A</v>
          </cell>
          <cell r="AM565" t="str">
            <v>N/A</v>
          </cell>
          <cell r="AN565">
            <v>0</v>
          </cell>
          <cell r="AO565">
            <v>0</v>
          </cell>
        </row>
        <row r="566">
          <cell r="A566" t="str">
            <v>24-1932</v>
          </cell>
          <cell r="B566" t="str">
            <v>SPAREPARTS (HEAVY EQUIPMENT)</v>
          </cell>
          <cell r="C566" t="str">
            <v>PEO-Motorpool</v>
          </cell>
          <cell r="D566" t="str">
            <v>No</v>
          </cell>
          <cell r="E566" t="str">
            <v>Direct Contracting</v>
          </cell>
          <cell r="F566">
            <v>45373</v>
          </cell>
          <cell r="G566">
            <v>45384</v>
          </cell>
          <cell r="H566">
            <v>0</v>
          </cell>
          <cell r="I566" t="str">
            <v>N/A</v>
          </cell>
          <cell r="J566">
            <v>45407</v>
          </cell>
          <cell r="K566">
            <v>45407</v>
          </cell>
          <cell r="L566">
            <v>0</v>
          </cell>
          <cell r="M566" t="str">
            <v>N/A</v>
          </cell>
          <cell r="N566" t="str">
            <v>N/A</v>
          </cell>
          <cell r="O566">
            <v>45411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 t="e">
            <v>#N/A</v>
          </cell>
          <cell r="Y566">
            <v>0</v>
          </cell>
          <cell r="Z566">
            <v>0</v>
          </cell>
          <cell r="AA566">
            <v>30825.75</v>
          </cell>
          <cell r="AB566">
            <v>0</v>
          </cell>
          <cell r="AC566">
            <v>30825.75</v>
          </cell>
          <cell r="AD566">
            <v>30825.75</v>
          </cell>
          <cell r="AE566">
            <v>0</v>
          </cell>
          <cell r="AF566">
            <v>30825.75</v>
          </cell>
          <cell r="AG566" t="str">
            <v>ENGR. MICHAEL C. SALARDA
MS. LEONARDA M. LATOR
MS. CARMENCITA VALDEZ
MS. SORAYA P. VERGARA</v>
          </cell>
          <cell r="AH566" t="str">
            <v>N/A</v>
          </cell>
          <cell r="AI566" t="str">
            <v>N/A</v>
          </cell>
          <cell r="AJ566" t="str">
            <v>N/A</v>
          </cell>
          <cell r="AK566" t="str">
            <v>N/A</v>
          </cell>
          <cell r="AL566" t="str">
            <v>N/A</v>
          </cell>
          <cell r="AM566" t="str">
            <v>N/A</v>
          </cell>
          <cell r="AN566">
            <v>0</v>
          </cell>
          <cell r="AO566">
            <v>0</v>
          </cell>
        </row>
        <row r="567">
          <cell r="A567" t="str">
            <v>24-1622</v>
          </cell>
          <cell r="B567" t="str">
            <v>SPAREPARTS (HEAVY EQUIPMENT)</v>
          </cell>
          <cell r="C567" t="str">
            <v>PEO-Motorpool</v>
          </cell>
          <cell r="D567" t="str">
            <v>No</v>
          </cell>
          <cell r="E567" t="str">
            <v>Direct Contracting</v>
          </cell>
          <cell r="F567">
            <v>45390</v>
          </cell>
          <cell r="G567">
            <v>45397</v>
          </cell>
          <cell r="H567">
            <v>0</v>
          </cell>
          <cell r="I567" t="str">
            <v>N/A</v>
          </cell>
          <cell r="J567">
            <v>45407</v>
          </cell>
          <cell r="K567">
            <v>45407</v>
          </cell>
          <cell r="L567">
            <v>0</v>
          </cell>
          <cell r="M567" t="str">
            <v>N/A</v>
          </cell>
          <cell r="N567" t="str">
            <v>N/A</v>
          </cell>
          <cell r="O567">
            <v>45411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 t="e">
            <v>#N/A</v>
          </cell>
          <cell r="Y567">
            <v>0</v>
          </cell>
          <cell r="Z567">
            <v>0</v>
          </cell>
          <cell r="AA567">
            <v>118872.51</v>
          </cell>
          <cell r="AB567">
            <v>0</v>
          </cell>
          <cell r="AC567">
            <v>118872.51</v>
          </cell>
          <cell r="AD567">
            <v>118872.51</v>
          </cell>
          <cell r="AE567">
            <v>0</v>
          </cell>
          <cell r="AF567">
            <v>118872.51</v>
          </cell>
          <cell r="AG567" t="str">
            <v>ENGR. MICHAEL C. SALARDA
MS. LEONARDA M. LATOR
MS. CARMENCITA VALDEZ
MS. SORAYA P. VERGARA</v>
          </cell>
          <cell r="AH567" t="str">
            <v>N/A</v>
          </cell>
          <cell r="AI567" t="str">
            <v>N/A</v>
          </cell>
          <cell r="AJ567" t="str">
            <v>N/A</v>
          </cell>
          <cell r="AK567" t="str">
            <v>N/A</v>
          </cell>
          <cell r="AL567" t="str">
            <v>N/A</v>
          </cell>
          <cell r="AM567" t="str">
            <v>N/A</v>
          </cell>
          <cell r="AN567">
            <v>0</v>
          </cell>
          <cell r="AO567">
            <v>0</v>
          </cell>
        </row>
        <row r="568">
          <cell r="A568" t="str">
            <v>24-C1308</v>
          </cell>
          <cell r="B568" t="str">
            <v>ELECTROLYTES ANALYZER</v>
          </cell>
          <cell r="C568" t="str">
            <v>PEEMO</v>
          </cell>
          <cell r="D568" t="str">
            <v>No</v>
          </cell>
          <cell r="E568" t="str">
            <v>Direct Contracting</v>
          </cell>
          <cell r="F568" t="str">
            <v>N/A</v>
          </cell>
          <cell r="G568">
            <v>45385</v>
          </cell>
          <cell r="H568">
            <v>0</v>
          </cell>
          <cell r="I568" t="str">
            <v>N/A</v>
          </cell>
          <cell r="J568">
            <v>45407</v>
          </cell>
          <cell r="K568">
            <v>45407</v>
          </cell>
          <cell r="L568">
            <v>0</v>
          </cell>
          <cell r="M568" t="str">
            <v>N/A</v>
          </cell>
          <cell r="N568" t="str">
            <v>N/A</v>
          </cell>
          <cell r="O568">
            <v>45411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630375</v>
          </cell>
          <cell r="AB568">
            <v>0</v>
          </cell>
          <cell r="AC568">
            <v>630375</v>
          </cell>
          <cell r="AD568">
            <v>630375</v>
          </cell>
          <cell r="AE568">
            <v>0</v>
          </cell>
          <cell r="AF568">
            <v>630375</v>
          </cell>
          <cell r="AG568" t="str">
            <v>ENGR. MICHAEL C. SALARDA
MS. LEONARDA M. LATOR
MS. CARMENCITA VALDEZ
MS. SORAYA P. VERGARA</v>
          </cell>
          <cell r="AH568" t="str">
            <v>N/A</v>
          </cell>
          <cell r="AI568" t="str">
            <v>N/A</v>
          </cell>
          <cell r="AJ568" t="str">
            <v>N/A</v>
          </cell>
          <cell r="AK568" t="str">
            <v>N/A</v>
          </cell>
          <cell r="AL568" t="str">
            <v>N/A</v>
          </cell>
          <cell r="AM568" t="str">
            <v>N/A</v>
          </cell>
          <cell r="AN568">
            <v>0</v>
          </cell>
          <cell r="AO568">
            <v>0</v>
          </cell>
        </row>
        <row r="569">
          <cell r="A569" t="str">
            <v>24-1847</v>
          </cell>
          <cell r="B569" t="str">
            <v>GAS</v>
          </cell>
          <cell r="C569" t="str">
            <v>PEO-Motorpool</v>
          </cell>
          <cell r="D569" t="str">
            <v>No</v>
          </cell>
          <cell r="E569" t="str">
            <v>Direct Contracting</v>
          </cell>
          <cell r="F569">
            <v>45387</v>
          </cell>
          <cell r="G569">
            <v>45397</v>
          </cell>
          <cell r="H569">
            <v>0</v>
          </cell>
          <cell r="I569" t="str">
            <v>N/A</v>
          </cell>
          <cell r="J569">
            <v>45407</v>
          </cell>
          <cell r="K569">
            <v>45407</v>
          </cell>
          <cell r="L569">
            <v>0</v>
          </cell>
          <cell r="M569" t="str">
            <v>N/A</v>
          </cell>
          <cell r="N569" t="str">
            <v>N/A</v>
          </cell>
          <cell r="O569">
            <v>45411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 t="e">
            <v>#N/A</v>
          </cell>
          <cell r="Y569">
            <v>0</v>
          </cell>
          <cell r="Z569">
            <v>0</v>
          </cell>
          <cell r="AA569">
            <v>47140</v>
          </cell>
          <cell r="AB569">
            <v>0</v>
          </cell>
          <cell r="AC569">
            <v>47140</v>
          </cell>
          <cell r="AD569">
            <v>47140</v>
          </cell>
          <cell r="AE569">
            <v>0</v>
          </cell>
          <cell r="AF569">
            <v>47140</v>
          </cell>
          <cell r="AG569" t="str">
            <v>ENGR. MICHAEL C. SALARDA
MS. LEONARDA M. LATOR
MS. CARMENCITA VALDEZ
MS. SORAYA P. VERGARA</v>
          </cell>
          <cell r="AH569" t="str">
            <v>N/A</v>
          </cell>
          <cell r="AI569" t="str">
            <v>N/A</v>
          </cell>
          <cell r="AJ569" t="str">
            <v>N/A</v>
          </cell>
          <cell r="AK569" t="str">
            <v>N/A</v>
          </cell>
          <cell r="AL569" t="str">
            <v>N/A</v>
          </cell>
          <cell r="AM569" t="str">
            <v>N/A</v>
          </cell>
          <cell r="AN569">
            <v>0</v>
          </cell>
          <cell r="AO569">
            <v>0</v>
          </cell>
        </row>
        <row r="570">
          <cell r="A570" t="str">
            <v>24-1753</v>
          </cell>
          <cell r="B570" t="str">
            <v>TONER CARTRIDGE</v>
          </cell>
          <cell r="C570" t="str">
            <v>PAO</v>
          </cell>
          <cell r="D570" t="str">
            <v>No</v>
          </cell>
          <cell r="E570" t="str">
            <v>Direct Contracting</v>
          </cell>
          <cell r="F570">
            <v>45387</v>
          </cell>
          <cell r="G570">
            <v>45397</v>
          </cell>
          <cell r="H570">
            <v>0</v>
          </cell>
          <cell r="I570" t="str">
            <v>N/A</v>
          </cell>
          <cell r="J570">
            <v>45407</v>
          </cell>
          <cell r="K570">
            <v>45407</v>
          </cell>
          <cell r="L570">
            <v>0</v>
          </cell>
          <cell r="M570" t="str">
            <v>N/A</v>
          </cell>
          <cell r="N570" t="str">
            <v>N/A</v>
          </cell>
          <cell r="O570">
            <v>45411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 t="e">
            <v>#N/A</v>
          </cell>
          <cell r="Y570">
            <v>0</v>
          </cell>
          <cell r="Z570">
            <v>0</v>
          </cell>
          <cell r="AA570">
            <v>4810</v>
          </cell>
          <cell r="AB570">
            <v>0</v>
          </cell>
          <cell r="AC570">
            <v>4810</v>
          </cell>
          <cell r="AD570">
            <v>4810</v>
          </cell>
          <cell r="AE570">
            <v>0</v>
          </cell>
          <cell r="AF570">
            <v>4810</v>
          </cell>
          <cell r="AG570" t="str">
            <v>ENGR. MICHAEL C. SALARDA
MS. LEONARDA M. LATOR
MS. CARMENCITA VALDEZ
MS. SORAYA P. VERGARA</v>
          </cell>
          <cell r="AH570" t="str">
            <v>N/A</v>
          </cell>
          <cell r="AI570" t="str">
            <v>N/A</v>
          </cell>
          <cell r="AJ570" t="str">
            <v>N/A</v>
          </cell>
          <cell r="AK570" t="str">
            <v>N/A</v>
          </cell>
          <cell r="AL570" t="str">
            <v>N/A</v>
          </cell>
          <cell r="AM570" t="str">
            <v>N/A</v>
          </cell>
          <cell r="AN570">
            <v>0</v>
          </cell>
          <cell r="AO570">
            <v>0</v>
          </cell>
        </row>
        <row r="571">
          <cell r="A571" t="str">
            <v>24-C1306</v>
          </cell>
          <cell r="B571" t="str">
            <v>CTNL (TROPONIN) AND HEMOGLOBIN</v>
          </cell>
          <cell r="C571" t="str">
            <v>PEEMO</v>
          </cell>
          <cell r="D571" t="str">
            <v>No</v>
          </cell>
          <cell r="E571" t="str">
            <v>Direct Contracting</v>
          </cell>
          <cell r="F571" t="str">
            <v>N/A</v>
          </cell>
          <cell r="G571">
            <v>45385</v>
          </cell>
          <cell r="H571">
            <v>0</v>
          </cell>
          <cell r="I571" t="str">
            <v>N/A</v>
          </cell>
          <cell r="J571">
            <v>45407</v>
          </cell>
          <cell r="K571">
            <v>45407</v>
          </cell>
          <cell r="L571">
            <v>0</v>
          </cell>
          <cell r="M571" t="str">
            <v>N/A</v>
          </cell>
          <cell r="N571" t="str">
            <v>N/A</v>
          </cell>
          <cell r="O571">
            <v>45411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45450</v>
          </cell>
          <cell r="Y571">
            <v>0</v>
          </cell>
          <cell r="Z571">
            <v>0</v>
          </cell>
          <cell r="AA571">
            <v>120960</v>
          </cell>
          <cell r="AB571">
            <v>0</v>
          </cell>
          <cell r="AC571">
            <v>120960</v>
          </cell>
          <cell r="AD571">
            <v>120960</v>
          </cell>
          <cell r="AE571">
            <v>0</v>
          </cell>
          <cell r="AF571">
            <v>120960</v>
          </cell>
          <cell r="AG571" t="str">
            <v>ENGR. MICHAEL C. SALARDA
MS. LEONARDA M. LATOR
MS. CARMENCITA VALDEZ
MS. SORAYA P. VERGARA</v>
          </cell>
          <cell r="AH571" t="str">
            <v>N/A</v>
          </cell>
          <cell r="AI571" t="str">
            <v>N/A</v>
          </cell>
          <cell r="AJ571" t="str">
            <v>N/A</v>
          </cell>
          <cell r="AK571" t="str">
            <v>N/A</v>
          </cell>
          <cell r="AL571" t="str">
            <v>N/A</v>
          </cell>
          <cell r="AM571" t="str">
            <v>N/A</v>
          </cell>
          <cell r="AN571">
            <v>0</v>
          </cell>
          <cell r="AO571">
            <v>0</v>
          </cell>
        </row>
        <row r="572">
          <cell r="A572" t="str">
            <v>24-2191</v>
          </cell>
          <cell r="B572" t="str">
            <v>SPAREPARTS (LIGHT VEHICLES)</v>
          </cell>
          <cell r="C572" t="str">
            <v>PGSO</v>
          </cell>
          <cell r="D572" t="str">
            <v>No</v>
          </cell>
          <cell r="E572" t="str">
            <v>Shopping 52.1(a) - Unforeseen Contingency</v>
          </cell>
          <cell r="F572" t="str">
            <v>N/A</v>
          </cell>
          <cell r="G572">
            <v>45397</v>
          </cell>
          <cell r="H572">
            <v>0</v>
          </cell>
          <cell r="I572" t="str">
            <v>N/A</v>
          </cell>
          <cell r="J572">
            <v>45412</v>
          </cell>
          <cell r="K572">
            <v>45412</v>
          </cell>
          <cell r="L572">
            <v>0</v>
          </cell>
          <cell r="M572" t="str">
            <v>N/A</v>
          </cell>
          <cell r="N572" t="str">
            <v>N/A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 t="e">
            <v>#N/A</v>
          </cell>
          <cell r="Y572">
            <v>0</v>
          </cell>
          <cell r="Z572">
            <v>0</v>
          </cell>
          <cell r="AA572">
            <v>18000</v>
          </cell>
          <cell r="AB572">
            <v>0</v>
          </cell>
          <cell r="AC572">
            <v>18000</v>
          </cell>
          <cell r="AD572">
            <v>18000</v>
          </cell>
          <cell r="AE572">
            <v>0</v>
          </cell>
          <cell r="AF572">
            <v>18000</v>
          </cell>
          <cell r="AG572" t="str">
            <v>ENGR. MICHAEL C. SALARDA
MS. LEONARDA M. LATOR
MS. CARMENCITA VALDEZ
MS. SORAYA P. VERGARA</v>
          </cell>
          <cell r="AH572" t="str">
            <v>N/A</v>
          </cell>
          <cell r="AI572" t="str">
            <v>N/A</v>
          </cell>
          <cell r="AJ572" t="str">
            <v>N/A</v>
          </cell>
          <cell r="AK572" t="str">
            <v>N/A</v>
          </cell>
          <cell r="AL572" t="str">
            <v>N/A</v>
          </cell>
          <cell r="AM572" t="str">
            <v>N/A</v>
          </cell>
          <cell r="AN572">
            <v>0</v>
          </cell>
          <cell r="AO572">
            <v>0</v>
          </cell>
        </row>
        <row r="573">
          <cell r="A573" t="str">
            <v>24-2194</v>
          </cell>
          <cell r="B573" t="str">
            <v>SPAREPARTS (LIGHT VEHICLES)</v>
          </cell>
          <cell r="C573" t="str">
            <v>PGSO</v>
          </cell>
          <cell r="D573" t="str">
            <v>No</v>
          </cell>
          <cell r="E573" t="str">
            <v>Shopping 52.1(a) - Unforeseen Contingency</v>
          </cell>
          <cell r="F573" t="str">
            <v>N/A</v>
          </cell>
          <cell r="G573">
            <v>45397</v>
          </cell>
          <cell r="H573">
            <v>0</v>
          </cell>
          <cell r="I573" t="str">
            <v>N/A</v>
          </cell>
          <cell r="J573">
            <v>45412</v>
          </cell>
          <cell r="K573">
            <v>45412</v>
          </cell>
          <cell r="L573">
            <v>0</v>
          </cell>
          <cell r="M573" t="str">
            <v>N/A</v>
          </cell>
          <cell r="N573" t="str">
            <v>N/A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 t="e">
            <v>#N/A</v>
          </cell>
          <cell r="Y573">
            <v>0</v>
          </cell>
          <cell r="Z573">
            <v>0</v>
          </cell>
          <cell r="AA573">
            <v>173850</v>
          </cell>
          <cell r="AB573">
            <v>0</v>
          </cell>
          <cell r="AC573">
            <v>173850</v>
          </cell>
          <cell r="AD573">
            <v>173580</v>
          </cell>
          <cell r="AE573">
            <v>0</v>
          </cell>
          <cell r="AF573">
            <v>173580</v>
          </cell>
          <cell r="AG573" t="str">
            <v>ENGR. MICHAEL C. SALARDA
MS. LEONARDA M. LATOR
MS. CARMENCITA VALDEZ
MS. SORAYA P. VERGARA</v>
          </cell>
          <cell r="AH573" t="str">
            <v>N/A</v>
          </cell>
          <cell r="AI573" t="str">
            <v>N/A</v>
          </cell>
          <cell r="AJ573" t="str">
            <v>N/A</v>
          </cell>
          <cell r="AK573" t="str">
            <v>N/A</v>
          </cell>
          <cell r="AL573" t="str">
            <v>N/A</v>
          </cell>
          <cell r="AM573" t="str">
            <v>N/A</v>
          </cell>
          <cell r="AN573">
            <v>0</v>
          </cell>
          <cell r="AO573">
            <v>0</v>
          </cell>
        </row>
        <row r="574">
          <cell r="A574" t="str">
            <v>24-2193</v>
          </cell>
          <cell r="B574" t="str">
            <v>SPAREPARTS (MOTORCYCLE)</v>
          </cell>
          <cell r="C574" t="str">
            <v>PGSO</v>
          </cell>
          <cell r="D574" t="str">
            <v>No</v>
          </cell>
          <cell r="E574" t="str">
            <v>Shopping 52.1(a) - Unforeseen Contingency</v>
          </cell>
          <cell r="F574" t="str">
            <v>N/A</v>
          </cell>
          <cell r="G574">
            <v>45397</v>
          </cell>
          <cell r="H574">
            <v>0</v>
          </cell>
          <cell r="I574" t="str">
            <v>N/A</v>
          </cell>
          <cell r="J574">
            <v>45412</v>
          </cell>
          <cell r="K574">
            <v>45412</v>
          </cell>
          <cell r="L574">
            <v>0</v>
          </cell>
          <cell r="M574" t="str">
            <v>N/A</v>
          </cell>
          <cell r="N574" t="str">
            <v>N/A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 t="e">
            <v>#N/A</v>
          </cell>
          <cell r="Y574">
            <v>0</v>
          </cell>
          <cell r="Z574">
            <v>0</v>
          </cell>
          <cell r="AA574">
            <v>17030</v>
          </cell>
          <cell r="AB574">
            <v>0</v>
          </cell>
          <cell r="AC574">
            <v>17030</v>
          </cell>
          <cell r="AD574">
            <v>17030</v>
          </cell>
          <cell r="AE574">
            <v>0</v>
          </cell>
          <cell r="AF574">
            <v>17030</v>
          </cell>
          <cell r="AG574" t="str">
            <v>ENGR. MICHAEL C. SALARDA
MS. LEONARDA M. LATOR
MS. CARMENCITA VALDEZ
MS. SORAYA P. VERGARA</v>
          </cell>
          <cell r="AH574" t="str">
            <v>N/A</v>
          </cell>
          <cell r="AI574" t="str">
            <v>N/A</v>
          </cell>
          <cell r="AJ574" t="str">
            <v>N/A</v>
          </cell>
          <cell r="AK574" t="str">
            <v>N/A</v>
          </cell>
          <cell r="AL574" t="str">
            <v>N/A</v>
          </cell>
          <cell r="AM574" t="str">
            <v>N/A</v>
          </cell>
          <cell r="AN574">
            <v>0</v>
          </cell>
          <cell r="AO574">
            <v>0</v>
          </cell>
        </row>
        <row r="575">
          <cell r="A575" t="str">
            <v>24-2321</v>
          </cell>
          <cell r="B575" t="str">
            <v>SPAREPARTS (LIGHT VEHICLES)</v>
          </cell>
          <cell r="C575" t="str">
            <v>SPO</v>
          </cell>
          <cell r="D575" t="str">
            <v>No</v>
          </cell>
          <cell r="E575" t="str">
            <v>Shopping 52.1(a) - Unforeseen Contingency</v>
          </cell>
          <cell r="F575" t="str">
            <v>N/A</v>
          </cell>
          <cell r="G575">
            <v>45397</v>
          </cell>
          <cell r="H575">
            <v>0</v>
          </cell>
          <cell r="I575" t="str">
            <v>N/A</v>
          </cell>
          <cell r="J575">
            <v>45412</v>
          </cell>
          <cell r="K575">
            <v>45412</v>
          </cell>
          <cell r="L575">
            <v>0</v>
          </cell>
          <cell r="M575" t="str">
            <v>N/A</v>
          </cell>
          <cell r="N575" t="str">
            <v>N/A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 t="e">
            <v>#N/A</v>
          </cell>
          <cell r="Y575">
            <v>0</v>
          </cell>
          <cell r="Z575">
            <v>0</v>
          </cell>
          <cell r="AA575">
            <v>29900</v>
          </cell>
          <cell r="AB575">
            <v>0</v>
          </cell>
          <cell r="AC575">
            <v>29900</v>
          </cell>
          <cell r="AD575">
            <v>29900</v>
          </cell>
          <cell r="AE575">
            <v>0</v>
          </cell>
          <cell r="AF575">
            <v>29900</v>
          </cell>
          <cell r="AG575" t="str">
            <v>ENGR. MICHAEL C. SALARDA
MS. LEONARDA M. LATOR
MS. CARMENCITA VALDEZ
MS. SORAYA P. VERGARA</v>
          </cell>
          <cell r="AH575" t="str">
            <v>N/A</v>
          </cell>
          <cell r="AI575" t="str">
            <v>N/A</v>
          </cell>
          <cell r="AJ575" t="str">
            <v>N/A</v>
          </cell>
          <cell r="AK575" t="str">
            <v>N/A</v>
          </cell>
          <cell r="AL575" t="str">
            <v>N/A</v>
          </cell>
          <cell r="AM575" t="str">
            <v>N/A</v>
          </cell>
          <cell r="AN575">
            <v>0</v>
          </cell>
          <cell r="AO575">
            <v>0</v>
          </cell>
        </row>
        <row r="576">
          <cell r="A576" t="str">
            <v>24-2192</v>
          </cell>
          <cell r="B576" t="str">
            <v>SPAREPARTS (LIGHT VEHICLES)</v>
          </cell>
          <cell r="C576" t="str">
            <v>PGSO</v>
          </cell>
          <cell r="D576" t="str">
            <v>No</v>
          </cell>
          <cell r="E576" t="str">
            <v>Shopping 52.1(a) - Unforeseen Contingency</v>
          </cell>
          <cell r="F576" t="str">
            <v>N/A</v>
          </cell>
          <cell r="G576">
            <v>45404</v>
          </cell>
          <cell r="H576">
            <v>0</v>
          </cell>
          <cell r="I576" t="str">
            <v>N/A</v>
          </cell>
          <cell r="J576">
            <v>45412</v>
          </cell>
          <cell r="K576">
            <v>45412</v>
          </cell>
          <cell r="L576">
            <v>0</v>
          </cell>
          <cell r="M576" t="str">
            <v>N/A</v>
          </cell>
          <cell r="N576" t="str">
            <v>N/A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 t="e">
            <v>#N/A</v>
          </cell>
          <cell r="Y576">
            <v>0</v>
          </cell>
          <cell r="Z576">
            <v>0</v>
          </cell>
          <cell r="AA576">
            <v>1950</v>
          </cell>
          <cell r="AB576">
            <v>0</v>
          </cell>
          <cell r="AC576">
            <v>1950</v>
          </cell>
          <cell r="AD576">
            <v>1950</v>
          </cell>
          <cell r="AE576">
            <v>0</v>
          </cell>
          <cell r="AF576">
            <v>1950</v>
          </cell>
          <cell r="AG576" t="str">
            <v>ENGR. MICHAEL C. SALARDA
MS. LEONARDA M. LATOR
MS. CARMENCITA VALDEZ
MS. SORAYA P. VERGARA</v>
          </cell>
          <cell r="AH576" t="str">
            <v>N/A</v>
          </cell>
          <cell r="AI576" t="str">
            <v>N/A</v>
          </cell>
          <cell r="AJ576" t="str">
            <v>N/A</v>
          </cell>
          <cell r="AK576" t="str">
            <v>N/A</v>
          </cell>
          <cell r="AL576" t="str">
            <v>N/A</v>
          </cell>
          <cell r="AM576" t="str">
            <v>N/A</v>
          </cell>
          <cell r="AN576">
            <v>0</v>
          </cell>
          <cell r="AO576">
            <v>0</v>
          </cell>
        </row>
        <row r="577">
          <cell r="A577" t="str">
            <v>24-C1105</v>
          </cell>
          <cell r="B577" t="str">
            <v>OFFICE SUPPLIES</v>
          </cell>
          <cell r="C577" t="str">
            <v>PHO</v>
          </cell>
          <cell r="D577" t="str">
            <v>No</v>
          </cell>
          <cell r="E577" t="str">
            <v>Shopping 52.1(b) - Regular Office Supplies and Equipment no available in PS</v>
          </cell>
          <cell r="F577" t="str">
            <v>N/A</v>
          </cell>
          <cell r="G577">
            <v>45390</v>
          </cell>
          <cell r="H577">
            <v>0</v>
          </cell>
          <cell r="I577" t="str">
            <v>N/A</v>
          </cell>
          <cell r="J577">
            <v>45412</v>
          </cell>
          <cell r="K577">
            <v>45412</v>
          </cell>
          <cell r="L577">
            <v>0</v>
          </cell>
          <cell r="M577" t="str">
            <v>N/A</v>
          </cell>
          <cell r="N577" t="str">
            <v>N/A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45443</v>
          </cell>
          <cell r="Y577">
            <v>0</v>
          </cell>
          <cell r="Z577">
            <v>0</v>
          </cell>
          <cell r="AA577">
            <v>298649</v>
          </cell>
          <cell r="AB577">
            <v>0</v>
          </cell>
          <cell r="AC577">
            <v>298649</v>
          </cell>
          <cell r="AD577">
            <v>295661</v>
          </cell>
          <cell r="AE577">
            <v>0</v>
          </cell>
          <cell r="AF577">
            <v>295661</v>
          </cell>
          <cell r="AG577" t="str">
            <v>ENGR. MICHAEL C. SALARDA
MS. LEONARDA M. LATOR
MS. CARMENCITA VALDEZ
MS. SORAYA P. VERGARA</v>
          </cell>
          <cell r="AH577" t="str">
            <v>N/A</v>
          </cell>
          <cell r="AI577" t="str">
            <v>N/A</v>
          </cell>
          <cell r="AJ577" t="str">
            <v>N/A</v>
          </cell>
          <cell r="AK577" t="str">
            <v>N/A</v>
          </cell>
          <cell r="AL577" t="str">
            <v>N/A</v>
          </cell>
          <cell r="AM577" t="str">
            <v>N/A</v>
          </cell>
          <cell r="AN577">
            <v>0</v>
          </cell>
          <cell r="AO577">
            <v>0</v>
          </cell>
        </row>
        <row r="578">
          <cell r="A578" t="str">
            <v>24-C1087</v>
          </cell>
          <cell r="B578" t="str">
            <v>CONSTRUCTION SUPPLIES</v>
          </cell>
          <cell r="C578" t="str">
            <v>PENRO</v>
          </cell>
          <cell r="D578" t="str">
            <v>No</v>
          </cell>
          <cell r="E578" t="str">
            <v>NP-53.9 - Small Value Procurement</v>
          </cell>
          <cell r="F578">
            <v>45370</v>
          </cell>
          <cell r="G578">
            <v>45385</v>
          </cell>
          <cell r="H578">
            <v>0</v>
          </cell>
          <cell r="I578" t="str">
            <v>N/A</v>
          </cell>
          <cell r="J578">
            <v>45412</v>
          </cell>
          <cell r="K578">
            <v>45412</v>
          </cell>
          <cell r="L578">
            <v>0</v>
          </cell>
          <cell r="M578" t="str">
            <v>N/A</v>
          </cell>
          <cell r="N578" t="str">
            <v>N/A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45446</v>
          </cell>
          <cell r="Y578">
            <v>0</v>
          </cell>
          <cell r="Z578">
            <v>0</v>
          </cell>
          <cell r="AA578">
            <v>63191</v>
          </cell>
          <cell r="AB578">
            <v>0</v>
          </cell>
          <cell r="AC578">
            <v>63191</v>
          </cell>
          <cell r="AD578">
            <v>63091</v>
          </cell>
          <cell r="AE578">
            <v>0</v>
          </cell>
          <cell r="AF578">
            <v>63091</v>
          </cell>
          <cell r="AG578" t="str">
            <v>ENGR. MICHAEL C. SALARDA
MS. LEONARDA M. LATOR
MS. CARMENCITA VALDEZ
MS. SORAYA P. VERGARA</v>
          </cell>
          <cell r="AH578" t="str">
            <v>N/A</v>
          </cell>
          <cell r="AI578" t="str">
            <v>N/A</v>
          </cell>
          <cell r="AJ578" t="str">
            <v>N/A</v>
          </cell>
          <cell r="AK578" t="str">
            <v>N/A</v>
          </cell>
          <cell r="AL578" t="str">
            <v>N/A</v>
          </cell>
          <cell r="AM578" t="str">
            <v>N/A</v>
          </cell>
          <cell r="AN578">
            <v>0</v>
          </cell>
          <cell r="AO578">
            <v>0</v>
          </cell>
        </row>
        <row r="579">
          <cell r="A579" t="str">
            <v>24-1262</v>
          </cell>
          <cell r="B579" t="str">
            <v>CONSTRUCTION SUPPLIES</v>
          </cell>
          <cell r="C579" t="str">
            <v>SEF</v>
          </cell>
          <cell r="D579" t="str">
            <v>No</v>
          </cell>
          <cell r="E579" t="str">
            <v>NP-53.9 - Small Value Procurement</v>
          </cell>
          <cell r="F579">
            <v>45384</v>
          </cell>
          <cell r="G579">
            <v>45390</v>
          </cell>
          <cell r="H579">
            <v>0</v>
          </cell>
          <cell r="I579" t="str">
            <v>N/A</v>
          </cell>
          <cell r="J579">
            <v>45412</v>
          </cell>
          <cell r="K579">
            <v>45412</v>
          </cell>
          <cell r="L579">
            <v>0</v>
          </cell>
          <cell r="M579" t="str">
            <v>N/A</v>
          </cell>
          <cell r="N579" t="str">
            <v>N/A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 t="e">
            <v>#N/A</v>
          </cell>
          <cell r="Y579">
            <v>0</v>
          </cell>
          <cell r="Z579">
            <v>0</v>
          </cell>
          <cell r="AA579">
            <v>116752.4</v>
          </cell>
          <cell r="AB579">
            <v>0</v>
          </cell>
          <cell r="AC579">
            <v>116752.4</v>
          </cell>
          <cell r="AD579">
            <v>116652.4</v>
          </cell>
          <cell r="AE579">
            <v>0</v>
          </cell>
          <cell r="AF579">
            <v>116652.4</v>
          </cell>
          <cell r="AG579" t="str">
            <v>ENGR. MICHAEL C. SALARDA
MS. LEONARDA M. LATOR
MS. CARMENCITA VALDEZ
MS. SORAYA P. VERGARA</v>
          </cell>
          <cell r="AH579" t="str">
            <v>N/A</v>
          </cell>
          <cell r="AI579" t="str">
            <v>N/A</v>
          </cell>
          <cell r="AJ579" t="str">
            <v>N/A</v>
          </cell>
          <cell r="AK579" t="str">
            <v>N/A</v>
          </cell>
          <cell r="AL579" t="str">
            <v>N/A</v>
          </cell>
          <cell r="AM579" t="str">
            <v>N/A</v>
          </cell>
          <cell r="AN579">
            <v>0</v>
          </cell>
          <cell r="AO579">
            <v>0</v>
          </cell>
        </row>
        <row r="580">
          <cell r="A580" t="str">
            <v>24-1759</v>
          </cell>
          <cell r="B580" t="str">
            <v>SPAREPARTS (LIGHT VEHICLES)</v>
          </cell>
          <cell r="C580" t="str">
            <v>PGSO</v>
          </cell>
          <cell r="D580" t="str">
            <v>No</v>
          </cell>
          <cell r="E580" t="str">
            <v>NP-53.9 - Small Value Procurement</v>
          </cell>
          <cell r="F580">
            <v>45384</v>
          </cell>
          <cell r="G580">
            <v>45390</v>
          </cell>
          <cell r="H580">
            <v>0</v>
          </cell>
          <cell r="I580" t="str">
            <v>N/A</v>
          </cell>
          <cell r="J580">
            <v>45412</v>
          </cell>
          <cell r="K580">
            <v>45412</v>
          </cell>
          <cell r="L580">
            <v>0</v>
          </cell>
          <cell r="M580" t="str">
            <v>N/A</v>
          </cell>
          <cell r="N580" t="str">
            <v>N/A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 t="e">
            <v>#N/A</v>
          </cell>
          <cell r="Y580">
            <v>0</v>
          </cell>
          <cell r="Z580">
            <v>0</v>
          </cell>
          <cell r="AA580">
            <v>1950</v>
          </cell>
          <cell r="AB580">
            <v>0</v>
          </cell>
          <cell r="AC580">
            <v>1950</v>
          </cell>
          <cell r="AD580">
            <v>1950</v>
          </cell>
          <cell r="AE580">
            <v>0</v>
          </cell>
          <cell r="AF580">
            <v>1950</v>
          </cell>
          <cell r="AG580" t="str">
            <v>ENGR. MICHAEL C. SALARDA
MS. LEONARDA M. LATOR
MS. CARMENCITA VALDEZ
MS. SORAYA P. VERGARA</v>
          </cell>
          <cell r="AH580" t="str">
            <v>N/A</v>
          </cell>
          <cell r="AI580" t="str">
            <v>N/A</v>
          </cell>
          <cell r="AJ580" t="str">
            <v>N/A</v>
          </cell>
          <cell r="AK580" t="str">
            <v>N/A</v>
          </cell>
          <cell r="AL580" t="str">
            <v>N/A</v>
          </cell>
          <cell r="AM580" t="str">
            <v>N/A</v>
          </cell>
          <cell r="AN580">
            <v>0</v>
          </cell>
          <cell r="AO580">
            <v>0</v>
          </cell>
        </row>
        <row r="581">
          <cell r="A581" t="str">
            <v>24-1979</v>
          </cell>
          <cell r="B581" t="str">
            <v>DRUGS AND MEDICINES</v>
          </cell>
          <cell r="C581" t="str">
            <v>PHO</v>
          </cell>
          <cell r="D581" t="str">
            <v>No</v>
          </cell>
          <cell r="E581" t="str">
            <v>NP-53.9 - Small Value Procurement</v>
          </cell>
          <cell r="F581" t="str">
            <v>N/A</v>
          </cell>
          <cell r="G581">
            <v>45385</v>
          </cell>
          <cell r="H581">
            <v>0</v>
          </cell>
          <cell r="I581" t="str">
            <v>N/A</v>
          </cell>
          <cell r="J581">
            <v>45412</v>
          </cell>
          <cell r="K581">
            <v>45412</v>
          </cell>
          <cell r="L581">
            <v>0</v>
          </cell>
          <cell r="M581" t="str">
            <v>N/A</v>
          </cell>
          <cell r="N581" t="str">
            <v>N/A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 t="e">
            <v>#N/A</v>
          </cell>
          <cell r="Y581">
            <v>0</v>
          </cell>
          <cell r="Z581">
            <v>0</v>
          </cell>
          <cell r="AA581">
            <v>74256</v>
          </cell>
          <cell r="AB581">
            <v>0</v>
          </cell>
          <cell r="AC581">
            <v>74256</v>
          </cell>
          <cell r="AD581">
            <v>36283</v>
          </cell>
          <cell r="AE581">
            <v>0</v>
          </cell>
          <cell r="AF581">
            <v>36283</v>
          </cell>
          <cell r="AG581" t="str">
            <v>ENGR. MICHAEL C. SALARDA
MS. LEONARDA M. LATOR
MS. CARMENCITA VALDEZ
MS. SORAYA P. VERGARA</v>
          </cell>
          <cell r="AH581" t="str">
            <v>N/A</v>
          </cell>
          <cell r="AI581" t="str">
            <v>N/A</v>
          </cell>
          <cell r="AJ581" t="str">
            <v>N/A</v>
          </cell>
          <cell r="AK581" t="str">
            <v>N/A</v>
          </cell>
          <cell r="AL581" t="str">
            <v>N/A</v>
          </cell>
          <cell r="AM581" t="str">
            <v>N/A</v>
          </cell>
          <cell r="AN581">
            <v>0</v>
          </cell>
          <cell r="AO581">
            <v>0</v>
          </cell>
        </row>
        <row r="582">
          <cell r="A582" t="str">
            <v>24-1632</v>
          </cell>
          <cell r="B582" t="str">
            <v>AIRCONDITION</v>
          </cell>
          <cell r="C582" t="str">
            <v>PICTO</v>
          </cell>
          <cell r="D582" t="str">
            <v>No</v>
          </cell>
          <cell r="E582" t="str">
            <v>NP-53.9 - Small Value Procurement</v>
          </cell>
          <cell r="F582" t="str">
            <v>N/A</v>
          </cell>
          <cell r="G582">
            <v>45390</v>
          </cell>
          <cell r="H582">
            <v>0</v>
          </cell>
          <cell r="I582" t="str">
            <v>N/A</v>
          </cell>
          <cell r="J582">
            <v>45412</v>
          </cell>
          <cell r="K582">
            <v>45412</v>
          </cell>
          <cell r="L582">
            <v>0</v>
          </cell>
          <cell r="M582" t="str">
            <v>N/A</v>
          </cell>
          <cell r="N582" t="str">
            <v>N/A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 t="e">
            <v>#N/A</v>
          </cell>
          <cell r="Y582">
            <v>0</v>
          </cell>
          <cell r="Z582">
            <v>0</v>
          </cell>
          <cell r="AA582">
            <v>30000</v>
          </cell>
          <cell r="AB582">
            <v>0</v>
          </cell>
          <cell r="AC582">
            <v>30000</v>
          </cell>
          <cell r="AD582">
            <v>28395</v>
          </cell>
          <cell r="AE582">
            <v>0</v>
          </cell>
          <cell r="AF582">
            <v>28395</v>
          </cell>
          <cell r="AG582" t="str">
            <v>ENGR. MICHAEL C. SALARDA
MS. LEONARDA M. LATOR
MS. CARMENCITA VALDEZ
MS. SORAYA P. VERGARA</v>
          </cell>
          <cell r="AH582" t="str">
            <v>N/A</v>
          </cell>
          <cell r="AI582" t="str">
            <v>N/A</v>
          </cell>
          <cell r="AJ582" t="str">
            <v>N/A</v>
          </cell>
          <cell r="AK582" t="str">
            <v>N/A</v>
          </cell>
          <cell r="AL582" t="str">
            <v>N/A</v>
          </cell>
          <cell r="AM582" t="str">
            <v>N/A</v>
          </cell>
          <cell r="AN582">
            <v>0</v>
          </cell>
          <cell r="AO582">
            <v>0</v>
          </cell>
        </row>
        <row r="583">
          <cell r="A583" t="str">
            <v>24-1740</v>
          </cell>
          <cell r="B583" t="str">
            <v>SPAREPARTS (LIGHT VEHICLES)</v>
          </cell>
          <cell r="C583" t="str">
            <v>PGSO</v>
          </cell>
          <cell r="D583" t="str">
            <v>No</v>
          </cell>
          <cell r="E583" t="str">
            <v>NP-53.9 - Small Value Procurement</v>
          </cell>
          <cell r="F583">
            <v>45384</v>
          </cell>
          <cell r="G583">
            <v>45390</v>
          </cell>
          <cell r="H583">
            <v>0</v>
          </cell>
          <cell r="I583" t="str">
            <v>N/A</v>
          </cell>
          <cell r="J583">
            <v>45412</v>
          </cell>
          <cell r="K583">
            <v>45412</v>
          </cell>
          <cell r="L583">
            <v>0</v>
          </cell>
          <cell r="M583" t="str">
            <v>N/A</v>
          </cell>
          <cell r="N583" t="str">
            <v>N/A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 t="e">
            <v>#N/A</v>
          </cell>
          <cell r="Y583">
            <v>0</v>
          </cell>
          <cell r="Z583">
            <v>0</v>
          </cell>
          <cell r="AA583">
            <v>14000</v>
          </cell>
          <cell r="AB583">
            <v>0</v>
          </cell>
          <cell r="AC583">
            <v>14000</v>
          </cell>
          <cell r="AD583">
            <v>14000</v>
          </cell>
          <cell r="AE583">
            <v>0</v>
          </cell>
          <cell r="AF583">
            <v>14000</v>
          </cell>
          <cell r="AG583" t="str">
            <v>ENGR. MICHAEL C. SALARDA
MS. LEONARDA M. LATOR
MS. CARMENCITA VALDEZ
MS. SORAYA P. VERGARA</v>
          </cell>
          <cell r="AH583" t="str">
            <v>N/A</v>
          </cell>
          <cell r="AI583" t="str">
            <v>N/A</v>
          </cell>
          <cell r="AJ583" t="str">
            <v>N/A</v>
          </cell>
          <cell r="AK583" t="str">
            <v>N/A</v>
          </cell>
          <cell r="AL583" t="str">
            <v>N/A</v>
          </cell>
          <cell r="AM583" t="str">
            <v>N/A</v>
          </cell>
          <cell r="AN583">
            <v>0</v>
          </cell>
          <cell r="AO583">
            <v>0</v>
          </cell>
        </row>
        <row r="584">
          <cell r="A584" t="str">
            <v>24-C1213</v>
          </cell>
          <cell r="B584" t="str">
            <v>ABSORBENT GAUZE SPONGE, OXYGEN MASK, RESUSCITATOR, SURGICAL MASK</v>
          </cell>
          <cell r="C584" t="str">
            <v>PDRRMO</v>
          </cell>
          <cell r="D584" t="str">
            <v>No</v>
          </cell>
          <cell r="E584" t="str">
            <v>NP-53.9 - Small Value Procurement</v>
          </cell>
          <cell r="F584" t="str">
            <v>N/A</v>
          </cell>
          <cell r="G584">
            <v>45390</v>
          </cell>
          <cell r="H584">
            <v>0</v>
          </cell>
          <cell r="I584" t="str">
            <v>N/A</v>
          </cell>
          <cell r="J584">
            <v>45412</v>
          </cell>
          <cell r="K584">
            <v>45412</v>
          </cell>
          <cell r="L584">
            <v>0</v>
          </cell>
          <cell r="M584" t="str">
            <v>N/A</v>
          </cell>
          <cell r="N584" t="str">
            <v>N/A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45464</v>
          </cell>
          <cell r="Y584">
            <v>0</v>
          </cell>
          <cell r="Z584">
            <v>0</v>
          </cell>
          <cell r="AA584">
            <v>32420</v>
          </cell>
          <cell r="AB584">
            <v>0</v>
          </cell>
          <cell r="AC584">
            <v>32420</v>
          </cell>
          <cell r="AD584">
            <v>32338</v>
          </cell>
          <cell r="AE584">
            <v>0</v>
          </cell>
          <cell r="AF584">
            <v>32338</v>
          </cell>
          <cell r="AG584" t="str">
            <v>ENGR. MICHAEL C. SALARDA
MS. LEONARDA M. LATOR
MS. CARMENCITA VALDEZ
MS. SORAYA P. VERGARA</v>
          </cell>
          <cell r="AH584" t="str">
            <v>N/A</v>
          </cell>
          <cell r="AI584" t="str">
            <v>N/A</v>
          </cell>
          <cell r="AJ584" t="str">
            <v>N/A</v>
          </cell>
          <cell r="AK584" t="str">
            <v>N/A</v>
          </cell>
          <cell r="AL584" t="str">
            <v>N/A</v>
          </cell>
          <cell r="AM584" t="str">
            <v>N/A</v>
          </cell>
          <cell r="AN584">
            <v>0</v>
          </cell>
          <cell r="AO584">
            <v>0</v>
          </cell>
        </row>
        <row r="585">
          <cell r="A585" t="str">
            <v>24-1757</v>
          </cell>
          <cell r="B585" t="str">
            <v>SPAREPARTS (LIGHT VEHICLES)</v>
          </cell>
          <cell r="C585" t="str">
            <v>PGSO</v>
          </cell>
          <cell r="D585" t="str">
            <v>No</v>
          </cell>
          <cell r="E585" t="str">
            <v>NP-53.9 - Small Value Procurement</v>
          </cell>
          <cell r="F585">
            <v>45384</v>
          </cell>
          <cell r="G585">
            <v>45390</v>
          </cell>
          <cell r="H585">
            <v>0</v>
          </cell>
          <cell r="I585" t="str">
            <v>N/A</v>
          </cell>
          <cell r="J585">
            <v>45412</v>
          </cell>
          <cell r="K585">
            <v>45412</v>
          </cell>
          <cell r="L585">
            <v>0</v>
          </cell>
          <cell r="M585" t="str">
            <v>N/A</v>
          </cell>
          <cell r="N585" t="str">
            <v>N/A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 t="e">
            <v>#N/A</v>
          </cell>
          <cell r="Y585">
            <v>0</v>
          </cell>
          <cell r="Z585">
            <v>0</v>
          </cell>
          <cell r="AA585">
            <v>3500</v>
          </cell>
          <cell r="AB585">
            <v>0</v>
          </cell>
          <cell r="AC585">
            <v>3500</v>
          </cell>
          <cell r="AD585">
            <v>3500</v>
          </cell>
          <cell r="AE585">
            <v>0</v>
          </cell>
          <cell r="AF585">
            <v>3500</v>
          </cell>
          <cell r="AG585" t="str">
            <v>ENGR. MICHAEL C. SALARDA
MS. LEONARDA M. LATOR
MS. CARMENCITA VALDEZ
MS. SORAYA P. VERGARA</v>
          </cell>
          <cell r="AH585" t="str">
            <v>N/A</v>
          </cell>
          <cell r="AI585" t="str">
            <v>N/A</v>
          </cell>
          <cell r="AJ585" t="str">
            <v>N/A</v>
          </cell>
          <cell r="AK585" t="str">
            <v>N/A</v>
          </cell>
          <cell r="AL585" t="str">
            <v>N/A</v>
          </cell>
          <cell r="AM585" t="str">
            <v>N/A</v>
          </cell>
          <cell r="AN585">
            <v>0</v>
          </cell>
          <cell r="AO585">
            <v>0</v>
          </cell>
        </row>
        <row r="586">
          <cell r="A586" t="str">
            <v>24-C1176</v>
          </cell>
          <cell r="B586" t="str">
            <v>COMPUTER SUPPLIES</v>
          </cell>
          <cell r="C586" t="str">
            <v>PHO</v>
          </cell>
          <cell r="D586" t="str">
            <v>No</v>
          </cell>
          <cell r="E586" t="str">
            <v>NP-53.9 - Small Value Procurement</v>
          </cell>
          <cell r="F586" t="str">
            <v>N/A</v>
          </cell>
          <cell r="G586">
            <v>45390</v>
          </cell>
          <cell r="H586">
            <v>0</v>
          </cell>
          <cell r="I586" t="str">
            <v>N/A</v>
          </cell>
          <cell r="J586">
            <v>45412</v>
          </cell>
          <cell r="K586">
            <v>45412</v>
          </cell>
          <cell r="L586">
            <v>0</v>
          </cell>
          <cell r="M586" t="str">
            <v>N/A</v>
          </cell>
          <cell r="N586" t="str">
            <v>N/A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45443</v>
          </cell>
          <cell r="Y586">
            <v>0</v>
          </cell>
          <cell r="Z586">
            <v>0</v>
          </cell>
          <cell r="AA586">
            <v>18424</v>
          </cell>
          <cell r="AB586">
            <v>0</v>
          </cell>
          <cell r="AC586">
            <v>18424</v>
          </cell>
          <cell r="AD586">
            <v>17970</v>
          </cell>
          <cell r="AE586">
            <v>0</v>
          </cell>
          <cell r="AF586">
            <v>17970</v>
          </cell>
          <cell r="AG586" t="str">
            <v>ENGR. MICHAEL C. SALARDA
MS. LEONARDA M. LATOR
MS. CARMENCITA VALDEZ
MS. SORAYA P. VERGARA</v>
          </cell>
          <cell r="AH586" t="str">
            <v>N/A</v>
          </cell>
          <cell r="AI586" t="str">
            <v>N/A</v>
          </cell>
          <cell r="AJ586" t="str">
            <v>N/A</v>
          </cell>
          <cell r="AK586" t="str">
            <v>N/A</v>
          </cell>
          <cell r="AL586" t="str">
            <v>N/A</v>
          </cell>
          <cell r="AM586" t="str">
            <v>N/A</v>
          </cell>
          <cell r="AN586">
            <v>0</v>
          </cell>
          <cell r="AO586">
            <v>0</v>
          </cell>
        </row>
        <row r="587">
          <cell r="A587" t="str">
            <v>24-1750</v>
          </cell>
          <cell r="B587" t="str">
            <v>SPAREPARTS (LIGHT VEHICLES)</v>
          </cell>
          <cell r="C587" t="str">
            <v>PGSO</v>
          </cell>
          <cell r="D587" t="str">
            <v>No</v>
          </cell>
          <cell r="E587" t="str">
            <v>NP-53.9 - Small Value Procurement</v>
          </cell>
          <cell r="F587">
            <v>45384</v>
          </cell>
          <cell r="G587">
            <v>45390</v>
          </cell>
          <cell r="H587">
            <v>0</v>
          </cell>
          <cell r="I587" t="str">
            <v>N/A</v>
          </cell>
          <cell r="J587">
            <v>45412</v>
          </cell>
          <cell r="K587">
            <v>45412</v>
          </cell>
          <cell r="L587">
            <v>0</v>
          </cell>
          <cell r="M587" t="str">
            <v>N/A</v>
          </cell>
          <cell r="N587" t="str">
            <v>N/A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 t="e">
            <v>#N/A</v>
          </cell>
          <cell r="Y587">
            <v>0</v>
          </cell>
          <cell r="Z587">
            <v>0</v>
          </cell>
          <cell r="AA587">
            <v>5300</v>
          </cell>
          <cell r="AB587">
            <v>0</v>
          </cell>
          <cell r="AC587">
            <v>5300</v>
          </cell>
          <cell r="AD587">
            <v>5300</v>
          </cell>
          <cell r="AE587">
            <v>0</v>
          </cell>
          <cell r="AF587">
            <v>5300</v>
          </cell>
          <cell r="AG587" t="str">
            <v>ENGR. MICHAEL C. SALARDA
MS. LEONARDA M. LATOR
MS. CARMENCITA VALDEZ
MS. SORAYA P. VERGARA</v>
          </cell>
          <cell r="AH587" t="str">
            <v>N/A</v>
          </cell>
          <cell r="AI587" t="str">
            <v>N/A</v>
          </cell>
          <cell r="AJ587" t="str">
            <v>N/A</v>
          </cell>
          <cell r="AK587" t="str">
            <v>N/A</v>
          </cell>
          <cell r="AL587" t="str">
            <v>N/A</v>
          </cell>
          <cell r="AM587" t="str">
            <v>N/A</v>
          </cell>
          <cell r="AN587">
            <v>0</v>
          </cell>
          <cell r="AO587">
            <v>0</v>
          </cell>
        </row>
        <row r="588">
          <cell r="A588" t="str">
            <v>24-1959</v>
          </cell>
          <cell r="B588" t="str">
            <v>PLAQUE</v>
          </cell>
          <cell r="C588" t="str">
            <v>PHO</v>
          </cell>
          <cell r="D588" t="str">
            <v>No</v>
          </cell>
          <cell r="E588" t="str">
            <v>NP-53.9 - Small Value Procurement</v>
          </cell>
          <cell r="F588" t="str">
            <v>N/A</v>
          </cell>
          <cell r="G588">
            <v>45397</v>
          </cell>
          <cell r="H588">
            <v>0</v>
          </cell>
          <cell r="I588" t="str">
            <v>N/A</v>
          </cell>
          <cell r="J588">
            <v>45412</v>
          </cell>
          <cell r="K588">
            <v>45412</v>
          </cell>
          <cell r="L588">
            <v>0</v>
          </cell>
          <cell r="M588" t="str">
            <v>N/A</v>
          </cell>
          <cell r="N588" t="str">
            <v>N/A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 t="e">
            <v>#N/A</v>
          </cell>
          <cell r="Y588">
            <v>0</v>
          </cell>
          <cell r="Z588">
            <v>0</v>
          </cell>
          <cell r="AA588">
            <v>9500</v>
          </cell>
          <cell r="AB588">
            <v>0</v>
          </cell>
          <cell r="AC588">
            <v>9500</v>
          </cell>
          <cell r="AD588">
            <v>9500</v>
          </cell>
          <cell r="AE588">
            <v>0</v>
          </cell>
          <cell r="AF588">
            <v>9500</v>
          </cell>
          <cell r="AG588" t="str">
            <v>ENGR. MICHAEL C. SALARDA
MS. LEONARDA M. LATOR
MS. CARMENCITA VALDEZ
MS. SORAYA P. VERGARA</v>
          </cell>
          <cell r="AH588" t="str">
            <v>N/A</v>
          </cell>
          <cell r="AI588" t="str">
            <v>N/A</v>
          </cell>
          <cell r="AJ588" t="str">
            <v>N/A</v>
          </cell>
          <cell r="AK588" t="str">
            <v>N/A</v>
          </cell>
          <cell r="AL588" t="str">
            <v>N/A</v>
          </cell>
          <cell r="AM588" t="str">
            <v>N/A</v>
          </cell>
          <cell r="AN588">
            <v>0</v>
          </cell>
          <cell r="AO588">
            <v>0</v>
          </cell>
        </row>
        <row r="589">
          <cell r="A589" t="str">
            <v>24-C1324</v>
          </cell>
          <cell r="B589" t="str">
            <v>MINERAL WATER</v>
          </cell>
          <cell r="C589" t="str">
            <v>PEEMO</v>
          </cell>
          <cell r="D589" t="str">
            <v>No</v>
          </cell>
          <cell r="E589" t="str">
            <v>NP-53.9 - Small Value Procurement</v>
          </cell>
          <cell r="F589" t="str">
            <v>N/A</v>
          </cell>
          <cell r="G589">
            <v>45397</v>
          </cell>
          <cell r="H589">
            <v>0</v>
          </cell>
          <cell r="I589" t="str">
            <v>N/A</v>
          </cell>
          <cell r="J589">
            <v>45412</v>
          </cell>
          <cell r="K589">
            <v>45412</v>
          </cell>
          <cell r="L589">
            <v>0</v>
          </cell>
          <cell r="M589" t="str">
            <v>N/A</v>
          </cell>
          <cell r="N589" t="str">
            <v>N/A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49200</v>
          </cell>
          <cell r="AB589">
            <v>0</v>
          </cell>
          <cell r="AC589">
            <v>49200</v>
          </cell>
          <cell r="AD589">
            <v>48000</v>
          </cell>
          <cell r="AE589">
            <v>0</v>
          </cell>
          <cell r="AF589">
            <v>48000</v>
          </cell>
          <cell r="AG589" t="str">
            <v>ENGR. MICHAEL C. SALARDA
MS. LEONARDA M. LATOR
MS. CARMENCITA VALDEZ
MS. SORAYA P. VERGARA</v>
          </cell>
          <cell r="AH589" t="str">
            <v>N/A</v>
          </cell>
          <cell r="AI589" t="str">
            <v>N/A</v>
          </cell>
          <cell r="AJ589" t="str">
            <v>N/A</v>
          </cell>
          <cell r="AK589" t="str">
            <v>N/A</v>
          </cell>
          <cell r="AL589" t="str">
            <v>N/A</v>
          </cell>
          <cell r="AM589" t="str">
            <v>N/A</v>
          </cell>
          <cell r="AN589">
            <v>0</v>
          </cell>
          <cell r="AO589">
            <v>0</v>
          </cell>
        </row>
        <row r="590">
          <cell r="A590" t="str">
            <v>24-1720</v>
          </cell>
          <cell r="B590" t="str">
            <v>SPAREPARTS (MOTORCYCLE)</v>
          </cell>
          <cell r="C590" t="str">
            <v>PGSO</v>
          </cell>
          <cell r="D590" t="str">
            <v>No</v>
          </cell>
          <cell r="E590" t="str">
            <v>NP-53.9 - Small Value Procurement</v>
          </cell>
          <cell r="F590">
            <v>45384</v>
          </cell>
          <cell r="G590">
            <v>45390</v>
          </cell>
          <cell r="H590">
            <v>0</v>
          </cell>
          <cell r="I590" t="str">
            <v>N/A</v>
          </cell>
          <cell r="J590">
            <v>45412</v>
          </cell>
          <cell r="K590">
            <v>45412</v>
          </cell>
          <cell r="L590">
            <v>0</v>
          </cell>
          <cell r="M590" t="str">
            <v>N/A</v>
          </cell>
          <cell r="N590" t="str">
            <v>N/A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 t="e">
            <v>#N/A</v>
          </cell>
          <cell r="Y590">
            <v>0</v>
          </cell>
          <cell r="Z590">
            <v>0</v>
          </cell>
          <cell r="AA590">
            <v>6850</v>
          </cell>
          <cell r="AB590">
            <v>0</v>
          </cell>
          <cell r="AC590">
            <v>6850</v>
          </cell>
          <cell r="AD590">
            <v>6850</v>
          </cell>
          <cell r="AE590">
            <v>0</v>
          </cell>
          <cell r="AF590">
            <v>6850</v>
          </cell>
          <cell r="AG590" t="str">
            <v>ENGR. MICHAEL C. SALARDA
MS. LEONARDA M. LATOR
MS. CARMENCITA VALDEZ
MS. SORAYA P. VERGARA</v>
          </cell>
          <cell r="AH590" t="str">
            <v>N/A</v>
          </cell>
          <cell r="AI590" t="str">
            <v>N/A</v>
          </cell>
          <cell r="AJ590" t="str">
            <v>N/A</v>
          </cell>
          <cell r="AK590" t="str">
            <v>N/A</v>
          </cell>
          <cell r="AL590" t="str">
            <v>N/A</v>
          </cell>
          <cell r="AM590" t="str">
            <v>N/A</v>
          </cell>
          <cell r="AN590">
            <v>0</v>
          </cell>
          <cell r="AO590">
            <v>0</v>
          </cell>
        </row>
        <row r="591">
          <cell r="A591" t="str">
            <v>24-1898</v>
          </cell>
          <cell r="B591" t="str">
            <v>MEDICAL SUPPLIES</v>
          </cell>
          <cell r="C591" t="str">
            <v>PGO</v>
          </cell>
          <cell r="D591" t="str">
            <v>No</v>
          </cell>
          <cell r="E591" t="str">
            <v>NP-53.9 - Small Value Procurement</v>
          </cell>
          <cell r="F591">
            <v>45390</v>
          </cell>
          <cell r="G591">
            <v>45397</v>
          </cell>
          <cell r="H591">
            <v>0</v>
          </cell>
          <cell r="I591" t="str">
            <v>N/A</v>
          </cell>
          <cell r="J591">
            <v>45412</v>
          </cell>
          <cell r="K591">
            <v>45412</v>
          </cell>
          <cell r="L591">
            <v>0</v>
          </cell>
          <cell r="M591" t="str">
            <v>N/A</v>
          </cell>
          <cell r="N591" t="str">
            <v>N/A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 t="e">
            <v>#N/A</v>
          </cell>
          <cell r="Y591">
            <v>0</v>
          </cell>
          <cell r="Z591">
            <v>0</v>
          </cell>
          <cell r="AA591">
            <v>115000</v>
          </cell>
          <cell r="AB591">
            <v>0</v>
          </cell>
          <cell r="AC591">
            <v>115000</v>
          </cell>
          <cell r="AD591">
            <v>84500</v>
          </cell>
          <cell r="AE591">
            <v>0</v>
          </cell>
          <cell r="AF591">
            <v>84500</v>
          </cell>
          <cell r="AG591" t="str">
            <v>ENGR. MICHAEL C. SALARDA
MS. LEONARDA M. LATOR
MS. CARMENCITA VALDEZ
MS. SORAYA P. VERGARA</v>
          </cell>
          <cell r="AH591" t="str">
            <v>N/A</v>
          </cell>
          <cell r="AI591" t="str">
            <v>N/A</v>
          </cell>
          <cell r="AJ591" t="str">
            <v>N/A</v>
          </cell>
          <cell r="AK591" t="str">
            <v>N/A</v>
          </cell>
          <cell r="AL591" t="str">
            <v>N/A</v>
          </cell>
          <cell r="AM591" t="str">
            <v>N/A</v>
          </cell>
          <cell r="AN591">
            <v>0</v>
          </cell>
          <cell r="AO591">
            <v>0</v>
          </cell>
        </row>
        <row r="592">
          <cell r="A592" t="str">
            <v>24-C1263</v>
          </cell>
          <cell r="B592" t="str">
            <v>CONSTRUCTION SUPPLIES</v>
          </cell>
          <cell r="C592" t="str">
            <v>PDRRMO</v>
          </cell>
          <cell r="D592" t="str">
            <v>No</v>
          </cell>
          <cell r="E592" t="str">
            <v>NP-53.9 - Small Value Procurement</v>
          </cell>
          <cell r="F592">
            <v>45398</v>
          </cell>
          <cell r="G592">
            <v>45408</v>
          </cell>
          <cell r="H592">
            <v>0</v>
          </cell>
          <cell r="I592" t="str">
            <v>N/A</v>
          </cell>
          <cell r="J592">
            <v>45412</v>
          </cell>
          <cell r="K592">
            <v>45412</v>
          </cell>
          <cell r="L592">
            <v>0</v>
          </cell>
          <cell r="M592" t="str">
            <v>N/A</v>
          </cell>
          <cell r="N592" t="str">
            <v>N/A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45446</v>
          </cell>
          <cell r="Y592">
            <v>0</v>
          </cell>
          <cell r="Z592">
            <v>0</v>
          </cell>
          <cell r="AA592">
            <v>86286</v>
          </cell>
          <cell r="AB592">
            <v>0</v>
          </cell>
          <cell r="AC592">
            <v>86286</v>
          </cell>
          <cell r="AD592">
            <v>86044</v>
          </cell>
          <cell r="AE592">
            <v>0</v>
          </cell>
          <cell r="AF592">
            <v>86044</v>
          </cell>
          <cell r="AG592" t="str">
            <v>ENGR. MICHAEL C. SALARDA
MS. LEONARDA M. LATOR
MS. CARMENCITA VALDEZ
MS. SORAYA P. VERGARA</v>
          </cell>
          <cell r="AH592" t="str">
            <v>N/A</v>
          </cell>
          <cell r="AI592" t="str">
            <v>N/A</v>
          </cell>
          <cell r="AJ592" t="str">
            <v>N/A</v>
          </cell>
          <cell r="AK592" t="str">
            <v>N/A</v>
          </cell>
          <cell r="AL592" t="str">
            <v>N/A</v>
          </cell>
          <cell r="AM592" t="str">
            <v>N/A</v>
          </cell>
          <cell r="AN592">
            <v>0</v>
          </cell>
          <cell r="AO592">
            <v>0</v>
          </cell>
        </row>
        <row r="593">
          <cell r="A593" t="str">
            <v>24-C1151</v>
          </cell>
          <cell r="B593" t="str">
            <v>CONSTRUCTION SUPPLIES</v>
          </cell>
          <cell r="C593" t="str">
            <v>PVGO</v>
          </cell>
          <cell r="D593" t="str">
            <v>No</v>
          </cell>
          <cell r="E593" t="str">
            <v>NP-53.9 - Small Value Procurement</v>
          </cell>
          <cell r="F593">
            <v>45398</v>
          </cell>
          <cell r="G593">
            <v>45408</v>
          </cell>
          <cell r="H593">
            <v>0</v>
          </cell>
          <cell r="I593" t="str">
            <v>N/A</v>
          </cell>
          <cell r="J593">
            <v>45412</v>
          </cell>
          <cell r="K593">
            <v>45412</v>
          </cell>
          <cell r="L593">
            <v>0</v>
          </cell>
          <cell r="M593" t="str">
            <v>N/A</v>
          </cell>
          <cell r="N593" t="str">
            <v>N/A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45464</v>
          </cell>
          <cell r="Y593">
            <v>0</v>
          </cell>
          <cell r="Z593">
            <v>0</v>
          </cell>
          <cell r="AA593">
            <v>64762</v>
          </cell>
          <cell r="AB593">
            <v>0</v>
          </cell>
          <cell r="AC593">
            <v>64762</v>
          </cell>
          <cell r="AD593">
            <v>63725</v>
          </cell>
          <cell r="AE593">
            <v>0</v>
          </cell>
          <cell r="AF593">
            <v>63725</v>
          </cell>
          <cell r="AG593" t="str">
            <v>ENGR. MICHAEL C. SALARDA
MS. LEONARDA M. LATOR
MS. CARMENCITA VALDEZ
MS. SORAYA P. VERGARA</v>
          </cell>
          <cell r="AH593" t="str">
            <v>N/A</v>
          </cell>
          <cell r="AI593" t="str">
            <v>N/A</v>
          </cell>
          <cell r="AJ593" t="str">
            <v>N/A</v>
          </cell>
          <cell r="AK593" t="str">
            <v>N/A</v>
          </cell>
          <cell r="AL593" t="str">
            <v>N/A</v>
          </cell>
          <cell r="AM593" t="str">
            <v>N/A</v>
          </cell>
          <cell r="AN593">
            <v>0</v>
          </cell>
          <cell r="AO593">
            <v>0</v>
          </cell>
        </row>
        <row r="594">
          <cell r="A594" t="str">
            <v>24-0761</v>
          </cell>
          <cell r="B594" t="str">
            <v>FEED INGREDIENTS</v>
          </cell>
          <cell r="C594" t="str">
            <v>PAGRO</v>
          </cell>
          <cell r="D594" t="str">
            <v>No</v>
          </cell>
          <cell r="E594" t="str">
            <v>NP-53.9 - Small Value Procurement</v>
          </cell>
          <cell r="F594" t="str">
            <v>N/A</v>
          </cell>
          <cell r="G594">
            <v>45371</v>
          </cell>
          <cell r="H594">
            <v>0</v>
          </cell>
          <cell r="I594" t="str">
            <v>N/A</v>
          </cell>
          <cell r="J594">
            <v>45412</v>
          </cell>
          <cell r="K594">
            <v>45412</v>
          </cell>
          <cell r="L594">
            <v>0</v>
          </cell>
          <cell r="M594" t="str">
            <v>N/A</v>
          </cell>
          <cell r="N594" t="str">
            <v>N/A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 t="e">
            <v>#N/A</v>
          </cell>
          <cell r="Y594">
            <v>0</v>
          </cell>
          <cell r="Z594">
            <v>0</v>
          </cell>
          <cell r="AA594">
            <v>96470</v>
          </cell>
          <cell r="AB594">
            <v>0</v>
          </cell>
          <cell r="AC594">
            <v>96470</v>
          </cell>
          <cell r="AD594">
            <v>96045</v>
          </cell>
          <cell r="AE594">
            <v>0</v>
          </cell>
          <cell r="AF594">
            <v>96045</v>
          </cell>
          <cell r="AG594" t="str">
            <v>ENGR. MICHAEL C. SALARDA
MS. LEONARDA M. LATOR
MS. CARMENCITA VALDEZ
MS. SORAYA P. VERGARA</v>
          </cell>
          <cell r="AH594" t="str">
            <v>N/A</v>
          </cell>
          <cell r="AI594" t="str">
            <v>N/A</v>
          </cell>
          <cell r="AJ594" t="str">
            <v>N/A</v>
          </cell>
          <cell r="AK594" t="str">
            <v>N/A</v>
          </cell>
          <cell r="AL594" t="str">
            <v>N/A</v>
          </cell>
          <cell r="AM594" t="str">
            <v>N/A</v>
          </cell>
          <cell r="AN594">
            <v>0</v>
          </cell>
          <cell r="AO594">
            <v>0</v>
          </cell>
        </row>
        <row r="595">
          <cell r="A595" t="str">
            <v>24-1921</v>
          </cell>
          <cell r="B595" t="str">
            <v>FOOD/CATERING SERVICES</v>
          </cell>
          <cell r="C595" t="str">
            <v>PGO</v>
          </cell>
          <cell r="D595" t="str">
            <v>No</v>
          </cell>
          <cell r="E595" t="str">
            <v>NP-53.9 - Small Value Procurement</v>
          </cell>
          <cell r="F595" t="str">
            <v>N/A</v>
          </cell>
          <cell r="G595">
            <v>45404</v>
          </cell>
          <cell r="H595">
            <v>0</v>
          </cell>
          <cell r="I595" t="str">
            <v>N/A</v>
          </cell>
          <cell r="J595">
            <v>45412</v>
          </cell>
          <cell r="K595">
            <v>45412</v>
          </cell>
          <cell r="L595">
            <v>0</v>
          </cell>
          <cell r="M595" t="str">
            <v>N/A</v>
          </cell>
          <cell r="N595" t="str">
            <v>N/A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 t="e">
            <v>#N/A</v>
          </cell>
          <cell r="Y595">
            <v>0</v>
          </cell>
          <cell r="Z595">
            <v>0</v>
          </cell>
          <cell r="AA595">
            <v>375000</v>
          </cell>
          <cell r="AB595">
            <v>0</v>
          </cell>
          <cell r="AC595">
            <v>375000</v>
          </cell>
          <cell r="AD595">
            <v>375000</v>
          </cell>
          <cell r="AE595">
            <v>0</v>
          </cell>
          <cell r="AF595">
            <v>375000</v>
          </cell>
          <cell r="AG595" t="str">
            <v>ENGR. MICHAEL C. SALARDA
MS. LEONARDA M. LATOR
MS. CARMENCITA VALDEZ
MS. SORAYA P. VERGARA</v>
          </cell>
          <cell r="AH595" t="str">
            <v>N/A</v>
          </cell>
          <cell r="AI595" t="str">
            <v>N/A</v>
          </cell>
          <cell r="AJ595" t="str">
            <v>N/A</v>
          </cell>
          <cell r="AK595" t="str">
            <v>N/A</v>
          </cell>
          <cell r="AL595" t="str">
            <v>N/A</v>
          </cell>
          <cell r="AM595" t="str">
            <v>N/A</v>
          </cell>
          <cell r="AN595">
            <v>0</v>
          </cell>
          <cell r="AO595">
            <v>0</v>
          </cell>
        </row>
        <row r="596">
          <cell r="A596" t="str">
            <v>24-C1291</v>
          </cell>
          <cell r="B596" t="str">
            <v>OIL &amp; LUBRICANTS</v>
          </cell>
          <cell r="C596" t="str">
            <v>PEEMO</v>
          </cell>
          <cell r="D596" t="str">
            <v>No</v>
          </cell>
          <cell r="E596" t="str">
            <v>NP-53.9 - Small Value Procurement</v>
          </cell>
          <cell r="F596">
            <v>45384</v>
          </cell>
          <cell r="G596">
            <v>45390</v>
          </cell>
          <cell r="H596">
            <v>0</v>
          </cell>
          <cell r="I596" t="str">
            <v>N/A</v>
          </cell>
          <cell r="J596">
            <v>45412</v>
          </cell>
          <cell r="K596">
            <v>45412</v>
          </cell>
          <cell r="L596">
            <v>0</v>
          </cell>
          <cell r="M596" t="str">
            <v>N/A</v>
          </cell>
          <cell r="N596" t="str">
            <v>N/A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45440</v>
          </cell>
          <cell r="Y596">
            <v>0</v>
          </cell>
          <cell r="Z596">
            <v>0</v>
          </cell>
          <cell r="AA596">
            <v>155851.79999999999</v>
          </cell>
          <cell r="AB596">
            <v>0</v>
          </cell>
          <cell r="AC596">
            <v>155851.79999999999</v>
          </cell>
          <cell r="AD596">
            <v>155269</v>
          </cell>
          <cell r="AE596">
            <v>0</v>
          </cell>
          <cell r="AF596">
            <v>155269</v>
          </cell>
          <cell r="AG596" t="str">
            <v>ENGR. MICHAEL C. SALARDA
MS. LEONARDA M. LATOR
MS. CARMENCITA VALDEZ
MS. SORAYA P. VERGARA</v>
          </cell>
          <cell r="AH596" t="str">
            <v>N/A</v>
          </cell>
          <cell r="AI596" t="str">
            <v>N/A</v>
          </cell>
          <cell r="AJ596" t="str">
            <v>N/A</v>
          </cell>
          <cell r="AK596" t="str">
            <v>N/A</v>
          </cell>
          <cell r="AL596" t="str">
            <v>N/A</v>
          </cell>
          <cell r="AM596" t="str">
            <v>N/A</v>
          </cell>
          <cell r="AN596">
            <v>0</v>
          </cell>
          <cell r="AO596">
            <v>0</v>
          </cell>
        </row>
        <row r="597">
          <cell r="A597" t="str">
            <v>24-1916</v>
          </cell>
          <cell r="B597" t="str">
            <v>FOOD/CATERING SERVICES</v>
          </cell>
          <cell r="C597" t="str">
            <v>PGO</v>
          </cell>
          <cell r="D597" t="str">
            <v>No</v>
          </cell>
          <cell r="E597" t="str">
            <v>NP-53.9 - Small Value Procurement</v>
          </cell>
          <cell r="F597" t="str">
            <v>N/A</v>
          </cell>
          <cell r="G597">
            <v>45404</v>
          </cell>
          <cell r="H597">
            <v>0</v>
          </cell>
          <cell r="I597" t="str">
            <v>N/A</v>
          </cell>
          <cell r="J597">
            <v>45412</v>
          </cell>
          <cell r="K597">
            <v>45412</v>
          </cell>
          <cell r="L597">
            <v>0</v>
          </cell>
          <cell r="M597" t="str">
            <v>N/A</v>
          </cell>
          <cell r="N597" t="str">
            <v>N/A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 t="e">
            <v>#N/A</v>
          </cell>
          <cell r="Y597">
            <v>0</v>
          </cell>
          <cell r="Z597">
            <v>0</v>
          </cell>
          <cell r="AA597">
            <v>375000</v>
          </cell>
          <cell r="AB597">
            <v>0</v>
          </cell>
          <cell r="AC597">
            <v>375000</v>
          </cell>
          <cell r="AD597">
            <v>375000</v>
          </cell>
          <cell r="AE597">
            <v>0</v>
          </cell>
          <cell r="AF597">
            <v>375000</v>
          </cell>
          <cell r="AG597" t="str">
            <v>ENGR. MICHAEL C. SALARDA
MS. LEONARDA M. LATOR
MS. CARMENCITA VALDEZ
MS. SORAYA P. VERGARA</v>
          </cell>
          <cell r="AH597" t="str">
            <v>N/A</v>
          </cell>
          <cell r="AI597" t="str">
            <v>N/A</v>
          </cell>
          <cell r="AJ597" t="str">
            <v>N/A</v>
          </cell>
          <cell r="AK597" t="str">
            <v>N/A</v>
          </cell>
          <cell r="AL597" t="str">
            <v>N/A</v>
          </cell>
          <cell r="AM597" t="str">
            <v>N/A</v>
          </cell>
          <cell r="AN597">
            <v>0</v>
          </cell>
          <cell r="AO597">
            <v>0</v>
          </cell>
        </row>
        <row r="598">
          <cell r="A598" t="str">
            <v>24-1867</v>
          </cell>
          <cell r="B598" t="str">
            <v>FEED INGREDIENTS</v>
          </cell>
          <cell r="C598" t="str">
            <v>PAGRO</v>
          </cell>
          <cell r="D598" t="str">
            <v>No</v>
          </cell>
          <cell r="E598" t="str">
            <v>NP-53.9 - Small Value Procurement</v>
          </cell>
          <cell r="F598" t="str">
            <v>N/A</v>
          </cell>
          <cell r="G598">
            <v>45385</v>
          </cell>
          <cell r="H598">
            <v>0</v>
          </cell>
          <cell r="I598" t="str">
            <v>N/A</v>
          </cell>
          <cell r="J598">
            <v>45412</v>
          </cell>
          <cell r="K598">
            <v>45412</v>
          </cell>
          <cell r="L598">
            <v>0</v>
          </cell>
          <cell r="M598" t="str">
            <v>N/A</v>
          </cell>
          <cell r="N598" t="str">
            <v>N/A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 t="e">
            <v>#N/A</v>
          </cell>
          <cell r="Y598">
            <v>0</v>
          </cell>
          <cell r="Z598">
            <v>0</v>
          </cell>
          <cell r="AA598">
            <v>82110</v>
          </cell>
          <cell r="AB598">
            <v>0</v>
          </cell>
          <cell r="AC598">
            <v>82110</v>
          </cell>
          <cell r="AD598">
            <v>81756</v>
          </cell>
          <cell r="AE598">
            <v>0</v>
          </cell>
          <cell r="AF598">
            <v>81756</v>
          </cell>
          <cell r="AG598" t="str">
            <v>ENGR. MICHAEL C. SALARDA
MS. LEONARDA M. LATOR
MS. CARMENCITA VALDEZ
MS. SORAYA P. VERGARA</v>
          </cell>
          <cell r="AH598" t="str">
            <v>N/A</v>
          </cell>
          <cell r="AI598" t="str">
            <v>N/A</v>
          </cell>
          <cell r="AJ598" t="str">
            <v>N/A</v>
          </cell>
          <cell r="AK598" t="str">
            <v>N/A</v>
          </cell>
          <cell r="AL598" t="str">
            <v>N/A</v>
          </cell>
          <cell r="AM598" t="str">
            <v>N/A</v>
          </cell>
          <cell r="AN598">
            <v>0</v>
          </cell>
          <cell r="AO598">
            <v>0</v>
          </cell>
        </row>
        <row r="599">
          <cell r="A599" t="str">
            <v>24-C1321</v>
          </cell>
          <cell r="B599" t="str">
            <v>OFFICE SUPPLIES</v>
          </cell>
          <cell r="C599" t="str">
            <v>PEEMO</v>
          </cell>
          <cell r="D599" t="str">
            <v>No</v>
          </cell>
          <cell r="E599" t="str">
            <v>Shopping 52.1(b) - Regular Office Supplies and Equipment no available in PS</v>
          </cell>
          <cell r="F599">
            <v>45398</v>
          </cell>
          <cell r="G599">
            <v>45404</v>
          </cell>
          <cell r="H599">
            <v>0</v>
          </cell>
          <cell r="I599" t="str">
            <v>N/A</v>
          </cell>
          <cell r="J599">
            <v>45421</v>
          </cell>
          <cell r="K599">
            <v>45421</v>
          </cell>
          <cell r="L599">
            <v>0</v>
          </cell>
          <cell r="M599" t="str">
            <v>N/A</v>
          </cell>
          <cell r="N599" t="str">
            <v>N/A</v>
          </cell>
          <cell r="O599">
            <v>45425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45454</v>
          </cell>
          <cell r="Y599">
            <v>0</v>
          </cell>
          <cell r="Z599">
            <v>0</v>
          </cell>
          <cell r="AA599">
            <v>49971</v>
          </cell>
          <cell r="AB599">
            <v>0</v>
          </cell>
          <cell r="AC599">
            <v>49971</v>
          </cell>
          <cell r="AD599">
            <v>49910</v>
          </cell>
          <cell r="AE599">
            <v>0</v>
          </cell>
          <cell r="AF599">
            <v>49910</v>
          </cell>
          <cell r="AG599" t="str">
            <v>ENGR. MICHAEL C. SALARDA
MS. LEONARDA M. LATOR
MS. CARMENCITA VALDEZ
MS. SORAYA P. VERGARA</v>
          </cell>
          <cell r="AH599" t="str">
            <v>N/A</v>
          </cell>
          <cell r="AI599" t="str">
            <v>N/A</v>
          </cell>
          <cell r="AJ599" t="str">
            <v>N/A</v>
          </cell>
          <cell r="AK599" t="str">
            <v>N/A</v>
          </cell>
          <cell r="AL599" t="str">
            <v>N/A</v>
          </cell>
          <cell r="AM599" t="str">
            <v>N/A</v>
          </cell>
          <cell r="AN599">
            <v>0</v>
          </cell>
          <cell r="AO599">
            <v>0</v>
          </cell>
        </row>
        <row r="600">
          <cell r="A600" t="str">
            <v>24-C1132</v>
          </cell>
          <cell r="B600" t="str">
            <v>PAINTING MATERIALS</v>
          </cell>
          <cell r="C600" t="str">
            <v>PEO-Motorpool</v>
          </cell>
          <cell r="D600" t="str">
            <v>No</v>
          </cell>
          <cell r="E600" t="str">
            <v>NP-53.9 - Small Value Procurement</v>
          </cell>
          <cell r="F600">
            <v>45384</v>
          </cell>
          <cell r="G600">
            <v>45390</v>
          </cell>
          <cell r="H600">
            <v>0</v>
          </cell>
          <cell r="I600" t="str">
            <v>N/A</v>
          </cell>
          <cell r="J600">
            <v>45421</v>
          </cell>
          <cell r="K600">
            <v>45421</v>
          </cell>
          <cell r="L600">
            <v>0</v>
          </cell>
          <cell r="M600" t="str">
            <v>N/A</v>
          </cell>
          <cell r="N600" t="str">
            <v>N/A</v>
          </cell>
          <cell r="O600">
            <v>45425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274632</v>
          </cell>
          <cell r="AB600">
            <v>0</v>
          </cell>
          <cell r="AC600">
            <v>274632</v>
          </cell>
          <cell r="AD600">
            <v>271008</v>
          </cell>
          <cell r="AE600">
            <v>0</v>
          </cell>
          <cell r="AF600">
            <v>271008</v>
          </cell>
          <cell r="AG600" t="str">
            <v>ENGR. MICHAEL C. SALARDA
MS. LEONARDA M. LATOR
MS. CARMENCITA VALDEZ
MS. SORAYA P. VERGARA</v>
          </cell>
          <cell r="AH600" t="str">
            <v>N/A</v>
          </cell>
          <cell r="AI600" t="str">
            <v>N/A</v>
          </cell>
          <cell r="AJ600" t="str">
            <v>N/A</v>
          </cell>
          <cell r="AK600" t="str">
            <v>N/A</v>
          </cell>
          <cell r="AL600" t="str">
            <v>N/A</v>
          </cell>
          <cell r="AM600" t="str">
            <v>N/A</v>
          </cell>
          <cell r="AN600">
            <v>0</v>
          </cell>
          <cell r="AO600">
            <v>0</v>
          </cell>
        </row>
        <row r="601">
          <cell r="A601" t="str">
            <v>24-1715</v>
          </cell>
          <cell r="B601" t="str">
            <v>SPAREPARTS (MOTORCYCLE)</v>
          </cell>
          <cell r="C601" t="str">
            <v>PGSO</v>
          </cell>
          <cell r="D601" t="str">
            <v>No</v>
          </cell>
          <cell r="E601" t="str">
            <v>NP-53.9 - Small Value Procurement</v>
          </cell>
          <cell r="F601">
            <v>45384</v>
          </cell>
          <cell r="G601">
            <v>45390</v>
          </cell>
          <cell r="H601">
            <v>0</v>
          </cell>
          <cell r="I601" t="str">
            <v>N/A</v>
          </cell>
          <cell r="J601">
            <v>45421</v>
          </cell>
          <cell r="K601">
            <v>45421</v>
          </cell>
          <cell r="L601">
            <v>0</v>
          </cell>
          <cell r="M601" t="str">
            <v>N/A</v>
          </cell>
          <cell r="N601" t="str">
            <v>N/A</v>
          </cell>
          <cell r="O601">
            <v>45425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 t="e">
            <v>#N/A</v>
          </cell>
          <cell r="Y601">
            <v>0</v>
          </cell>
          <cell r="Z601">
            <v>0</v>
          </cell>
          <cell r="AA601">
            <v>6370</v>
          </cell>
          <cell r="AB601">
            <v>0</v>
          </cell>
          <cell r="AC601">
            <v>6370</v>
          </cell>
          <cell r="AD601">
            <v>6370</v>
          </cell>
          <cell r="AE601">
            <v>0</v>
          </cell>
          <cell r="AF601">
            <v>6370</v>
          </cell>
          <cell r="AG601" t="str">
            <v>ENGR. MICHAEL C. SALARDA
MS. LEONARDA M. LATOR
MS. CARMENCITA VALDEZ
MS. SORAYA P. VERGARA</v>
          </cell>
          <cell r="AH601" t="str">
            <v>N/A</v>
          </cell>
          <cell r="AI601" t="str">
            <v>N/A</v>
          </cell>
          <cell r="AJ601" t="str">
            <v>N/A</v>
          </cell>
          <cell r="AK601" t="str">
            <v>N/A</v>
          </cell>
          <cell r="AL601" t="str">
            <v>N/A</v>
          </cell>
          <cell r="AM601" t="str">
            <v>N/A</v>
          </cell>
          <cell r="AN601">
            <v>0</v>
          </cell>
          <cell r="AO601">
            <v>0</v>
          </cell>
        </row>
        <row r="602">
          <cell r="A602" t="str">
            <v>24-1107</v>
          </cell>
          <cell r="B602" t="str">
            <v>DRY SEAL</v>
          </cell>
          <cell r="C602" t="str">
            <v>PHO</v>
          </cell>
          <cell r="D602" t="str">
            <v>No</v>
          </cell>
          <cell r="E602" t="str">
            <v>NP-53.9 - Small Value Procurement</v>
          </cell>
          <cell r="F602" t="str">
            <v>N/A</v>
          </cell>
          <cell r="G602">
            <v>45363</v>
          </cell>
          <cell r="H602">
            <v>0</v>
          </cell>
          <cell r="I602" t="str">
            <v>N/A</v>
          </cell>
          <cell r="J602">
            <v>45421</v>
          </cell>
          <cell r="K602">
            <v>45421</v>
          </cell>
          <cell r="L602">
            <v>0</v>
          </cell>
          <cell r="M602" t="str">
            <v>N/A</v>
          </cell>
          <cell r="N602" t="str">
            <v>N/A</v>
          </cell>
          <cell r="O602">
            <v>45425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 t="e">
            <v>#N/A</v>
          </cell>
          <cell r="Y602">
            <v>0</v>
          </cell>
          <cell r="Z602">
            <v>0</v>
          </cell>
          <cell r="AA602">
            <v>5500</v>
          </cell>
          <cell r="AB602">
            <v>0</v>
          </cell>
          <cell r="AC602">
            <v>5500</v>
          </cell>
          <cell r="AD602">
            <v>5500</v>
          </cell>
          <cell r="AE602">
            <v>0</v>
          </cell>
          <cell r="AF602">
            <v>5500</v>
          </cell>
          <cell r="AG602" t="str">
            <v>ENGR. MICHAEL C. SALARDA
MS. LEONARDA M. LATOR
MS. CARMENCITA VALDEZ
MS. SORAYA P. VERGARA</v>
          </cell>
          <cell r="AH602" t="str">
            <v>N/A</v>
          </cell>
          <cell r="AI602" t="str">
            <v>N/A</v>
          </cell>
          <cell r="AJ602" t="str">
            <v>N/A</v>
          </cell>
          <cell r="AK602" t="str">
            <v>N/A</v>
          </cell>
          <cell r="AL602" t="str">
            <v>N/A</v>
          </cell>
          <cell r="AM602" t="str">
            <v>N/A</v>
          </cell>
          <cell r="AN602">
            <v>0</v>
          </cell>
          <cell r="AO602">
            <v>0</v>
          </cell>
        </row>
        <row r="603">
          <cell r="A603" t="str">
            <v>24-2388</v>
          </cell>
          <cell r="B603" t="str">
            <v>DAVAO DE ORO TOKEN</v>
          </cell>
          <cell r="C603" t="str">
            <v>PHRMDO</v>
          </cell>
          <cell r="D603" t="str">
            <v>No</v>
          </cell>
          <cell r="E603" t="str">
            <v>NP-53.9 - Small Value Procurement</v>
          </cell>
          <cell r="F603">
            <v>45407</v>
          </cell>
          <cell r="G603">
            <v>45412</v>
          </cell>
          <cell r="H603">
            <v>0</v>
          </cell>
          <cell r="I603" t="str">
            <v>N/A</v>
          </cell>
          <cell r="J603">
            <v>45421</v>
          </cell>
          <cell r="K603">
            <v>45421</v>
          </cell>
          <cell r="L603">
            <v>0</v>
          </cell>
          <cell r="M603" t="str">
            <v>N/A</v>
          </cell>
          <cell r="N603" t="str">
            <v>N/A</v>
          </cell>
          <cell r="O603">
            <v>45425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 t="e">
            <v>#N/A</v>
          </cell>
          <cell r="Y603">
            <v>0</v>
          </cell>
          <cell r="Z603">
            <v>0</v>
          </cell>
          <cell r="AA603">
            <v>148500</v>
          </cell>
          <cell r="AB603">
            <v>0</v>
          </cell>
          <cell r="AC603">
            <v>148500</v>
          </cell>
          <cell r="AD603">
            <v>123750</v>
          </cell>
          <cell r="AE603">
            <v>0</v>
          </cell>
          <cell r="AF603">
            <v>123750</v>
          </cell>
          <cell r="AG603" t="str">
            <v>ENGR. MICHAEL C. SALARDA
MS. LEONARDA M. LATOR
MS. CARMENCITA VALDEZ
MS. SORAYA P. VERGARA</v>
          </cell>
          <cell r="AH603" t="str">
            <v>N/A</v>
          </cell>
          <cell r="AI603" t="str">
            <v>N/A</v>
          </cell>
          <cell r="AJ603" t="str">
            <v>N/A</v>
          </cell>
          <cell r="AK603" t="str">
            <v>N/A</v>
          </cell>
          <cell r="AL603" t="str">
            <v>N/A</v>
          </cell>
          <cell r="AM603" t="str">
            <v>N/A</v>
          </cell>
          <cell r="AN603">
            <v>0</v>
          </cell>
          <cell r="AO603">
            <v>0</v>
          </cell>
        </row>
        <row r="604">
          <cell r="A604" t="str">
            <v>24-C1315</v>
          </cell>
          <cell r="B604" t="str">
            <v>TIRES</v>
          </cell>
          <cell r="C604" t="str">
            <v>PEEMO</v>
          </cell>
          <cell r="D604" t="str">
            <v>No</v>
          </cell>
          <cell r="E604" t="str">
            <v>NP-53.9 - Small Value Procurement</v>
          </cell>
          <cell r="F604">
            <v>45398</v>
          </cell>
          <cell r="G604">
            <v>45404</v>
          </cell>
          <cell r="H604">
            <v>0</v>
          </cell>
          <cell r="I604" t="str">
            <v>N/A</v>
          </cell>
          <cell r="J604">
            <v>45421</v>
          </cell>
          <cell r="K604">
            <v>45421</v>
          </cell>
          <cell r="L604">
            <v>0</v>
          </cell>
          <cell r="M604" t="str">
            <v>N/A</v>
          </cell>
          <cell r="N604" t="str">
            <v>N/A</v>
          </cell>
          <cell r="O604">
            <v>45425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199352</v>
          </cell>
          <cell r="AB604">
            <v>0</v>
          </cell>
          <cell r="AC604">
            <v>199352</v>
          </cell>
          <cell r="AD604">
            <v>173912</v>
          </cell>
          <cell r="AE604">
            <v>0</v>
          </cell>
          <cell r="AF604">
            <v>173912</v>
          </cell>
          <cell r="AG604" t="str">
            <v>ENGR. MICHAEL C. SALARDA
MS. LEONARDA M. LATOR
MS. CARMENCITA VALDEZ
MS. SORAYA P. VERGARA</v>
          </cell>
          <cell r="AH604" t="str">
            <v>N/A</v>
          </cell>
          <cell r="AI604" t="str">
            <v>N/A</v>
          </cell>
          <cell r="AJ604" t="str">
            <v>N/A</v>
          </cell>
          <cell r="AK604" t="str">
            <v>N/A</v>
          </cell>
          <cell r="AL604" t="str">
            <v>N/A</v>
          </cell>
          <cell r="AM604" t="str">
            <v>N/A</v>
          </cell>
          <cell r="AN604">
            <v>0</v>
          </cell>
          <cell r="AO604">
            <v>0</v>
          </cell>
        </row>
        <row r="605">
          <cell r="A605" t="str">
            <v>24-C1257</v>
          </cell>
          <cell r="B605" t="str">
            <v>FOOD/CATERING SERVICES</v>
          </cell>
          <cell r="C605" t="str">
            <v>PGO</v>
          </cell>
          <cell r="D605" t="str">
            <v>No</v>
          </cell>
          <cell r="E605" t="str">
            <v>NP-53.9 - Small Value Procurement</v>
          </cell>
          <cell r="F605">
            <v>45398</v>
          </cell>
          <cell r="G605">
            <v>45404</v>
          </cell>
          <cell r="H605">
            <v>0</v>
          </cell>
          <cell r="I605" t="str">
            <v>N/A</v>
          </cell>
          <cell r="J605">
            <v>45421</v>
          </cell>
          <cell r="K605">
            <v>45421</v>
          </cell>
          <cell r="L605">
            <v>0</v>
          </cell>
          <cell r="M605" t="str">
            <v>N/A</v>
          </cell>
          <cell r="N605" t="str">
            <v>N/A</v>
          </cell>
          <cell r="O605">
            <v>45425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99820</v>
          </cell>
          <cell r="AB605">
            <v>0</v>
          </cell>
          <cell r="AC605">
            <v>99820</v>
          </cell>
          <cell r="AD605">
            <v>99655</v>
          </cell>
          <cell r="AE605">
            <v>0</v>
          </cell>
          <cell r="AF605">
            <v>99655</v>
          </cell>
          <cell r="AG605" t="str">
            <v>ENGR. MICHAEL C. SALARDA
MS. LEONARDA M. LATOR
MS. CARMENCITA VALDEZ
MS. SORAYA P. VERGARA</v>
          </cell>
          <cell r="AH605" t="str">
            <v>N/A</v>
          </cell>
          <cell r="AI605" t="str">
            <v>N/A</v>
          </cell>
          <cell r="AJ605" t="str">
            <v>N/A</v>
          </cell>
          <cell r="AK605" t="str">
            <v>N/A</v>
          </cell>
          <cell r="AL605" t="str">
            <v>N/A</v>
          </cell>
          <cell r="AM605" t="str">
            <v>N/A</v>
          </cell>
          <cell r="AN605">
            <v>0</v>
          </cell>
          <cell r="AO605">
            <v>0</v>
          </cell>
        </row>
        <row r="606">
          <cell r="A606" t="str">
            <v>24-C1333</v>
          </cell>
          <cell r="B606" t="str">
            <v>FOOD/CATERING SERVICES</v>
          </cell>
          <cell r="C606" t="str">
            <v>PGSO</v>
          </cell>
          <cell r="D606" t="str">
            <v>No</v>
          </cell>
          <cell r="E606" t="str">
            <v>NP-53.9 - Small Value Procurement</v>
          </cell>
          <cell r="F606" t="str">
            <v>N/A</v>
          </cell>
          <cell r="G606">
            <v>45404</v>
          </cell>
          <cell r="H606">
            <v>0</v>
          </cell>
          <cell r="I606" t="str">
            <v>N/A</v>
          </cell>
          <cell r="J606">
            <v>45421</v>
          </cell>
          <cell r="K606">
            <v>45421</v>
          </cell>
          <cell r="L606">
            <v>0</v>
          </cell>
          <cell r="M606" t="str">
            <v>N/A</v>
          </cell>
          <cell r="N606" t="str">
            <v>N/A</v>
          </cell>
          <cell r="O606">
            <v>45425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20000</v>
          </cell>
          <cell r="AB606">
            <v>0</v>
          </cell>
          <cell r="AC606">
            <v>20000</v>
          </cell>
          <cell r="AD606">
            <v>19680</v>
          </cell>
          <cell r="AE606">
            <v>0</v>
          </cell>
          <cell r="AF606">
            <v>19680</v>
          </cell>
          <cell r="AG606" t="str">
            <v>ENGR. MICHAEL C. SALARDA
MS. LEONARDA M. LATOR
MS. CARMENCITA VALDEZ
MS. SORAYA P. VERGARA</v>
          </cell>
          <cell r="AH606" t="str">
            <v>N/A</v>
          </cell>
          <cell r="AI606" t="str">
            <v>N/A</v>
          </cell>
          <cell r="AJ606" t="str">
            <v>N/A</v>
          </cell>
          <cell r="AK606" t="str">
            <v>N/A</v>
          </cell>
          <cell r="AL606" t="str">
            <v>N/A</v>
          </cell>
          <cell r="AM606" t="str">
            <v>N/A</v>
          </cell>
          <cell r="AN606">
            <v>0</v>
          </cell>
          <cell r="AO606">
            <v>0</v>
          </cell>
        </row>
        <row r="607">
          <cell r="A607" t="str">
            <v>24-2220</v>
          </cell>
          <cell r="B607" t="str">
            <v>SPAREPARTS (MOTORCYCLE)</v>
          </cell>
          <cell r="C607" t="str">
            <v>PGSO</v>
          </cell>
          <cell r="D607" t="str">
            <v>No</v>
          </cell>
          <cell r="E607" t="str">
            <v>NP-53.9 - Small Value Procurement</v>
          </cell>
          <cell r="F607">
            <v>45398</v>
          </cell>
          <cell r="G607">
            <v>45404</v>
          </cell>
          <cell r="H607">
            <v>0</v>
          </cell>
          <cell r="I607" t="str">
            <v>N/A</v>
          </cell>
          <cell r="J607">
            <v>45421</v>
          </cell>
          <cell r="K607">
            <v>45421</v>
          </cell>
          <cell r="L607">
            <v>0</v>
          </cell>
          <cell r="M607" t="str">
            <v>N/A</v>
          </cell>
          <cell r="N607" t="str">
            <v>N/A</v>
          </cell>
          <cell r="O607">
            <v>45425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 t="e">
            <v>#N/A</v>
          </cell>
          <cell r="Y607">
            <v>0</v>
          </cell>
          <cell r="Z607">
            <v>0</v>
          </cell>
          <cell r="AA607">
            <v>2400</v>
          </cell>
          <cell r="AB607">
            <v>0</v>
          </cell>
          <cell r="AC607">
            <v>2400</v>
          </cell>
          <cell r="AD607">
            <v>2370</v>
          </cell>
          <cell r="AE607">
            <v>0</v>
          </cell>
          <cell r="AF607">
            <v>2370</v>
          </cell>
          <cell r="AG607" t="str">
            <v>ENGR. MICHAEL C. SALARDA
MS. LEONARDA M. LATOR
MS. CARMENCITA VALDEZ
MS. SORAYA P. VERGARA</v>
          </cell>
          <cell r="AH607" t="str">
            <v>N/A</v>
          </cell>
          <cell r="AI607" t="str">
            <v>N/A</v>
          </cell>
          <cell r="AJ607" t="str">
            <v>N/A</v>
          </cell>
          <cell r="AK607" t="str">
            <v>N/A</v>
          </cell>
          <cell r="AL607" t="str">
            <v>N/A</v>
          </cell>
          <cell r="AM607" t="str">
            <v>N/A</v>
          </cell>
          <cell r="AN607">
            <v>0</v>
          </cell>
          <cell r="AO607">
            <v>0</v>
          </cell>
        </row>
        <row r="608">
          <cell r="A608" t="str">
            <v>24-2228</v>
          </cell>
          <cell r="B608" t="str">
            <v>FOOD/CATERING SERVICES</v>
          </cell>
          <cell r="C608" t="str">
            <v>PGO</v>
          </cell>
          <cell r="D608" t="str">
            <v>No</v>
          </cell>
          <cell r="E608" t="str">
            <v>NP-53.9 - Small Value Procurement</v>
          </cell>
          <cell r="F608" t="str">
            <v>N/A</v>
          </cell>
          <cell r="G608">
            <v>45404</v>
          </cell>
          <cell r="H608">
            <v>0</v>
          </cell>
          <cell r="I608" t="str">
            <v>N/A</v>
          </cell>
          <cell r="J608">
            <v>45421</v>
          </cell>
          <cell r="K608">
            <v>45421</v>
          </cell>
          <cell r="L608">
            <v>0</v>
          </cell>
          <cell r="M608" t="str">
            <v>N/A</v>
          </cell>
          <cell r="N608" t="str">
            <v>N/A</v>
          </cell>
          <cell r="O608">
            <v>45425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 t="e">
            <v>#N/A</v>
          </cell>
          <cell r="Y608">
            <v>0</v>
          </cell>
          <cell r="Z608">
            <v>0</v>
          </cell>
          <cell r="AA608">
            <v>66300</v>
          </cell>
          <cell r="AB608">
            <v>0</v>
          </cell>
          <cell r="AC608">
            <v>66300</v>
          </cell>
          <cell r="AD608">
            <v>66202.5</v>
          </cell>
          <cell r="AE608">
            <v>0</v>
          </cell>
          <cell r="AF608">
            <v>66202.5</v>
          </cell>
          <cell r="AG608" t="str">
            <v>ENGR. MICHAEL C. SALARDA
MS. LEONARDA M. LATOR
MS. CARMENCITA VALDEZ
MS. SORAYA P. VERGARA</v>
          </cell>
          <cell r="AH608" t="str">
            <v>N/A</v>
          </cell>
          <cell r="AI608" t="str">
            <v>N/A</v>
          </cell>
          <cell r="AJ608" t="str">
            <v>N/A</v>
          </cell>
          <cell r="AK608" t="str">
            <v>N/A</v>
          </cell>
          <cell r="AL608" t="str">
            <v>N/A</v>
          </cell>
          <cell r="AM608" t="str">
            <v>N/A</v>
          </cell>
          <cell r="AN608">
            <v>0</v>
          </cell>
          <cell r="AO608">
            <v>0</v>
          </cell>
        </row>
        <row r="609">
          <cell r="A609" t="str">
            <v>24-C1275</v>
          </cell>
          <cell r="B609" t="str">
            <v>SPAREPARTS (MOTORCYCLE)</v>
          </cell>
          <cell r="C609" t="str">
            <v>PGSO</v>
          </cell>
          <cell r="D609" t="str">
            <v>No</v>
          </cell>
          <cell r="E609" t="str">
            <v>NP-53.9 - Small Value Procurement</v>
          </cell>
          <cell r="F609">
            <v>45398</v>
          </cell>
          <cell r="G609">
            <v>45404</v>
          </cell>
          <cell r="H609">
            <v>0</v>
          </cell>
          <cell r="I609" t="str">
            <v>N/A</v>
          </cell>
          <cell r="J609">
            <v>45421</v>
          </cell>
          <cell r="K609">
            <v>45421</v>
          </cell>
          <cell r="L609">
            <v>0</v>
          </cell>
          <cell r="M609" t="str">
            <v>N/A</v>
          </cell>
          <cell r="N609" t="str">
            <v>N/A</v>
          </cell>
          <cell r="O609">
            <v>45425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45454</v>
          </cell>
          <cell r="Y609">
            <v>0</v>
          </cell>
          <cell r="Z609">
            <v>0</v>
          </cell>
          <cell r="AA609">
            <v>17911</v>
          </cell>
          <cell r="AB609">
            <v>0</v>
          </cell>
          <cell r="AC609">
            <v>17911</v>
          </cell>
          <cell r="AD609">
            <v>17595</v>
          </cell>
          <cell r="AE609">
            <v>0</v>
          </cell>
          <cell r="AF609">
            <v>17595</v>
          </cell>
          <cell r="AG609" t="str">
            <v>ENGR. MICHAEL C. SALARDA
MS. LEONARDA M. LATOR
MS. CARMENCITA VALDEZ
MS. SORAYA P. VERGARA</v>
          </cell>
          <cell r="AH609" t="str">
            <v>N/A</v>
          </cell>
          <cell r="AI609" t="str">
            <v>N/A</v>
          </cell>
          <cell r="AJ609" t="str">
            <v>N/A</v>
          </cell>
          <cell r="AK609" t="str">
            <v>N/A</v>
          </cell>
          <cell r="AL609" t="str">
            <v>N/A</v>
          </cell>
          <cell r="AM609" t="str">
            <v>N/A</v>
          </cell>
          <cell r="AN609">
            <v>0</v>
          </cell>
          <cell r="AO609">
            <v>0</v>
          </cell>
        </row>
        <row r="610">
          <cell r="A610" t="str">
            <v>24-2351</v>
          </cell>
          <cell r="B610" t="str">
            <v>FOOD/CATERING SERVICES</v>
          </cell>
          <cell r="C610" t="str">
            <v>PTO</v>
          </cell>
          <cell r="D610" t="str">
            <v>No</v>
          </cell>
          <cell r="E610" t="str">
            <v>NP-53.9 - Small Value Procurement</v>
          </cell>
          <cell r="F610" t="str">
            <v>N/A</v>
          </cell>
          <cell r="G610">
            <v>45397</v>
          </cell>
          <cell r="H610">
            <v>0</v>
          </cell>
          <cell r="I610" t="str">
            <v>N/A</v>
          </cell>
          <cell r="J610">
            <v>45421</v>
          </cell>
          <cell r="K610">
            <v>45421</v>
          </cell>
          <cell r="L610">
            <v>0</v>
          </cell>
          <cell r="M610" t="str">
            <v>N/A</v>
          </cell>
          <cell r="N610" t="str">
            <v>N/A</v>
          </cell>
          <cell r="O610">
            <v>45425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 t="e">
            <v>#N/A</v>
          </cell>
          <cell r="Y610">
            <v>0</v>
          </cell>
          <cell r="Z610">
            <v>0</v>
          </cell>
          <cell r="AA610">
            <v>21000</v>
          </cell>
          <cell r="AB610">
            <v>0</v>
          </cell>
          <cell r="AC610">
            <v>21000</v>
          </cell>
          <cell r="AD610">
            <v>20850</v>
          </cell>
          <cell r="AE610">
            <v>0</v>
          </cell>
          <cell r="AF610">
            <v>20850</v>
          </cell>
          <cell r="AG610" t="str">
            <v>ENGR. MICHAEL C. SALARDA
MS. LEONARDA M. LATOR
MS. CARMENCITA VALDEZ
MS. SORAYA P. VERGARA</v>
          </cell>
          <cell r="AH610" t="str">
            <v>N/A</v>
          </cell>
          <cell r="AI610" t="str">
            <v>N/A</v>
          </cell>
          <cell r="AJ610" t="str">
            <v>N/A</v>
          </cell>
          <cell r="AK610" t="str">
            <v>N/A</v>
          </cell>
          <cell r="AL610" t="str">
            <v>N/A</v>
          </cell>
          <cell r="AM610" t="str">
            <v>N/A</v>
          </cell>
          <cell r="AN610">
            <v>0</v>
          </cell>
          <cell r="AO610">
            <v>0</v>
          </cell>
        </row>
        <row r="611">
          <cell r="A611" t="str">
            <v>24-1448</v>
          </cell>
          <cell r="B611" t="str">
            <v>DRONE</v>
          </cell>
          <cell r="C611" t="str">
            <v>PGO</v>
          </cell>
          <cell r="D611" t="str">
            <v>No</v>
          </cell>
          <cell r="E611" t="str">
            <v>NP-53.9 - Small Value Procurement</v>
          </cell>
          <cell r="F611">
            <v>45390</v>
          </cell>
          <cell r="G611">
            <v>45397</v>
          </cell>
          <cell r="H611">
            <v>0</v>
          </cell>
          <cell r="I611" t="str">
            <v>N/A</v>
          </cell>
          <cell r="J611">
            <v>45421</v>
          </cell>
          <cell r="K611">
            <v>45421</v>
          </cell>
          <cell r="L611">
            <v>0</v>
          </cell>
          <cell r="M611" t="str">
            <v>N/A</v>
          </cell>
          <cell r="N611" t="str">
            <v>N/A</v>
          </cell>
          <cell r="O611">
            <v>45425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 t="e">
            <v>#N/A</v>
          </cell>
          <cell r="Y611">
            <v>0</v>
          </cell>
          <cell r="Z611">
            <v>0</v>
          </cell>
          <cell r="AA611">
            <v>50000</v>
          </cell>
          <cell r="AB611">
            <v>0</v>
          </cell>
          <cell r="AC611">
            <v>50000</v>
          </cell>
          <cell r="AD611">
            <v>49900</v>
          </cell>
          <cell r="AE611">
            <v>0</v>
          </cell>
          <cell r="AF611">
            <v>49900</v>
          </cell>
          <cell r="AG611" t="str">
            <v>ENGR. MICHAEL C. SALARDA
MS. LEONARDA M. LATOR
MS. CARMENCITA VALDEZ
MS. SORAYA P. VERGARA</v>
          </cell>
          <cell r="AH611" t="str">
            <v>N/A</v>
          </cell>
          <cell r="AI611" t="str">
            <v>N/A</v>
          </cell>
          <cell r="AJ611" t="str">
            <v>N/A</v>
          </cell>
          <cell r="AK611" t="str">
            <v>N/A</v>
          </cell>
          <cell r="AL611" t="str">
            <v>N/A</v>
          </cell>
          <cell r="AM611" t="str">
            <v>N/A</v>
          </cell>
          <cell r="AN611">
            <v>0</v>
          </cell>
          <cell r="AO611">
            <v>0</v>
          </cell>
        </row>
        <row r="612">
          <cell r="A612" t="str">
            <v>24-C1330</v>
          </cell>
          <cell r="B612" t="str">
            <v>SPAREPARTS (MOTORCYCLE)</v>
          </cell>
          <cell r="C612" t="str">
            <v>PGSO</v>
          </cell>
          <cell r="D612" t="str">
            <v>No</v>
          </cell>
          <cell r="E612" t="str">
            <v>NP-53.9 - Small Value Procurement</v>
          </cell>
          <cell r="F612">
            <v>45398</v>
          </cell>
          <cell r="G612">
            <v>45404</v>
          </cell>
          <cell r="H612">
            <v>0</v>
          </cell>
          <cell r="I612" t="str">
            <v>N/A</v>
          </cell>
          <cell r="J612">
            <v>45421</v>
          </cell>
          <cell r="K612">
            <v>45421</v>
          </cell>
          <cell r="L612">
            <v>0</v>
          </cell>
          <cell r="M612" t="str">
            <v>N/A</v>
          </cell>
          <cell r="N612" t="str">
            <v>N/A</v>
          </cell>
          <cell r="O612">
            <v>45425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45463</v>
          </cell>
          <cell r="Y612">
            <v>0</v>
          </cell>
          <cell r="Z612">
            <v>0</v>
          </cell>
          <cell r="AA612">
            <v>12102</v>
          </cell>
          <cell r="AB612">
            <v>0</v>
          </cell>
          <cell r="AC612">
            <v>12102</v>
          </cell>
          <cell r="AD612">
            <v>12039</v>
          </cell>
          <cell r="AE612">
            <v>0</v>
          </cell>
          <cell r="AF612">
            <v>12039</v>
          </cell>
          <cell r="AG612" t="str">
            <v>ENGR. MICHAEL C. SALARDA
MS. LEONARDA M. LATOR
MS. CARMENCITA VALDEZ
MS. SORAYA P. VERGARA</v>
          </cell>
          <cell r="AH612" t="str">
            <v>N/A</v>
          </cell>
          <cell r="AI612" t="str">
            <v>N/A</v>
          </cell>
          <cell r="AJ612" t="str">
            <v>N/A</v>
          </cell>
          <cell r="AK612" t="str">
            <v>N/A</v>
          </cell>
          <cell r="AL612" t="str">
            <v>N/A</v>
          </cell>
          <cell r="AM612" t="str">
            <v>N/A</v>
          </cell>
          <cell r="AN612">
            <v>0</v>
          </cell>
          <cell r="AO612">
            <v>0</v>
          </cell>
        </row>
        <row r="613">
          <cell r="A613" t="str">
            <v>24-2183</v>
          </cell>
          <cell r="B613" t="str">
            <v>SPAREPARTS (LIGHT VEHICLES)</v>
          </cell>
          <cell r="C613" t="str">
            <v>PGSO</v>
          </cell>
          <cell r="D613" t="str">
            <v>No</v>
          </cell>
          <cell r="E613" t="str">
            <v>NP-53.9 - Small Value Procurement</v>
          </cell>
          <cell r="F613">
            <v>45398</v>
          </cell>
          <cell r="G613">
            <v>45404</v>
          </cell>
          <cell r="H613">
            <v>0</v>
          </cell>
          <cell r="I613" t="str">
            <v>N/A</v>
          </cell>
          <cell r="J613">
            <v>45421</v>
          </cell>
          <cell r="K613">
            <v>45421</v>
          </cell>
          <cell r="L613">
            <v>0</v>
          </cell>
          <cell r="M613" t="str">
            <v>N/A</v>
          </cell>
          <cell r="N613" t="str">
            <v>N/A</v>
          </cell>
          <cell r="O613">
            <v>45425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e">
            <v>#N/A</v>
          </cell>
          <cell r="Y613">
            <v>0</v>
          </cell>
          <cell r="Z613">
            <v>0</v>
          </cell>
          <cell r="AA613">
            <v>4730</v>
          </cell>
          <cell r="AB613">
            <v>0</v>
          </cell>
          <cell r="AC613">
            <v>4730</v>
          </cell>
          <cell r="AD613">
            <v>4300</v>
          </cell>
          <cell r="AE613">
            <v>0</v>
          </cell>
          <cell r="AF613">
            <v>4300</v>
          </cell>
          <cell r="AG613" t="str">
            <v>ENGR. MICHAEL C. SALARDA
MS. LEONARDA M. LATOR
MS. CARMENCITA VALDEZ
MS. SORAYA P. VERGARA</v>
          </cell>
          <cell r="AH613" t="str">
            <v>N/A</v>
          </cell>
          <cell r="AI613" t="str">
            <v>N/A</v>
          </cell>
          <cell r="AJ613" t="str">
            <v>N/A</v>
          </cell>
          <cell r="AK613" t="str">
            <v>N/A</v>
          </cell>
          <cell r="AL613" t="str">
            <v>N/A</v>
          </cell>
          <cell r="AM613" t="str">
            <v>N/A</v>
          </cell>
          <cell r="AN613">
            <v>0</v>
          </cell>
          <cell r="AO613">
            <v>0</v>
          </cell>
        </row>
        <row r="614">
          <cell r="A614" t="str">
            <v>24-2264</v>
          </cell>
          <cell r="B614" t="str">
            <v>SPAREPARTS (LIGHT VEHICLES)</v>
          </cell>
          <cell r="C614" t="str">
            <v>PGSO</v>
          </cell>
          <cell r="D614" t="str">
            <v>No</v>
          </cell>
          <cell r="E614" t="str">
            <v>NP-53.9 - Small Value Procurement</v>
          </cell>
          <cell r="F614">
            <v>45398</v>
          </cell>
          <cell r="G614">
            <v>45404</v>
          </cell>
          <cell r="H614">
            <v>0</v>
          </cell>
          <cell r="I614" t="str">
            <v>N/A</v>
          </cell>
          <cell r="J614">
            <v>45421</v>
          </cell>
          <cell r="K614">
            <v>45421</v>
          </cell>
          <cell r="L614">
            <v>0</v>
          </cell>
          <cell r="M614" t="str">
            <v>N/A</v>
          </cell>
          <cell r="N614" t="str">
            <v>N/A</v>
          </cell>
          <cell r="O614">
            <v>45425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 t="e">
            <v>#N/A</v>
          </cell>
          <cell r="Y614">
            <v>0</v>
          </cell>
          <cell r="Z614">
            <v>0</v>
          </cell>
          <cell r="AA614">
            <v>14085</v>
          </cell>
          <cell r="AB614">
            <v>0</v>
          </cell>
          <cell r="AC614">
            <v>14085</v>
          </cell>
          <cell r="AD614">
            <v>12600</v>
          </cell>
          <cell r="AE614">
            <v>0</v>
          </cell>
          <cell r="AF614">
            <v>12600</v>
          </cell>
          <cell r="AG614" t="str">
            <v>ENGR. MICHAEL C. SALARDA
MS. LEONARDA M. LATOR
MS. CARMENCITA VALDEZ
MS. SORAYA P. VERGARA</v>
          </cell>
          <cell r="AH614" t="str">
            <v>N/A</v>
          </cell>
          <cell r="AI614" t="str">
            <v>N/A</v>
          </cell>
          <cell r="AJ614" t="str">
            <v>N/A</v>
          </cell>
          <cell r="AK614" t="str">
            <v>N/A</v>
          </cell>
          <cell r="AL614" t="str">
            <v>N/A</v>
          </cell>
          <cell r="AM614" t="str">
            <v>N/A</v>
          </cell>
          <cell r="AN614">
            <v>0</v>
          </cell>
          <cell r="AO614">
            <v>0</v>
          </cell>
        </row>
        <row r="615">
          <cell r="A615" t="str">
            <v>24-2282</v>
          </cell>
          <cell r="B615" t="str">
            <v>SPAREPARTS (MOTORCYCLE)</v>
          </cell>
          <cell r="C615" t="str">
            <v>PGSO</v>
          </cell>
          <cell r="D615" t="str">
            <v>No</v>
          </cell>
          <cell r="E615" t="str">
            <v>NP-53.9 - Small Value Procurement</v>
          </cell>
          <cell r="F615">
            <v>45398</v>
          </cell>
          <cell r="G615">
            <v>45404</v>
          </cell>
          <cell r="H615">
            <v>0</v>
          </cell>
          <cell r="I615" t="str">
            <v>N/A</v>
          </cell>
          <cell r="J615">
            <v>45421</v>
          </cell>
          <cell r="K615">
            <v>45421</v>
          </cell>
          <cell r="L615">
            <v>0</v>
          </cell>
          <cell r="M615" t="str">
            <v>N/A</v>
          </cell>
          <cell r="N615" t="str">
            <v>N/A</v>
          </cell>
          <cell r="O615">
            <v>45425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 t="e">
            <v>#N/A</v>
          </cell>
          <cell r="Y615">
            <v>0</v>
          </cell>
          <cell r="Z615">
            <v>0</v>
          </cell>
          <cell r="AA615">
            <v>16250</v>
          </cell>
          <cell r="AB615">
            <v>0</v>
          </cell>
          <cell r="AC615">
            <v>16250</v>
          </cell>
          <cell r="AD615">
            <v>16086</v>
          </cell>
          <cell r="AE615">
            <v>0</v>
          </cell>
          <cell r="AF615">
            <v>16086</v>
          </cell>
          <cell r="AG615" t="str">
            <v>ENGR. MICHAEL C. SALARDA
MS. LEONARDA M. LATOR
MS. CARMENCITA VALDEZ
MS. SORAYA P. VERGARA</v>
          </cell>
          <cell r="AH615" t="str">
            <v>N/A</v>
          </cell>
          <cell r="AI615" t="str">
            <v>N/A</v>
          </cell>
          <cell r="AJ615" t="str">
            <v>N/A</v>
          </cell>
          <cell r="AK615" t="str">
            <v>N/A</v>
          </cell>
          <cell r="AL615" t="str">
            <v>N/A</v>
          </cell>
          <cell r="AM615" t="str">
            <v>N/A</v>
          </cell>
          <cell r="AN615">
            <v>0</v>
          </cell>
          <cell r="AO615">
            <v>0</v>
          </cell>
        </row>
        <row r="616">
          <cell r="A616" t="str">
            <v>24-2263</v>
          </cell>
          <cell r="B616" t="str">
            <v>SPAREPARTS (LIGHT VEHICLES)</v>
          </cell>
          <cell r="C616" t="str">
            <v>PGSO</v>
          </cell>
          <cell r="D616" t="str">
            <v>No</v>
          </cell>
          <cell r="E616" t="str">
            <v>NP-53.9 - Small Value Procurement</v>
          </cell>
          <cell r="F616">
            <v>45398</v>
          </cell>
          <cell r="G616">
            <v>45404</v>
          </cell>
          <cell r="H616">
            <v>0</v>
          </cell>
          <cell r="I616" t="str">
            <v>N/A</v>
          </cell>
          <cell r="J616">
            <v>45421</v>
          </cell>
          <cell r="K616">
            <v>45421</v>
          </cell>
          <cell r="L616">
            <v>0</v>
          </cell>
          <cell r="M616" t="str">
            <v>N/A</v>
          </cell>
          <cell r="N616" t="str">
            <v>N/A</v>
          </cell>
          <cell r="O616">
            <v>45425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 t="e">
            <v>#N/A</v>
          </cell>
          <cell r="Y616">
            <v>0</v>
          </cell>
          <cell r="Z616">
            <v>0</v>
          </cell>
          <cell r="AA616">
            <v>49830</v>
          </cell>
          <cell r="AB616">
            <v>0</v>
          </cell>
          <cell r="AC616">
            <v>49830</v>
          </cell>
          <cell r="AD616">
            <v>42800</v>
          </cell>
          <cell r="AE616">
            <v>0</v>
          </cell>
          <cell r="AF616">
            <v>42800</v>
          </cell>
          <cell r="AG616" t="str">
            <v>ENGR. MICHAEL C. SALARDA
MS. LEONARDA M. LATOR
MS. CARMENCITA VALDEZ
MS. SORAYA P. VERGARA</v>
          </cell>
          <cell r="AH616" t="str">
            <v>N/A</v>
          </cell>
          <cell r="AI616" t="str">
            <v>N/A</v>
          </cell>
          <cell r="AJ616" t="str">
            <v>N/A</v>
          </cell>
          <cell r="AK616" t="str">
            <v>N/A</v>
          </cell>
          <cell r="AL616" t="str">
            <v>N/A</v>
          </cell>
          <cell r="AM616" t="str">
            <v>N/A</v>
          </cell>
          <cell r="AN616">
            <v>0</v>
          </cell>
          <cell r="AO616">
            <v>0</v>
          </cell>
        </row>
        <row r="617">
          <cell r="A617" t="str">
            <v>24-2358</v>
          </cell>
          <cell r="B617" t="str">
            <v>COMPUTER SUPPLIES/SPAREPARTS</v>
          </cell>
          <cell r="C617" t="str">
            <v>PTO</v>
          </cell>
          <cell r="D617" t="str">
            <v>No</v>
          </cell>
          <cell r="E617" t="str">
            <v>NP-53.9 - Small Value Procurement</v>
          </cell>
          <cell r="F617" t="str">
            <v>N/A</v>
          </cell>
          <cell r="G617">
            <v>45404</v>
          </cell>
          <cell r="H617">
            <v>0</v>
          </cell>
          <cell r="I617" t="str">
            <v>N/A</v>
          </cell>
          <cell r="J617">
            <v>45421</v>
          </cell>
          <cell r="K617">
            <v>45421</v>
          </cell>
          <cell r="L617">
            <v>0</v>
          </cell>
          <cell r="M617" t="str">
            <v>N/A</v>
          </cell>
          <cell r="N617" t="str">
            <v>N/A</v>
          </cell>
          <cell r="O617">
            <v>45425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 t="e">
            <v>#N/A</v>
          </cell>
          <cell r="Y617">
            <v>0</v>
          </cell>
          <cell r="Z617">
            <v>0</v>
          </cell>
          <cell r="AA617">
            <v>11379</v>
          </cell>
          <cell r="AB617">
            <v>0</v>
          </cell>
          <cell r="AC617">
            <v>11379</v>
          </cell>
          <cell r="AD617">
            <v>11100</v>
          </cell>
          <cell r="AE617">
            <v>0</v>
          </cell>
          <cell r="AF617">
            <v>11100</v>
          </cell>
          <cell r="AG617" t="str">
            <v>ENGR. MICHAEL C. SALARDA
MS. LEONARDA M. LATOR
MS. CARMENCITA VALDEZ
MS. SORAYA P. VERGARA</v>
          </cell>
          <cell r="AH617" t="str">
            <v>N/A</v>
          </cell>
          <cell r="AI617" t="str">
            <v>N/A</v>
          </cell>
          <cell r="AJ617" t="str">
            <v>N/A</v>
          </cell>
          <cell r="AK617" t="str">
            <v>N/A</v>
          </cell>
          <cell r="AL617" t="str">
            <v>N/A</v>
          </cell>
          <cell r="AM617" t="str">
            <v>N/A</v>
          </cell>
          <cell r="AN617">
            <v>0</v>
          </cell>
          <cell r="AO617">
            <v>0</v>
          </cell>
        </row>
        <row r="618">
          <cell r="A618" t="str">
            <v>24-2328</v>
          </cell>
          <cell r="B618" t="str">
            <v>SPAREPARTS (MOTORCYCLE)</v>
          </cell>
          <cell r="C618" t="str">
            <v>PGSO</v>
          </cell>
          <cell r="D618" t="str">
            <v>No</v>
          </cell>
          <cell r="E618" t="str">
            <v>NP-53.9 - Small Value Procurement</v>
          </cell>
          <cell r="F618">
            <v>45407</v>
          </cell>
          <cell r="G618">
            <v>45412</v>
          </cell>
          <cell r="H618">
            <v>0</v>
          </cell>
          <cell r="I618" t="str">
            <v>N/A</v>
          </cell>
          <cell r="J618">
            <v>45421</v>
          </cell>
          <cell r="K618">
            <v>45421</v>
          </cell>
          <cell r="L618">
            <v>0</v>
          </cell>
          <cell r="M618" t="str">
            <v>N/A</v>
          </cell>
          <cell r="N618" t="str">
            <v>N/A</v>
          </cell>
          <cell r="O618">
            <v>45425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 t="e">
            <v>#N/A</v>
          </cell>
          <cell r="Y618">
            <v>0</v>
          </cell>
          <cell r="Z618">
            <v>0</v>
          </cell>
          <cell r="AA618">
            <v>9200</v>
          </cell>
          <cell r="AB618">
            <v>0</v>
          </cell>
          <cell r="AC618">
            <v>9200</v>
          </cell>
          <cell r="AD618">
            <v>9200</v>
          </cell>
          <cell r="AE618">
            <v>0</v>
          </cell>
          <cell r="AF618">
            <v>9200</v>
          </cell>
          <cell r="AG618" t="str">
            <v>ENGR. MICHAEL C. SALARDA
MS. LEONARDA M. LATOR
MS. CARMENCITA VALDEZ
MS. SORAYA P. VERGARA</v>
          </cell>
          <cell r="AH618" t="str">
            <v>N/A</v>
          </cell>
          <cell r="AI618" t="str">
            <v>N/A</v>
          </cell>
          <cell r="AJ618" t="str">
            <v>N/A</v>
          </cell>
          <cell r="AK618" t="str">
            <v>N/A</v>
          </cell>
          <cell r="AL618" t="str">
            <v>N/A</v>
          </cell>
          <cell r="AM618" t="str">
            <v>N/A</v>
          </cell>
          <cell r="AN618">
            <v>0</v>
          </cell>
          <cell r="AO618">
            <v>0</v>
          </cell>
        </row>
        <row r="619">
          <cell r="A619" t="str">
            <v>24-2124</v>
          </cell>
          <cell r="B619" t="str">
            <v>SPAREPARTS (MOTORCYCLE)</v>
          </cell>
          <cell r="C619" t="str">
            <v>PGSO</v>
          </cell>
          <cell r="D619" t="str">
            <v>No</v>
          </cell>
          <cell r="E619" t="str">
            <v>NP-53.9 - Small Value Procurement</v>
          </cell>
          <cell r="F619">
            <v>45398</v>
          </cell>
          <cell r="G619">
            <v>45404</v>
          </cell>
          <cell r="H619">
            <v>0</v>
          </cell>
          <cell r="I619" t="str">
            <v>N/A</v>
          </cell>
          <cell r="J619">
            <v>45421</v>
          </cell>
          <cell r="K619">
            <v>45421</v>
          </cell>
          <cell r="L619">
            <v>0</v>
          </cell>
          <cell r="M619" t="str">
            <v>N/A</v>
          </cell>
          <cell r="N619" t="str">
            <v>N/A</v>
          </cell>
          <cell r="O619">
            <v>45425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 t="e">
            <v>#N/A</v>
          </cell>
          <cell r="Y619">
            <v>0</v>
          </cell>
          <cell r="Z619">
            <v>0</v>
          </cell>
          <cell r="AA619">
            <v>1560</v>
          </cell>
          <cell r="AB619">
            <v>0</v>
          </cell>
          <cell r="AC619">
            <v>1560</v>
          </cell>
          <cell r="AD619">
            <v>1540</v>
          </cell>
          <cell r="AE619">
            <v>0</v>
          </cell>
          <cell r="AF619">
            <v>1540</v>
          </cell>
          <cell r="AG619" t="str">
            <v>ENGR. MICHAEL C. SALARDA
MS. LEONARDA M. LATOR
MS. CARMENCITA VALDEZ
MS. SORAYA P. VERGARA</v>
          </cell>
          <cell r="AH619" t="str">
            <v>N/A</v>
          </cell>
          <cell r="AI619" t="str">
            <v>N/A</v>
          </cell>
          <cell r="AJ619" t="str">
            <v>N/A</v>
          </cell>
          <cell r="AK619" t="str">
            <v>N/A</v>
          </cell>
          <cell r="AL619" t="str">
            <v>N/A</v>
          </cell>
          <cell r="AM619" t="str">
            <v>N/A</v>
          </cell>
          <cell r="AN619">
            <v>0</v>
          </cell>
          <cell r="AO619">
            <v>0</v>
          </cell>
        </row>
        <row r="620">
          <cell r="A620" t="str">
            <v>24-2150</v>
          </cell>
          <cell r="B620" t="str">
            <v>DOGFOOD</v>
          </cell>
          <cell r="C620" t="str">
            <v>PGO</v>
          </cell>
          <cell r="D620" t="str">
            <v>No</v>
          </cell>
          <cell r="E620" t="str">
            <v>NP-53.9 - Small Value Procurement</v>
          </cell>
          <cell r="F620">
            <v>45384</v>
          </cell>
          <cell r="G620">
            <v>45390</v>
          </cell>
          <cell r="H620">
            <v>0</v>
          </cell>
          <cell r="I620" t="str">
            <v>N/A</v>
          </cell>
          <cell r="J620">
            <v>45421</v>
          </cell>
          <cell r="K620">
            <v>45421</v>
          </cell>
          <cell r="L620">
            <v>0</v>
          </cell>
          <cell r="M620" t="str">
            <v>N/A</v>
          </cell>
          <cell r="N620" t="str">
            <v>N/A</v>
          </cell>
          <cell r="O620">
            <v>45425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 t="e">
            <v>#N/A</v>
          </cell>
          <cell r="Y620">
            <v>0</v>
          </cell>
          <cell r="Z620">
            <v>0</v>
          </cell>
          <cell r="AA620">
            <v>48840</v>
          </cell>
          <cell r="AB620">
            <v>0</v>
          </cell>
          <cell r="AC620">
            <v>48840</v>
          </cell>
          <cell r="AD620">
            <v>44400</v>
          </cell>
          <cell r="AE620">
            <v>0</v>
          </cell>
          <cell r="AF620">
            <v>44400</v>
          </cell>
          <cell r="AG620" t="str">
            <v>ENGR. MICHAEL C. SALARDA
MS. LEONARDA M. LATOR
MS. CARMENCITA VALDEZ
MS. SORAYA P. VERGARA</v>
          </cell>
          <cell r="AH620" t="str">
            <v>N/A</v>
          </cell>
          <cell r="AI620" t="str">
            <v>N/A</v>
          </cell>
          <cell r="AJ620" t="str">
            <v>N/A</v>
          </cell>
          <cell r="AK620" t="str">
            <v>N/A</v>
          </cell>
          <cell r="AL620" t="str">
            <v>N/A</v>
          </cell>
          <cell r="AM620" t="str">
            <v>N/A</v>
          </cell>
          <cell r="AN620">
            <v>0</v>
          </cell>
          <cell r="AO620">
            <v>0</v>
          </cell>
        </row>
        <row r="621">
          <cell r="A621" t="str">
            <v>24-2361</v>
          </cell>
          <cell r="B621" t="str">
            <v>SPAREPARTS (MOTORCYCLE)</v>
          </cell>
          <cell r="C621" t="str">
            <v>PGSO</v>
          </cell>
          <cell r="D621" t="str">
            <v>No</v>
          </cell>
          <cell r="E621" t="str">
            <v>NP-53.9 - Small Value Procurement</v>
          </cell>
          <cell r="F621">
            <v>45407</v>
          </cell>
          <cell r="G621">
            <v>45412</v>
          </cell>
          <cell r="H621">
            <v>0</v>
          </cell>
          <cell r="I621" t="str">
            <v>N/A</v>
          </cell>
          <cell r="J621">
            <v>45421</v>
          </cell>
          <cell r="K621">
            <v>45421</v>
          </cell>
          <cell r="L621">
            <v>0</v>
          </cell>
          <cell r="M621" t="str">
            <v>N/A</v>
          </cell>
          <cell r="N621" t="str">
            <v>N/A</v>
          </cell>
          <cell r="O621">
            <v>45425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 t="e">
            <v>#N/A</v>
          </cell>
          <cell r="Y621">
            <v>0</v>
          </cell>
          <cell r="Z621">
            <v>0</v>
          </cell>
          <cell r="AA621">
            <v>900</v>
          </cell>
          <cell r="AB621">
            <v>0</v>
          </cell>
          <cell r="AC621">
            <v>900</v>
          </cell>
          <cell r="AD621">
            <v>900</v>
          </cell>
          <cell r="AE621">
            <v>0</v>
          </cell>
          <cell r="AF621">
            <v>900</v>
          </cell>
          <cell r="AG621" t="str">
            <v>ENGR. MICHAEL C. SALARDA
MS. LEONARDA M. LATOR
MS. CARMENCITA VALDEZ
MS. SORAYA P. VERGARA</v>
          </cell>
          <cell r="AH621" t="str">
            <v>N/A</v>
          </cell>
          <cell r="AI621" t="str">
            <v>N/A</v>
          </cell>
          <cell r="AJ621" t="str">
            <v>N/A</v>
          </cell>
          <cell r="AK621" t="str">
            <v>N/A</v>
          </cell>
          <cell r="AL621" t="str">
            <v>N/A</v>
          </cell>
          <cell r="AM621" t="str">
            <v>N/A</v>
          </cell>
          <cell r="AN621">
            <v>0</v>
          </cell>
          <cell r="AO621">
            <v>0</v>
          </cell>
        </row>
        <row r="622">
          <cell r="A622" t="str">
            <v>24-C1322</v>
          </cell>
          <cell r="B622" t="str">
            <v>DRUGS AND MEDICINES</v>
          </cell>
          <cell r="C622" t="str">
            <v>PEEMO</v>
          </cell>
          <cell r="D622" t="str">
            <v>No</v>
          </cell>
          <cell r="E622" t="str">
            <v>NP-53.9 - Small Value Procurement</v>
          </cell>
          <cell r="F622">
            <v>45398</v>
          </cell>
          <cell r="G622">
            <v>45404</v>
          </cell>
          <cell r="H622">
            <v>0</v>
          </cell>
          <cell r="I622" t="str">
            <v>N/A</v>
          </cell>
          <cell r="J622">
            <v>45421</v>
          </cell>
          <cell r="K622">
            <v>45421</v>
          </cell>
          <cell r="L622">
            <v>0</v>
          </cell>
          <cell r="M622" t="str">
            <v>N/A</v>
          </cell>
          <cell r="N622" t="str">
            <v>N/A</v>
          </cell>
          <cell r="O622">
            <v>45425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45448</v>
          </cell>
          <cell r="Y622">
            <v>0</v>
          </cell>
          <cell r="Z622">
            <v>0</v>
          </cell>
          <cell r="AA622">
            <v>72000</v>
          </cell>
          <cell r="AB622">
            <v>0</v>
          </cell>
          <cell r="AC622">
            <v>72000</v>
          </cell>
          <cell r="AD622">
            <v>59937</v>
          </cell>
          <cell r="AE622">
            <v>0</v>
          </cell>
          <cell r="AF622">
            <v>59937</v>
          </cell>
          <cell r="AG622" t="str">
            <v>ENGR. MICHAEL C. SALARDA
MS. LEONARDA M. LATOR
MS. CARMENCITA VALDEZ
MS. SORAYA P. VERGARA</v>
          </cell>
          <cell r="AH622" t="str">
            <v>N/A</v>
          </cell>
          <cell r="AI622" t="str">
            <v>N/A</v>
          </cell>
          <cell r="AJ622" t="str">
            <v>N/A</v>
          </cell>
          <cell r="AK622" t="str">
            <v>N/A</v>
          </cell>
          <cell r="AL622" t="str">
            <v>N/A</v>
          </cell>
          <cell r="AM622" t="str">
            <v>N/A</v>
          </cell>
          <cell r="AN622">
            <v>0</v>
          </cell>
          <cell r="AO622">
            <v>0</v>
          </cell>
        </row>
        <row r="623">
          <cell r="A623" t="str">
            <v>24-2307</v>
          </cell>
          <cell r="B623" t="str">
            <v>SPAREPARTS (MOTORCYCLE)</v>
          </cell>
          <cell r="C623" t="str">
            <v>PGSO</v>
          </cell>
          <cell r="D623" t="str">
            <v>No</v>
          </cell>
          <cell r="E623" t="str">
            <v>NP-53.9 - Small Value Procurement</v>
          </cell>
          <cell r="F623">
            <v>45407</v>
          </cell>
          <cell r="G623">
            <v>45412</v>
          </cell>
          <cell r="H623">
            <v>0</v>
          </cell>
          <cell r="I623" t="str">
            <v>N/A</v>
          </cell>
          <cell r="J623">
            <v>45421</v>
          </cell>
          <cell r="K623">
            <v>45421</v>
          </cell>
          <cell r="L623">
            <v>0</v>
          </cell>
          <cell r="M623" t="str">
            <v>N/A</v>
          </cell>
          <cell r="N623" t="str">
            <v>N/A</v>
          </cell>
          <cell r="O623">
            <v>45425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 t="e">
            <v>#N/A</v>
          </cell>
          <cell r="Y623">
            <v>0</v>
          </cell>
          <cell r="Z623">
            <v>0</v>
          </cell>
          <cell r="AA623">
            <v>8800</v>
          </cell>
          <cell r="AB623">
            <v>0</v>
          </cell>
          <cell r="AC623">
            <v>8800</v>
          </cell>
          <cell r="AD623">
            <v>8800</v>
          </cell>
          <cell r="AE623">
            <v>0</v>
          </cell>
          <cell r="AF623">
            <v>8800</v>
          </cell>
          <cell r="AG623" t="str">
            <v>ENGR. MICHAEL C. SALARDA
MS. LEONARDA M. LATOR
MS. CARMENCITA VALDEZ
MS. SORAYA P. VERGARA</v>
          </cell>
          <cell r="AH623" t="str">
            <v>N/A</v>
          </cell>
          <cell r="AI623" t="str">
            <v>N/A</v>
          </cell>
          <cell r="AJ623" t="str">
            <v>N/A</v>
          </cell>
          <cell r="AK623" t="str">
            <v>N/A</v>
          </cell>
          <cell r="AL623" t="str">
            <v>N/A</v>
          </cell>
          <cell r="AM623" t="str">
            <v>N/A</v>
          </cell>
          <cell r="AN623">
            <v>0</v>
          </cell>
          <cell r="AO623">
            <v>0</v>
          </cell>
        </row>
        <row r="624">
          <cell r="A624" t="str">
            <v>24-2366</v>
          </cell>
          <cell r="B624" t="str">
            <v>SPAREPARTS (MOTORCYCLE)</v>
          </cell>
          <cell r="C624" t="str">
            <v>PGSO</v>
          </cell>
          <cell r="D624" t="str">
            <v>No</v>
          </cell>
          <cell r="E624" t="str">
            <v>NP-53.9 - Small Value Procurement</v>
          </cell>
          <cell r="F624">
            <v>45407</v>
          </cell>
          <cell r="G624">
            <v>45412</v>
          </cell>
          <cell r="H624">
            <v>0</v>
          </cell>
          <cell r="I624" t="str">
            <v>N/A</v>
          </cell>
          <cell r="J624">
            <v>45421</v>
          </cell>
          <cell r="K624">
            <v>45421</v>
          </cell>
          <cell r="L624">
            <v>0</v>
          </cell>
          <cell r="M624" t="str">
            <v>N/A</v>
          </cell>
          <cell r="N624" t="str">
            <v>N/A</v>
          </cell>
          <cell r="O624">
            <v>45425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 t="e">
            <v>#N/A</v>
          </cell>
          <cell r="Y624">
            <v>0</v>
          </cell>
          <cell r="Z624">
            <v>0</v>
          </cell>
          <cell r="AA624">
            <v>23000</v>
          </cell>
          <cell r="AB624">
            <v>0</v>
          </cell>
          <cell r="AC624">
            <v>23000</v>
          </cell>
          <cell r="AD624">
            <v>23000</v>
          </cell>
          <cell r="AE624">
            <v>0</v>
          </cell>
          <cell r="AF624">
            <v>23000</v>
          </cell>
          <cell r="AG624" t="str">
            <v>ENGR. MICHAEL C. SALARDA
MS. LEONARDA M. LATOR
MS. CARMENCITA VALDEZ
MS. SORAYA P. VERGARA</v>
          </cell>
          <cell r="AH624" t="str">
            <v>N/A</v>
          </cell>
          <cell r="AI624" t="str">
            <v>N/A</v>
          </cell>
          <cell r="AJ624" t="str">
            <v>N/A</v>
          </cell>
          <cell r="AK624" t="str">
            <v>N/A</v>
          </cell>
          <cell r="AL624" t="str">
            <v>N/A</v>
          </cell>
          <cell r="AM624" t="str">
            <v>N/A</v>
          </cell>
          <cell r="AN624">
            <v>0</v>
          </cell>
          <cell r="AO624">
            <v>0</v>
          </cell>
        </row>
        <row r="625">
          <cell r="A625" t="str">
            <v>24-C1264</v>
          </cell>
          <cell r="B625" t="str">
            <v>TARPAULIN</v>
          </cell>
          <cell r="C625" t="str">
            <v>PDRRMO</v>
          </cell>
          <cell r="D625" t="str">
            <v>No</v>
          </cell>
          <cell r="E625" t="str">
            <v>NP-53.9 - Small Value Procurement</v>
          </cell>
          <cell r="F625" t="str">
            <v>N/A</v>
          </cell>
          <cell r="G625">
            <v>45404</v>
          </cell>
          <cell r="H625">
            <v>0</v>
          </cell>
          <cell r="I625" t="str">
            <v>N/A</v>
          </cell>
          <cell r="J625">
            <v>45421</v>
          </cell>
          <cell r="K625">
            <v>45421</v>
          </cell>
          <cell r="L625">
            <v>0</v>
          </cell>
          <cell r="M625" t="str">
            <v>N/A</v>
          </cell>
          <cell r="N625" t="str">
            <v>N/A</v>
          </cell>
          <cell r="O625">
            <v>45425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9184</v>
          </cell>
          <cell r="AB625">
            <v>0</v>
          </cell>
          <cell r="AC625">
            <v>9184</v>
          </cell>
          <cell r="AD625">
            <v>9184</v>
          </cell>
          <cell r="AE625">
            <v>0</v>
          </cell>
          <cell r="AF625">
            <v>9184</v>
          </cell>
          <cell r="AG625" t="str">
            <v>ENGR. MICHAEL C. SALARDA
MS. LEONARDA M. LATOR
MS. CARMENCITA VALDEZ
MS. SORAYA P. VERGARA</v>
          </cell>
          <cell r="AH625" t="str">
            <v>N/A</v>
          </cell>
          <cell r="AI625" t="str">
            <v>N/A</v>
          </cell>
          <cell r="AJ625" t="str">
            <v>N/A</v>
          </cell>
          <cell r="AK625" t="str">
            <v>N/A</v>
          </cell>
          <cell r="AL625" t="str">
            <v>N/A</v>
          </cell>
          <cell r="AM625" t="str">
            <v>N/A</v>
          </cell>
          <cell r="AN625">
            <v>0</v>
          </cell>
          <cell r="AO625">
            <v>0</v>
          </cell>
        </row>
        <row r="626">
          <cell r="A626" t="str">
            <v>24-2180</v>
          </cell>
          <cell r="B626" t="str">
            <v>MEDALS</v>
          </cell>
          <cell r="C626" t="str">
            <v>PGO</v>
          </cell>
          <cell r="D626" t="str">
            <v>No</v>
          </cell>
          <cell r="E626" t="str">
            <v>NP-53.9 - Small Value Procurement</v>
          </cell>
          <cell r="F626">
            <v>45385</v>
          </cell>
          <cell r="G626">
            <v>45386</v>
          </cell>
          <cell r="H626">
            <v>0</v>
          </cell>
          <cell r="I626" t="str">
            <v>N/A</v>
          </cell>
          <cell r="J626">
            <v>45421</v>
          </cell>
          <cell r="K626">
            <v>45421</v>
          </cell>
          <cell r="L626">
            <v>0</v>
          </cell>
          <cell r="M626" t="str">
            <v>N/A</v>
          </cell>
          <cell r="N626" t="str">
            <v>N/A</v>
          </cell>
          <cell r="O626">
            <v>45425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 t="e">
            <v>#N/A</v>
          </cell>
          <cell r="Y626">
            <v>0</v>
          </cell>
          <cell r="Z626">
            <v>0</v>
          </cell>
          <cell r="AA626">
            <v>22100</v>
          </cell>
          <cell r="AB626">
            <v>0</v>
          </cell>
          <cell r="AC626">
            <v>22100</v>
          </cell>
          <cell r="AD626">
            <v>22100</v>
          </cell>
          <cell r="AE626">
            <v>0</v>
          </cell>
          <cell r="AF626">
            <v>22100</v>
          </cell>
          <cell r="AG626" t="str">
            <v>ENGR. MICHAEL C. SALARDA
MS. LEONARDA M. LATOR
MS. CARMENCITA VALDEZ
MS. SORAYA P. VERGARA</v>
          </cell>
          <cell r="AH626" t="str">
            <v>N/A</v>
          </cell>
          <cell r="AI626" t="str">
            <v>N/A</v>
          </cell>
          <cell r="AJ626" t="str">
            <v>N/A</v>
          </cell>
          <cell r="AK626" t="str">
            <v>N/A</v>
          </cell>
          <cell r="AL626" t="str">
            <v>N/A</v>
          </cell>
          <cell r="AM626" t="str">
            <v>N/A</v>
          </cell>
          <cell r="AN626">
            <v>0</v>
          </cell>
          <cell r="AO626">
            <v>0</v>
          </cell>
        </row>
        <row r="627">
          <cell r="A627" t="str">
            <v>24-C1255</v>
          </cell>
          <cell r="B627" t="str">
            <v>MINERAL WATER</v>
          </cell>
          <cell r="C627" t="str">
            <v>PGO</v>
          </cell>
          <cell r="D627" t="str">
            <v>No</v>
          </cell>
          <cell r="E627" t="str">
            <v>NP-53.9 - Small Value Procurement</v>
          </cell>
          <cell r="F627" t="str">
            <v>N/A</v>
          </cell>
          <cell r="G627">
            <v>45404</v>
          </cell>
          <cell r="H627">
            <v>0</v>
          </cell>
          <cell r="I627" t="str">
            <v>N/A</v>
          </cell>
          <cell r="J627">
            <v>45421</v>
          </cell>
          <cell r="K627">
            <v>45421</v>
          </cell>
          <cell r="L627">
            <v>0</v>
          </cell>
          <cell r="M627" t="str">
            <v>N/A</v>
          </cell>
          <cell r="N627" t="str">
            <v>N/A</v>
          </cell>
          <cell r="O627">
            <v>45425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67650</v>
          </cell>
          <cell r="AB627">
            <v>0</v>
          </cell>
          <cell r="AC627">
            <v>67650</v>
          </cell>
          <cell r="AD627">
            <v>66000</v>
          </cell>
          <cell r="AE627">
            <v>0</v>
          </cell>
          <cell r="AF627">
            <v>66000</v>
          </cell>
          <cell r="AG627" t="str">
            <v>ENGR. MICHAEL C. SALARDA
MS. LEONARDA M. LATOR
MS. CARMENCITA VALDEZ
MS. SORAYA P. VERGARA</v>
          </cell>
          <cell r="AH627" t="str">
            <v>N/A</v>
          </cell>
          <cell r="AI627" t="str">
            <v>N/A</v>
          </cell>
          <cell r="AJ627" t="str">
            <v>N/A</v>
          </cell>
          <cell r="AK627" t="str">
            <v>N/A</v>
          </cell>
          <cell r="AL627" t="str">
            <v>N/A</v>
          </cell>
          <cell r="AM627" t="str">
            <v>N/A</v>
          </cell>
          <cell r="AN627">
            <v>0</v>
          </cell>
          <cell r="AO627">
            <v>0</v>
          </cell>
        </row>
        <row r="628">
          <cell r="A628" t="str">
            <v>24-2367</v>
          </cell>
          <cell r="B628" t="str">
            <v>SPAREPARTS (MOTORCYCLE)</v>
          </cell>
          <cell r="C628" t="str">
            <v>PGSO</v>
          </cell>
          <cell r="D628" t="str">
            <v>No</v>
          </cell>
          <cell r="E628" t="str">
            <v>NP-53.9 - Small Value Procurement</v>
          </cell>
          <cell r="F628">
            <v>45407</v>
          </cell>
          <cell r="G628">
            <v>45412</v>
          </cell>
          <cell r="H628">
            <v>0</v>
          </cell>
          <cell r="I628" t="str">
            <v>N/A</v>
          </cell>
          <cell r="J628">
            <v>45421</v>
          </cell>
          <cell r="K628">
            <v>45421</v>
          </cell>
          <cell r="L628">
            <v>0</v>
          </cell>
          <cell r="M628" t="str">
            <v>N/A</v>
          </cell>
          <cell r="N628" t="str">
            <v>N/A</v>
          </cell>
          <cell r="O628">
            <v>45425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 t="e">
            <v>#N/A</v>
          </cell>
          <cell r="Y628">
            <v>0</v>
          </cell>
          <cell r="Z628">
            <v>0</v>
          </cell>
          <cell r="AA628">
            <v>2600</v>
          </cell>
          <cell r="AB628">
            <v>0</v>
          </cell>
          <cell r="AC628">
            <v>2600</v>
          </cell>
          <cell r="AD628">
            <v>2600</v>
          </cell>
          <cell r="AE628">
            <v>0</v>
          </cell>
          <cell r="AF628">
            <v>2600</v>
          </cell>
          <cell r="AG628" t="str">
            <v>ENGR. MICHAEL C. SALARDA
MS. LEONARDA M. LATOR
MS. CARMENCITA VALDEZ
MS. SORAYA P. VERGARA</v>
          </cell>
          <cell r="AH628" t="str">
            <v>N/A</v>
          </cell>
          <cell r="AI628" t="str">
            <v>N/A</v>
          </cell>
          <cell r="AJ628" t="str">
            <v>N/A</v>
          </cell>
          <cell r="AK628" t="str">
            <v>N/A</v>
          </cell>
          <cell r="AL628" t="str">
            <v>N/A</v>
          </cell>
          <cell r="AM628" t="str">
            <v>N/A</v>
          </cell>
          <cell r="AN628">
            <v>0</v>
          </cell>
          <cell r="AO628">
            <v>0</v>
          </cell>
        </row>
        <row r="629">
          <cell r="A629" t="str">
            <v>24-C1190</v>
          </cell>
          <cell r="B629" t="str">
            <v>TARPAULIN</v>
          </cell>
          <cell r="C629" t="str">
            <v>PDRRMO</v>
          </cell>
          <cell r="D629" t="str">
            <v>No</v>
          </cell>
          <cell r="E629" t="str">
            <v>NP-53.9 - Small Value Procurement</v>
          </cell>
          <cell r="F629" t="str">
            <v>N/A</v>
          </cell>
          <cell r="G629">
            <v>45404</v>
          </cell>
          <cell r="H629">
            <v>0</v>
          </cell>
          <cell r="I629" t="str">
            <v>N/A</v>
          </cell>
          <cell r="J629">
            <v>45421</v>
          </cell>
          <cell r="K629">
            <v>45421</v>
          </cell>
          <cell r="L629">
            <v>0</v>
          </cell>
          <cell r="M629" t="str">
            <v>N/A</v>
          </cell>
          <cell r="N629" t="str">
            <v>N/A</v>
          </cell>
          <cell r="O629">
            <v>45425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14980</v>
          </cell>
          <cell r="AB629">
            <v>0</v>
          </cell>
          <cell r="AC629">
            <v>14980</v>
          </cell>
          <cell r="AD629">
            <v>14980</v>
          </cell>
          <cell r="AE629">
            <v>0</v>
          </cell>
          <cell r="AF629">
            <v>14980</v>
          </cell>
          <cell r="AG629" t="str">
            <v>ENGR. MICHAEL C. SALARDA
MS. LEONARDA M. LATOR
MS. CARMENCITA VALDEZ
MS. SORAYA P. VERGARA</v>
          </cell>
          <cell r="AH629" t="str">
            <v>N/A</v>
          </cell>
          <cell r="AI629" t="str">
            <v>N/A</v>
          </cell>
          <cell r="AJ629" t="str">
            <v>N/A</v>
          </cell>
          <cell r="AK629" t="str">
            <v>N/A</v>
          </cell>
          <cell r="AL629" t="str">
            <v>N/A</v>
          </cell>
          <cell r="AM629" t="str">
            <v>N/A</v>
          </cell>
          <cell r="AN629">
            <v>0</v>
          </cell>
          <cell r="AO629">
            <v>0</v>
          </cell>
        </row>
        <row r="630">
          <cell r="A630" t="str">
            <v>24-C1072</v>
          </cell>
          <cell r="B630" t="str">
            <v>OTHER SUPPLIES/MATERIALS (PRINTERS, COMPUTER SETS WITH COMPLETE ACCESSORIES</v>
          </cell>
          <cell r="C630" t="str">
            <v>PAO</v>
          </cell>
          <cell r="D630" t="str">
            <v>No</v>
          </cell>
          <cell r="E630" t="str">
            <v>NP-53.9 - Small Value Procurement</v>
          </cell>
          <cell r="F630" t="str">
            <v>N/A</v>
          </cell>
          <cell r="G630">
            <v>45404</v>
          </cell>
          <cell r="H630">
            <v>0</v>
          </cell>
          <cell r="I630" t="str">
            <v>N/A</v>
          </cell>
          <cell r="J630">
            <v>45421</v>
          </cell>
          <cell r="K630">
            <v>45421</v>
          </cell>
          <cell r="L630">
            <v>0</v>
          </cell>
          <cell r="M630" t="str">
            <v>N/A</v>
          </cell>
          <cell r="N630" t="str">
            <v>N/A</v>
          </cell>
          <cell r="O630">
            <v>45425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45443</v>
          </cell>
          <cell r="Y630">
            <v>0</v>
          </cell>
          <cell r="Z630">
            <v>0</v>
          </cell>
          <cell r="AA630">
            <v>217138</v>
          </cell>
          <cell r="AB630">
            <v>0</v>
          </cell>
          <cell r="AC630">
            <v>217138</v>
          </cell>
          <cell r="AD630">
            <v>214232</v>
          </cell>
          <cell r="AE630">
            <v>0</v>
          </cell>
          <cell r="AF630">
            <v>214232</v>
          </cell>
          <cell r="AG630" t="str">
            <v>ENGR. MICHAEL C. SALARDA
MS. LEONARDA M. LATOR
MS. CARMENCITA VALDEZ
MS. SORAYA P. VERGARA</v>
          </cell>
          <cell r="AH630" t="str">
            <v>N/A</v>
          </cell>
          <cell r="AI630" t="str">
            <v>N/A</v>
          </cell>
          <cell r="AJ630" t="str">
            <v>N/A</v>
          </cell>
          <cell r="AK630" t="str">
            <v>N/A</v>
          </cell>
          <cell r="AL630" t="str">
            <v>N/A</v>
          </cell>
          <cell r="AM630" t="str">
            <v>N/A</v>
          </cell>
          <cell r="AN630">
            <v>0</v>
          </cell>
          <cell r="AO630">
            <v>0</v>
          </cell>
        </row>
        <row r="631">
          <cell r="A631" t="str">
            <v>24-2317</v>
          </cell>
          <cell r="B631" t="str">
            <v>JOB ORDER (LABOR &amp; MATERIALS) ELECTRIC SUBMERSIBLE PUMP</v>
          </cell>
          <cell r="C631" t="str">
            <v>PGSO</v>
          </cell>
          <cell r="D631" t="str">
            <v>No</v>
          </cell>
          <cell r="E631" t="str">
            <v>NP-53.9 - Small Value Procurement</v>
          </cell>
          <cell r="F631">
            <v>45385</v>
          </cell>
          <cell r="G631">
            <v>45412</v>
          </cell>
          <cell r="H631">
            <v>0</v>
          </cell>
          <cell r="I631" t="str">
            <v>N/A</v>
          </cell>
          <cell r="J631">
            <v>45421</v>
          </cell>
          <cell r="K631">
            <v>45421</v>
          </cell>
          <cell r="L631">
            <v>0</v>
          </cell>
          <cell r="M631" t="str">
            <v>N/A</v>
          </cell>
          <cell r="N631" t="str">
            <v>N/A</v>
          </cell>
          <cell r="O631">
            <v>45425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 t="e">
            <v>#N/A</v>
          </cell>
          <cell r="Y631">
            <v>0</v>
          </cell>
          <cell r="Z631">
            <v>0</v>
          </cell>
          <cell r="AA631">
            <v>220000</v>
          </cell>
          <cell r="AB631">
            <v>0</v>
          </cell>
          <cell r="AC631">
            <v>220000</v>
          </cell>
          <cell r="AD631">
            <v>220000</v>
          </cell>
          <cell r="AE631">
            <v>0</v>
          </cell>
          <cell r="AF631">
            <v>220000</v>
          </cell>
          <cell r="AG631" t="str">
            <v>ENGR. MICHAEL C. SALARDA
MS. LEONARDA M. LATOR
MS. CARMENCITA VALDEZ
MS. SORAYA P. VERGARA</v>
          </cell>
          <cell r="AH631" t="str">
            <v>N/A</v>
          </cell>
          <cell r="AI631" t="str">
            <v>N/A</v>
          </cell>
          <cell r="AJ631" t="str">
            <v>N/A</v>
          </cell>
          <cell r="AK631" t="str">
            <v>N/A</v>
          </cell>
          <cell r="AL631" t="str">
            <v>N/A</v>
          </cell>
          <cell r="AM631" t="str">
            <v>N/A</v>
          </cell>
          <cell r="AN631">
            <v>0</v>
          </cell>
          <cell r="AO631">
            <v>0</v>
          </cell>
        </row>
        <row r="632">
          <cell r="A632" t="str">
            <v>24-1987</v>
          </cell>
          <cell r="B632" t="str">
            <v>HELMET</v>
          </cell>
          <cell r="C632" t="str">
            <v>PVO</v>
          </cell>
          <cell r="D632" t="str">
            <v>No</v>
          </cell>
          <cell r="E632" t="str">
            <v>NP-53.9 - Small Value Procurement</v>
          </cell>
          <cell r="F632" t="str">
            <v>N/A</v>
          </cell>
          <cell r="G632">
            <v>45404</v>
          </cell>
          <cell r="H632">
            <v>0</v>
          </cell>
          <cell r="I632" t="str">
            <v>N/A</v>
          </cell>
          <cell r="J632">
            <v>45421</v>
          </cell>
          <cell r="K632">
            <v>45421</v>
          </cell>
          <cell r="L632">
            <v>0</v>
          </cell>
          <cell r="M632" t="str">
            <v>N/A</v>
          </cell>
          <cell r="N632" t="str">
            <v>N/A</v>
          </cell>
          <cell r="O632">
            <v>45425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 t="e">
            <v>#N/A</v>
          </cell>
          <cell r="Y632">
            <v>0</v>
          </cell>
          <cell r="Z632">
            <v>0</v>
          </cell>
          <cell r="AA632">
            <v>11000</v>
          </cell>
          <cell r="AB632">
            <v>0</v>
          </cell>
          <cell r="AC632">
            <v>11000</v>
          </cell>
          <cell r="AD632">
            <v>11000</v>
          </cell>
          <cell r="AE632">
            <v>0</v>
          </cell>
          <cell r="AF632">
            <v>11000</v>
          </cell>
          <cell r="AG632" t="str">
            <v>ENGR. MICHAEL C. SALARDA
MS. LEONARDA M. LATOR
MS. CARMENCITA VALDEZ
MS. SORAYA P. VERGARA</v>
          </cell>
          <cell r="AH632" t="str">
            <v>N/A</v>
          </cell>
          <cell r="AI632" t="str">
            <v>N/A</v>
          </cell>
          <cell r="AJ632" t="str">
            <v>N/A</v>
          </cell>
          <cell r="AK632" t="str">
            <v>N/A</v>
          </cell>
          <cell r="AL632" t="str">
            <v>N/A</v>
          </cell>
          <cell r="AM632" t="str">
            <v>N/A</v>
          </cell>
          <cell r="AN632">
            <v>0</v>
          </cell>
          <cell r="AO632">
            <v>0</v>
          </cell>
        </row>
        <row r="633">
          <cell r="A633" t="str">
            <v>24-C1302</v>
          </cell>
          <cell r="B633" t="str">
            <v>LAPTOP &amp; COMPUTER SUPPLIES</v>
          </cell>
          <cell r="C633" t="str">
            <v>PVO</v>
          </cell>
          <cell r="D633" t="str">
            <v>No</v>
          </cell>
          <cell r="E633" t="str">
            <v>NP-53.9 - Small Value Procurement</v>
          </cell>
          <cell r="F633" t="str">
            <v>N/A</v>
          </cell>
          <cell r="G633">
            <v>45385</v>
          </cell>
          <cell r="H633">
            <v>0</v>
          </cell>
          <cell r="I633" t="str">
            <v>N/A</v>
          </cell>
          <cell r="J633">
            <v>45421</v>
          </cell>
          <cell r="K633">
            <v>45421</v>
          </cell>
          <cell r="L633">
            <v>0</v>
          </cell>
          <cell r="M633" t="str">
            <v>N/A</v>
          </cell>
          <cell r="N633" t="str">
            <v>N/A</v>
          </cell>
          <cell r="O633">
            <v>45425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45450</v>
          </cell>
          <cell r="Y633">
            <v>0</v>
          </cell>
          <cell r="Z633">
            <v>0</v>
          </cell>
          <cell r="AA633">
            <v>90242</v>
          </cell>
          <cell r="AB633">
            <v>0</v>
          </cell>
          <cell r="AC633">
            <v>90242</v>
          </cell>
          <cell r="AD633">
            <v>74174</v>
          </cell>
          <cell r="AE633">
            <v>0</v>
          </cell>
          <cell r="AF633">
            <v>74174</v>
          </cell>
          <cell r="AG633" t="str">
            <v>ENGR. MICHAEL C. SALARDA
MS. LEONARDA M. LATOR
MS. CARMENCITA VALDEZ
MS. SORAYA P. VERGARA</v>
          </cell>
          <cell r="AH633" t="str">
            <v>N/A</v>
          </cell>
          <cell r="AI633" t="str">
            <v>N/A</v>
          </cell>
          <cell r="AJ633" t="str">
            <v>N/A</v>
          </cell>
          <cell r="AK633" t="str">
            <v>N/A</v>
          </cell>
          <cell r="AL633" t="str">
            <v>N/A</v>
          </cell>
          <cell r="AM633" t="str">
            <v>N/A</v>
          </cell>
          <cell r="AN633">
            <v>0</v>
          </cell>
          <cell r="AO633">
            <v>0</v>
          </cell>
        </row>
        <row r="634">
          <cell r="A634" t="str">
            <v>24-0772</v>
          </cell>
          <cell r="B634" t="str">
            <v>SCUBA DIVING BOOTS</v>
          </cell>
          <cell r="C634" t="str">
            <v>PAGRO</v>
          </cell>
          <cell r="D634" t="str">
            <v>No</v>
          </cell>
          <cell r="E634" t="str">
            <v>NP-53.9 - Small Value Procurement</v>
          </cell>
          <cell r="F634" t="str">
            <v>N/A</v>
          </cell>
          <cell r="G634">
            <v>45397</v>
          </cell>
          <cell r="H634">
            <v>0</v>
          </cell>
          <cell r="I634" t="str">
            <v>N/A</v>
          </cell>
          <cell r="J634">
            <v>45421</v>
          </cell>
          <cell r="K634">
            <v>45421</v>
          </cell>
          <cell r="L634">
            <v>0</v>
          </cell>
          <cell r="M634" t="str">
            <v>N/A</v>
          </cell>
          <cell r="N634" t="str">
            <v>N/A</v>
          </cell>
          <cell r="O634">
            <v>45425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 t="e">
            <v>#N/A</v>
          </cell>
          <cell r="Y634">
            <v>0</v>
          </cell>
          <cell r="Z634">
            <v>0</v>
          </cell>
          <cell r="AA634">
            <v>25000</v>
          </cell>
          <cell r="AB634">
            <v>0</v>
          </cell>
          <cell r="AC634">
            <v>25000</v>
          </cell>
          <cell r="AD634">
            <v>25000</v>
          </cell>
          <cell r="AE634">
            <v>0</v>
          </cell>
          <cell r="AF634">
            <v>25000</v>
          </cell>
          <cell r="AG634" t="str">
            <v>ENGR. MICHAEL C. SALARDA
MS. LEONARDA M. LATOR
MS. CARMENCITA VALDEZ
MS. SORAYA P. VERGARA</v>
          </cell>
          <cell r="AH634" t="str">
            <v>N/A</v>
          </cell>
          <cell r="AI634" t="str">
            <v>N/A</v>
          </cell>
          <cell r="AJ634" t="str">
            <v>N/A</v>
          </cell>
          <cell r="AK634" t="str">
            <v>N/A</v>
          </cell>
          <cell r="AL634" t="str">
            <v>N/A</v>
          </cell>
          <cell r="AM634" t="str">
            <v>N/A</v>
          </cell>
          <cell r="AN634">
            <v>0</v>
          </cell>
          <cell r="AO634">
            <v>0</v>
          </cell>
        </row>
        <row r="635">
          <cell r="A635" t="str">
            <v>24-2339</v>
          </cell>
          <cell r="B635" t="str">
            <v>PICTURE FRAME</v>
          </cell>
          <cell r="C635" t="str">
            <v>PHO</v>
          </cell>
          <cell r="D635" t="str">
            <v>No</v>
          </cell>
          <cell r="E635" t="str">
            <v>NP-53.9 - Small Value Procurement</v>
          </cell>
          <cell r="F635" t="str">
            <v>N/A</v>
          </cell>
          <cell r="G635">
            <v>45404</v>
          </cell>
          <cell r="H635">
            <v>0</v>
          </cell>
          <cell r="I635" t="str">
            <v>N/A</v>
          </cell>
          <cell r="J635">
            <v>45421</v>
          </cell>
          <cell r="K635">
            <v>45421</v>
          </cell>
          <cell r="L635">
            <v>0</v>
          </cell>
          <cell r="M635" t="str">
            <v>N/A</v>
          </cell>
          <cell r="N635" t="str">
            <v>N/A</v>
          </cell>
          <cell r="O635">
            <v>45425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 t="e">
            <v>#N/A</v>
          </cell>
          <cell r="Y635">
            <v>0</v>
          </cell>
          <cell r="Z635">
            <v>0</v>
          </cell>
          <cell r="AA635">
            <v>29750</v>
          </cell>
          <cell r="AB635">
            <v>0</v>
          </cell>
          <cell r="AC635">
            <v>29750</v>
          </cell>
          <cell r="AD635">
            <v>29750</v>
          </cell>
          <cell r="AE635">
            <v>0</v>
          </cell>
          <cell r="AF635">
            <v>29750</v>
          </cell>
          <cell r="AG635" t="str">
            <v>ENGR. MICHAEL C. SALARDA
MS. LEONARDA M. LATOR
MS. CARMENCITA VALDEZ
MS. SORAYA P. VERGARA</v>
          </cell>
          <cell r="AH635" t="str">
            <v>N/A</v>
          </cell>
          <cell r="AI635" t="str">
            <v>N/A</v>
          </cell>
          <cell r="AJ635" t="str">
            <v>N/A</v>
          </cell>
          <cell r="AK635" t="str">
            <v>N/A</v>
          </cell>
          <cell r="AL635" t="str">
            <v>N/A</v>
          </cell>
          <cell r="AM635" t="str">
            <v>N/A</v>
          </cell>
          <cell r="AN635">
            <v>0</v>
          </cell>
          <cell r="AO635">
            <v>0</v>
          </cell>
        </row>
        <row r="636">
          <cell r="A636" t="str">
            <v>24-C1300</v>
          </cell>
          <cell r="B636" t="str">
            <v>AGRICULTURAL SUPPLIES</v>
          </cell>
          <cell r="C636" t="str">
            <v>PAGRO</v>
          </cell>
          <cell r="D636" t="str">
            <v>No</v>
          </cell>
          <cell r="E636" t="str">
            <v>NP-53.9 - Small Value Procurement</v>
          </cell>
          <cell r="F636" t="str">
            <v>N/A</v>
          </cell>
          <cell r="G636">
            <v>45404</v>
          </cell>
          <cell r="H636">
            <v>0</v>
          </cell>
          <cell r="I636" t="str">
            <v>N/A</v>
          </cell>
          <cell r="J636">
            <v>45421</v>
          </cell>
          <cell r="K636">
            <v>45421</v>
          </cell>
          <cell r="L636">
            <v>0</v>
          </cell>
          <cell r="M636" t="str">
            <v>N/A</v>
          </cell>
          <cell r="N636" t="str">
            <v>N/A</v>
          </cell>
          <cell r="O636">
            <v>45425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45469</v>
          </cell>
          <cell r="Y636">
            <v>0</v>
          </cell>
          <cell r="Z636">
            <v>0</v>
          </cell>
          <cell r="AA636">
            <v>72764</v>
          </cell>
          <cell r="AB636">
            <v>0</v>
          </cell>
          <cell r="AC636">
            <v>72764</v>
          </cell>
          <cell r="AD636">
            <v>71680</v>
          </cell>
          <cell r="AE636">
            <v>0</v>
          </cell>
          <cell r="AF636">
            <v>71680</v>
          </cell>
          <cell r="AG636" t="str">
            <v>ENGR. MICHAEL C. SALARDA
MS. LEONARDA M. LATOR
MS. CARMENCITA VALDEZ
MS. SORAYA P. VERGARA</v>
          </cell>
          <cell r="AH636" t="str">
            <v>N/A</v>
          </cell>
          <cell r="AI636" t="str">
            <v>N/A</v>
          </cell>
          <cell r="AJ636" t="str">
            <v>N/A</v>
          </cell>
          <cell r="AK636" t="str">
            <v>N/A</v>
          </cell>
          <cell r="AL636" t="str">
            <v>N/A</v>
          </cell>
          <cell r="AM636" t="str">
            <v>N/A</v>
          </cell>
          <cell r="AN636">
            <v>0</v>
          </cell>
          <cell r="AO636">
            <v>0</v>
          </cell>
        </row>
        <row r="637">
          <cell r="A637" t="str">
            <v>24-C1141</v>
          </cell>
          <cell r="B637" t="str">
            <v>JANITORIAL SUPPLIES/HOUSEKEEPING</v>
          </cell>
          <cell r="C637" t="str">
            <v>PENRO</v>
          </cell>
          <cell r="D637" t="str">
            <v>No</v>
          </cell>
          <cell r="E637" t="str">
            <v>NP-53.9 - Small Value Procurement</v>
          </cell>
          <cell r="F637">
            <v>45370</v>
          </cell>
          <cell r="G637">
            <v>45376</v>
          </cell>
          <cell r="H637">
            <v>0</v>
          </cell>
          <cell r="I637" t="str">
            <v>N/A</v>
          </cell>
          <cell r="J637">
            <v>45421</v>
          </cell>
          <cell r="K637">
            <v>45421</v>
          </cell>
          <cell r="L637">
            <v>0</v>
          </cell>
          <cell r="M637" t="str">
            <v>N/A</v>
          </cell>
          <cell r="N637" t="str">
            <v>N/A</v>
          </cell>
          <cell r="O637">
            <v>45425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16185</v>
          </cell>
          <cell r="AB637">
            <v>0</v>
          </cell>
          <cell r="AC637">
            <v>16185</v>
          </cell>
          <cell r="AD637">
            <v>16185</v>
          </cell>
          <cell r="AE637">
            <v>0</v>
          </cell>
          <cell r="AF637">
            <v>16185</v>
          </cell>
          <cell r="AG637" t="str">
            <v>ENGR. MICHAEL C. SALARDA
MS. LEONARDA M. LATOR
MS. CARMENCITA VALDEZ
MS. SORAYA P. VERGARA</v>
          </cell>
          <cell r="AH637" t="str">
            <v>N/A</v>
          </cell>
          <cell r="AI637" t="str">
            <v>N/A</v>
          </cell>
          <cell r="AJ637" t="str">
            <v>N/A</v>
          </cell>
          <cell r="AK637" t="str">
            <v>N/A</v>
          </cell>
          <cell r="AL637" t="str">
            <v>N/A</v>
          </cell>
          <cell r="AM637" t="str">
            <v>N/A</v>
          </cell>
          <cell r="AN637">
            <v>0</v>
          </cell>
          <cell r="AO637">
            <v>0</v>
          </cell>
        </row>
        <row r="638">
          <cell r="A638" t="str">
            <v>24-2274</v>
          </cell>
          <cell r="B638" t="str">
            <v>SPAREPARTS (LIGHT VEHICLES)</v>
          </cell>
          <cell r="C638" t="str">
            <v>PGSO</v>
          </cell>
          <cell r="D638" t="str">
            <v>No</v>
          </cell>
          <cell r="E638" t="str">
            <v>NP-53.9 - Small Value Procurement</v>
          </cell>
          <cell r="F638">
            <v>45390</v>
          </cell>
          <cell r="G638">
            <v>45397</v>
          </cell>
          <cell r="H638">
            <v>0</v>
          </cell>
          <cell r="I638" t="str">
            <v>N/A</v>
          </cell>
          <cell r="J638">
            <v>45421</v>
          </cell>
          <cell r="K638">
            <v>45421</v>
          </cell>
          <cell r="L638">
            <v>0</v>
          </cell>
          <cell r="M638" t="str">
            <v>N/A</v>
          </cell>
          <cell r="N638" t="str">
            <v>N/A</v>
          </cell>
          <cell r="O638">
            <v>45425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 t="e">
            <v>#N/A</v>
          </cell>
          <cell r="Y638">
            <v>0</v>
          </cell>
          <cell r="Z638">
            <v>0</v>
          </cell>
          <cell r="AA638">
            <v>45500</v>
          </cell>
          <cell r="AB638">
            <v>0</v>
          </cell>
          <cell r="AC638">
            <v>45500</v>
          </cell>
          <cell r="AD638">
            <v>45500</v>
          </cell>
          <cell r="AE638">
            <v>0</v>
          </cell>
          <cell r="AF638">
            <v>45500</v>
          </cell>
          <cell r="AG638" t="str">
            <v>ENGR. MICHAEL C. SALARDA
MS. LEONARDA M. LATOR
MS. CARMENCITA VALDEZ
MS. SORAYA P. VERGARA</v>
          </cell>
          <cell r="AH638" t="str">
            <v>N/A</v>
          </cell>
          <cell r="AI638" t="str">
            <v>N/A</v>
          </cell>
          <cell r="AJ638" t="str">
            <v>N/A</v>
          </cell>
          <cell r="AK638" t="str">
            <v>N/A</v>
          </cell>
          <cell r="AL638" t="str">
            <v>N/A</v>
          </cell>
          <cell r="AM638" t="str">
            <v>N/A</v>
          </cell>
          <cell r="AN638">
            <v>0</v>
          </cell>
          <cell r="AO638">
            <v>0</v>
          </cell>
        </row>
        <row r="639">
          <cell r="A639" t="str">
            <v>24-C1104</v>
          </cell>
          <cell r="B639" t="str">
            <v>LABORATOTY SUPPLIES</v>
          </cell>
          <cell r="C639" t="str">
            <v>PENRO</v>
          </cell>
          <cell r="D639" t="str">
            <v>No</v>
          </cell>
          <cell r="E639" t="str">
            <v>NP-53.9 - Small Value Procurement</v>
          </cell>
          <cell r="F639" t="str">
            <v>N/A</v>
          </cell>
          <cell r="G639">
            <v>45359</v>
          </cell>
          <cell r="H639">
            <v>0</v>
          </cell>
          <cell r="I639" t="str">
            <v>N/A</v>
          </cell>
          <cell r="J639">
            <v>45421</v>
          </cell>
          <cell r="K639">
            <v>45421</v>
          </cell>
          <cell r="L639">
            <v>0</v>
          </cell>
          <cell r="M639" t="str">
            <v>N/A</v>
          </cell>
          <cell r="N639" t="str">
            <v>N/A</v>
          </cell>
          <cell r="O639">
            <v>45425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401221</v>
          </cell>
          <cell r="AB639">
            <v>0</v>
          </cell>
          <cell r="AC639">
            <v>401221</v>
          </cell>
          <cell r="AD639">
            <v>40121</v>
          </cell>
          <cell r="AE639">
            <v>0</v>
          </cell>
          <cell r="AF639">
            <v>40121</v>
          </cell>
          <cell r="AG639" t="str">
            <v>ENGR. MICHAEL C. SALARDA
MS. LEONARDA M. LATOR
MS. CARMENCITA VALDEZ
MS. SORAYA P. VERGARA</v>
          </cell>
          <cell r="AH639" t="str">
            <v>N/A</v>
          </cell>
          <cell r="AI639" t="str">
            <v>N/A</v>
          </cell>
          <cell r="AJ639" t="str">
            <v>N/A</v>
          </cell>
          <cell r="AK639" t="str">
            <v>N/A</v>
          </cell>
          <cell r="AL639" t="str">
            <v>N/A</v>
          </cell>
          <cell r="AM639" t="str">
            <v>N/A</v>
          </cell>
          <cell r="AN639">
            <v>0</v>
          </cell>
          <cell r="AO639">
            <v>0</v>
          </cell>
        </row>
        <row r="640">
          <cell r="A640" t="str">
            <v>24-C1169</v>
          </cell>
          <cell r="B640" t="str">
            <v>KITCHENWARE &amp; UTENSILS</v>
          </cell>
          <cell r="C640" t="str">
            <v>PAO</v>
          </cell>
          <cell r="D640" t="str">
            <v>No</v>
          </cell>
          <cell r="E640" t="str">
            <v>NP-53.9 - Small Value Procurement</v>
          </cell>
          <cell r="F640" t="str">
            <v>N/A</v>
          </cell>
          <cell r="G640">
            <v>45376</v>
          </cell>
          <cell r="H640">
            <v>0</v>
          </cell>
          <cell r="I640" t="str">
            <v>N/A</v>
          </cell>
          <cell r="J640">
            <v>45421</v>
          </cell>
          <cell r="K640">
            <v>45421</v>
          </cell>
          <cell r="L640">
            <v>0</v>
          </cell>
          <cell r="M640" t="str">
            <v>N/A</v>
          </cell>
          <cell r="N640" t="str">
            <v>N/A</v>
          </cell>
          <cell r="O640">
            <v>45425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45446</v>
          </cell>
          <cell r="Y640">
            <v>0</v>
          </cell>
          <cell r="Z640">
            <v>0</v>
          </cell>
          <cell r="AA640">
            <v>15575</v>
          </cell>
          <cell r="AB640">
            <v>0</v>
          </cell>
          <cell r="AC640">
            <v>15575</v>
          </cell>
          <cell r="AD640">
            <v>15508</v>
          </cell>
          <cell r="AE640">
            <v>0</v>
          </cell>
          <cell r="AF640">
            <v>15508</v>
          </cell>
          <cell r="AG640" t="str">
            <v>ENGR. MICHAEL C. SALARDA
MS. LEONARDA M. LATOR
MS. CARMENCITA VALDEZ
MS. SORAYA P. VERGARA</v>
          </cell>
          <cell r="AH640" t="str">
            <v>N/A</v>
          </cell>
          <cell r="AI640" t="str">
            <v>N/A</v>
          </cell>
          <cell r="AJ640" t="str">
            <v>N/A</v>
          </cell>
          <cell r="AK640" t="str">
            <v>N/A</v>
          </cell>
          <cell r="AL640" t="str">
            <v>N/A</v>
          </cell>
          <cell r="AM640" t="str">
            <v>N/A</v>
          </cell>
          <cell r="AN640">
            <v>0</v>
          </cell>
          <cell r="AO640">
            <v>0</v>
          </cell>
        </row>
        <row r="641">
          <cell r="A641" t="str">
            <v>24-C1337</v>
          </cell>
          <cell r="B641" t="str">
            <v>FOOD SUPPLIES</v>
          </cell>
          <cell r="C641" t="str">
            <v>PAO</v>
          </cell>
          <cell r="D641" t="str">
            <v>No</v>
          </cell>
          <cell r="E641" t="str">
            <v>NP-53.9 - Small Value Procurement</v>
          </cell>
          <cell r="F641" t="str">
            <v>N/A</v>
          </cell>
          <cell r="G641">
            <v>45404</v>
          </cell>
          <cell r="H641">
            <v>0</v>
          </cell>
          <cell r="I641" t="str">
            <v>N/A</v>
          </cell>
          <cell r="J641">
            <v>45421</v>
          </cell>
          <cell r="K641">
            <v>45421</v>
          </cell>
          <cell r="L641">
            <v>0</v>
          </cell>
          <cell r="M641" t="str">
            <v>N/A</v>
          </cell>
          <cell r="N641" t="str">
            <v>N/A</v>
          </cell>
          <cell r="O641">
            <v>45425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24771</v>
          </cell>
          <cell r="AB641">
            <v>0</v>
          </cell>
          <cell r="AC641">
            <v>24771</v>
          </cell>
          <cell r="AD641">
            <v>24771</v>
          </cell>
          <cell r="AE641">
            <v>0</v>
          </cell>
          <cell r="AF641">
            <v>24771</v>
          </cell>
          <cell r="AG641" t="str">
            <v>ENGR. MICHAEL C. SALARDA
MS. LEONARDA M. LATOR
MS. CARMENCITA VALDEZ
MS. SORAYA P. VERGARA</v>
          </cell>
          <cell r="AH641" t="str">
            <v>N/A</v>
          </cell>
          <cell r="AI641" t="str">
            <v>N/A</v>
          </cell>
          <cell r="AJ641" t="str">
            <v>N/A</v>
          </cell>
          <cell r="AK641" t="str">
            <v>N/A</v>
          </cell>
          <cell r="AL641" t="str">
            <v>N/A</v>
          </cell>
          <cell r="AM641" t="str">
            <v>N/A</v>
          </cell>
          <cell r="AN641">
            <v>0</v>
          </cell>
          <cell r="AO641">
            <v>0</v>
          </cell>
        </row>
        <row r="642">
          <cell r="A642" t="str">
            <v>24-2273</v>
          </cell>
          <cell r="B642" t="str">
            <v>SPAREPARTS (LIGHT VEHICLES)</v>
          </cell>
          <cell r="C642" t="str">
            <v>PGSO</v>
          </cell>
          <cell r="D642" t="str">
            <v>No</v>
          </cell>
          <cell r="E642" t="str">
            <v>NP-53.9 - Small Value Procurement</v>
          </cell>
          <cell r="F642">
            <v>45398</v>
          </cell>
          <cell r="G642">
            <v>45404</v>
          </cell>
          <cell r="H642">
            <v>0</v>
          </cell>
          <cell r="I642" t="str">
            <v>N/A</v>
          </cell>
          <cell r="J642">
            <v>45421</v>
          </cell>
          <cell r="K642">
            <v>45421</v>
          </cell>
          <cell r="L642">
            <v>0</v>
          </cell>
          <cell r="M642" t="str">
            <v>N/A</v>
          </cell>
          <cell r="N642" t="str">
            <v>N/A</v>
          </cell>
          <cell r="O642">
            <v>45425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 t="e">
            <v>#N/A</v>
          </cell>
          <cell r="Y642">
            <v>0</v>
          </cell>
          <cell r="Z642">
            <v>0</v>
          </cell>
          <cell r="AA642">
            <v>9075</v>
          </cell>
          <cell r="AB642">
            <v>0</v>
          </cell>
          <cell r="AC642">
            <v>9075</v>
          </cell>
          <cell r="AD642">
            <v>9050</v>
          </cell>
          <cell r="AE642">
            <v>0</v>
          </cell>
          <cell r="AF642">
            <v>9050</v>
          </cell>
          <cell r="AG642" t="str">
            <v>ENGR. MICHAEL C. SALARDA
MS. LEONARDA M. LATOR
MS. CARMENCITA VALDEZ
MS. SORAYA P. VERGARA</v>
          </cell>
          <cell r="AH642" t="str">
            <v>N/A</v>
          </cell>
          <cell r="AI642" t="str">
            <v>N/A</v>
          </cell>
          <cell r="AJ642" t="str">
            <v>N/A</v>
          </cell>
          <cell r="AK642" t="str">
            <v>N/A</v>
          </cell>
          <cell r="AL642" t="str">
            <v>N/A</v>
          </cell>
          <cell r="AM642" t="str">
            <v>N/A</v>
          </cell>
          <cell r="AN642">
            <v>0</v>
          </cell>
          <cell r="AO642">
            <v>0</v>
          </cell>
        </row>
        <row r="643">
          <cell r="A643" t="str">
            <v>24-2271</v>
          </cell>
          <cell r="B643" t="str">
            <v>SPAREPARTS (LIGHT VEHICLES)</v>
          </cell>
          <cell r="C643" t="str">
            <v>PGSO</v>
          </cell>
          <cell r="D643" t="str">
            <v>No</v>
          </cell>
          <cell r="E643" t="str">
            <v>NP-53.9 - Small Value Procurement</v>
          </cell>
          <cell r="F643">
            <v>45390</v>
          </cell>
          <cell r="G643">
            <v>45397</v>
          </cell>
          <cell r="H643">
            <v>0</v>
          </cell>
          <cell r="I643" t="str">
            <v>N/A</v>
          </cell>
          <cell r="J643">
            <v>45421</v>
          </cell>
          <cell r="K643">
            <v>45421</v>
          </cell>
          <cell r="L643">
            <v>0</v>
          </cell>
          <cell r="M643" t="str">
            <v>N/A</v>
          </cell>
          <cell r="N643" t="str">
            <v>N/A</v>
          </cell>
          <cell r="O643">
            <v>45425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 t="e">
            <v>#N/A</v>
          </cell>
          <cell r="Y643">
            <v>0</v>
          </cell>
          <cell r="Z643">
            <v>0</v>
          </cell>
          <cell r="AA643">
            <v>45000</v>
          </cell>
          <cell r="AB643">
            <v>0</v>
          </cell>
          <cell r="AC643">
            <v>45000</v>
          </cell>
          <cell r="AD643">
            <v>45000</v>
          </cell>
          <cell r="AE643">
            <v>0</v>
          </cell>
          <cell r="AF643">
            <v>45000</v>
          </cell>
          <cell r="AG643" t="str">
            <v>ENGR. MICHAEL C. SALARDA
MS. LEONARDA M. LATOR
MS. CARMENCITA VALDEZ
MS. SORAYA P. VERGARA</v>
          </cell>
          <cell r="AH643" t="str">
            <v>N/A</v>
          </cell>
          <cell r="AI643" t="str">
            <v>N/A</v>
          </cell>
          <cell r="AJ643" t="str">
            <v>N/A</v>
          </cell>
          <cell r="AK643" t="str">
            <v>N/A</v>
          </cell>
          <cell r="AL643" t="str">
            <v>N/A</v>
          </cell>
          <cell r="AM643" t="str">
            <v>N/A</v>
          </cell>
          <cell r="AN643">
            <v>0</v>
          </cell>
          <cell r="AO643">
            <v>0</v>
          </cell>
        </row>
        <row r="644">
          <cell r="A644" t="str">
            <v>24-C1317</v>
          </cell>
          <cell r="B644" t="str">
            <v>DYNAMIC MICROPHONE &amp; PORTABLE OUTDOOR SPEAKER</v>
          </cell>
          <cell r="C644" t="str">
            <v>PVO</v>
          </cell>
          <cell r="D644" t="str">
            <v>No</v>
          </cell>
          <cell r="E644" t="str">
            <v>NP-53.9 - Small Value Procurement</v>
          </cell>
          <cell r="F644" t="str">
            <v>N/A</v>
          </cell>
          <cell r="G644">
            <v>45404</v>
          </cell>
          <cell r="H644">
            <v>0</v>
          </cell>
          <cell r="I644" t="str">
            <v>N/A</v>
          </cell>
          <cell r="J644">
            <v>45421</v>
          </cell>
          <cell r="K644">
            <v>45421</v>
          </cell>
          <cell r="L644">
            <v>0</v>
          </cell>
          <cell r="M644" t="str">
            <v>N/A</v>
          </cell>
          <cell r="N644" t="str">
            <v>N/A</v>
          </cell>
          <cell r="O644">
            <v>45425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45456</v>
          </cell>
          <cell r="Y644">
            <v>0</v>
          </cell>
          <cell r="Z644">
            <v>0</v>
          </cell>
          <cell r="AA644">
            <v>15970</v>
          </cell>
          <cell r="AB644">
            <v>0</v>
          </cell>
          <cell r="AC644">
            <v>15970</v>
          </cell>
          <cell r="AD644">
            <v>15970</v>
          </cell>
          <cell r="AE644">
            <v>0</v>
          </cell>
          <cell r="AF644">
            <v>15970</v>
          </cell>
          <cell r="AG644" t="str">
            <v>ENGR. MICHAEL C. SALARDA
MS. LEONARDA M. LATOR
MS. CARMENCITA VALDEZ
MS. SORAYA P. VERGARA</v>
          </cell>
          <cell r="AH644" t="str">
            <v>N/A</v>
          </cell>
          <cell r="AI644" t="str">
            <v>N/A</v>
          </cell>
          <cell r="AJ644" t="str">
            <v>N/A</v>
          </cell>
          <cell r="AK644" t="str">
            <v>N/A</v>
          </cell>
          <cell r="AL644" t="str">
            <v>N/A</v>
          </cell>
          <cell r="AM644" t="str">
            <v>N/A</v>
          </cell>
          <cell r="AN644">
            <v>0</v>
          </cell>
          <cell r="AO644">
            <v>0</v>
          </cell>
        </row>
        <row r="645">
          <cell r="A645" t="str">
            <v>24-C1312</v>
          </cell>
          <cell r="B645" t="str">
            <v>BATTERY</v>
          </cell>
          <cell r="C645" t="str">
            <v>PEEMO</v>
          </cell>
          <cell r="D645" t="str">
            <v>No</v>
          </cell>
          <cell r="E645" t="str">
            <v>NP-53.9 - Small Value Procurement</v>
          </cell>
          <cell r="F645" t="str">
            <v>N/A</v>
          </cell>
          <cell r="G645">
            <v>45397</v>
          </cell>
          <cell r="H645">
            <v>0</v>
          </cell>
          <cell r="I645" t="str">
            <v>N/A</v>
          </cell>
          <cell r="J645">
            <v>45421</v>
          </cell>
          <cell r="K645">
            <v>45421</v>
          </cell>
          <cell r="L645">
            <v>0</v>
          </cell>
          <cell r="M645" t="str">
            <v>N/A</v>
          </cell>
          <cell r="N645" t="str">
            <v>N/A</v>
          </cell>
          <cell r="O645">
            <v>45425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45448</v>
          </cell>
          <cell r="Y645">
            <v>0</v>
          </cell>
          <cell r="Z645">
            <v>0</v>
          </cell>
          <cell r="AA645">
            <v>18150</v>
          </cell>
          <cell r="AB645">
            <v>0</v>
          </cell>
          <cell r="AC645">
            <v>18150</v>
          </cell>
          <cell r="AD645">
            <v>18150</v>
          </cell>
          <cell r="AE645">
            <v>0</v>
          </cell>
          <cell r="AF645">
            <v>18150</v>
          </cell>
          <cell r="AG645" t="str">
            <v>ENGR. MICHAEL C. SALARDA
MS. LEONARDA M. LATOR
MS. CARMENCITA VALDEZ
MS. SORAYA P. VERGARA</v>
          </cell>
          <cell r="AH645" t="str">
            <v>N/A</v>
          </cell>
          <cell r="AI645" t="str">
            <v>N/A</v>
          </cell>
          <cell r="AJ645" t="str">
            <v>N/A</v>
          </cell>
          <cell r="AK645" t="str">
            <v>N/A</v>
          </cell>
          <cell r="AL645" t="str">
            <v>N/A</v>
          </cell>
          <cell r="AM645" t="str">
            <v>N/A</v>
          </cell>
          <cell r="AN645">
            <v>0</v>
          </cell>
          <cell r="AO645">
            <v>0</v>
          </cell>
        </row>
        <row r="646">
          <cell r="A646" t="str">
            <v>24-2265</v>
          </cell>
          <cell r="B646" t="str">
            <v>SPAREPARTS (LIGHT VEHICLES)</v>
          </cell>
          <cell r="C646" t="str">
            <v>PGSO</v>
          </cell>
          <cell r="D646" t="str">
            <v>No</v>
          </cell>
          <cell r="E646" t="str">
            <v>NP-53.9 - Small Value Procurement</v>
          </cell>
          <cell r="F646">
            <v>45398</v>
          </cell>
          <cell r="G646">
            <v>45404</v>
          </cell>
          <cell r="H646">
            <v>0</v>
          </cell>
          <cell r="I646" t="str">
            <v>N/A</v>
          </cell>
          <cell r="J646">
            <v>45421</v>
          </cell>
          <cell r="K646">
            <v>45421</v>
          </cell>
          <cell r="L646">
            <v>0</v>
          </cell>
          <cell r="M646" t="str">
            <v>N/A</v>
          </cell>
          <cell r="N646" t="str">
            <v>N/A</v>
          </cell>
          <cell r="O646">
            <v>45425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 t="e">
            <v>#N/A</v>
          </cell>
          <cell r="Y646">
            <v>0</v>
          </cell>
          <cell r="Z646">
            <v>0</v>
          </cell>
          <cell r="AA646">
            <v>7950</v>
          </cell>
          <cell r="AB646">
            <v>0</v>
          </cell>
          <cell r="AC646">
            <v>7950</v>
          </cell>
          <cell r="AD646">
            <v>7930</v>
          </cell>
          <cell r="AE646">
            <v>0</v>
          </cell>
          <cell r="AF646">
            <v>7930</v>
          </cell>
          <cell r="AG646" t="str">
            <v>ENGR. MICHAEL C. SALARDA
MS. LEONARDA M. LATOR
MS. CARMENCITA VALDEZ
MS. SORAYA P. VERGARA</v>
          </cell>
          <cell r="AH646" t="str">
            <v>N/A</v>
          </cell>
          <cell r="AI646" t="str">
            <v>N/A</v>
          </cell>
          <cell r="AJ646" t="str">
            <v>N/A</v>
          </cell>
          <cell r="AK646" t="str">
            <v>N/A</v>
          </cell>
          <cell r="AL646" t="str">
            <v>N/A</v>
          </cell>
          <cell r="AM646" t="str">
            <v>N/A</v>
          </cell>
          <cell r="AN646">
            <v>0</v>
          </cell>
          <cell r="AO646">
            <v>0</v>
          </cell>
        </row>
        <row r="647">
          <cell r="A647" t="str">
            <v>24-1465</v>
          </cell>
          <cell r="B647" t="str">
            <v>FOLDING SINGLE CAPMING BED</v>
          </cell>
          <cell r="C647" t="str">
            <v>PGO</v>
          </cell>
          <cell r="D647" t="str">
            <v>No</v>
          </cell>
          <cell r="E647" t="str">
            <v>NP-53.9 - Small Value Procurement</v>
          </cell>
          <cell r="F647" t="str">
            <v>N/A</v>
          </cell>
          <cell r="G647">
            <v>45404</v>
          </cell>
          <cell r="H647">
            <v>0</v>
          </cell>
          <cell r="I647" t="str">
            <v>N/A</v>
          </cell>
          <cell r="J647">
            <v>45421</v>
          </cell>
          <cell r="K647">
            <v>45421</v>
          </cell>
          <cell r="L647">
            <v>0</v>
          </cell>
          <cell r="M647" t="str">
            <v>N/A</v>
          </cell>
          <cell r="N647" t="str">
            <v>N/A</v>
          </cell>
          <cell r="O647">
            <v>45425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 t="e">
            <v>#N/A</v>
          </cell>
          <cell r="Y647">
            <v>0</v>
          </cell>
          <cell r="Z647">
            <v>0</v>
          </cell>
          <cell r="AA647">
            <v>30000</v>
          </cell>
          <cell r="AB647">
            <v>0</v>
          </cell>
          <cell r="AC647">
            <v>30000</v>
          </cell>
          <cell r="AD647">
            <v>30000</v>
          </cell>
          <cell r="AE647">
            <v>0</v>
          </cell>
          <cell r="AF647">
            <v>30000</v>
          </cell>
          <cell r="AG647" t="str">
            <v>ENGR. MICHAEL C. SALARDA
MS. LEONARDA M. LATOR
MS. CARMENCITA VALDEZ
MS. SORAYA P. VERGARA</v>
          </cell>
          <cell r="AH647" t="str">
            <v>N/A</v>
          </cell>
          <cell r="AI647" t="str">
            <v>N/A</v>
          </cell>
          <cell r="AJ647" t="str">
            <v>N/A</v>
          </cell>
          <cell r="AK647" t="str">
            <v>N/A</v>
          </cell>
          <cell r="AL647" t="str">
            <v>N/A</v>
          </cell>
          <cell r="AM647" t="str">
            <v>N/A</v>
          </cell>
          <cell r="AN647">
            <v>0</v>
          </cell>
          <cell r="AO647">
            <v>0</v>
          </cell>
        </row>
        <row r="648">
          <cell r="A648" t="str">
            <v>24-C1327</v>
          </cell>
          <cell r="B648" t="str">
            <v>CONSTRUCTION SUPPLIES</v>
          </cell>
          <cell r="C648" t="str">
            <v>PEEMO</v>
          </cell>
          <cell r="D648" t="str">
            <v>No</v>
          </cell>
          <cell r="E648" t="str">
            <v>NP-53.9 - Small Value Procurement</v>
          </cell>
          <cell r="F648" t="str">
            <v>N/A</v>
          </cell>
          <cell r="G648">
            <v>45397</v>
          </cell>
          <cell r="H648">
            <v>0</v>
          </cell>
          <cell r="I648" t="str">
            <v>N/A</v>
          </cell>
          <cell r="J648">
            <v>45421</v>
          </cell>
          <cell r="K648">
            <v>45421</v>
          </cell>
          <cell r="L648">
            <v>0</v>
          </cell>
          <cell r="M648" t="str">
            <v>N/A</v>
          </cell>
          <cell r="N648" t="str">
            <v>N/A</v>
          </cell>
          <cell r="O648">
            <v>45425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34753</v>
          </cell>
          <cell r="AB648">
            <v>0</v>
          </cell>
          <cell r="AC648">
            <v>34753</v>
          </cell>
          <cell r="AD648">
            <v>34753</v>
          </cell>
          <cell r="AE648">
            <v>0</v>
          </cell>
          <cell r="AF648">
            <v>34753</v>
          </cell>
          <cell r="AG648" t="str">
            <v>ENGR. MICHAEL C. SALARDA
MS. LEONARDA M. LATOR
MS. CARMENCITA VALDEZ
MS. SORAYA P. VERGARA</v>
          </cell>
          <cell r="AH648" t="str">
            <v>N/A</v>
          </cell>
          <cell r="AI648" t="str">
            <v>N/A</v>
          </cell>
          <cell r="AJ648" t="str">
            <v>N/A</v>
          </cell>
          <cell r="AK648" t="str">
            <v>N/A</v>
          </cell>
          <cell r="AL648" t="str">
            <v>N/A</v>
          </cell>
          <cell r="AM648" t="str">
            <v>N/A</v>
          </cell>
          <cell r="AN648">
            <v>0</v>
          </cell>
          <cell r="AO648">
            <v>0</v>
          </cell>
        </row>
        <row r="649">
          <cell r="A649" t="str">
            <v>24-1322</v>
          </cell>
          <cell r="B649" t="str">
            <v>PORTABLE VACUUM CLEANER</v>
          </cell>
          <cell r="C649" t="str">
            <v>PGSO</v>
          </cell>
          <cell r="D649" t="str">
            <v>No</v>
          </cell>
          <cell r="E649" t="str">
            <v>NP-53.9 - Small Value Procurement</v>
          </cell>
          <cell r="F649" t="str">
            <v>N/A</v>
          </cell>
          <cell r="G649">
            <v>45376</v>
          </cell>
          <cell r="H649">
            <v>0</v>
          </cell>
          <cell r="I649" t="str">
            <v>N/A</v>
          </cell>
          <cell r="J649">
            <v>45421</v>
          </cell>
          <cell r="K649">
            <v>45421</v>
          </cell>
          <cell r="L649">
            <v>0</v>
          </cell>
          <cell r="M649" t="str">
            <v>N/A</v>
          </cell>
          <cell r="N649" t="str">
            <v>N/A</v>
          </cell>
          <cell r="O649">
            <v>45425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45463</v>
          </cell>
          <cell r="Y649">
            <v>0</v>
          </cell>
          <cell r="Z649">
            <v>0</v>
          </cell>
          <cell r="AA649">
            <v>10000</v>
          </cell>
          <cell r="AB649">
            <v>0</v>
          </cell>
          <cell r="AC649">
            <v>10000</v>
          </cell>
          <cell r="AD649">
            <v>9980</v>
          </cell>
          <cell r="AE649">
            <v>0</v>
          </cell>
          <cell r="AF649">
            <v>9980</v>
          </cell>
          <cell r="AG649" t="str">
            <v>ENGR. MICHAEL C. SALARDA
MS. LEONARDA M. LATOR
MS. CARMENCITA VALDEZ
MS. SORAYA P. VERGARA</v>
          </cell>
          <cell r="AH649" t="str">
            <v>N/A</v>
          </cell>
          <cell r="AI649" t="str">
            <v>N/A</v>
          </cell>
          <cell r="AJ649" t="str">
            <v>N/A</v>
          </cell>
          <cell r="AK649" t="str">
            <v>N/A</v>
          </cell>
          <cell r="AL649" t="str">
            <v>N/A</v>
          </cell>
          <cell r="AM649" t="str">
            <v>N/A</v>
          </cell>
          <cell r="AN649">
            <v>0</v>
          </cell>
          <cell r="AO649">
            <v>0</v>
          </cell>
        </row>
        <row r="650">
          <cell r="A650" t="str">
            <v>24-0855</v>
          </cell>
          <cell r="B650" t="str">
            <v>OFFICE EQUIPMENT</v>
          </cell>
          <cell r="C650" t="str">
            <v>PGO</v>
          </cell>
          <cell r="D650" t="str">
            <v>No</v>
          </cell>
          <cell r="E650" t="str">
            <v>NP-53.9 - Small Value Procurement</v>
          </cell>
          <cell r="F650" t="str">
            <v>N/A</v>
          </cell>
          <cell r="G650">
            <v>45404</v>
          </cell>
          <cell r="H650">
            <v>0</v>
          </cell>
          <cell r="I650" t="str">
            <v>N/A</v>
          </cell>
          <cell r="J650">
            <v>45421</v>
          </cell>
          <cell r="K650">
            <v>45421</v>
          </cell>
          <cell r="L650">
            <v>0</v>
          </cell>
          <cell r="M650" t="str">
            <v>N/A</v>
          </cell>
          <cell r="N650" t="str">
            <v>N/A</v>
          </cell>
          <cell r="O650">
            <v>45425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 t="e">
            <v>#N/A</v>
          </cell>
          <cell r="Y650">
            <v>0</v>
          </cell>
          <cell r="Z650">
            <v>0</v>
          </cell>
          <cell r="AA650">
            <v>25000</v>
          </cell>
          <cell r="AB650">
            <v>0</v>
          </cell>
          <cell r="AC650">
            <v>25000</v>
          </cell>
          <cell r="AD650">
            <v>23755</v>
          </cell>
          <cell r="AE650">
            <v>0</v>
          </cell>
          <cell r="AF650">
            <v>23755</v>
          </cell>
          <cell r="AG650" t="str">
            <v>ENGR. MICHAEL C. SALARDA
MS. LEONARDA M. LATOR
MS. CARMENCITA VALDEZ
MS. SORAYA P. VERGARA</v>
          </cell>
          <cell r="AH650" t="str">
            <v>N/A</v>
          </cell>
          <cell r="AI650" t="str">
            <v>N/A</v>
          </cell>
          <cell r="AJ650" t="str">
            <v>N/A</v>
          </cell>
          <cell r="AK650" t="str">
            <v>N/A</v>
          </cell>
          <cell r="AL650" t="str">
            <v>N/A</v>
          </cell>
          <cell r="AM650" t="str">
            <v>N/A</v>
          </cell>
          <cell r="AN650">
            <v>0</v>
          </cell>
          <cell r="AO650">
            <v>0</v>
          </cell>
        </row>
        <row r="651">
          <cell r="A651" t="str">
            <v>24-C1336</v>
          </cell>
          <cell r="B651" t="str">
            <v>DOCUMENT SCANNER</v>
          </cell>
          <cell r="C651" t="str">
            <v>PICTO</v>
          </cell>
          <cell r="D651" t="str">
            <v>No</v>
          </cell>
          <cell r="E651" t="str">
            <v>NP-53.9 - Small Value Procurement</v>
          </cell>
          <cell r="F651">
            <v>45398</v>
          </cell>
          <cell r="G651">
            <v>45404</v>
          </cell>
          <cell r="H651">
            <v>0</v>
          </cell>
          <cell r="I651" t="str">
            <v>N/A</v>
          </cell>
          <cell r="J651">
            <v>45421</v>
          </cell>
          <cell r="K651">
            <v>45421</v>
          </cell>
          <cell r="L651">
            <v>0</v>
          </cell>
          <cell r="M651" t="str">
            <v>N/A</v>
          </cell>
          <cell r="N651" t="str">
            <v>N/A</v>
          </cell>
          <cell r="O651">
            <v>45425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176995</v>
          </cell>
          <cell r="AB651">
            <v>0</v>
          </cell>
          <cell r="AC651">
            <v>176995</v>
          </cell>
          <cell r="AD651">
            <v>175500</v>
          </cell>
          <cell r="AE651">
            <v>0</v>
          </cell>
          <cell r="AF651">
            <v>175500</v>
          </cell>
          <cell r="AG651" t="str">
            <v>ENGR. MICHAEL C. SALARDA
MS. LEONARDA M. LATOR
MS. CARMENCITA VALDEZ
MS. SORAYA P. VERGARA</v>
          </cell>
          <cell r="AH651" t="str">
            <v>N/A</v>
          </cell>
          <cell r="AI651" t="str">
            <v>N/A</v>
          </cell>
          <cell r="AJ651" t="str">
            <v>N/A</v>
          </cell>
          <cell r="AK651" t="str">
            <v>N/A</v>
          </cell>
          <cell r="AL651" t="str">
            <v>N/A</v>
          </cell>
          <cell r="AM651" t="str">
            <v>N/A</v>
          </cell>
          <cell r="AN651">
            <v>0</v>
          </cell>
          <cell r="AO651">
            <v>0</v>
          </cell>
        </row>
        <row r="652">
          <cell r="A652" t="str">
            <v>24-C1064</v>
          </cell>
          <cell r="B652" t="str">
            <v>CONSTRUCTION MATERIALS</v>
          </cell>
          <cell r="C652" t="str">
            <v>PVO</v>
          </cell>
          <cell r="D652" t="str">
            <v>No</v>
          </cell>
          <cell r="E652" t="str">
            <v>Competitive Bidding</v>
          </cell>
          <cell r="F652">
            <v>45356</v>
          </cell>
          <cell r="G652">
            <v>45376</v>
          </cell>
          <cell r="H652">
            <v>0</v>
          </cell>
          <cell r="I652">
            <v>45384</v>
          </cell>
          <cell r="J652">
            <v>45398</v>
          </cell>
          <cell r="K652">
            <v>45398</v>
          </cell>
          <cell r="L652">
            <v>0</v>
          </cell>
          <cell r="M652">
            <v>45398</v>
          </cell>
          <cell r="N652">
            <v>45420</v>
          </cell>
          <cell r="O652">
            <v>45425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45454</v>
          </cell>
          <cell r="Y652">
            <v>0</v>
          </cell>
          <cell r="Z652">
            <v>0</v>
          </cell>
          <cell r="AA652">
            <v>3480267.69</v>
          </cell>
          <cell r="AB652">
            <v>0</v>
          </cell>
          <cell r="AC652">
            <v>3480267.69</v>
          </cell>
          <cell r="AD652">
            <v>3346546.13</v>
          </cell>
          <cell r="AE652">
            <v>0</v>
          </cell>
          <cell r="AF652">
            <v>3346546.13</v>
          </cell>
          <cell r="AG652" t="str">
            <v>ENGR. MICHAEL C. SALARDA
MS. LEONARDA M. LATOR
MS. CARMENCITA VALDEZ
MS. SORAYA P. VERGARA</v>
          </cell>
          <cell r="AH652">
            <v>45383</v>
          </cell>
          <cell r="AI652">
            <v>45383</v>
          </cell>
          <cell r="AJ652">
            <v>45383</v>
          </cell>
          <cell r="AK652">
            <v>45383</v>
          </cell>
          <cell r="AL652" t="str">
            <v>N/A</v>
          </cell>
          <cell r="AM652" t="str">
            <v>N/A</v>
          </cell>
          <cell r="AN652">
            <v>0</v>
          </cell>
          <cell r="AO652">
            <v>0</v>
          </cell>
        </row>
        <row r="653">
          <cell r="A653" t="str">
            <v>24-C1048</v>
          </cell>
          <cell r="B653" t="str">
            <v>CONSTRUCTION MATERIALS</v>
          </cell>
          <cell r="C653" t="str">
            <v>PVO</v>
          </cell>
          <cell r="D653" t="str">
            <v>No</v>
          </cell>
          <cell r="E653" t="str">
            <v>Competitive Bidding</v>
          </cell>
          <cell r="F653">
            <v>45356</v>
          </cell>
          <cell r="G653">
            <v>45390</v>
          </cell>
          <cell r="H653">
            <v>0</v>
          </cell>
          <cell r="I653" t="str">
            <v>N/A</v>
          </cell>
          <cell r="J653">
            <v>45398</v>
          </cell>
          <cell r="K653">
            <v>45398</v>
          </cell>
          <cell r="L653">
            <v>0</v>
          </cell>
          <cell r="M653">
            <v>45398</v>
          </cell>
          <cell r="N653">
            <v>45420</v>
          </cell>
          <cell r="O653">
            <v>45425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45454</v>
          </cell>
          <cell r="Y653">
            <v>0</v>
          </cell>
          <cell r="Z653">
            <v>0</v>
          </cell>
          <cell r="AA653">
            <v>851428.35</v>
          </cell>
          <cell r="AB653">
            <v>0</v>
          </cell>
          <cell r="AC653">
            <v>851428.35</v>
          </cell>
          <cell r="AD653">
            <v>840828.15</v>
          </cell>
          <cell r="AE653">
            <v>0</v>
          </cell>
          <cell r="AF653">
            <v>840828.15</v>
          </cell>
          <cell r="AG653" t="str">
            <v>ENGR. MICHAEL C. SALARDA
MS. LEONARDA M. LATOR
MS. CARMENCITA VALDEZ
MS. SORAYA P. VERGARA</v>
          </cell>
          <cell r="AH653" t="str">
            <v>N/A</v>
          </cell>
          <cell r="AI653">
            <v>45383</v>
          </cell>
          <cell r="AJ653">
            <v>45383</v>
          </cell>
          <cell r="AK653">
            <v>45383</v>
          </cell>
          <cell r="AL653" t="str">
            <v>N/A</v>
          </cell>
          <cell r="AM653" t="str">
            <v>N/A</v>
          </cell>
          <cell r="AN653">
            <v>0</v>
          </cell>
          <cell r="AO653">
            <v>0</v>
          </cell>
        </row>
        <row r="654">
          <cell r="A654" t="str">
            <v>24-C1191</v>
          </cell>
          <cell r="B654" t="str">
            <v>MEALS AND SNACKS WITH VENUE</v>
          </cell>
          <cell r="C654" t="str">
            <v>PDRRMO</v>
          </cell>
          <cell r="D654" t="str">
            <v>No</v>
          </cell>
          <cell r="E654" t="str">
            <v>Competitive Bidding</v>
          </cell>
          <cell r="F654" t="str">
            <v>N/A</v>
          </cell>
          <cell r="G654">
            <v>45390</v>
          </cell>
          <cell r="H654">
            <v>0</v>
          </cell>
          <cell r="I654" t="str">
            <v>N/A</v>
          </cell>
          <cell r="J654">
            <v>45398</v>
          </cell>
          <cell r="K654">
            <v>45398</v>
          </cell>
          <cell r="L654">
            <v>0</v>
          </cell>
          <cell r="M654">
            <v>45398</v>
          </cell>
          <cell r="N654">
            <v>45421</v>
          </cell>
          <cell r="O654">
            <v>45425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373430</v>
          </cell>
          <cell r="AB654">
            <v>0</v>
          </cell>
          <cell r="AC654">
            <v>373430</v>
          </cell>
          <cell r="AD654">
            <v>373430</v>
          </cell>
          <cell r="AE654">
            <v>0</v>
          </cell>
          <cell r="AF654">
            <v>373430</v>
          </cell>
          <cell r="AG654" t="str">
            <v>ENGR. MICHAEL C. SALARDA
MS. LEONARDA M. LATOR
MS. CARMENCITA VALDEZ
MS. SORAYA P. VERGARA</v>
          </cell>
          <cell r="AH654" t="str">
            <v>N/A</v>
          </cell>
          <cell r="AI654">
            <v>45383</v>
          </cell>
          <cell r="AJ654">
            <v>45383</v>
          </cell>
          <cell r="AK654">
            <v>45383</v>
          </cell>
          <cell r="AL654" t="str">
            <v>N/A</v>
          </cell>
          <cell r="AM654" t="str">
            <v>N/A</v>
          </cell>
          <cell r="AN654">
            <v>0</v>
          </cell>
          <cell r="AO654">
            <v>0</v>
          </cell>
        </row>
        <row r="655">
          <cell r="A655" t="str">
            <v>24-1163</v>
          </cell>
          <cell r="B655" t="str">
            <v>MEALS AND SNACKS WITH VENUE</v>
          </cell>
          <cell r="C655" t="str">
            <v>PGO-DILG</v>
          </cell>
          <cell r="D655" t="str">
            <v>No</v>
          </cell>
          <cell r="E655" t="str">
            <v>Competitive Bidding</v>
          </cell>
          <cell r="F655" t="str">
            <v>N/A</v>
          </cell>
          <cell r="G655">
            <v>45390</v>
          </cell>
          <cell r="H655">
            <v>0</v>
          </cell>
          <cell r="I655" t="str">
            <v>N/A</v>
          </cell>
          <cell r="J655">
            <v>45398</v>
          </cell>
          <cell r="K655">
            <v>45398</v>
          </cell>
          <cell r="L655">
            <v>0</v>
          </cell>
          <cell r="M655">
            <v>45398</v>
          </cell>
          <cell r="N655">
            <v>45421</v>
          </cell>
          <cell r="O655">
            <v>45425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455000</v>
          </cell>
          <cell r="AB655">
            <v>0</v>
          </cell>
          <cell r="AC655">
            <v>455000</v>
          </cell>
          <cell r="AD655">
            <v>455000</v>
          </cell>
          <cell r="AE655">
            <v>0</v>
          </cell>
          <cell r="AF655">
            <v>455000</v>
          </cell>
          <cell r="AG655" t="str">
            <v>ENGR. MICHAEL C. SALARDA
MS. LEONARDA M. LATOR
MS. CARMENCITA VALDEZ
MS. SORAYA P. VERGARA</v>
          </cell>
          <cell r="AH655" t="str">
            <v>N/A</v>
          </cell>
          <cell r="AI655">
            <v>45383</v>
          </cell>
          <cell r="AJ655">
            <v>45383</v>
          </cell>
          <cell r="AK655">
            <v>45383</v>
          </cell>
          <cell r="AL655" t="str">
            <v>N/A</v>
          </cell>
          <cell r="AM655" t="str">
            <v>N/A</v>
          </cell>
          <cell r="AN655">
            <v>0</v>
          </cell>
          <cell r="AO655">
            <v>0</v>
          </cell>
        </row>
        <row r="656">
          <cell r="A656" t="str">
            <v>24-C0933</v>
          </cell>
          <cell r="B656" t="str">
            <v>MEALS AND SNACKS WITH ACCOMMODATION</v>
          </cell>
          <cell r="C656" t="str">
            <v>PPDO</v>
          </cell>
          <cell r="D656" t="str">
            <v>No</v>
          </cell>
          <cell r="E656" t="str">
            <v>Competitive Bidding</v>
          </cell>
          <cell r="F656" t="str">
            <v>N/A</v>
          </cell>
          <cell r="G656">
            <v>45390</v>
          </cell>
          <cell r="H656">
            <v>0</v>
          </cell>
          <cell r="I656" t="str">
            <v>N/A</v>
          </cell>
          <cell r="J656">
            <v>45398</v>
          </cell>
          <cell r="K656">
            <v>45398</v>
          </cell>
          <cell r="L656">
            <v>0</v>
          </cell>
          <cell r="M656">
            <v>45398</v>
          </cell>
          <cell r="N656">
            <v>45421</v>
          </cell>
          <cell r="O656">
            <v>45425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45428</v>
          </cell>
          <cell r="Y656">
            <v>0</v>
          </cell>
          <cell r="Z656">
            <v>0</v>
          </cell>
          <cell r="AA656">
            <v>596460</v>
          </cell>
          <cell r="AB656">
            <v>0</v>
          </cell>
          <cell r="AC656">
            <v>596460</v>
          </cell>
          <cell r="AD656">
            <v>596460</v>
          </cell>
          <cell r="AE656">
            <v>0</v>
          </cell>
          <cell r="AF656">
            <v>596460</v>
          </cell>
          <cell r="AG656" t="str">
            <v>ENGR. MICHAEL C. SALARDA
MS. LEONARDA M. LATOR
MS. CARMENCITA VALDEZ
MS. SORAYA P. VERGARA</v>
          </cell>
          <cell r="AH656" t="str">
            <v>N/A</v>
          </cell>
          <cell r="AI656">
            <v>45383</v>
          </cell>
          <cell r="AJ656">
            <v>45383</v>
          </cell>
          <cell r="AK656">
            <v>45383</v>
          </cell>
          <cell r="AL656" t="str">
            <v>N/A</v>
          </cell>
          <cell r="AM656" t="str">
            <v>N/A</v>
          </cell>
          <cell r="AN656">
            <v>0</v>
          </cell>
          <cell r="AO656">
            <v>0</v>
          </cell>
        </row>
        <row r="657">
          <cell r="A657" t="str">
            <v>24-0585</v>
          </cell>
          <cell r="B657" t="str">
            <v>PLASTIC MOLDER SET (6 UNITS/SET) AND PLASTIC SHREDDING MACHINE</v>
          </cell>
          <cell r="C657" t="str">
            <v>PENRO</v>
          </cell>
          <cell r="D657" t="str">
            <v>No</v>
          </cell>
          <cell r="E657" t="str">
            <v>Competitive Bidding</v>
          </cell>
          <cell r="F657">
            <v>45330</v>
          </cell>
          <cell r="G657">
            <v>45355</v>
          </cell>
          <cell r="H657">
            <v>0</v>
          </cell>
          <cell r="I657" t="str">
            <v>N/A</v>
          </cell>
          <cell r="J657">
            <v>45370</v>
          </cell>
          <cell r="K657">
            <v>45370</v>
          </cell>
          <cell r="L657">
            <v>0</v>
          </cell>
          <cell r="M657">
            <v>45370</v>
          </cell>
          <cell r="N657">
            <v>45399</v>
          </cell>
          <cell r="O657">
            <v>45366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 t="e">
            <v>#N/A</v>
          </cell>
          <cell r="Y657">
            <v>0</v>
          </cell>
          <cell r="Z657">
            <v>0</v>
          </cell>
          <cell r="AA657">
            <v>795000</v>
          </cell>
          <cell r="AB657">
            <v>0</v>
          </cell>
          <cell r="AC657">
            <v>795000</v>
          </cell>
          <cell r="AD657">
            <v>777000</v>
          </cell>
          <cell r="AE657">
            <v>0</v>
          </cell>
          <cell r="AF657">
            <v>777000</v>
          </cell>
          <cell r="AG657" t="str">
            <v>ENGR. MICHAEL C. SALARDA
MS. LEONARDA M. LATOR
MS. CARMENCITA VALDEZ
MS. SORAYA P. VERGARA</v>
          </cell>
          <cell r="AH657" t="str">
            <v>N/A</v>
          </cell>
          <cell r="AI657">
            <v>45366</v>
          </cell>
          <cell r="AJ657">
            <v>45366</v>
          </cell>
          <cell r="AK657">
            <v>45366</v>
          </cell>
          <cell r="AL657" t="str">
            <v>N/A</v>
          </cell>
          <cell r="AM657" t="str">
            <v>N/A</v>
          </cell>
          <cell r="AN657">
            <v>0</v>
          </cell>
          <cell r="AO657">
            <v>0</v>
          </cell>
        </row>
        <row r="658">
          <cell r="A658" t="str">
            <v>24-0012</v>
          </cell>
          <cell r="B658" t="str">
            <v>INSTALLATION OF 22 TO 25KW HYBRID SOLAR POWER SYSTEM, FOR TUNNEL VENTILATED SWINE BREEDING CENTER MULTIPLIER</v>
          </cell>
          <cell r="C658" t="str">
            <v>PVO</v>
          </cell>
          <cell r="D658" t="str">
            <v>No</v>
          </cell>
          <cell r="E658" t="str">
            <v>Competitive Bidding</v>
          </cell>
          <cell r="F658">
            <v>45356</v>
          </cell>
          <cell r="G658">
            <v>45383</v>
          </cell>
          <cell r="H658">
            <v>0</v>
          </cell>
          <cell r="I658">
            <v>45398</v>
          </cell>
          <cell r="J658">
            <v>45412</v>
          </cell>
          <cell r="K658">
            <v>45412</v>
          </cell>
          <cell r="L658">
            <v>0</v>
          </cell>
          <cell r="M658">
            <v>45412</v>
          </cell>
          <cell r="N658">
            <v>45422</v>
          </cell>
          <cell r="O658">
            <v>45428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 t="e">
            <v>#N/A</v>
          </cell>
          <cell r="Y658">
            <v>0</v>
          </cell>
          <cell r="Z658">
            <v>0</v>
          </cell>
          <cell r="AA658">
            <v>2000000</v>
          </cell>
          <cell r="AB658">
            <v>0</v>
          </cell>
          <cell r="AC658">
            <v>2000000</v>
          </cell>
          <cell r="AD658">
            <v>1980000</v>
          </cell>
          <cell r="AE658">
            <v>0</v>
          </cell>
          <cell r="AF658">
            <v>1980000</v>
          </cell>
          <cell r="AG658" t="str">
            <v>ENGR. MICHAEL C. SALARDA
MS. LEONARDA M. LATOR
MS. CARMENCITA VALDEZ
MS. SORAYA P. VERGARA</v>
          </cell>
          <cell r="AH658">
            <v>45393</v>
          </cell>
          <cell r="AI658">
            <v>45406</v>
          </cell>
          <cell r="AJ658">
            <v>45406</v>
          </cell>
          <cell r="AK658">
            <v>45406</v>
          </cell>
          <cell r="AL658" t="str">
            <v>N/A</v>
          </cell>
          <cell r="AM658" t="str">
            <v>N/A</v>
          </cell>
          <cell r="AN658">
            <v>0</v>
          </cell>
          <cell r="AO658">
            <v>0</v>
          </cell>
        </row>
        <row r="659">
          <cell r="A659" t="str">
            <v>24-1732</v>
          </cell>
          <cell r="B659" t="str">
            <v xml:space="preserve">PAINT, SUICK DRY ENAMEL-WHITE FOR PAINTS </v>
          </cell>
          <cell r="C659" t="str">
            <v>PGO-SEF</v>
          </cell>
          <cell r="D659" t="str">
            <v>No</v>
          </cell>
          <cell r="E659" t="str">
            <v>Competitive Bidding</v>
          </cell>
          <cell r="F659" t="str">
            <v>N/A</v>
          </cell>
          <cell r="G659">
            <v>45383</v>
          </cell>
          <cell r="H659">
            <v>0</v>
          </cell>
          <cell r="I659">
            <v>45398</v>
          </cell>
          <cell r="J659">
            <v>45412</v>
          </cell>
          <cell r="K659">
            <v>45412</v>
          </cell>
          <cell r="L659">
            <v>0</v>
          </cell>
          <cell r="M659">
            <v>45412</v>
          </cell>
          <cell r="N659">
            <v>45422</v>
          </cell>
          <cell r="O659">
            <v>45428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 t="e">
            <v>#N/A</v>
          </cell>
          <cell r="Y659">
            <v>0</v>
          </cell>
          <cell r="Z659">
            <v>0</v>
          </cell>
          <cell r="AA659">
            <v>1999872</v>
          </cell>
          <cell r="AB659">
            <v>0</v>
          </cell>
          <cell r="AC659">
            <v>1999872</v>
          </cell>
          <cell r="AD659">
            <v>1765512</v>
          </cell>
          <cell r="AE659">
            <v>0</v>
          </cell>
          <cell r="AF659">
            <v>1765512</v>
          </cell>
          <cell r="AG659" t="str">
            <v>ENGR. MICHAEL C. SALARDA
MS. LEONARDA M. LATOR
MS. CARMENCITA VALDEZ
MS. SORAYA P. VERGARA</v>
          </cell>
          <cell r="AH659">
            <v>45393</v>
          </cell>
          <cell r="AI659">
            <v>45406</v>
          </cell>
          <cell r="AJ659">
            <v>45406</v>
          </cell>
          <cell r="AK659">
            <v>45406</v>
          </cell>
          <cell r="AL659" t="str">
            <v>N/A</v>
          </cell>
          <cell r="AM659" t="str">
            <v>N/A</v>
          </cell>
          <cell r="AN659">
            <v>0</v>
          </cell>
          <cell r="AO659">
            <v>0</v>
          </cell>
        </row>
        <row r="660">
          <cell r="A660" t="str">
            <v>24-C1165</v>
          </cell>
          <cell r="B660" t="str">
            <v>CONSTRUCTION MATERIALS</v>
          </cell>
          <cell r="C660" t="str">
            <v>PDRRMO</v>
          </cell>
          <cell r="D660" t="str">
            <v>No</v>
          </cell>
          <cell r="E660" t="str">
            <v>Competitive Bidding</v>
          </cell>
          <cell r="F660">
            <v>45384</v>
          </cell>
          <cell r="G660">
            <v>45390</v>
          </cell>
          <cell r="H660">
            <v>0</v>
          </cell>
          <cell r="I660">
            <v>45398</v>
          </cell>
          <cell r="J660">
            <v>45412</v>
          </cell>
          <cell r="K660">
            <v>45412</v>
          </cell>
          <cell r="L660">
            <v>0</v>
          </cell>
          <cell r="M660">
            <v>45412</v>
          </cell>
          <cell r="N660">
            <v>45422</v>
          </cell>
          <cell r="O660">
            <v>45428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1499916</v>
          </cell>
          <cell r="AB660">
            <v>0</v>
          </cell>
          <cell r="AC660">
            <v>1499916</v>
          </cell>
          <cell r="AD660">
            <v>1129890</v>
          </cell>
          <cell r="AE660">
            <v>0</v>
          </cell>
          <cell r="AF660">
            <v>1129890</v>
          </cell>
          <cell r="AG660" t="str">
            <v>ENGR. MICHAEL C. SALARDA
MS. LEONARDA M. LATOR
MS. CARMENCITA VALDEZ
MS. SORAYA P. VERGARA</v>
          </cell>
          <cell r="AH660">
            <v>45393</v>
          </cell>
          <cell r="AI660">
            <v>45406</v>
          </cell>
          <cell r="AJ660">
            <v>45406</v>
          </cell>
          <cell r="AK660">
            <v>45406</v>
          </cell>
          <cell r="AL660" t="str">
            <v>N/A</v>
          </cell>
          <cell r="AM660" t="str">
            <v>N/A</v>
          </cell>
          <cell r="AN660">
            <v>0</v>
          </cell>
          <cell r="AO660">
            <v>0</v>
          </cell>
        </row>
        <row r="661">
          <cell r="A661" t="str">
            <v>24-C1210</v>
          </cell>
          <cell r="B661" t="str">
            <v>VERTERINARY DRUGS AND BIOLOGICS</v>
          </cell>
          <cell r="C661" t="str">
            <v>PVO</v>
          </cell>
          <cell r="D661" t="str">
            <v>No</v>
          </cell>
          <cell r="E661" t="str">
            <v>Competitive Bidding</v>
          </cell>
          <cell r="F661" t="str">
            <v>N/A</v>
          </cell>
          <cell r="G661">
            <v>45390</v>
          </cell>
          <cell r="H661">
            <v>0</v>
          </cell>
          <cell r="I661">
            <v>45398</v>
          </cell>
          <cell r="J661">
            <v>45412</v>
          </cell>
          <cell r="K661">
            <v>45412</v>
          </cell>
          <cell r="L661">
            <v>0</v>
          </cell>
          <cell r="M661">
            <v>45412</v>
          </cell>
          <cell r="N661">
            <v>45422</v>
          </cell>
          <cell r="O661">
            <v>45428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1237684</v>
          </cell>
          <cell r="AB661">
            <v>0</v>
          </cell>
          <cell r="AC661">
            <v>1237684</v>
          </cell>
          <cell r="AD661">
            <v>1105674</v>
          </cell>
          <cell r="AE661">
            <v>0</v>
          </cell>
          <cell r="AF661">
            <v>1105674</v>
          </cell>
          <cell r="AG661" t="str">
            <v>ENGR. MICHAEL C. SALARDA
MS. LEONARDA M. LATOR
MS. CARMENCITA VALDEZ
MS. SORAYA P. VERGARA</v>
          </cell>
          <cell r="AH661">
            <v>45393</v>
          </cell>
          <cell r="AI661">
            <v>45406</v>
          </cell>
          <cell r="AJ661">
            <v>45406</v>
          </cell>
          <cell r="AK661">
            <v>45406</v>
          </cell>
          <cell r="AL661" t="str">
            <v>N/A</v>
          </cell>
          <cell r="AM661" t="str">
            <v>N/A</v>
          </cell>
          <cell r="AN661">
            <v>0</v>
          </cell>
          <cell r="AO661">
            <v>0</v>
          </cell>
        </row>
        <row r="662">
          <cell r="A662" t="str">
            <v>24-1240</v>
          </cell>
          <cell r="B662" t="str">
            <v>INSTALLATION OF THREE PHASE ELECTRICAL TRANSMISSION LINE</v>
          </cell>
          <cell r="C662" t="str">
            <v>PAGRO</v>
          </cell>
          <cell r="D662" t="str">
            <v>No</v>
          </cell>
          <cell r="E662" t="str">
            <v>Competitive Bidding</v>
          </cell>
          <cell r="F662">
            <v>45384</v>
          </cell>
          <cell r="G662">
            <v>45390</v>
          </cell>
          <cell r="H662">
            <v>0</v>
          </cell>
          <cell r="I662">
            <v>45398</v>
          </cell>
          <cell r="J662">
            <v>45412</v>
          </cell>
          <cell r="K662">
            <v>45412</v>
          </cell>
          <cell r="L662">
            <v>0</v>
          </cell>
          <cell r="M662">
            <v>45412</v>
          </cell>
          <cell r="N662">
            <v>45422</v>
          </cell>
          <cell r="O662">
            <v>45428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 t="e">
            <v>#N/A</v>
          </cell>
          <cell r="Y662">
            <v>0</v>
          </cell>
          <cell r="Z662">
            <v>0</v>
          </cell>
          <cell r="AA662">
            <v>3937264.26</v>
          </cell>
          <cell r="AB662">
            <v>0</v>
          </cell>
          <cell r="AC662">
            <v>3937264.26</v>
          </cell>
          <cell r="AD662">
            <v>3936264.26</v>
          </cell>
          <cell r="AE662">
            <v>0</v>
          </cell>
          <cell r="AF662">
            <v>3936264.26</v>
          </cell>
          <cell r="AG662" t="str">
            <v>ENGR. MICHAEL C. SALARDA
MS. LEONARDA M. LATOR
MS. CARMENCITA VALDEZ
MS. SORAYA P. VERGARA</v>
          </cell>
          <cell r="AH662">
            <v>45393</v>
          </cell>
          <cell r="AI662">
            <v>45406</v>
          </cell>
          <cell r="AJ662">
            <v>45406</v>
          </cell>
          <cell r="AK662">
            <v>45406</v>
          </cell>
          <cell r="AL662" t="str">
            <v>N/A</v>
          </cell>
          <cell r="AM662" t="str">
            <v>N/A</v>
          </cell>
          <cell r="AN662">
            <v>0</v>
          </cell>
          <cell r="AO662">
            <v>0</v>
          </cell>
        </row>
        <row r="663">
          <cell r="A663" t="str">
            <v>24-C1285</v>
          </cell>
          <cell r="B663" t="str">
            <v>RICE (WELL MILLED) 50KG/SACK</v>
          </cell>
          <cell r="C663" t="str">
            <v>PEEMO</v>
          </cell>
          <cell r="D663" t="str">
            <v>No</v>
          </cell>
          <cell r="E663" t="str">
            <v>Competitive Bidding</v>
          </cell>
          <cell r="F663" t="str">
            <v>N/A</v>
          </cell>
          <cell r="G663">
            <v>45404</v>
          </cell>
          <cell r="H663">
            <v>0</v>
          </cell>
          <cell r="I663" t="str">
            <v>N/A</v>
          </cell>
          <cell r="J663">
            <v>45412</v>
          </cell>
          <cell r="K663">
            <v>45412</v>
          </cell>
          <cell r="L663">
            <v>0</v>
          </cell>
          <cell r="M663">
            <v>45412</v>
          </cell>
          <cell r="N663">
            <v>45422</v>
          </cell>
          <cell r="O663">
            <v>45428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45442</v>
          </cell>
          <cell r="Y663">
            <v>0</v>
          </cell>
          <cell r="Z663">
            <v>0</v>
          </cell>
          <cell r="AA663">
            <v>996930</v>
          </cell>
          <cell r="AB663">
            <v>0</v>
          </cell>
          <cell r="AC663">
            <v>996930</v>
          </cell>
          <cell r="AD663">
            <v>954000</v>
          </cell>
          <cell r="AE663">
            <v>0</v>
          </cell>
          <cell r="AF663">
            <v>954000</v>
          </cell>
          <cell r="AG663" t="str">
            <v>ENGR. MICHAEL C. SALARDA
MS. LEONARDA M. LATOR
MS. CARMENCITA VALDEZ
MS. SORAYA P. VERGARA</v>
          </cell>
          <cell r="AH663" t="str">
            <v>N/A</v>
          </cell>
          <cell r="AI663">
            <v>45406</v>
          </cell>
          <cell r="AJ663">
            <v>45406</v>
          </cell>
          <cell r="AK663">
            <v>45406</v>
          </cell>
          <cell r="AL663" t="str">
            <v>N/A</v>
          </cell>
          <cell r="AM663" t="str">
            <v>N/A</v>
          </cell>
          <cell r="AN663">
            <v>0</v>
          </cell>
          <cell r="AO663">
            <v>0</v>
          </cell>
        </row>
        <row r="664">
          <cell r="A664" t="str">
            <v>24-C1296</v>
          </cell>
          <cell r="B664" t="str">
            <v>LABORATORY SUPPLIES</v>
          </cell>
          <cell r="C664" t="str">
            <v>PEEMO</v>
          </cell>
          <cell r="D664" t="str">
            <v>No</v>
          </cell>
          <cell r="E664" t="str">
            <v>Competitive Bidding</v>
          </cell>
          <cell r="F664">
            <v>45384</v>
          </cell>
          <cell r="G664">
            <v>45390</v>
          </cell>
          <cell r="H664">
            <v>0</v>
          </cell>
          <cell r="I664" t="str">
            <v>N/A</v>
          </cell>
          <cell r="J664">
            <v>45398</v>
          </cell>
          <cell r="K664">
            <v>45398</v>
          </cell>
          <cell r="L664">
            <v>0</v>
          </cell>
          <cell r="M664">
            <v>45398</v>
          </cell>
          <cell r="N664">
            <v>45422</v>
          </cell>
          <cell r="O664">
            <v>45428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45440</v>
          </cell>
          <cell r="Y664">
            <v>0</v>
          </cell>
          <cell r="Z664">
            <v>0</v>
          </cell>
          <cell r="AA664">
            <v>884961</v>
          </cell>
          <cell r="AB664">
            <v>0</v>
          </cell>
          <cell r="AC664">
            <v>884961</v>
          </cell>
          <cell r="AD664">
            <v>620604</v>
          </cell>
          <cell r="AE664">
            <v>0</v>
          </cell>
          <cell r="AF664">
            <v>620604</v>
          </cell>
          <cell r="AG664" t="str">
            <v>ENGR. MICHAEL C. SALARDA
MS. LEONARDA M. LATOR
MS. CARMENCITA VALDEZ
MS. SORAYA P. VERGARA</v>
          </cell>
          <cell r="AH664" t="str">
            <v>N/A</v>
          </cell>
          <cell r="AI664">
            <v>45406</v>
          </cell>
          <cell r="AJ664">
            <v>45406</v>
          </cell>
          <cell r="AK664">
            <v>45406</v>
          </cell>
          <cell r="AL664" t="str">
            <v>N/A</v>
          </cell>
          <cell r="AM664" t="str">
            <v>N/A</v>
          </cell>
          <cell r="AN664">
            <v>0</v>
          </cell>
          <cell r="AO664">
            <v>0</v>
          </cell>
        </row>
        <row r="665">
          <cell r="A665" t="str">
            <v>24-2144</v>
          </cell>
          <cell r="B665" t="str">
            <v>BRAND NEW, HYDRAULIC EXCVATOR, CRAWLER TYPE (MONO BOOM)</v>
          </cell>
          <cell r="C665" t="str">
            <v>PEO</v>
          </cell>
          <cell r="D665" t="str">
            <v>No</v>
          </cell>
          <cell r="E665" t="str">
            <v>Competitive Bidding</v>
          </cell>
          <cell r="F665" t="str">
            <v>N/A</v>
          </cell>
          <cell r="G665">
            <v>45376</v>
          </cell>
          <cell r="H665">
            <v>0</v>
          </cell>
          <cell r="I665">
            <v>45384</v>
          </cell>
          <cell r="J665">
            <v>45398</v>
          </cell>
          <cell r="K665">
            <v>45398</v>
          </cell>
          <cell r="L665">
            <v>0</v>
          </cell>
          <cell r="M665">
            <v>45398</v>
          </cell>
          <cell r="N665">
            <v>45422</v>
          </cell>
          <cell r="O665">
            <v>45428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 t="e">
            <v>#N/A</v>
          </cell>
          <cell r="Y665">
            <v>0</v>
          </cell>
          <cell r="Z665">
            <v>0</v>
          </cell>
          <cell r="AA665">
            <v>20000000</v>
          </cell>
          <cell r="AB665">
            <v>0</v>
          </cell>
          <cell r="AC665">
            <v>20000000</v>
          </cell>
          <cell r="AD665">
            <v>19992000</v>
          </cell>
          <cell r="AE665">
            <v>0</v>
          </cell>
          <cell r="AF665">
            <v>19992000</v>
          </cell>
          <cell r="AG665" t="str">
            <v>ENGR. MICHAEL C. SALARDA
MS. LEONARDA M. LATOR
MS. CARMENCITA VALDEZ
MS. SORAYA P. VERGARA</v>
          </cell>
          <cell r="AH665">
            <v>45383</v>
          </cell>
          <cell r="AI665">
            <v>45393</v>
          </cell>
          <cell r="AJ665">
            <v>45393</v>
          </cell>
          <cell r="AK665">
            <v>45393</v>
          </cell>
          <cell r="AL665" t="str">
            <v>N/A</v>
          </cell>
          <cell r="AM665" t="str">
            <v>N/A</v>
          </cell>
          <cell r="AN665">
            <v>0</v>
          </cell>
          <cell r="AO665">
            <v>0</v>
          </cell>
        </row>
        <row r="666">
          <cell r="A666" t="str">
            <v>24-1742</v>
          </cell>
          <cell r="B666" t="str">
            <v>JOB OUT: TIRE CHANGING &amp; VULCANIZING</v>
          </cell>
          <cell r="C666" t="str">
            <v>PGSO</v>
          </cell>
          <cell r="D666" t="str">
            <v>No</v>
          </cell>
          <cell r="E666" t="str">
            <v>Shopping 52.1(a) - Unforeseen Contingency</v>
          </cell>
          <cell r="F666" t="str">
            <v>N/A</v>
          </cell>
          <cell r="G666">
            <v>45404</v>
          </cell>
          <cell r="H666">
            <v>0</v>
          </cell>
          <cell r="I666" t="str">
            <v>N/A</v>
          </cell>
          <cell r="J666">
            <v>45426</v>
          </cell>
          <cell r="K666">
            <v>45426</v>
          </cell>
          <cell r="L666">
            <v>0</v>
          </cell>
          <cell r="M666" t="str">
            <v>N/A</v>
          </cell>
          <cell r="N666" t="str">
            <v>N/A</v>
          </cell>
          <cell r="O666">
            <v>45428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 t="e">
            <v>#N/A</v>
          </cell>
          <cell r="Y666">
            <v>0</v>
          </cell>
          <cell r="Z666">
            <v>0</v>
          </cell>
          <cell r="AA666">
            <v>700</v>
          </cell>
          <cell r="AB666">
            <v>0</v>
          </cell>
          <cell r="AC666">
            <v>700</v>
          </cell>
          <cell r="AD666">
            <v>700</v>
          </cell>
          <cell r="AE666">
            <v>0</v>
          </cell>
          <cell r="AF666">
            <v>700</v>
          </cell>
          <cell r="AG666" t="str">
            <v>ENGR. MICHAEL C. SALARDA
MS. LEONARDA M. LATOR
MS. CARMENCITA VALDEZ
MS. SORAYA P. VERGARA</v>
          </cell>
          <cell r="AH666" t="str">
            <v>N/A</v>
          </cell>
          <cell r="AI666" t="str">
            <v>N/A</v>
          </cell>
          <cell r="AJ666" t="str">
            <v>N/A</v>
          </cell>
          <cell r="AK666" t="str">
            <v>N/A</v>
          </cell>
          <cell r="AL666" t="str">
            <v>N/A</v>
          </cell>
          <cell r="AM666" t="str">
            <v>N/A</v>
          </cell>
          <cell r="AN666">
            <v>0</v>
          </cell>
          <cell r="AO666">
            <v>0</v>
          </cell>
        </row>
        <row r="667">
          <cell r="A667" t="str">
            <v>24-2463</v>
          </cell>
          <cell r="B667" t="str">
            <v>SPAREPARTS (LIGHT VEHICLES)</v>
          </cell>
          <cell r="C667" t="str">
            <v>PGSO</v>
          </cell>
          <cell r="D667" t="str">
            <v>No</v>
          </cell>
          <cell r="E667" t="str">
            <v>Shopping 52.1(a) - Unforeseen Contingency</v>
          </cell>
          <cell r="F667" t="str">
            <v>N/A</v>
          </cell>
          <cell r="G667">
            <v>45415</v>
          </cell>
          <cell r="H667">
            <v>0</v>
          </cell>
          <cell r="I667" t="str">
            <v>N/A</v>
          </cell>
          <cell r="J667">
            <v>45426</v>
          </cell>
          <cell r="K667">
            <v>45426</v>
          </cell>
          <cell r="L667">
            <v>0</v>
          </cell>
          <cell r="M667" t="str">
            <v>N/A</v>
          </cell>
          <cell r="N667" t="str">
            <v>N/A</v>
          </cell>
          <cell r="O667">
            <v>45428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 t="e">
            <v>#N/A</v>
          </cell>
          <cell r="Y667">
            <v>0</v>
          </cell>
          <cell r="Z667">
            <v>0</v>
          </cell>
          <cell r="AA667">
            <v>7050</v>
          </cell>
          <cell r="AB667">
            <v>0</v>
          </cell>
          <cell r="AC667">
            <v>7050</v>
          </cell>
          <cell r="AD667">
            <v>7050</v>
          </cell>
          <cell r="AE667">
            <v>0</v>
          </cell>
          <cell r="AF667">
            <v>7050</v>
          </cell>
          <cell r="AG667" t="str">
            <v>ENGR. MICHAEL C. SALARDA
MS. LEONARDA M. LATOR
MS. CARMENCITA VALDEZ
MS. SORAYA P. VERGARA</v>
          </cell>
          <cell r="AH667" t="str">
            <v>N/A</v>
          </cell>
          <cell r="AI667" t="str">
            <v>N/A</v>
          </cell>
          <cell r="AJ667" t="str">
            <v>N/A</v>
          </cell>
          <cell r="AK667" t="str">
            <v>N/A</v>
          </cell>
          <cell r="AL667" t="str">
            <v>N/A</v>
          </cell>
          <cell r="AM667" t="str">
            <v>N/A</v>
          </cell>
          <cell r="AN667">
            <v>0</v>
          </cell>
          <cell r="AO667">
            <v>0</v>
          </cell>
        </row>
        <row r="668">
          <cell r="A668" t="str">
            <v>24-2466</v>
          </cell>
          <cell r="B668" t="str">
            <v>SPAREPARTS (LIGHT VEHICLES)</v>
          </cell>
          <cell r="C668" t="str">
            <v>PGSO</v>
          </cell>
          <cell r="D668" t="str">
            <v>No</v>
          </cell>
          <cell r="E668" t="str">
            <v>Shopping 52.1(a) - Unforeseen Contingency</v>
          </cell>
          <cell r="F668" t="str">
            <v>N/A</v>
          </cell>
          <cell r="G668">
            <v>45415</v>
          </cell>
          <cell r="H668">
            <v>0</v>
          </cell>
          <cell r="I668" t="str">
            <v>N/A</v>
          </cell>
          <cell r="J668">
            <v>45426</v>
          </cell>
          <cell r="K668">
            <v>45426</v>
          </cell>
          <cell r="L668">
            <v>0</v>
          </cell>
          <cell r="M668" t="str">
            <v>N/A</v>
          </cell>
          <cell r="N668" t="str">
            <v>N/A</v>
          </cell>
          <cell r="O668">
            <v>45428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 t="e">
            <v>#N/A</v>
          </cell>
          <cell r="Y668">
            <v>0</v>
          </cell>
          <cell r="Z668">
            <v>0</v>
          </cell>
          <cell r="AA668">
            <v>7450</v>
          </cell>
          <cell r="AB668">
            <v>0</v>
          </cell>
          <cell r="AC668">
            <v>7450</v>
          </cell>
          <cell r="AD668">
            <v>7450</v>
          </cell>
          <cell r="AE668">
            <v>0</v>
          </cell>
          <cell r="AF668">
            <v>7450</v>
          </cell>
          <cell r="AG668" t="str">
            <v>ENGR. MICHAEL C. SALARDA
MS. LEONARDA M. LATOR
MS. CARMENCITA VALDEZ
MS. SORAYA P. VERGARA</v>
          </cell>
          <cell r="AH668" t="str">
            <v>N/A</v>
          </cell>
          <cell r="AI668" t="str">
            <v>N/A</v>
          </cell>
          <cell r="AJ668" t="str">
            <v>N/A</v>
          </cell>
          <cell r="AK668" t="str">
            <v>N/A</v>
          </cell>
          <cell r="AL668" t="str">
            <v>N/A</v>
          </cell>
          <cell r="AM668" t="str">
            <v>N/A</v>
          </cell>
          <cell r="AN668">
            <v>0</v>
          </cell>
          <cell r="AO668">
            <v>0</v>
          </cell>
        </row>
        <row r="669">
          <cell r="A669" t="str">
            <v>24-2465</v>
          </cell>
          <cell r="B669" t="str">
            <v>SPAREPARTS (MOTORCYCLE)</v>
          </cell>
          <cell r="C669" t="str">
            <v>PGSO</v>
          </cell>
          <cell r="D669" t="str">
            <v>No</v>
          </cell>
          <cell r="E669" t="str">
            <v>Shopping 52.1(a) - Unforeseen Contingency</v>
          </cell>
          <cell r="F669" t="str">
            <v>N/A</v>
          </cell>
          <cell r="G669">
            <v>45415</v>
          </cell>
          <cell r="H669">
            <v>0</v>
          </cell>
          <cell r="I669" t="str">
            <v>N/A</v>
          </cell>
          <cell r="J669">
            <v>45426</v>
          </cell>
          <cell r="K669">
            <v>45426</v>
          </cell>
          <cell r="L669">
            <v>0</v>
          </cell>
          <cell r="M669" t="str">
            <v>N/A</v>
          </cell>
          <cell r="N669" t="str">
            <v>N/A</v>
          </cell>
          <cell r="O669">
            <v>45428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 t="e">
            <v>#N/A</v>
          </cell>
          <cell r="Y669">
            <v>0</v>
          </cell>
          <cell r="Z669">
            <v>0</v>
          </cell>
          <cell r="AA669">
            <v>13020</v>
          </cell>
          <cell r="AB669">
            <v>0</v>
          </cell>
          <cell r="AC669">
            <v>13020</v>
          </cell>
          <cell r="AD669">
            <v>13020</v>
          </cell>
          <cell r="AE669">
            <v>0</v>
          </cell>
          <cell r="AF669">
            <v>13020</v>
          </cell>
          <cell r="AG669" t="str">
            <v>ENGR. MICHAEL C. SALARDA
MS. LEONARDA M. LATOR
MS. CARMENCITA VALDEZ
MS. SORAYA P. VERGARA</v>
          </cell>
          <cell r="AH669" t="str">
            <v>N/A</v>
          </cell>
          <cell r="AI669" t="str">
            <v>N/A</v>
          </cell>
          <cell r="AJ669" t="str">
            <v>N/A</v>
          </cell>
          <cell r="AK669" t="str">
            <v>N/A</v>
          </cell>
          <cell r="AL669" t="str">
            <v>N/A</v>
          </cell>
          <cell r="AM669" t="str">
            <v>N/A</v>
          </cell>
          <cell r="AN669">
            <v>0</v>
          </cell>
          <cell r="AO669">
            <v>0</v>
          </cell>
        </row>
        <row r="670">
          <cell r="A670" t="str">
            <v>24-2462</v>
          </cell>
          <cell r="B670" t="str">
            <v>SPAREPARTS (LIGHT VEHICLES)</v>
          </cell>
          <cell r="C670" t="str">
            <v>PGSO</v>
          </cell>
          <cell r="D670" t="str">
            <v>No</v>
          </cell>
          <cell r="E670" t="str">
            <v>Shopping 52.1(a) - Unforeseen Contingency</v>
          </cell>
          <cell r="F670" t="str">
            <v>N/A</v>
          </cell>
          <cell r="G670">
            <v>45415</v>
          </cell>
          <cell r="H670">
            <v>0</v>
          </cell>
          <cell r="I670" t="str">
            <v>N/A</v>
          </cell>
          <cell r="J670">
            <v>45426</v>
          </cell>
          <cell r="K670">
            <v>45426</v>
          </cell>
          <cell r="L670">
            <v>0</v>
          </cell>
          <cell r="M670" t="str">
            <v>N/A</v>
          </cell>
          <cell r="N670" t="str">
            <v>N/A</v>
          </cell>
          <cell r="O670">
            <v>45428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 t="e">
            <v>#N/A</v>
          </cell>
          <cell r="Y670">
            <v>0</v>
          </cell>
          <cell r="Z670">
            <v>0</v>
          </cell>
          <cell r="AA670">
            <v>47000</v>
          </cell>
          <cell r="AB670">
            <v>0</v>
          </cell>
          <cell r="AC670">
            <v>47000</v>
          </cell>
          <cell r="AD670">
            <v>47000</v>
          </cell>
          <cell r="AE670">
            <v>0</v>
          </cell>
          <cell r="AF670">
            <v>47000</v>
          </cell>
          <cell r="AG670" t="str">
            <v>ENGR. MICHAEL C. SALARDA
MS. LEONARDA M. LATOR
MS. CARMENCITA VALDEZ
MS. SORAYA P. VERGARA</v>
          </cell>
          <cell r="AH670" t="str">
            <v>N/A</v>
          </cell>
          <cell r="AI670" t="str">
            <v>N/A</v>
          </cell>
          <cell r="AJ670" t="str">
            <v>N/A</v>
          </cell>
          <cell r="AK670" t="str">
            <v>N/A</v>
          </cell>
          <cell r="AL670" t="str">
            <v>N/A</v>
          </cell>
          <cell r="AM670" t="str">
            <v>N/A</v>
          </cell>
          <cell r="AN670">
            <v>0</v>
          </cell>
          <cell r="AO670">
            <v>0</v>
          </cell>
        </row>
        <row r="671">
          <cell r="A671" t="str">
            <v>24-2473</v>
          </cell>
          <cell r="B671" t="str">
            <v>SPAREPARTS (MOTORCYCLE)</v>
          </cell>
          <cell r="C671" t="str">
            <v>PGSO</v>
          </cell>
          <cell r="D671" t="str">
            <v>No</v>
          </cell>
          <cell r="E671" t="str">
            <v>Shopping 52.1(a) - Unforeseen Contingency</v>
          </cell>
          <cell r="F671" t="str">
            <v>N/A</v>
          </cell>
          <cell r="G671">
            <v>45415</v>
          </cell>
          <cell r="H671">
            <v>0</v>
          </cell>
          <cell r="I671" t="str">
            <v>N/A</v>
          </cell>
          <cell r="J671">
            <v>45426</v>
          </cell>
          <cell r="K671">
            <v>45426</v>
          </cell>
          <cell r="L671">
            <v>0</v>
          </cell>
          <cell r="M671" t="str">
            <v>N/A</v>
          </cell>
          <cell r="N671" t="str">
            <v>N/A</v>
          </cell>
          <cell r="O671">
            <v>45428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 t="e">
            <v>#N/A</v>
          </cell>
          <cell r="Y671">
            <v>0</v>
          </cell>
          <cell r="Z671">
            <v>0</v>
          </cell>
          <cell r="AA671">
            <v>6060</v>
          </cell>
          <cell r="AB671">
            <v>0</v>
          </cell>
          <cell r="AC671">
            <v>6060</v>
          </cell>
          <cell r="AD671">
            <v>6060</v>
          </cell>
          <cell r="AE671">
            <v>0</v>
          </cell>
          <cell r="AF671">
            <v>6060</v>
          </cell>
          <cell r="AG671" t="str">
            <v>ENGR. MICHAEL C. SALARDA
MS. LEONARDA M. LATOR
MS. CARMENCITA VALDEZ
MS. SORAYA P. VERGARA</v>
          </cell>
          <cell r="AH671" t="str">
            <v>N/A</v>
          </cell>
          <cell r="AI671" t="str">
            <v>N/A</v>
          </cell>
          <cell r="AJ671" t="str">
            <v>N/A</v>
          </cell>
          <cell r="AK671" t="str">
            <v>N/A</v>
          </cell>
          <cell r="AL671" t="str">
            <v>N/A</v>
          </cell>
          <cell r="AM671" t="str">
            <v>N/A</v>
          </cell>
          <cell r="AN671">
            <v>0</v>
          </cell>
          <cell r="AO671">
            <v>0</v>
          </cell>
        </row>
        <row r="672">
          <cell r="A672" t="str">
            <v>24-2467</v>
          </cell>
          <cell r="B672" t="str">
            <v>SPAREPARTS (LIGHT VEHICLES)</v>
          </cell>
          <cell r="C672" t="str">
            <v>PGSO</v>
          </cell>
          <cell r="D672" t="str">
            <v>No</v>
          </cell>
          <cell r="E672" t="str">
            <v>Shopping 52.1(a) - Unforeseen Contingency</v>
          </cell>
          <cell r="F672" t="str">
            <v>N/A</v>
          </cell>
          <cell r="G672">
            <v>45415</v>
          </cell>
          <cell r="H672">
            <v>0</v>
          </cell>
          <cell r="I672" t="str">
            <v>N/A</v>
          </cell>
          <cell r="J672">
            <v>45426</v>
          </cell>
          <cell r="K672">
            <v>45426</v>
          </cell>
          <cell r="L672">
            <v>0</v>
          </cell>
          <cell r="M672" t="str">
            <v>N/A</v>
          </cell>
          <cell r="N672" t="str">
            <v>N/A</v>
          </cell>
          <cell r="O672">
            <v>45428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 t="e">
            <v>#N/A</v>
          </cell>
          <cell r="Y672">
            <v>0</v>
          </cell>
          <cell r="Z672">
            <v>0</v>
          </cell>
          <cell r="AA672">
            <v>23100</v>
          </cell>
          <cell r="AB672">
            <v>0</v>
          </cell>
          <cell r="AC672">
            <v>23100</v>
          </cell>
          <cell r="AD672">
            <v>23100</v>
          </cell>
          <cell r="AE672">
            <v>0</v>
          </cell>
          <cell r="AF672">
            <v>23100</v>
          </cell>
          <cell r="AG672" t="str">
            <v>ENGR. MICHAEL C. SALARDA
MS. LEONARDA M. LATOR
MS. CARMENCITA VALDEZ
MS. SORAYA P. VERGARA</v>
          </cell>
          <cell r="AH672" t="str">
            <v>N/A</v>
          </cell>
          <cell r="AI672" t="str">
            <v>N/A</v>
          </cell>
          <cell r="AJ672" t="str">
            <v>N/A</v>
          </cell>
          <cell r="AK672" t="str">
            <v>N/A</v>
          </cell>
          <cell r="AL672" t="str">
            <v>N/A</v>
          </cell>
          <cell r="AM672" t="str">
            <v>N/A</v>
          </cell>
          <cell r="AN672">
            <v>0</v>
          </cell>
          <cell r="AO672">
            <v>0</v>
          </cell>
        </row>
        <row r="673">
          <cell r="A673" t="str">
            <v>24-2556</v>
          </cell>
          <cell r="B673" t="str">
            <v>SPAREPARTS (HEAVY EQUIPT)</v>
          </cell>
          <cell r="C673" t="str">
            <v>PDRRMO</v>
          </cell>
          <cell r="D673" t="str">
            <v>No</v>
          </cell>
          <cell r="E673" t="str">
            <v>Shopping 52.1(a) - Unforeseen Contingency</v>
          </cell>
          <cell r="F673" t="str">
            <v>N/A</v>
          </cell>
          <cell r="G673">
            <v>45418</v>
          </cell>
          <cell r="H673">
            <v>0</v>
          </cell>
          <cell r="I673" t="str">
            <v>N/A</v>
          </cell>
          <cell r="J673">
            <v>45426</v>
          </cell>
          <cell r="K673">
            <v>45426</v>
          </cell>
          <cell r="L673">
            <v>0</v>
          </cell>
          <cell r="M673" t="str">
            <v>N/A</v>
          </cell>
          <cell r="N673" t="str">
            <v>N/A</v>
          </cell>
          <cell r="O673">
            <v>45428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 t="e">
            <v>#N/A</v>
          </cell>
          <cell r="Y673">
            <v>0</v>
          </cell>
          <cell r="Z673">
            <v>0</v>
          </cell>
          <cell r="AA673">
            <v>33900</v>
          </cell>
          <cell r="AB673">
            <v>0</v>
          </cell>
          <cell r="AC673">
            <v>33900</v>
          </cell>
          <cell r="AD673">
            <v>33900</v>
          </cell>
          <cell r="AE673">
            <v>0</v>
          </cell>
          <cell r="AF673">
            <v>33900</v>
          </cell>
          <cell r="AG673" t="str">
            <v>ENGR. MICHAEL C. SALARDA
MS. LEONARDA M. LATOR
MS. CARMENCITA VALDEZ
MS. SORAYA P. VERGARA</v>
          </cell>
          <cell r="AH673" t="str">
            <v>N/A</v>
          </cell>
          <cell r="AI673" t="str">
            <v>N/A</v>
          </cell>
          <cell r="AJ673" t="str">
            <v>N/A</v>
          </cell>
          <cell r="AK673" t="str">
            <v>N/A</v>
          </cell>
          <cell r="AL673" t="str">
            <v>N/A</v>
          </cell>
          <cell r="AM673" t="str">
            <v>N/A</v>
          </cell>
          <cell r="AN673">
            <v>0</v>
          </cell>
          <cell r="AO673">
            <v>0</v>
          </cell>
        </row>
        <row r="674">
          <cell r="A674" t="str">
            <v>24-2174</v>
          </cell>
          <cell r="B674" t="str">
            <v>OFFICE SUPPLIES</v>
          </cell>
          <cell r="C674" t="str">
            <v>PGO</v>
          </cell>
          <cell r="D674" t="str">
            <v>No</v>
          </cell>
          <cell r="E674" t="str">
            <v>Shopping 52.1(b) - Regular Office Supplies and Equipment no available in PS</v>
          </cell>
          <cell r="F674">
            <v>45390</v>
          </cell>
          <cell r="G674">
            <v>45397</v>
          </cell>
          <cell r="H674">
            <v>0</v>
          </cell>
          <cell r="I674" t="str">
            <v>N/A</v>
          </cell>
          <cell r="J674">
            <v>45426</v>
          </cell>
          <cell r="K674">
            <v>45426</v>
          </cell>
          <cell r="L674">
            <v>0</v>
          </cell>
          <cell r="M674" t="str">
            <v>N/A</v>
          </cell>
          <cell r="N674" t="str">
            <v>N/A</v>
          </cell>
          <cell r="O674">
            <v>45428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 t="e">
            <v>#N/A</v>
          </cell>
          <cell r="Y674">
            <v>0</v>
          </cell>
          <cell r="Z674">
            <v>0</v>
          </cell>
          <cell r="AA674">
            <v>53678</v>
          </cell>
          <cell r="AB674">
            <v>0</v>
          </cell>
          <cell r="AC674">
            <v>53678</v>
          </cell>
          <cell r="AD674">
            <v>53678</v>
          </cell>
          <cell r="AE674">
            <v>0</v>
          </cell>
          <cell r="AF674">
            <v>53678</v>
          </cell>
          <cell r="AG674" t="str">
            <v>ENGR. MICHAEL C. SALARDA
MS. LEONARDA M. LATOR
MS. CARMENCITA VALDEZ
MS. SORAYA P. VERGARA</v>
          </cell>
          <cell r="AH674" t="str">
            <v>N/A</v>
          </cell>
          <cell r="AI674" t="str">
            <v>N/A</v>
          </cell>
          <cell r="AJ674" t="str">
            <v>N/A</v>
          </cell>
          <cell r="AK674" t="str">
            <v>N/A</v>
          </cell>
          <cell r="AL674" t="str">
            <v>N/A</v>
          </cell>
          <cell r="AM674" t="str">
            <v>N/A</v>
          </cell>
          <cell r="AN674">
            <v>0</v>
          </cell>
          <cell r="AO674">
            <v>0</v>
          </cell>
        </row>
        <row r="675">
          <cell r="A675" t="str">
            <v>24-2589</v>
          </cell>
          <cell r="B675" t="str">
            <v>DUPLICATING PRODUCTS/SPAREPARTS</v>
          </cell>
          <cell r="C675" t="str">
            <v>SPO</v>
          </cell>
          <cell r="D675" t="str">
            <v>No</v>
          </cell>
          <cell r="E675" t="str">
            <v>Direct Contracting</v>
          </cell>
          <cell r="F675" t="str">
            <v>N/A</v>
          </cell>
          <cell r="G675">
            <v>45422</v>
          </cell>
          <cell r="H675">
            <v>0</v>
          </cell>
          <cell r="I675" t="str">
            <v>N/A</v>
          </cell>
          <cell r="J675">
            <v>45426</v>
          </cell>
          <cell r="K675">
            <v>45426</v>
          </cell>
          <cell r="L675">
            <v>0</v>
          </cell>
          <cell r="M675" t="str">
            <v>N/A</v>
          </cell>
          <cell r="N675" t="str">
            <v>N/A</v>
          </cell>
          <cell r="O675">
            <v>45428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 t="e">
            <v>#N/A</v>
          </cell>
          <cell r="Y675">
            <v>0</v>
          </cell>
          <cell r="Z675">
            <v>0</v>
          </cell>
          <cell r="AA675">
            <v>44301</v>
          </cell>
          <cell r="AB675">
            <v>0</v>
          </cell>
          <cell r="AC675">
            <v>44301</v>
          </cell>
          <cell r="AD675">
            <v>42261</v>
          </cell>
          <cell r="AE675">
            <v>0</v>
          </cell>
          <cell r="AF675">
            <v>42261</v>
          </cell>
          <cell r="AG675" t="str">
            <v>ENGR. MICHAEL C. SALARDA
MS. LEONARDA M. LATOR
MS. CARMENCITA VALDEZ
MS. SORAYA P. VERGARA</v>
          </cell>
          <cell r="AH675" t="str">
            <v>N/A</v>
          </cell>
          <cell r="AI675" t="str">
            <v>N/A</v>
          </cell>
          <cell r="AJ675" t="str">
            <v>N/A</v>
          </cell>
          <cell r="AK675" t="str">
            <v>N/A</v>
          </cell>
          <cell r="AL675" t="str">
            <v>N/A</v>
          </cell>
          <cell r="AM675" t="str">
            <v>N/A</v>
          </cell>
          <cell r="AN675">
            <v>0</v>
          </cell>
          <cell r="AO675">
            <v>0</v>
          </cell>
        </row>
        <row r="676">
          <cell r="A676" t="str">
            <v>24-1433</v>
          </cell>
          <cell r="B676" t="str">
            <v>SERVICES</v>
          </cell>
          <cell r="C676" t="str">
            <v>PDRRMO</v>
          </cell>
          <cell r="D676" t="str">
            <v>No</v>
          </cell>
          <cell r="E676" t="str">
            <v>Direct Contracting</v>
          </cell>
          <cell r="F676">
            <v>45356</v>
          </cell>
          <cell r="G676">
            <v>45418</v>
          </cell>
          <cell r="H676">
            <v>0</v>
          </cell>
          <cell r="I676" t="str">
            <v>N/A</v>
          </cell>
          <cell r="J676">
            <v>45426</v>
          </cell>
          <cell r="K676">
            <v>45426</v>
          </cell>
          <cell r="L676">
            <v>0</v>
          </cell>
          <cell r="M676" t="str">
            <v>N/A</v>
          </cell>
          <cell r="N676" t="str">
            <v>N/A</v>
          </cell>
          <cell r="O676">
            <v>45428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 t="e">
            <v>#N/A</v>
          </cell>
          <cell r="Y676">
            <v>0</v>
          </cell>
          <cell r="Z676">
            <v>0</v>
          </cell>
          <cell r="AA676">
            <v>29880</v>
          </cell>
          <cell r="AB676">
            <v>0</v>
          </cell>
          <cell r="AC676">
            <v>29880</v>
          </cell>
          <cell r="AD676">
            <v>29880</v>
          </cell>
          <cell r="AE676">
            <v>0</v>
          </cell>
          <cell r="AF676">
            <v>29880</v>
          </cell>
          <cell r="AG676" t="str">
            <v>ENGR. MICHAEL C. SALARDA
MS. LEONARDA M. LATOR
MS. CARMENCITA VALDEZ
MS. SORAYA P. VERGARA</v>
          </cell>
          <cell r="AH676" t="str">
            <v>N/A</v>
          </cell>
          <cell r="AI676" t="str">
            <v>N/A</v>
          </cell>
          <cell r="AJ676" t="str">
            <v>N/A</v>
          </cell>
          <cell r="AK676" t="str">
            <v>N/A</v>
          </cell>
          <cell r="AL676" t="str">
            <v>N/A</v>
          </cell>
          <cell r="AM676" t="str">
            <v>N/A</v>
          </cell>
          <cell r="AN676">
            <v>0</v>
          </cell>
          <cell r="AO676">
            <v>0</v>
          </cell>
        </row>
        <row r="677">
          <cell r="A677" t="str">
            <v>24-C1049</v>
          </cell>
          <cell r="B677" t="str">
            <v>SPAREPARTS (HEAVY EQUIPT)</v>
          </cell>
          <cell r="C677" t="str">
            <v>PEO-Motorpool</v>
          </cell>
          <cell r="D677" t="str">
            <v>No</v>
          </cell>
          <cell r="E677" t="str">
            <v>Direct Contracting</v>
          </cell>
          <cell r="F677" t="str">
            <v>N/A</v>
          </cell>
          <cell r="G677">
            <v>45422</v>
          </cell>
          <cell r="H677">
            <v>0</v>
          </cell>
          <cell r="I677" t="str">
            <v>N/A</v>
          </cell>
          <cell r="J677">
            <v>45426</v>
          </cell>
          <cell r="K677">
            <v>45426</v>
          </cell>
          <cell r="L677">
            <v>0</v>
          </cell>
          <cell r="M677" t="str">
            <v>N/A</v>
          </cell>
          <cell r="N677" t="str">
            <v>N/A</v>
          </cell>
          <cell r="O677">
            <v>45428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2666830.2000000002</v>
          </cell>
          <cell r="AB677">
            <v>0</v>
          </cell>
          <cell r="AC677">
            <v>2666830.2000000002</v>
          </cell>
          <cell r="AD677">
            <v>2666830.2000000002</v>
          </cell>
          <cell r="AE677">
            <v>0</v>
          </cell>
          <cell r="AF677">
            <v>2666830.2000000002</v>
          </cell>
          <cell r="AG677" t="str">
            <v>ENGR. MICHAEL C. SALARDA
MS. LEONARDA M. LATOR
MS. CARMENCITA VALDEZ
MS. SORAYA P. VERGARA</v>
          </cell>
          <cell r="AH677" t="str">
            <v>N/A</v>
          </cell>
          <cell r="AI677" t="str">
            <v>N/A</v>
          </cell>
          <cell r="AJ677" t="str">
            <v>N/A</v>
          </cell>
          <cell r="AK677" t="str">
            <v>N/A</v>
          </cell>
          <cell r="AL677" t="str">
            <v>N/A</v>
          </cell>
          <cell r="AM677" t="str">
            <v>N/A</v>
          </cell>
          <cell r="AN677">
            <v>0</v>
          </cell>
          <cell r="AO677">
            <v>0</v>
          </cell>
        </row>
        <row r="678">
          <cell r="A678" t="str">
            <v>24-C1047</v>
          </cell>
          <cell r="B678" t="str">
            <v>SPAREPARTS (LIGHT VEHICLES)</v>
          </cell>
          <cell r="C678" t="str">
            <v>PEO-Motorpool</v>
          </cell>
          <cell r="D678" t="str">
            <v>No</v>
          </cell>
          <cell r="E678" t="str">
            <v>Direct Contracting</v>
          </cell>
          <cell r="F678" t="str">
            <v>N/A</v>
          </cell>
          <cell r="G678">
            <v>45422</v>
          </cell>
          <cell r="H678">
            <v>0</v>
          </cell>
          <cell r="I678" t="str">
            <v>N/A</v>
          </cell>
          <cell r="J678">
            <v>45426</v>
          </cell>
          <cell r="K678">
            <v>45426</v>
          </cell>
          <cell r="L678">
            <v>0</v>
          </cell>
          <cell r="M678" t="str">
            <v>N/A</v>
          </cell>
          <cell r="N678" t="str">
            <v>N/A</v>
          </cell>
          <cell r="O678">
            <v>45428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45453</v>
          </cell>
          <cell r="Y678">
            <v>0</v>
          </cell>
          <cell r="Z678">
            <v>0</v>
          </cell>
          <cell r="AA678">
            <v>2039316.05</v>
          </cell>
          <cell r="AB678">
            <v>0</v>
          </cell>
          <cell r="AC678">
            <v>2039316.05</v>
          </cell>
          <cell r="AD678">
            <v>2031333</v>
          </cell>
          <cell r="AE678">
            <v>0</v>
          </cell>
          <cell r="AF678">
            <v>2031333</v>
          </cell>
          <cell r="AG678" t="str">
            <v>ENGR. MICHAEL C. SALARDA
MS. LEONARDA M. LATOR
MS. CARMENCITA VALDEZ
MS. SORAYA P. VERGARA</v>
          </cell>
          <cell r="AH678" t="str">
            <v>N/A</v>
          </cell>
          <cell r="AI678" t="str">
            <v>N/A</v>
          </cell>
          <cell r="AJ678" t="str">
            <v>N/A</v>
          </cell>
          <cell r="AK678" t="str">
            <v>N/A</v>
          </cell>
          <cell r="AL678" t="str">
            <v>N/A</v>
          </cell>
          <cell r="AM678" t="str">
            <v>N/A</v>
          </cell>
          <cell r="AN678">
            <v>0</v>
          </cell>
          <cell r="AO678">
            <v>0</v>
          </cell>
        </row>
        <row r="679">
          <cell r="A679" t="str">
            <v>24-C1168</v>
          </cell>
          <cell r="B679" t="str">
            <v>FOOD/CATERING SERVICES</v>
          </cell>
          <cell r="C679" t="str">
            <v>PVO</v>
          </cell>
          <cell r="D679" t="str">
            <v>No</v>
          </cell>
          <cell r="E679" t="str">
            <v>NP-53.9 - Small Value Procurement</v>
          </cell>
          <cell r="F679" t="str">
            <v>N/A</v>
          </cell>
          <cell r="G679">
            <v>45404</v>
          </cell>
          <cell r="H679">
            <v>0</v>
          </cell>
          <cell r="I679" t="str">
            <v>N/A</v>
          </cell>
          <cell r="J679">
            <v>45426</v>
          </cell>
          <cell r="K679">
            <v>45426</v>
          </cell>
          <cell r="L679">
            <v>0</v>
          </cell>
          <cell r="M679" t="str">
            <v>N/A</v>
          </cell>
          <cell r="N679" t="str">
            <v>N/A</v>
          </cell>
          <cell r="O679">
            <v>45428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45454</v>
          </cell>
          <cell r="Y679">
            <v>0</v>
          </cell>
          <cell r="Z679">
            <v>0</v>
          </cell>
          <cell r="AA679">
            <v>167820</v>
          </cell>
          <cell r="AB679">
            <v>0</v>
          </cell>
          <cell r="AC679">
            <v>167820</v>
          </cell>
          <cell r="AD679">
            <v>166868</v>
          </cell>
          <cell r="AE679">
            <v>0</v>
          </cell>
          <cell r="AF679">
            <v>166868</v>
          </cell>
          <cell r="AG679" t="str">
            <v>ENGR. MICHAEL C. SALARDA
MS. LEONARDA M. LATOR
MS. CARMENCITA VALDEZ
MS. SORAYA P. VERGARA</v>
          </cell>
          <cell r="AH679" t="str">
            <v>N/A</v>
          </cell>
          <cell r="AI679" t="str">
            <v>N/A</v>
          </cell>
          <cell r="AJ679" t="str">
            <v>N/A</v>
          </cell>
          <cell r="AK679" t="str">
            <v>N/A</v>
          </cell>
          <cell r="AL679" t="str">
            <v>N/A</v>
          </cell>
          <cell r="AM679" t="str">
            <v>N/A</v>
          </cell>
          <cell r="AN679">
            <v>0</v>
          </cell>
          <cell r="AO679">
            <v>0</v>
          </cell>
        </row>
        <row r="680">
          <cell r="A680" t="str">
            <v>24-C1353</v>
          </cell>
          <cell r="B680" t="str">
            <v>FLOWERS &amp; DECORATION</v>
          </cell>
          <cell r="C680" t="str">
            <v>PGO</v>
          </cell>
          <cell r="D680" t="str">
            <v>No</v>
          </cell>
          <cell r="E680" t="str">
            <v>NP-53.9 - Small Value Procurement</v>
          </cell>
          <cell r="F680" t="str">
            <v>N/A</v>
          </cell>
          <cell r="G680">
            <v>45422</v>
          </cell>
          <cell r="H680">
            <v>0</v>
          </cell>
          <cell r="I680" t="str">
            <v>N/A</v>
          </cell>
          <cell r="J680">
            <v>45426</v>
          </cell>
          <cell r="K680">
            <v>45426</v>
          </cell>
          <cell r="L680">
            <v>0</v>
          </cell>
          <cell r="M680" t="str">
            <v>N/A</v>
          </cell>
          <cell r="N680" t="str">
            <v>N/A</v>
          </cell>
          <cell r="O680">
            <v>45428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45449</v>
          </cell>
          <cell r="Y680">
            <v>0</v>
          </cell>
          <cell r="Z680">
            <v>0</v>
          </cell>
          <cell r="AA680">
            <v>49950</v>
          </cell>
          <cell r="AB680">
            <v>0</v>
          </cell>
          <cell r="AC680">
            <v>49950</v>
          </cell>
          <cell r="AD680">
            <v>49910</v>
          </cell>
          <cell r="AE680">
            <v>0</v>
          </cell>
          <cell r="AF680">
            <v>49910</v>
          </cell>
          <cell r="AG680" t="str">
            <v>ENGR. MICHAEL C. SALARDA
MS. LEONARDA M. LATOR
MS. CARMENCITA VALDEZ
MS. SORAYA P. VERGARA</v>
          </cell>
          <cell r="AH680" t="str">
            <v>N/A</v>
          </cell>
          <cell r="AI680" t="str">
            <v>N/A</v>
          </cell>
          <cell r="AJ680" t="str">
            <v>N/A</v>
          </cell>
          <cell r="AK680" t="str">
            <v>N/A</v>
          </cell>
          <cell r="AL680" t="str">
            <v>N/A</v>
          </cell>
          <cell r="AM680" t="str">
            <v>N/A</v>
          </cell>
          <cell r="AN680">
            <v>0</v>
          </cell>
          <cell r="AO680">
            <v>0</v>
          </cell>
        </row>
        <row r="681">
          <cell r="A681" t="str">
            <v>24-2525</v>
          </cell>
          <cell r="B681" t="str">
            <v>SAFETY PINS &amp; THUMBSTACKS</v>
          </cell>
          <cell r="C681" t="str">
            <v>PGO</v>
          </cell>
          <cell r="D681" t="str">
            <v>No</v>
          </cell>
          <cell r="E681" t="str">
            <v>NP-53.9 - Small Value Procurement</v>
          </cell>
          <cell r="F681" t="str">
            <v>N/A</v>
          </cell>
          <cell r="G681">
            <v>45422</v>
          </cell>
          <cell r="H681">
            <v>0</v>
          </cell>
          <cell r="I681" t="str">
            <v>N/A</v>
          </cell>
          <cell r="J681">
            <v>45426</v>
          </cell>
          <cell r="K681">
            <v>45426</v>
          </cell>
          <cell r="L681">
            <v>0</v>
          </cell>
          <cell r="M681" t="str">
            <v>N/A</v>
          </cell>
          <cell r="N681" t="str">
            <v>N/A</v>
          </cell>
          <cell r="O681">
            <v>45428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 t="e">
            <v>#N/A</v>
          </cell>
          <cell r="Y681">
            <v>0</v>
          </cell>
          <cell r="Z681">
            <v>0</v>
          </cell>
          <cell r="AA681">
            <v>540</v>
          </cell>
          <cell r="AB681">
            <v>0</v>
          </cell>
          <cell r="AC681">
            <v>540</v>
          </cell>
          <cell r="AD681">
            <v>520</v>
          </cell>
          <cell r="AE681">
            <v>0</v>
          </cell>
          <cell r="AF681">
            <v>520</v>
          </cell>
          <cell r="AG681" t="str">
            <v>ENGR. MICHAEL C. SALARDA
MS. LEONARDA M. LATOR
MS. CARMENCITA VALDEZ
MS. SORAYA P. VERGARA</v>
          </cell>
          <cell r="AH681" t="str">
            <v>N/A</v>
          </cell>
          <cell r="AI681" t="str">
            <v>N/A</v>
          </cell>
          <cell r="AJ681" t="str">
            <v>N/A</v>
          </cell>
          <cell r="AK681" t="str">
            <v>N/A</v>
          </cell>
          <cell r="AL681" t="str">
            <v>N/A</v>
          </cell>
          <cell r="AM681" t="str">
            <v>N/A</v>
          </cell>
          <cell r="AN681">
            <v>0</v>
          </cell>
          <cell r="AO681">
            <v>0</v>
          </cell>
        </row>
        <row r="682">
          <cell r="A682" t="str">
            <v>24-1324</v>
          </cell>
          <cell r="B682" t="str">
            <v>CLOTH,PONGEE</v>
          </cell>
          <cell r="C682" t="str">
            <v>PGSO</v>
          </cell>
          <cell r="D682" t="str">
            <v>No</v>
          </cell>
          <cell r="E682" t="str">
            <v>NP-53.9 - Small Value Procurement</v>
          </cell>
          <cell r="F682" t="str">
            <v>N/A</v>
          </cell>
          <cell r="G682">
            <v>45376</v>
          </cell>
          <cell r="H682">
            <v>0</v>
          </cell>
          <cell r="I682" t="str">
            <v>N/A</v>
          </cell>
          <cell r="J682">
            <v>45426</v>
          </cell>
          <cell r="K682">
            <v>45426</v>
          </cell>
          <cell r="L682">
            <v>0</v>
          </cell>
          <cell r="M682" t="str">
            <v>N/A</v>
          </cell>
          <cell r="N682" t="str">
            <v>N/A</v>
          </cell>
          <cell r="O682">
            <v>45428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 t="e">
            <v>#N/A</v>
          </cell>
          <cell r="Y682">
            <v>0</v>
          </cell>
          <cell r="Z682">
            <v>0</v>
          </cell>
          <cell r="AA682">
            <v>25000</v>
          </cell>
          <cell r="AB682">
            <v>0</v>
          </cell>
          <cell r="AC682">
            <v>25000</v>
          </cell>
          <cell r="AD682">
            <v>24975</v>
          </cell>
          <cell r="AE682">
            <v>0</v>
          </cell>
          <cell r="AF682">
            <v>24975</v>
          </cell>
          <cell r="AG682" t="str">
            <v>ENGR. MICHAEL C. SALARDA
MS. LEONARDA M. LATOR
MS. CARMENCITA VALDEZ
MS. SORAYA P. VERGARA</v>
          </cell>
          <cell r="AH682" t="str">
            <v>N/A</v>
          </cell>
          <cell r="AI682" t="str">
            <v>N/A</v>
          </cell>
          <cell r="AJ682" t="str">
            <v>N/A</v>
          </cell>
          <cell r="AK682" t="str">
            <v>N/A</v>
          </cell>
          <cell r="AL682" t="str">
            <v>N/A</v>
          </cell>
          <cell r="AM682" t="str">
            <v>N/A</v>
          </cell>
          <cell r="AN682">
            <v>0</v>
          </cell>
          <cell r="AO682">
            <v>0</v>
          </cell>
        </row>
        <row r="683">
          <cell r="A683" t="str">
            <v>24-2528</v>
          </cell>
          <cell r="B683" t="str">
            <v>CLOTH,PONGEE</v>
          </cell>
          <cell r="C683" t="str">
            <v>PGO</v>
          </cell>
          <cell r="D683" t="str">
            <v>No</v>
          </cell>
          <cell r="E683" t="str">
            <v>NP-53.9 - Small Value Procurement</v>
          </cell>
          <cell r="F683" t="str">
            <v>N/A</v>
          </cell>
          <cell r="G683">
            <v>45412</v>
          </cell>
          <cell r="H683">
            <v>0</v>
          </cell>
          <cell r="I683" t="str">
            <v>N/A</v>
          </cell>
          <cell r="J683">
            <v>45426</v>
          </cell>
          <cell r="K683">
            <v>45426</v>
          </cell>
          <cell r="L683">
            <v>0</v>
          </cell>
          <cell r="M683" t="str">
            <v>N/A</v>
          </cell>
          <cell r="N683" t="str">
            <v>N/A</v>
          </cell>
          <cell r="O683">
            <v>45428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 t="e">
            <v>#N/A</v>
          </cell>
          <cell r="Y683">
            <v>0</v>
          </cell>
          <cell r="Z683">
            <v>0</v>
          </cell>
          <cell r="AA683">
            <v>5700</v>
          </cell>
          <cell r="AB683">
            <v>0</v>
          </cell>
          <cell r="AC683">
            <v>5700</v>
          </cell>
          <cell r="AD683">
            <v>5694</v>
          </cell>
          <cell r="AE683">
            <v>0</v>
          </cell>
          <cell r="AF683">
            <v>5694</v>
          </cell>
          <cell r="AG683" t="str">
            <v>ENGR. MICHAEL C. SALARDA
MS. LEONARDA M. LATOR
MS. CARMENCITA VALDEZ
MS. SORAYA P. VERGARA</v>
          </cell>
          <cell r="AH683" t="str">
            <v>N/A</v>
          </cell>
          <cell r="AI683" t="str">
            <v>N/A</v>
          </cell>
          <cell r="AJ683" t="str">
            <v>N/A</v>
          </cell>
          <cell r="AK683" t="str">
            <v>N/A</v>
          </cell>
          <cell r="AL683" t="str">
            <v>N/A</v>
          </cell>
          <cell r="AM683" t="str">
            <v>N/A</v>
          </cell>
          <cell r="AN683">
            <v>0</v>
          </cell>
          <cell r="AO683">
            <v>0</v>
          </cell>
        </row>
        <row r="684">
          <cell r="A684" t="str">
            <v>24-C1326</v>
          </cell>
          <cell r="B684" t="str">
            <v>PLUMBING SUPPLIES</v>
          </cell>
          <cell r="C684" t="str">
            <v>PEEMO</v>
          </cell>
          <cell r="D684" t="str">
            <v>No</v>
          </cell>
          <cell r="E684" t="str">
            <v>NP-53.9 - Small Value Procurement</v>
          </cell>
          <cell r="F684" t="str">
            <v>N/A</v>
          </cell>
          <cell r="G684">
            <v>45397</v>
          </cell>
          <cell r="H684">
            <v>0</v>
          </cell>
          <cell r="I684" t="str">
            <v>N/A</v>
          </cell>
          <cell r="J684">
            <v>45426</v>
          </cell>
          <cell r="K684">
            <v>45426</v>
          </cell>
          <cell r="L684">
            <v>0</v>
          </cell>
          <cell r="M684" t="str">
            <v>N/A</v>
          </cell>
          <cell r="N684" t="str">
            <v>N/A</v>
          </cell>
          <cell r="O684">
            <v>45428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45454</v>
          </cell>
          <cell r="Y684">
            <v>0</v>
          </cell>
          <cell r="Z684">
            <v>0</v>
          </cell>
          <cell r="AA684">
            <v>44979</v>
          </cell>
          <cell r="AB684">
            <v>0</v>
          </cell>
          <cell r="AC684">
            <v>44979</v>
          </cell>
          <cell r="AD684">
            <v>44891</v>
          </cell>
          <cell r="AE684">
            <v>0</v>
          </cell>
          <cell r="AF684">
            <v>44891</v>
          </cell>
          <cell r="AG684" t="str">
            <v>ENGR. MICHAEL C. SALARDA
MS. LEONARDA M. LATOR
MS. CARMENCITA VALDEZ
MS. SORAYA P. VERGARA</v>
          </cell>
          <cell r="AH684" t="str">
            <v>N/A</v>
          </cell>
          <cell r="AI684" t="str">
            <v>N/A</v>
          </cell>
          <cell r="AJ684" t="str">
            <v>N/A</v>
          </cell>
          <cell r="AK684" t="str">
            <v>N/A</v>
          </cell>
          <cell r="AL684" t="str">
            <v>N/A</v>
          </cell>
          <cell r="AM684" t="str">
            <v>N/A</v>
          </cell>
          <cell r="AN684">
            <v>0</v>
          </cell>
          <cell r="AO684">
            <v>0</v>
          </cell>
        </row>
        <row r="685">
          <cell r="A685" t="str">
            <v>24-2562</v>
          </cell>
          <cell r="B685" t="str">
            <v>COMPUTER SET &amp; PRINTER</v>
          </cell>
          <cell r="C685" t="str">
            <v>PENRO</v>
          </cell>
          <cell r="D685" t="str">
            <v>No</v>
          </cell>
          <cell r="E685" t="str">
            <v>NP-53.9 - Small Value Procurement</v>
          </cell>
          <cell r="F685" t="str">
            <v>N/A</v>
          </cell>
          <cell r="G685">
            <v>45418</v>
          </cell>
          <cell r="H685">
            <v>0</v>
          </cell>
          <cell r="I685" t="str">
            <v>N/A</v>
          </cell>
          <cell r="J685">
            <v>45426</v>
          </cell>
          <cell r="K685">
            <v>45426</v>
          </cell>
          <cell r="L685">
            <v>0</v>
          </cell>
          <cell r="M685" t="str">
            <v>N/A</v>
          </cell>
          <cell r="N685" t="str">
            <v>N/A</v>
          </cell>
          <cell r="O685">
            <v>45428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 t="e">
            <v>#N/A</v>
          </cell>
          <cell r="Y685">
            <v>0</v>
          </cell>
          <cell r="Z685">
            <v>0</v>
          </cell>
          <cell r="AA685">
            <v>58420</v>
          </cell>
          <cell r="AB685">
            <v>0</v>
          </cell>
          <cell r="AC685">
            <v>58420</v>
          </cell>
          <cell r="AD685">
            <v>58200</v>
          </cell>
          <cell r="AE685">
            <v>0</v>
          </cell>
          <cell r="AF685">
            <v>58200</v>
          </cell>
          <cell r="AG685" t="str">
            <v>ENGR. MICHAEL C. SALARDA
MS. LEONARDA M. LATOR
MS. CARMENCITA VALDEZ
MS. SORAYA P. VERGARA</v>
          </cell>
          <cell r="AH685" t="str">
            <v>N/A</v>
          </cell>
          <cell r="AI685" t="str">
            <v>N/A</v>
          </cell>
          <cell r="AJ685" t="str">
            <v>N/A</v>
          </cell>
          <cell r="AK685" t="str">
            <v>N/A</v>
          </cell>
          <cell r="AL685" t="str">
            <v>N/A</v>
          </cell>
          <cell r="AM685" t="str">
            <v>N/A</v>
          </cell>
          <cell r="AN685">
            <v>0</v>
          </cell>
          <cell r="AO685">
            <v>0</v>
          </cell>
        </row>
        <row r="686">
          <cell r="A686" t="str">
            <v>24-2546</v>
          </cell>
          <cell r="B686" t="str">
            <v>WATER DISPENSER</v>
          </cell>
          <cell r="C686" t="str">
            <v>PENRO</v>
          </cell>
          <cell r="D686" t="str">
            <v>No</v>
          </cell>
          <cell r="E686" t="str">
            <v>NP-53.9 - Small Value Procurement</v>
          </cell>
          <cell r="F686" t="str">
            <v>N/A</v>
          </cell>
          <cell r="G686">
            <v>45418</v>
          </cell>
          <cell r="H686">
            <v>0</v>
          </cell>
          <cell r="I686" t="str">
            <v>N/A</v>
          </cell>
          <cell r="J686">
            <v>45426</v>
          </cell>
          <cell r="K686">
            <v>45426</v>
          </cell>
          <cell r="L686">
            <v>0</v>
          </cell>
          <cell r="M686" t="str">
            <v>N/A</v>
          </cell>
          <cell r="N686" t="str">
            <v>N/A</v>
          </cell>
          <cell r="O686">
            <v>45428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 t="e">
            <v>#N/A</v>
          </cell>
          <cell r="Y686">
            <v>0</v>
          </cell>
          <cell r="Z686">
            <v>0</v>
          </cell>
          <cell r="AA686">
            <v>13200</v>
          </cell>
          <cell r="AB686">
            <v>0</v>
          </cell>
          <cell r="AC686">
            <v>13200</v>
          </cell>
          <cell r="AD686">
            <v>13150</v>
          </cell>
          <cell r="AE686">
            <v>0</v>
          </cell>
          <cell r="AF686">
            <v>13150</v>
          </cell>
          <cell r="AG686" t="str">
            <v>ENGR. MICHAEL C. SALARDA
MS. LEONARDA M. LATOR
MS. CARMENCITA VALDEZ
MS. SORAYA P. VERGARA</v>
          </cell>
          <cell r="AH686" t="str">
            <v>N/A</v>
          </cell>
          <cell r="AI686" t="str">
            <v>N/A</v>
          </cell>
          <cell r="AJ686" t="str">
            <v>N/A</v>
          </cell>
          <cell r="AK686" t="str">
            <v>N/A</v>
          </cell>
          <cell r="AL686" t="str">
            <v>N/A</v>
          </cell>
          <cell r="AM686" t="str">
            <v>N/A</v>
          </cell>
          <cell r="AN686">
            <v>0</v>
          </cell>
          <cell r="AO686">
            <v>0</v>
          </cell>
        </row>
        <row r="687">
          <cell r="A687" t="str">
            <v>24-2538</v>
          </cell>
          <cell r="B687" t="str">
            <v>MEDALS</v>
          </cell>
          <cell r="C687" t="str">
            <v>PGO</v>
          </cell>
          <cell r="D687" t="str">
            <v>No</v>
          </cell>
          <cell r="E687" t="str">
            <v>NP-53.9 - Small Value Procurement</v>
          </cell>
          <cell r="F687" t="str">
            <v>N/A</v>
          </cell>
          <cell r="G687">
            <v>45422</v>
          </cell>
          <cell r="H687">
            <v>0</v>
          </cell>
          <cell r="I687" t="str">
            <v>N/A</v>
          </cell>
          <cell r="J687">
            <v>45426</v>
          </cell>
          <cell r="K687">
            <v>45426</v>
          </cell>
          <cell r="L687">
            <v>0</v>
          </cell>
          <cell r="M687" t="str">
            <v>N/A</v>
          </cell>
          <cell r="N687" t="str">
            <v>N/A</v>
          </cell>
          <cell r="O687">
            <v>45428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 t="e">
            <v>#N/A</v>
          </cell>
          <cell r="Y687">
            <v>0</v>
          </cell>
          <cell r="Z687">
            <v>0</v>
          </cell>
          <cell r="AA687">
            <v>330750</v>
          </cell>
          <cell r="AB687">
            <v>0</v>
          </cell>
          <cell r="AC687">
            <v>330750</v>
          </cell>
          <cell r="AD687">
            <v>330277.5</v>
          </cell>
          <cell r="AE687">
            <v>0</v>
          </cell>
          <cell r="AF687">
            <v>330277.5</v>
          </cell>
          <cell r="AG687" t="str">
            <v>ENGR. MICHAEL C. SALARDA
MS. LEONARDA M. LATOR
MS. CARMENCITA VALDEZ
MS. SORAYA P. VERGARA</v>
          </cell>
          <cell r="AH687" t="str">
            <v>N/A</v>
          </cell>
          <cell r="AI687" t="str">
            <v>N/A</v>
          </cell>
          <cell r="AJ687" t="str">
            <v>N/A</v>
          </cell>
          <cell r="AK687" t="str">
            <v>N/A</v>
          </cell>
          <cell r="AL687" t="str">
            <v>N/A</v>
          </cell>
          <cell r="AM687" t="str">
            <v>N/A</v>
          </cell>
          <cell r="AN687">
            <v>0</v>
          </cell>
          <cell r="AO687">
            <v>0</v>
          </cell>
        </row>
        <row r="688">
          <cell r="A688" t="str">
            <v>24-2363</v>
          </cell>
          <cell r="B688" t="str">
            <v>SPAREPARTS (MOTORCYCLE)</v>
          </cell>
          <cell r="C688" t="str">
            <v>PGSO</v>
          </cell>
          <cell r="D688" t="str">
            <v>No</v>
          </cell>
          <cell r="E688" t="str">
            <v>NP-53.9 - Small Value Procurement</v>
          </cell>
          <cell r="F688">
            <v>45407</v>
          </cell>
          <cell r="G688">
            <v>45412</v>
          </cell>
          <cell r="H688">
            <v>0</v>
          </cell>
          <cell r="I688" t="str">
            <v>N/A</v>
          </cell>
          <cell r="J688">
            <v>45426</v>
          </cell>
          <cell r="K688">
            <v>45426</v>
          </cell>
          <cell r="L688">
            <v>0</v>
          </cell>
          <cell r="M688" t="str">
            <v>N/A</v>
          </cell>
          <cell r="N688" t="str">
            <v>N/A</v>
          </cell>
          <cell r="O688">
            <v>45428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 t="e">
            <v>#N/A</v>
          </cell>
          <cell r="Y688">
            <v>0</v>
          </cell>
          <cell r="Z688">
            <v>0</v>
          </cell>
          <cell r="AA688">
            <v>13650</v>
          </cell>
          <cell r="AB688">
            <v>0</v>
          </cell>
          <cell r="AC688">
            <v>13650</v>
          </cell>
          <cell r="AD688">
            <v>13597</v>
          </cell>
          <cell r="AE688">
            <v>0</v>
          </cell>
          <cell r="AF688">
            <v>13597</v>
          </cell>
          <cell r="AG688" t="str">
            <v>ENGR. MICHAEL C. SALARDA
MS. LEONARDA M. LATOR
MS. CARMENCITA VALDEZ
MS. SORAYA P. VERGARA</v>
          </cell>
          <cell r="AH688" t="str">
            <v>N/A</v>
          </cell>
          <cell r="AI688" t="str">
            <v>N/A</v>
          </cell>
          <cell r="AJ688" t="str">
            <v>N/A</v>
          </cell>
          <cell r="AK688" t="str">
            <v>N/A</v>
          </cell>
          <cell r="AL688" t="str">
            <v>N/A</v>
          </cell>
          <cell r="AM688" t="str">
            <v>N/A</v>
          </cell>
          <cell r="AN688">
            <v>0</v>
          </cell>
          <cell r="AO688">
            <v>0</v>
          </cell>
        </row>
        <row r="689">
          <cell r="A689" t="str">
            <v>24-2325</v>
          </cell>
          <cell r="B689" t="str">
            <v>SPAREPARTS (MOTORCYCLE)</v>
          </cell>
          <cell r="C689" t="str">
            <v>PGSO</v>
          </cell>
          <cell r="D689" t="str">
            <v>No</v>
          </cell>
          <cell r="E689" t="str">
            <v>NP-53.9 - Small Value Procurement</v>
          </cell>
          <cell r="F689">
            <v>45407</v>
          </cell>
          <cell r="G689">
            <v>45412</v>
          </cell>
          <cell r="H689">
            <v>0</v>
          </cell>
          <cell r="I689" t="str">
            <v>N/A</v>
          </cell>
          <cell r="J689">
            <v>45426</v>
          </cell>
          <cell r="K689">
            <v>45426</v>
          </cell>
          <cell r="L689">
            <v>0</v>
          </cell>
          <cell r="M689" t="str">
            <v>N/A</v>
          </cell>
          <cell r="N689" t="str">
            <v>N/A</v>
          </cell>
          <cell r="O689">
            <v>45428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 t="e">
            <v>#N/A</v>
          </cell>
          <cell r="Y689">
            <v>0</v>
          </cell>
          <cell r="Z689">
            <v>0</v>
          </cell>
          <cell r="AA689">
            <v>9200</v>
          </cell>
          <cell r="AB689">
            <v>0</v>
          </cell>
          <cell r="AC689">
            <v>9200</v>
          </cell>
          <cell r="AD689">
            <v>9166</v>
          </cell>
          <cell r="AE689">
            <v>0</v>
          </cell>
          <cell r="AF689">
            <v>9166</v>
          </cell>
          <cell r="AG689" t="str">
            <v>ENGR. MICHAEL C. SALARDA
MS. LEONARDA M. LATOR
MS. CARMENCITA VALDEZ
MS. SORAYA P. VERGARA</v>
          </cell>
          <cell r="AH689" t="str">
            <v>N/A</v>
          </cell>
          <cell r="AI689" t="str">
            <v>N/A</v>
          </cell>
          <cell r="AJ689" t="str">
            <v>N/A</v>
          </cell>
          <cell r="AK689" t="str">
            <v>N/A</v>
          </cell>
          <cell r="AL689" t="str">
            <v>N/A</v>
          </cell>
          <cell r="AM689" t="str">
            <v>N/A</v>
          </cell>
          <cell r="AN689">
            <v>0</v>
          </cell>
          <cell r="AO689">
            <v>0</v>
          </cell>
        </row>
        <row r="690">
          <cell r="A690" t="str">
            <v>24-2327</v>
          </cell>
          <cell r="B690" t="str">
            <v>SPAREPARTS (MOTORCYCLE)</v>
          </cell>
          <cell r="C690" t="str">
            <v>PGSO</v>
          </cell>
          <cell r="D690" t="str">
            <v>No</v>
          </cell>
          <cell r="E690" t="str">
            <v>NP-53.9 - Small Value Procurement</v>
          </cell>
          <cell r="F690">
            <v>45407</v>
          </cell>
          <cell r="G690">
            <v>45412</v>
          </cell>
          <cell r="H690">
            <v>0</v>
          </cell>
          <cell r="I690" t="str">
            <v>N/A</v>
          </cell>
          <cell r="J690">
            <v>45426</v>
          </cell>
          <cell r="K690">
            <v>45426</v>
          </cell>
          <cell r="L690">
            <v>0</v>
          </cell>
          <cell r="M690" t="str">
            <v>N/A</v>
          </cell>
          <cell r="N690" t="str">
            <v>N/A</v>
          </cell>
          <cell r="O690">
            <v>45428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 t="e">
            <v>#N/A</v>
          </cell>
          <cell r="Y690">
            <v>0</v>
          </cell>
          <cell r="Z690">
            <v>0</v>
          </cell>
          <cell r="AA690">
            <v>5568</v>
          </cell>
          <cell r="AB690">
            <v>0</v>
          </cell>
          <cell r="AC690">
            <v>5568</v>
          </cell>
          <cell r="AD690">
            <v>5530</v>
          </cell>
          <cell r="AE690">
            <v>0</v>
          </cell>
          <cell r="AF690">
            <v>5530</v>
          </cell>
          <cell r="AG690" t="str">
            <v>ENGR. MICHAEL C. SALARDA
MS. LEONARDA M. LATOR
MS. CARMENCITA VALDEZ
MS. SORAYA P. VERGARA</v>
          </cell>
          <cell r="AH690" t="str">
            <v>N/A</v>
          </cell>
          <cell r="AI690" t="str">
            <v>N/A</v>
          </cell>
          <cell r="AJ690" t="str">
            <v>N/A</v>
          </cell>
          <cell r="AK690" t="str">
            <v>N/A</v>
          </cell>
          <cell r="AL690" t="str">
            <v>N/A</v>
          </cell>
          <cell r="AM690" t="str">
            <v>N/A</v>
          </cell>
          <cell r="AN690">
            <v>0</v>
          </cell>
          <cell r="AO690">
            <v>0</v>
          </cell>
        </row>
        <row r="691">
          <cell r="A691" t="str">
            <v>24-2323</v>
          </cell>
          <cell r="B691" t="str">
            <v>SPAREPARTS (MOTORCYCLE)</v>
          </cell>
          <cell r="C691" t="str">
            <v>PGSO</v>
          </cell>
          <cell r="D691" t="str">
            <v>No</v>
          </cell>
          <cell r="E691" t="str">
            <v>NP-53.9 - Small Value Procurement</v>
          </cell>
          <cell r="F691">
            <v>45407</v>
          </cell>
          <cell r="G691">
            <v>45412</v>
          </cell>
          <cell r="H691">
            <v>0</v>
          </cell>
          <cell r="I691" t="str">
            <v>N/A</v>
          </cell>
          <cell r="J691">
            <v>45426</v>
          </cell>
          <cell r="K691">
            <v>45426</v>
          </cell>
          <cell r="L691">
            <v>0</v>
          </cell>
          <cell r="M691" t="str">
            <v>N/A</v>
          </cell>
          <cell r="N691" t="str">
            <v>N/A</v>
          </cell>
          <cell r="O691">
            <v>45428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 t="e">
            <v>#N/A</v>
          </cell>
          <cell r="Y691">
            <v>0</v>
          </cell>
          <cell r="Z691">
            <v>0</v>
          </cell>
          <cell r="AA691">
            <v>12835</v>
          </cell>
          <cell r="AB691">
            <v>0</v>
          </cell>
          <cell r="AC691">
            <v>12835</v>
          </cell>
          <cell r="AD691">
            <v>12731</v>
          </cell>
          <cell r="AE691">
            <v>0</v>
          </cell>
          <cell r="AF691">
            <v>12731</v>
          </cell>
          <cell r="AG691" t="str">
            <v>ENGR. MICHAEL C. SALARDA
MS. LEONARDA M. LATOR
MS. CARMENCITA VALDEZ
MS. SORAYA P. VERGARA</v>
          </cell>
          <cell r="AH691" t="str">
            <v>N/A</v>
          </cell>
          <cell r="AI691" t="str">
            <v>N/A</v>
          </cell>
          <cell r="AJ691" t="str">
            <v>N/A</v>
          </cell>
          <cell r="AK691" t="str">
            <v>N/A</v>
          </cell>
          <cell r="AL691" t="str">
            <v>N/A</v>
          </cell>
          <cell r="AM691" t="str">
            <v>N/A</v>
          </cell>
          <cell r="AN691">
            <v>0</v>
          </cell>
          <cell r="AO691">
            <v>0</v>
          </cell>
        </row>
        <row r="692">
          <cell r="A692" t="str">
            <v>24-2324</v>
          </cell>
          <cell r="B692" t="str">
            <v>SPAREPARTS (MOTORCYCLE)</v>
          </cell>
          <cell r="C692" t="str">
            <v>PGSO</v>
          </cell>
          <cell r="D692" t="str">
            <v>No</v>
          </cell>
          <cell r="E692" t="str">
            <v>NP-53.9 - Small Value Procurement</v>
          </cell>
          <cell r="F692">
            <v>45407</v>
          </cell>
          <cell r="G692">
            <v>45412</v>
          </cell>
          <cell r="H692">
            <v>0</v>
          </cell>
          <cell r="I692" t="str">
            <v>N/A</v>
          </cell>
          <cell r="J692">
            <v>45426</v>
          </cell>
          <cell r="K692">
            <v>45426</v>
          </cell>
          <cell r="L692">
            <v>0</v>
          </cell>
          <cell r="M692" t="str">
            <v>N/A</v>
          </cell>
          <cell r="N692" t="str">
            <v>N/A</v>
          </cell>
          <cell r="O692">
            <v>45428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 t="e">
            <v>#N/A</v>
          </cell>
          <cell r="Y692">
            <v>0</v>
          </cell>
          <cell r="Z692">
            <v>0</v>
          </cell>
          <cell r="AA692">
            <v>10500</v>
          </cell>
          <cell r="AB692">
            <v>0</v>
          </cell>
          <cell r="AC692">
            <v>10500</v>
          </cell>
          <cell r="AD692">
            <v>10461</v>
          </cell>
          <cell r="AE692">
            <v>0</v>
          </cell>
          <cell r="AF692">
            <v>10461</v>
          </cell>
          <cell r="AG692" t="str">
            <v>ENGR. MICHAEL C. SALARDA
MS. LEONARDA M. LATOR
MS. CARMENCITA VALDEZ
MS. SORAYA P. VERGARA</v>
          </cell>
          <cell r="AH692" t="str">
            <v>N/A</v>
          </cell>
          <cell r="AI692" t="str">
            <v>N/A</v>
          </cell>
          <cell r="AJ692" t="str">
            <v>N/A</v>
          </cell>
          <cell r="AK692" t="str">
            <v>N/A</v>
          </cell>
          <cell r="AL692" t="str">
            <v>N/A</v>
          </cell>
          <cell r="AM692" t="str">
            <v>N/A</v>
          </cell>
          <cell r="AN692">
            <v>0</v>
          </cell>
          <cell r="AO692">
            <v>0</v>
          </cell>
        </row>
        <row r="693">
          <cell r="A693" t="str">
            <v>24-2221</v>
          </cell>
          <cell r="B693" t="str">
            <v>SPAREPARTS (MOTORCYCLE)</v>
          </cell>
          <cell r="C693" t="str">
            <v>PGSO</v>
          </cell>
          <cell r="D693" t="str">
            <v>No</v>
          </cell>
          <cell r="E693" t="str">
            <v>NP-53.9 - Small Value Procurement</v>
          </cell>
          <cell r="F693">
            <v>45407</v>
          </cell>
          <cell r="G693">
            <v>45412</v>
          </cell>
          <cell r="H693">
            <v>0</v>
          </cell>
          <cell r="I693" t="str">
            <v>N/A</v>
          </cell>
          <cell r="J693">
            <v>45426</v>
          </cell>
          <cell r="K693">
            <v>45426</v>
          </cell>
          <cell r="L693">
            <v>0</v>
          </cell>
          <cell r="M693" t="str">
            <v>N/A</v>
          </cell>
          <cell r="N693" t="str">
            <v>N/A</v>
          </cell>
          <cell r="O693">
            <v>45428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 t="e">
            <v>#N/A</v>
          </cell>
          <cell r="Y693">
            <v>0</v>
          </cell>
          <cell r="Z693">
            <v>0</v>
          </cell>
          <cell r="AA693">
            <v>17131</v>
          </cell>
          <cell r="AB693">
            <v>0</v>
          </cell>
          <cell r="AC693">
            <v>17131</v>
          </cell>
          <cell r="AD693">
            <v>17026</v>
          </cell>
          <cell r="AE693">
            <v>0</v>
          </cell>
          <cell r="AF693">
            <v>17026</v>
          </cell>
          <cell r="AG693" t="str">
            <v>ENGR. MICHAEL C. SALARDA
MS. LEONARDA M. LATOR
MS. CARMENCITA VALDEZ
MS. SORAYA P. VERGARA</v>
          </cell>
          <cell r="AH693" t="str">
            <v>N/A</v>
          </cell>
          <cell r="AI693" t="str">
            <v>N/A</v>
          </cell>
          <cell r="AJ693" t="str">
            <v>N/A</v>
          </cell>
          <cell r="AK693" t="str">
            <v>N/A</v>
          </cell>
          <cell r="AL693" t="str">
            <v>N/A</v>
          </cell>
          <cell r="AM693" t="str">
            <v>N/A</v>
          </cell>
          <cell r="AN693">
            <v>0</v>
          </cell>
          <cell r="AO693">
            <v>0</v>
          </cell>
        </row>
        <row r="694">
          <cell r="A694" t="str">
            <v>24-0424</v>
          </cell>
          <cell r="B694" t="str">
            <v>PLAQUES/TROPHIES/MEDAL</v>
          </cell>
          <cell r="C694" t="str">
            <v>PGO</v>
          </cell>
          <cell r="D694" t="str">
            <v>No</v>
          </cell>
          <cell r="E694" t="str">
            <v>NP-53.9 - Small Value Procurement</v>
          </cell>
          <cell r="F694" t="str">
            <v>N/A</v>
          </cell>
          <cell r="G694">
            <v>45418</v>
          </cell>
          <cell r="H694">
            <v>0</v>
          </cell>
          <cell r="I694" t="str">
            <v>N/A</v>
          </cell>
          <cell r="J694">
            <v>45426</v>
          </cell>
          <cell r="K694">
            <v>45426</v>
          </cell>
          <cell r="L694">
            <v>0</v>
          </cell>
          <cell r="M694" t="str">
            <v>N/A</v>
          </cell>
          <cell r="N694" t="str">
            <v>N/A</v>
          </cell>
          <cell r="O694">
            <v>45428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 t="e">
            <v>#N/A</v>
          </cell>
          <cell r="Y694">
            <v>0</v>
          </cell>
          <cell r="Z694">
            <v>0</v>
          </cell>
          <cell r="AA694">
            <v>32000</v>
          </cell>
          <cell r="AB694">
            <v>0</v>
          </cell>
          <cell r="AC694">
            <v>32000</v>
          </cell>
          <cell r="AD694">
            <v>30950</v>
          </cell>
          <cell r="AE694">
            <v>0</v>
          </cell>
          <cell r="AF694">
            <v>30950</v>
          </cell>
          <cell r="AG694" t="str">
            <v>ENGR. MICHAEL C. SALARDA
MS. LEONARDA M. LATOR
MS. CARMENCITA VALDEZ
MS. SORAYA P. VERGARA</v>
          </cell>
          <cell r="AH694" t="str">
            <v>N/A</v>
          </cell>
          <cell r="AI694" t="str">
            <v>N/A</v>
          </cell>
          <cell r="AJ694" t="str">
            <v>N/A</v>
          </cell>
          <cell r="AK694" t="str">
            <v>N/A</v>
          </cell>
          <cell r="AL694" t="str">
            <v>N/A</v>
          </cell>
          <cell r="AM694" t="str">
            <v>N/A</v>
          </cell>
          <cell r="AN694">
            <v>0</v>
          </cell>
          <cell r="AO694">
            <v>0</v>
          </cell>
        </row>
        <row r="695">
          <cell r="A695" t="str">
            <v>24-2553</v>
          </cell>
          <cell r="B695" t="str">
            <v>PICTURE FRAME</v>
          </cell>
          <cell r="C695" t="str">
            <v>SPO</v>
          </cell>
          <cell r="D695" t="str">
            <v>No</v>
          </cell>
          <cell r="E695" t="str">
            <v>NP-53.9 - Small Value Procurement</v>
          </cell>
          <cell r="F695" t="str">
            <v>N/A</v>
          </cell>
          <cell r="G695">
            <v>45418</v>
          </cell>
          <cell r="H695">
            <v>0</v>
          </cell>
          <cell r="I695" t="str">
            <v>N/A</v>
          </cell>
          <cell r="J695">
            <v>45426</v>
          </cell>
          <cell r="K695">
            <v>45426</v>
          </cell>
          <cell r="L695">
            <v>0</v>
          </cell>
          <cell r="M695" t="str">
            <v>N/A</v>
          </cell>
          <cell r="N695" t="str">
            <v>N/A</v>
          </cell>
          <cell r="O695">
            <v>45428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 t="e">
            <v>#N/A</v>
          </cell>
          <cell r="Y695">
            <v>0</v>
          </cell>
          <cell r="Z695">
            <v>0</v>
          </cell>
          <cell r="AA695">
            <v>6600</v>
          </cell>
          <cell r="AB695">
            <v>0</v>
          </cell>
          <cell r="AC695">
            <v>6600</v>
          </cell>
          <cell r="AD695">
            <v>6580</v>
          </cell>
          <cell r="AE695">
            <v>0</v>
          </cell>
          <cell r="AF695">
            <v>6580</v>
          </cell>
          <cell r="AG695" t="str">
            <v>ENGR. MICHAEL C. SALARDA
MS. LEONARDA M. LATOR
MS. CARMENCITA VALDEZ
MS. SORAYA P. VERGARA</v>
          </cell>
          <cell r="AH695" t="str">
            <v>N/A</v>
          </cell>
          <cell r="AI695" t="str">
            <v>N/A</v>
          </cell>
          <cell r="AJ695" t="str">
            <v>N/A</v>
          </cell>
          <cell r="AK695" t="str">
            <v>N/A</v>
          </cell>
          <cell r="AL695" t="str">
            <v>N/A</v>
          </cell>
          <cell r="AM695" t="str">
            <v>N/A</v>
          </cell>
          <cell r="AN695">
            <v>0</v>
          </cell>
          <cell r="AO695">
            <v>0</v>
          </cell>
        </row>
        <row r="696">
          <cell r="A696" t="str">
            <v>24-1793</v>
          </cell>
          <cell r="B696" t="str">
            <v>FOOD/CATERING SERVICES</v>
          </cell>
          <cell r="C696" t="str">
            <v>PGO</v>
          </cell>
          <cell r="D696" t="str">
            <v>No</v>
          </cell>
          <cell r="E696" t="str">
            <v>NP-53.9 - Small Value Procurement</v>
          </cell>
          <cell r="F696" t="str">
            <v>N/A</v>
          </cell>
          <cell r="G696">
            <v>45404</v>
          </cell>
          <cell r="H696">
            <v>0</v>
          </cell>
          <cell r="I696" t="str">
            <v>N/A</v>
          </cell>
          <cell r="J696">
            <v>45426</v>
          </cell>
          <cell r="K696">
            <v>45426</v>
          </cell>
          <cell r="L696">
            <v>0</v>
          </cell>
          <cell r="M696" t="str">
            <v>N/A</v>
          </cell>
          <cell r="N696" t="str">
            <v>N/A</v>
          </cell>
          <cell r="O696">
            <v>45428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 t="e">
            <v>#N/A</v>
          </cell>
          <cell r="Y696">
            <v>0</v>
          </cell>
          <cell r="Z696">
            <v>0</v>
          </cell>
          <cell r="AA696">
            <v>280000</v>
          </cell>
          <cell r="AB696">
            <v>0</v>
          </cell>
          <cell r="AC696">
            <v>280000</v>
          </cell>
          <cell r="AD696">
            <v>279000</v>
          </cell>
          <cell r="AE696">
            <v>0</v>
          </cell>
          <cell r="AF696">
            <v>279000</v>
          </cell>
          <cell r="AG696" t="str">
            <v>ENGR. MICHAEL C. SALARDA
MS. LEONARDA M. LATOR
MS. CARMENCITA VALDEZ
MS. SORAYA P. VERGARA</v>
          </cell>
          <cell r="AH696" t="str">
            <v>N/A</v>
          </cell>
          <cell r="AI696" t="str">
            <v>N/A</v>
          </cell>
          <cell r="AJ696" t="str">
            <v>N/A</v>
          </cell>
          <cell r="AK696" t="str">
            <v>N/A</v>
          </cell>
          <cell r="AL696" t="str">
            <v>N/A</v>
          </cell>
          <cell r="AM696" t="str">
            <v>N/A</v>
          </cell>
          <cell r="AN696">
            <v>0</v>
          </cell>
          <cell r="AO696">
            <v>0</v>
          </cell>
        </row>
        <row r="697">
          <cell r="A697" t="str">
            <v>24-2039</v>
          </cell>
          <cell r="B697" t="str">
            <v>MEDICAL KIT</v>
          </cell>
          <cell r="C697" t="str">
            <v>SEF</v>
          </cell>
          <cell r="D697" t="str">
            <v>No</v>
          </cell>
          <cell r="E697" t="str">
            <v>NP-53.9 - Small Value Procurement</v>
          </cell>
          <cell r="F697">
            <v>45390</v>
          </cell>
          <cell r="G697">
            <v>45397</v>
          </cell>
          <cell r="H697">
            <v>0</v>
          </cell>
          <cell r="I697" t="str">
            <v>N/A</v>
          </cell>
          <cell r="J697">
            <v>45426</v>
          </cell>
          <cell r="K697">
            <v>45426</v>
          </cell>
          <cell r="L697">
            <v>0</v>
          </cell>
          <cell r="M697" t="str">
            <v>N/A</v>
          </cell>
          <cell r="N697" t="str">
            <v>N/A</v>
          </cell>
          <cell r="O697">
            <v>45428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 t="e">
            <v>#N/A</v>
          </cell>
          <cell r="Y697">
            <v>0</v>
          </cell>
          <cell r="Z697">
            <v>0</v>
          </cell>
          <cell r="AA697">
            <v>1925</v>
          </cell>
          <cell r="AB697">
            <v>0</v>
          </cell>
          <cell r="AC697">
            <v>1925</v>
          </cell>
          <cell r="AD697">
            <v>1920</v>
          </cell>
          <cell r="AE697">
            <v>0</v>
          </cell>
          <cell r="AF697">
            <v>1920</v>
          </cell>
          <cell r="AG697" t="str">
            <v>ENGR. MICHAEL C. SALARDA
MS. LEONARDA M. LATOR
MS. CARMENCITA VALDEZ
MS. SORAYA P. VERGARA</v>
          </cell>
          <cell r="AH697" t="str">
            <v>N/A</v>
          </cell>
          <cell r="AI697" t="str">
            <v>N/A</v>
          </cell>
          <cell r="AJ697" t="str">
            <v>N/A</v>
          </cell>
          <cell r="AK697" t="str">
            <v>N/A</v>
          </cell>
          <cell r="AL697" t="str">
            <v>N/A</v>
          </cell>
          <cell r="AM697" t="str">
            <v>N/A</v>
          </cell>
          <cell r="AN697">
            <v>0</v>
          </cell>
          <cell r="AO697">
            <v>0</v>
          </cell>
        </row>
        <row r="698">
          <cell r="A698" t="str">
            <v>24-2564</v>
          </cell>
          <cell r="B698" t="str">
            <v>FOOD/CATERING SERVICES</v>
          </cell>
          <cell r="C698" t="str">
            <v>PBO</v>
          </cell>
          <cell r="D698" t="str">
            <v>No</v>
          </cell>
          <cell r="E698" t="str">
            <v>NP-53.9 - Small Value Procurement</v>
          </cell>
          <cell r="F698" t="str">
            <v>N/A</v>
          </cell>
          <cell r="G698">
            <v>45409</v>
          </cell>
          <cell r="H698">
            <v>0</v>
          </cell>
          <cell r="I698" t="str">
            <v>N/A</v>
          </cell>
          <cell r="J698">
            <v>45426</v>
          </cell>
          <cell r="K698">
            <v>45426</v>
          </cell>
          <cell r="L698">
            <v>0</v>
          </cell>
          <cell r="M698" t="str">
            <v>N/A</v>
          </cell>
          <cell r="N698" t="str">
            <v>N/A</v>
          </cell>
          <cell r="O698">
            <v>45428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 t="e">
            <v>#N/A</v>
          </cell>
          <cell r="Y698">
            <v>0</v>
          </cell>
          <cell r="Z698">
            <v>0</v>
          </cell>
          <cell r="AA698">
            <v>51900</v>
          </cell>
          <cell r="AB698">
            <v>0</v>
          </cell>
          <cell r="AC698">
            <v>51900</v>
          </cell>
          <cell r="AD698">
            <v>51120</v>
          </cell>
          <cell r="AE698">
            <v>0</v>
          </cell>
          <cell r="AF698">
            <v>51120</v>
          </cell>
          <cell r="AG698" t="str">
            <v>ENGR. MICHAEL C. SALARDA
MS. LEONARDA M. LATOR
MS. CARMENCITA VALDEZ
MS. SORAYA P. VERGARA</v>
          </cell>
          <cell r="AH698" t="str">
            <v>N/A</v>
          </cell>
          <cell r="AI698" t="str">
            <v>N/A</v>
          </cell>
          <cell r="AJ698" t="str">
            <v>N/A</v>
          </cell>
          <cell r="AK698" t="str">
            <v>N/A</v>
          </cell>
          <cell r="AL698" t="str">
            <v>N/A</v>
          </cell>
          <cell r="AM698" t="str">
            <v>N/A</v>
          </cell>
          <cell r="AN698">
            <v>0</v>
          </cell>
          <cell r="AO698">
            <v>0</v>
          </cell>
        </row>
        <row r="699">
          <cell r="A699" t="str">
            <v>24-2530</v>
          </cell>
          <cell r="B699" t="str">
            <v>FOOD/CATERING SERVICES</v>
          </cell>
          <cell r="C699" t="str">
            <v>PGO</v>
          </cell>
          <cell r="D699" t="str">
            <v>No</v>
          </cell>
          <cell r="E699" t="str">
            <v>NP-53.9 - Small Value Procurement</v>
          </cell>
          <cell r="F699" t="str">
            <v>N/A</v>
          </cell>
          <cell r="G699">
            <v>45422</v>
          </cell>
          <cell r="H699">
            <v>0</v>
          </cell>
          <cell r="I699" t="str">
            <v>N/A</v>
          </cell>
          <cell r="J699">
            <v>45426</v>
          </cell>
          <cell r="K699">
            <v>45426</v>
          </cell>
          <cell r="L699">
            <v>0</v>
          </cell>
          <cell r="M699" t="str">
            <v>N/A</v>
          </cell>
          <cell r="N699" t="str">
            <v>N/A</v>
          </cell>
          <cell r="O699">
            <v>45428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 t="e">
            <v>#N/A</v>
          </cell>
          <cell r="Y699">
            <v>0</v>
          </cell>
          <cell r="Z699">
            <v>0</v>
          </cell>
          <cell r="AA699">
            <v>190000</v>
          </cell>
          <cell r="AB699">
            <v>0</v>
          </cell>
          <cell r="AC699">
            <v>190000</v>
          </cell>
          <cell r="AD699">
            <v>184500</v>
          </cell>
          <cell r="AE699">
            <v>0</v>
          </cell>
          <cell r="AF699">
            <v>184500</v>
          </cell>
          <cell r="AG699" t="str">
            <v>ENGR. MICHAEL C. SALARDA
MS. LEONARDA M. LATOR
MS. CARMENCITA VALDEZ
MS. SORAYA P. VERGARA</v>
          </cell>
          <cell r="AH699" t="str">
            <v>N/A</v>
          </cell>
          <cell r="AI699" t="str">
            <v>N/A</v>
          </cell>
          <cell r="AJ699" t="str">
            <v>N/A</v>
          </cell>
          <cell r="AK699" t="str">
            <v>N/A</v>
          </cell>
          <cell r="AL699" t="str">
            <v>N/A</v>
          </cell>
          <cell r="AM699" t="str">
            <v>N/A</v>
          </cell>
          <cell r="AN699">
            <v>0</v>
          </cell>
          <cell r="AO699">
            <v>0</v>
          </cell>
        </row>
        <row r="700">
          <cell r="A700" t="str">
            <v>24-2529</v>
          </cell>
          <cell r="B700" t="str">
            <v>FOOD SUPPLIES</v>
          </cell>
          <cell r="C700" t="str">
            <v>PGO</v>
          </cell>
          <cell r="D700" t="str">
            <v>No</v>
          </cell>
          <cell r="E700" t="str">
            <v>NP-53.9 - Small Value Procurement</v>
          </cell>
          <cell r="F700" t="str">
            <v>N/A</v>
          </cell>
          <cell r="G700">
            <v>45412</v>
          </cell>
          <cell r="H700">
            <v>0</v>
          </cell>
          <cell r="I700" t="str">
            <v>N/A</v>
          </cell>
          <cell r="J700">
            <v>45426</v>
          </cell>
          <cell r="K700">
            <v>45426</v>
          </cell>
          <cell r="L700">
            <v>0</v>
          </cell>
          <cell r="M700" t="str">
            <v>N/A</v>
          </cell>
          <cell r="N700" t="str">
            <v>N/A</v>
          </cell>
          <cell r="O700">
            <v>45428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 t="e">
            <v>#N/A</v>
          </cell>
          <cell r="Y700">
            <v>0</v>
          </cell>
          <cell r="Z700">
            <v>0</v>
          </cell>
          <cell r="AA700">
            <v>26355</v>
          </cell>
          <cell r="AB700">
            <v>0</v>
          </cell>
          <cell r="AC700">
            <v>26355</v>
          </cell>
          <cell r="AD700">
            <v>26250</v>
          </cell>
          <cell r="AE700">
            <v>0</v>
          </cell>
          <cell r="AF700">
            <v>26250</v>
          </cell>
          <cell r="AG700" t="str">
            <v>ENGR. MICHAEL C. SALARDA
MS. LEONARDA M. LATOR
MS. CARMENCITA VALDEZ
MS. SORAYA P. VERGARA</v>
          </cell>
          <cell r="AH700" t="str">
            <v>N/A</v>
          </cell>
          <cell r="AI700" t="str">
            <v>N/A</v>
          </cell>
          <cell r="AJ700" t="str">
            <v>N/A</v>
          </cell>
          <cell r="AK700" t="str">
            <v>N/A</v>
          </cell>
          <cell r="AL700" t="str">
            <v>N/A</v>
          </cell>
          <cell r="AM700" t="str">
            <v>N/A</v>
          </cell>
          <cell r="AN700">
            <v>0</v>
          </cell>
          <cell r="AO700">
            <v>0</v>
          </cell>
        </row>
        <row r="701">
          <cell r="A701" t="str">
            <v>24-C1267</v>
          </cell>
          <cell r="B701" t="str">
            <v>AGRICULTURAL SUPPLIES</v>
          </cell>
          <cell r="C701" t="str">
            <v>PDRRMO</v>
          </cell>
          <cell r="D701" t="str">
            <v>No</v>
          </cell>
          <cell r="E701" t="str">
            <v>NP-53.1 Two Failed Biddings</v>
          </cell>
          <cell r="F701" t="str">
            <v>N/A</v>
          </cell>
          <cell r="G701">
            <v>45404</v>
          </cell>
          <cell r="H701">
            <v>0</v>
          </cell>
          <cell r="I701" t="str">
            <v>N/A</v>
          </cell>
          <cell r="J701">
            <v>45426</v>
          </cell>
          <cell r="K701">
            <v>45426</v>
          </cell>
          <cell r="L701">
            <v>0</v>
          </cell>
          <cell r="M701" t="str">
            <v>N/A</v>
          </cell>
          <cell r="N701" t="str">
            <v>N/A</v>
          </cell>
          <cell r="O701">
            <v>45428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381472</v>
          </cell>
          <cell r="AB701">
            <v>0</v>
          </cell>
          <cell r="AC701">
            <v>381472</v>
          </cell>
          <cell r="AD701">
            <v>379255</v>
          </cell>
          <cell r="AE701">
            <v>0</v>
          </cell>
          <cell r="AF701">
            <v>379255</v>
          </cell>
          <cell r="AG701" t="str">
            <v>ENGR. MICHAEL C. SALARDA
MS. LEONARDA M. LATOR
MS. CARMENCITA VALDEZ
MS. SORAYA P. VERGARA</v>
          </cell>
          <cell r="AH701" t="str">
            <v>N/A</v>
          </cell>
          <cell r="AI701" t="str">
            <v>N/A</v>
          </cell>
          <cell r="AJ701" t="str">
            <v>N/A</v>
          </cell>
          <cell r="AK701" t="str">
            <v>N/A</v>
          </cell>
          <cell r="AL701" t="str">
            <v>N/A</v>
          </cell>
          <cell r="AM701" t="str">
            <v>N/A</v>
          </cell>
          <cell r="AN701">
            <v>0</v>
          </cell>
          <cell r="AO701">
            <v>0</v>
          </cell>
        </row>
        <row r="702">
          <cell r="A702" t="str">
            <v>24-C1258</v>
          </cell>
          <cell r="B702" t="str">
            <v>FOOD/CATERING SERVICES</v>
          </cell>
          <cell r="C702" t="str">
            <v>PGO</v>
          </cell>
          <cell r="D702" t="str">
            <v>No</v>
          </cell>
          <cell r="E702" t="str">
            <v>NP-53.1 Two Failed Biddings</v>
          </cell>
          <cell r="F702" t="str">
            <v>N/A</v>
          </cell>
          <cell r="G702">
            <v>45422</v>
          </cell>
          <cell r="H702">
            <v>0</v>
          </cell>
          <cell r="I702" t="str">
            <v>N/A</v>
          </cell>
          <cell r="J702">
            <v>45426</v>
          </cell>
          <cell r="K702">
            <v>45426</v>
          </cell>
          <cell r="L702">
            <v>0</v>
          </cell>
          <cell r="M702" t="str">
            <v>N/A</v>
          </cell>
          <cell r="N702" t="str">
            <v>N/A</v>
          </cell>
          <cell r="O702">
            <v>45428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45442</v>
          </cell>
          <cell r="Y702">
            <v>0</v>
          </cell>
          <cell r="Z702">
            <v>0</v>
          </cell>
          <cell r="AA702">
            <v>680690</v>
          </cell>
          <cell r="AB702">
            <v>0</v>
          </cell>
          <cell r="AC702">
            <v>680690</v>
          </cell>
          <cell r="AD702">
            <v>680690</v>
          </cell>
          <cell r="AE702">
            <v>0</v>
          </cell>
          <cell r="AF702">
            <v>680690</v>
          </cell>
          <cell r="AG702" t="str">
            <v>ENGR. MICHAEL C. SALARDA
MS. LEONARDA M. LATOR
MS. CARMENCITA VALDEZ
MS. SORAYA P. VERGARA</v>
          </cell>
          <cell r="AH702" t="str">
            <v>N/A</v>
          </cell>
          <cell r="AI702" t="str">
            <v>N/A</v>
          </cell>
          <cell r="AJ702" t="str">
            <v>N/A</v>
          </cell>
          <cell r="AK702" t="str">
            <v>N/A</v>
          </cell>
          <cell r="AL702" t="str">
            <v>N/A</v>
          </cell>
          <cell r="AM702" t="str">
            <v>N/A</v>
          </cell>
          <cell r="AN702">
            <v>0</v>
          </cell>
          <cell r="AO702">
            <v>0</v>
          </cell>
        </row>
        <row r="703">
          <cell r="A703" t="str">
            <v>24-C1281</v>
          </cell>
          <cell r="B703" t="str">
            <v>FOOD/CATERING SERVICES</v>
          </cell>
          <cell r="C703" t="str">
            <v>PGO</v>
          </cell>
          <cell r="D703" t="str">
            <v>No</v>
          </cell>
          <cell r="E703" t="str">
            <v>NP-53.1 Two Failed Biddings</v>
          </cell>
          <cell r="F703" t="str">
            <v>N/A</v>
          </cell>
          <cell r="G703">
            <v>45422</v>
          </cell>
          <cell r="H703">
            <v>0</v>
          </cell>
          <cell r="I703" t="str">
            <v>N/A</v>
          </cell>
          <cell r="J703">
            <v>45426</v>
          </cell>
          <cell r="K703">
            <v>45426</v>
          </cell>
          <cell r="L703">
            <v>0</v>
          </cell>
          <cell r="M703" t="str">
            <v>N/A</v>
          </cell>
          <cell r="N703" t="str">
            <v>N/A</v>
          </cell>
          <cell r="O703">
            <v>45428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45446</v>
          </cell>
          <cell r="Y703">
            <v>0</v>
          </cell>
          <cell r="Z703">
            <v>0</v>
          </cell>
          <cell r="AA703">
            <v>520660</v>
          </cell>
          <cell r="AB703">
            <v>0</v>
          </cell>
          <cell r="AC703">
            <v>520660</v>
          </cell>
          <cell r="AD703">
            <v>520660</v>
          </cell>
          <cell r="AE703">
            <v>0</v>
          </cell>
          <cell r="AF703">
            <v>520660</v>
          </cell>
          <cell r="AG703" t="str">
            <v>ENGR. MICHAEL C. SALARDA
MS. LEONARDA M. LATOR
MS. CARMENCITA VALDEZ
MS. SORAYA P. VERGARA</v>
          </cell>
          <cell r="AH703" t="str">
            <v>N/A</v>
          </cell>
          <cell r="AI703" t="str">
            <v>N/A</v>
          </cell>
          <cell r="AJ703" t="str">
            <v>N/A</v>
          </cell>
          <cell r="AK703" t="str">
            <v>N/A</v>
          </cell>
          <cell r="AL703" t="str">
            <v>N/A</v>
          </cell>
          <cell r="AM703" t="str">
            <v>N/A</v>
          </cell>
          <cell r="AN703">
            <v>0</v>
          </cell>
          <cell r="AO703">
            <v>0</v>
          </cell>
        </row>
        <row r="704">
          <cell r="A704" t="str">
            <v>24-1082</v>
          </cell>
          <cell r="B704" t="str">
            <v>INTERNET FIREWALL
SUBSCRIPTION</v>
          </cell>
          <cell r="C704" t="str">
            <v>PICTO</v>
          </cell>
          <cell r="D704" t="str">
            <v>No</v>
          </cell>
          <cell r="E704" t="str">
            <v>Direct Contracting</v>
          </cell>
          <cell r="F704" t="str">
            <v>N/A</v>
          </cell>
          <cell r="G704">
            <v>45425</v>
          </cell>
          <cell r="H704">
            <v>0</v>
          </cell>
          <cell r="I704" t="str">
            <v>N/A</v>
          </cell>
          <cell r="J704">
            <v>45440</v>
          </cell>
          <cell r="K704">
            <v>45440</v>
          </cell>
          <cell r="L704">
            <v>0</v>
          </cell>
          <cell r="M704" t="str">
            <v>N/A</v>
          </cell>
          <cell r="N704" t="str">
            <v>N/A</v>
          </cell>
          <cell r="O704">
            <v>45441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 t="e">
            <v>#N/A</v>
          </cell>
          <cell r="Y704">
            <v>0</v>
          </cell>
          <cell r="Z704">
            <v>0</v>
          </cell>
          <cell r="AA704">
            <v>395000</v>
          </cell>
          <cell r="AB704">
            <v>0</v>
          </cell>
          <cell r="AC704">
            <v>395000</v>
          </cell>
          <cell r="AD704">
            <v>395000</v>
          </cell>
          <cell r="AE704">
            <v>0</v>
          </cell>
          <cell r="AF704">
            <v>395000</v>
          </cell>
          <cell r="AG704" t="str">
            <v>ENGR. MICHAEL C. SALARDA
MS. LEONARDA M. LATOR
MS. CARMENCITA VALDEZ
MS. SORAYA P. VERGARA</v>
          </cell>
          <cell r="AH704" t="str">
            <v>N/A</v>
          </cell>
          <cell r="AI704" t="str">
            <v>N/A</v>
          </cell>
          <cell r="AJ704" t="str">
            <v>N/A</v>
          </cell>
          <cell r="AK704" t="str">
            <v>N/A</v>
          </cell>
          <cell r="AL704" t="str">
            <v>N/A</v>
          </cell>
          <cell r="AM704" t="str">
            <v>N/A</v>
          </cell>
          <cell r="AN704">
            <v>0</v>
          </cell>
          <cell r="AO704">
            <v>0</v>
          </cell>
        </row>
        <row r="705">
          <cell r="A705" t="str">
            <v>24-C1329</v>
          </cell>
          <cell r="B705" t="str">
            <v>SPAREPARTS ( HOSPITAL
EQUIPMENT ) BATTERY
PACK, LB 1-A &amp; UD CONT
2002X</v>
          </cell>
          <cell r="C705" t="str">
            <v>PEEMO</v>
          </cell>
          <cell r="D705" t="str">
            <v>No</v>
          </cell>
          <cell r="E705" t="str">
            <v>Direct Contracting</v>
          </cell>
          <cell r="F705">
            <v>45398</v>
          </cell>
          <cell r="G705">
            <v>45404</v>
          </cell>
          <cell r="H705">
            <v>0</v>
          </cell>
          <cell r="I705" t="str">
            <v>N/A</v>
          </cell>
          <cell r="J705">
            <v>45440</v>
          </cell>
          <cell r="K705">
            <v>45440</v>
          </cell>
          <cell r="L705">
            <v>0</v>
          </cell>
          <cell r="M705" t="str">
            <v>N/A</v>
          </cell>
          <cell r="N705" t="str">
            <v>N/A</v>
          </cell>
          <cell r="O705">
            <v>45441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428510</v>
          </cell>
          <cell r="AB705">
            <v>0</v>
          </cell>
          <cell r="AC705">
            <v>428510</v>
          </cell>
          <cell r="AD705">
            <v>428510</v>
          </cell>
          <cell r="AE705">
            <v>0</v>
          </cell>
          <cell r="AF705">
            <v>428510</v>
          </cell>
          <cell r="AG705" t="str">
            <v>ENGR. MICHAEL C. SALARDA
MS. LEONARDA M. LATOR
MS. CARMENCITA VALDEZ
MS. SORAYA P. VERGARA</v>
          </cell>
          <cell r="AH705" t="str">
            <v>N/A</v>
          </cell>
          <cell r="AI705" t="str">
            <v>N/A</v>
          </cell>
          <cell r="AJ705" t="str">
            <v>N/A</v>
          </cell>
          <cell r="AK705" t="str">
            <v>N/A</v>
          </cell>
          <cell r="AL705" t="str">
            <v>N/A</v>
          </cell>
          <cell r="AM705" t="str">
            <v>N/A</v>
          </cell>
          <cell r="AN705">
            <v>0</v>
          </cell>
          <cell r="AO705">
            <v>0</v>
          </cell>
        </row>
        <row r="706">
          <cell r="A706" t="str">
            <v>24-1079</v>
          </cell>
          <cell r="B706" t="str">
            <v>CLOUD SERVER
SUBSCRIPTION</v>
          </cell>
          <cell r="C706" t="str">
            <v>PICTO</v>
          </cell>
          <cell r="D706" t="str">
            <v>No</v>
          </cell>
          <cell r="E706" t="str">
            <v>Direct Contracting</v>
          </cell>
          <cell r="F706" t="str">
            <v>N/A</v>
          </cell>
          <cell r="G706">
            <v>45425</v>
          </cell>
          <cell r="H706">
            <v>0</v>
          </cell>
          <cell r="I706" t="str">
            <v>N/A</v>
          </cell>
          <cell r="J706">
            <v>45440</v>
          </cell>
          <cell r="K706">
            <v>45440</v>
          </cell>
          <cell r="L706">
            <v>0</v>
          </cell>
          <cell r="M706" t="str">
            <v>N/A</v>
          </cell>
          <cell r="N706" t="str">
            <v>N/A</v>
          </cell>
          <cell r="O706">
            <v>45441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 t="e">
            <v>#N/A</v>
          </cell>
          <cell r="Y706">
            <v>0</v>
          </cell>
          <cell r="Z706">
            <v>0</v>
          </cell>
          <cell r="AA706">
            <v>513190.86</v>
          </cell>
          <cell r="AB706">
            <v>0</v>
          </cell>
          <cell r="AC706">
            <v>513190.86</v>
          </cell>
          <cell r="AD706">
            <v>513190.86</v>
          </cell>
          <cell r="AE706">
            <v>0</v>
          </cell>
          <cell r="AF706">
            <v>513190.86</v>
          </cell>
          <cell r="AG706" t="str">
            <v>ENGR. MICHAEL C. SALARDA
MS. LEONARDA M. LATOR
MS. CARMENCITA VALDEZ
MS. SORAYA P. VERGARA</v>
          </cell>
          <cell r="AH706" t="str">
            <v>N/A</v>
          </cell>
          <cell r="AI706" t="str">
            <v>N/A</v>
          </cell>
          <cell r="AJ706" t="str">
            <v>N/A</v>
          </cell>
          <cell r="AK706" t="str">
            <v>N/A</v>
          </cell>
          <cell r="AL706" t="str">
            <v>N/A</v>
          </cell>
          <cell r="AM706" t="str">
            <v>N/A</v>
          </cell>
          <cell r="AN706">
            <v>0</v>
          </cell>
          <cell r="AO706">
            <v>0</v>
          </cell>
        </row>
        <row r="707">
          <cell r="A707" t="str">
            <v>24-2933</v>
          </cell>
          <cell r="B707" t="str">
            <v>RICE (WELL MILLED)</v>
          </cell>
          <cell r="C707" t="str">
            <v>PDRRMO</v>
          </cell>
          <cell r="D707" t="str">
            <v>No</v>
          </cell>
          <cell r="E707" t="str">
            <v>NP-53.2 Emergency Cases</v>
          </cell>
          <cell r="F707" t="str">
            <v>N/A</v>
          </cell>
          <cell r="G707">
            <v>45436</v>
          </cell>
          <cell r="H707">
            <v>0</v>
          </cell>
          <cell r="I707" t="str">
            <v>N/A</v>
          </cell>
          <cell r="J707">
            <v>45440</v>
          </cell>
          <cell r="K707">
            <v>45440</v>
          </cell>
          <cell r="L707">
            <v>0</v>
          </cell>
          <cell r="M707" t="str">
            <v>N/A</v>
          </cell>
          <cell r="N707" t="str">
            <v>N/A</v>
          </cell>
          <cell r="O707">
            <v>45441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 t="e">
            <v>#N/A</v>
          </cell>
          <cell r="Y707">
            <v>0</v>
          </cell>
          <cell r="Z707">
            <v>0</v>
          </cell>
          <cell r="AA707">
            <v>150000</v>
          </cell>
          <cell r="AB707">
            <v>0</v>
          </cell>
          <cell r="AC707">
            <v>150000</v>
          </cell>
          <cell r="AD707">
            <v>150000</v>
          </cell>
          <cell r="AE707">
            <v>0</v>
          </cell>
          <cell r="AF707">
            <v>150000</v>
          </cell>
          <cell r="AG707" t="str">
            <v>ENGR. MICHAEL C. SALARDA
MS. LEONARDA M. LATOR
MS. CARMENCITA VALDEZ
MS. SORAYA P. VERGARA</v>
          </cell>
          <cell r="AH707" t="str">
            <v>N/A</v>
          </cell>
          <cell r="AI707" t="str">
            <v>N/A</v>
          </cell>
          <cell r="AJ707" t="str">
            <v>N/A</v>
          </cell>
          <cell r="AK707" t="str">
            <v>N/A</v>
          </cell>
          <cell r="AL707" t="str">
            <v>N/A</v>
          </cell>
          <cell r="AM707" t="str">
            <v>N/A</v>
          </cell>
          <cell r="AN707">
            <v>0</v>
          </cell>
          <cell r="AO707">
            <v>0</v>
          </cell>
        </row>
        <row r="708">
          <cell r="A708" t="str">
            <v>24-C1374</v>
          </cell>
          <cell r="B708" t="str">
            <v>JANITORIAL SUPPLIES</v>
          </cell>
          <cell r="C708" t="str">
            <v>PDRRMO</v>
          </cell>
          <cell r="D708" t="str">
            <v>No</v>
          </cell>
          <cell r="E708" t="str">
            <v>NP-53.2 Emergency Cases</v>
          </cell>
          <cell r="F708" t="str">
            <v>N/A</v>
          </cell>
          <cell r="G708">
            <v>45436</v>
          </cell>
          <cell r="H708">
            <v>0</v>
          </cell>
          <cell r="I708" t="str">
            <v>N/A</v>
          </cell>
          <cell r="J708">
            <v>45440</v>
          </cell>
          <cell r="K708">
            <v>45440</v>
          </cell>
          <cell r="L708">
            <v>0</v>
          </cell>
          <cell r="M708" t="str">
            <v>N/A</v>
          </cell>
          <cell r="N708" t="str">
            <v>N/A</v>
          </cell>
          <cell r="O708">
            <v>45441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45449</v>
          </cell>
          <cell r="Y708">
            <v>0</v>
          </cell>
          <cell r="Z708">
            <v>0</v>
          </cell>
          <cell r="AA708">
            <v>522300</v>
          </cell>
          <cell r="AB708">
            <v>0</v>
          </cell>
          <cell r="AC708">
            <v>522300</v>
          </cell>
          <cell r="AD708">
            <v>500250</v>
          </cell>
          <cell r="AE708">
            <v>0</v>
          </cell>
          <cell r="AF708">
            <v>500250</v>
          </cell>
          <cell r="AG708" t="str">
            <v>ENGR. MICHAEL C. SALARDA
MS. LEONARDA M. LATOR
MS. CARMENCITA VALDEZ
MS. SORAYA P. VERGARA</v>
          </cell>
          <cell r="AH708" t="str">
            <v>N/A</v>
          </cell>
          <cell r="AI708" t="str">
            <v>N/A</v>
          </cell>
          <cell r="AJ708" t="str">
            <v>N/A</v>
          </cell>
          <cell r="AK708" t="str">
            <v>N/A</v>
          </cell>
          <cell r="AL708" t="str">
            <v>N/A</v>
          </cell>
          <cell r="AM708" t="str">
            <v>N/A</v>
          </cell>
          <cell r="AN708">
            <v>0</v>
          </cell>
          <cell r="AO708">
            <v>0</v>
          </cell>
        </row>
        <row r="709">
          <cell r="A709" t="str">
            <v>24-C1376</v>
          </cell>
          <cell r="B709" t="str">
            <v>FOOD SUPPLIES</v>
          </cell>
          <cell r="C709" t="str">
            <v>PDRRMO</v>
          </cell>
          <cell r="D709" t="str">
            <v>No</v>
          </cell>
          <cell r="E709" t="str">
            <v>NP-53.2 Emergency Cases</v>
          </cell>
          <cell r="F709" t="str">
            <v>N/A</v>
          </cell>
          <cell r="G709">
            <v>45436</v>
          </cell>
          <cell r="H709">
            <v>0</v>
          </cell>
          <cell r="I709" t="str">
            <v>N/A</v>
          </cell>
          <cell r="J709">
            <v>45440</v>
          </cell>
          <cell r="K709">
            <v>45440</v>
          </cell>
          <cell r="L709">
            <v>0</v>
          </cell>
          <cell r="M709" t="str">
            <v>N/A</v>
          </cell>
          <cell r="N709" t="str">
            <v>N/A</v>
          </cell>
          <cell r="O709">
            <v>45441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45448</v>
          </cell>
          <cell r="Y709">
            <v>0</v>
          </cell>
          <cell r="Z709">
            <v>0</v>
          </cell>
          <cell r="AA709">
            <v>196218</v>
          </cell>
          <cell r="AB709">
            <v>0</v>
          </cell>
          <cell r="AC709">
            <v>196218</v>
          </cell>
          <cell r="AD709">
            <v>194481</v>
          </cell>
          <cell r="AE709">
            <v>0</v>
          </cell>
          <cell r="AF709">
            <v>194481</v>
          </cell>
          <cell r="AG709" t="str">
            <v>ENGR. MICHAEL C. SALARDA
MS. LEONARDA M. LATOR
MS. CARMENCITA VALDEZ
MS. SORAYA P. VERGARA</v>
          </cell>
          <cell r="AH709" t="str">
            <v>N/A</v>
          </cell>
          <cell r="AI709" t="str">
            <v>N/A</v>
          </cell>
          <cell r="AJ709" t="str">
            <v>N/A</v>
          </cell>
          <cell r="AK709" t="str">
            <v>N/A</v>
          </cell>
          <cell r="AL709" t="str">
            <v>N/A</v>
          </cell>
          <cell r="AM709" t="str">
            <v>N/A</v>
          </cell>
          <cell r="AN709">
            <v>0</v>
          </cell>
          <cell r="AO709">
            <v>0</v>
          </cell>
        </row>
        <row r="710">
          <cell r="A710" t="str">
            <v>24-2475</v>
          </cell>
          <cell r="B710" t="str">
            <v>SPAREPARTS (MOTOR
CYCLE)</v>
          </cell>
          <cell r="C710" t="str">
            <v>PGSO</v>
          </cell>
          <cell r="D710" t="str">
            <v>No</v>
          </cell>
          <cell r="E710" t="str">
            <v>Shopping 52.1(a) - Unforeseen Contingency</v>
          </cell>
          <cell r="F710" t="str">
            <v>N/A</v>
          </cell>
          <cell r="G710">
            <v>45415</v>
          </cell>
          <cell r="H710">
            <v>0</v>
          </cell>
          <cell r="I710" t="str">
            <v>N/A</v>
          </cell>
          <cell r="J710">
            <v>45440</v>
          </cell>
          <cell r="K710">
            <v>45440</v>
          </cell>
          <cell r="L710">
            <v>0</v>
          </cell>
          <cell r="M710" t="str">
            <v>N/A</v>
          </cell>
          <cell r="N710" t="str">
            <v>N/A</v>
          </cell>
          <cell r="O710">
            <v>45441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 t="e">
            <v>#N/A</v>
          </cell>
          <cell r="Y710">
            <v>0</v>
          </cell>
          <cell r="Z710">
            <v>0</v>
          </cell>
          <cell r="AA710">
            <v>7550</v>
          </cell>
          <cell r="AB710">
            <v>0</v>
          </cell>
          <cell r="AC710">
            <v>7550</v>
          </cell>
          <cell r="AD710">
            <v>7550</v>
          </cell>
          <cell r="AE710">
            <v>0</v>
          </cell>
          <cell r="AF710">
            <v>7550</v>
          </cell>
          <cell r="AG710" t="str">
            <v>ENGR. MICHAEL C. SALARDA
MS. LEONARDA M. LATOR
MS. CARMENCITA VALDEZ
MS. SORAYA P. VERGARA</v>
          </cell>
          <cell r="AH710" t="str">
            <v>N/A</v>
          </cell>
          <cell r="AI710" t="str">
            <v>N/A</v>
          </cell>
          <cell r="AJ710" t="str">
            <v>N/A</v>
          </cell>
          <cell r="AK710" t="str">
            <v>N/A</v>
          </cell>
          <cell r="AL710" t="str">
            <v>N/A</v>
          </cell>
          <cell r="AM710" t="str">
            <v>N/A</v>
          </cell>
          <cell r="AN710">
            <v>0</v>
          </cell>
          <cell r="AO710">
            <v>0</v>
          </cell>
        </row>
        <row r="711">
          <cell r="A711" t="str">
            <v>24-2441</v>
          </cell>
          <cell r="B711" t="str">
            <v>SPAREPARTS (LIGHT
VEHICLES)</v>
          </cell>
          <cell r="C711" t="str">
            <v>PDRRMO</v>
          </cell>
          <cell r="D711" t="str">
            <v>No</v>
          </cell>
          <cell r="E711" t="str">
            <v>Shopping 52.1(a) - Unforeseen Contingency</v>
          </cell>
          <cell r="F711" t="str">
            <v>N/A</v>
          </cell>
          <cell r="G711">
            <v>45425</v>
          </cell>
          <cell r="H711">
            <v>0</v>
          </cell>
          <cell r="I711" t="str">
            <v>N/A</v>
          </cell>
          <cell r="J711">
            <v>45440</v>
          </cell>
          <cell r="K711">
            <v>45440</v>
          </cell>
          <cell r="L711">
            <v>0</v>
          </cell>
          <cell r="M711" t="str">
            <v>N/A</v>
          </cell>
          <cell r="N711" t="str">
            <v>N/A</v>
          </cell>
          <cell r="O711">
            <v>45441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 t="e">
            <v>#N/A</v>
          </cell>
          <cell r="Y711">
            <v>0</v>
          </cell>
          <cell r="Z711">
            <v>0</v>
          </cell>
          <cell r="AA711">
            <v>4800</v>
          </cell>
          <cell r="AB711">
            <v>0</v>
          </cell>
          <cell r="AC711">
            <v>4800</v>
          </cell>
          <cell r="AD711">
            <v>4800</v>
          </cell>
          <cell r="AE711">
            <v>0</v>
          </cell>
          <cell r="AF711">
            <v>4800</v>
          </cell>
          <cell r="AG711" t="str">
            <v>ENGR. MICHAEL C. SALARDA
MS. LEONARDA M. LATOR
MS. CARMENCITA VALDEZ
MS. SORAYA P. VERGARA</v>
          </cell>
          <cell r="AH711" t="str">
            <v>N/A</v>
          </cell>
          <cell r="AI711" t="str">
            <v>N/A</v>
          </cell>
          <cell r="AJ711" t="str">
            <v>N/A</v>
          </cell>
          <cell r="AK711" t="str">
            <v>N/A</v>
          </cell>
          <cell r="AL711" t="str">
            <v>N/A</v>
          </cell>
          <cell r="AM711" t="str">
            <v>N/A</v>
          </cell>
          <cell r="AN711">
            <v>0</v>
          </cell>
          <cell r="AO711">
            <v>0</v>
          </cell>
        </row>
        <row r="712">
          <cell r="A712" t="str">
            <v>24-2507</v>
          </cell>
          <cell r="B712" t="str">
            <v>SPAREPARTS (LIGHT
VEHICLES)</v>
          </cell>
          <cell r="C712" t="str">
            <v>PDRRMO</v>
          </cell>
          <cell r="D712" t="str">
            <v>No</v>
          </cell>
          <cell r="E712" t="str">
            <v>Shopping 52.1(a) - Unforeseen Contingency</v>
          </cell>
          <cell r="F712" t="str">
            <v>N/A</v>
          </cell>
          <cell r="G712">
            <v>45425</v>
          </cell>
          <cell r="H712">
            <v>0</v>
          </cell>
          <cell r="I712" t="str">
            <v>N/A</v>
          </cell>
          <cell r="J712">
            <v>45440</v>
          </cell>
          <cell r="K712">
            <v>45440</v>
          </cell>
          <cell r="L712">
            <v>0</v>
          </cell>
          <cell r="M712" t="str">
            <v>N/A</v>
          </cell>
          <cell r="N712" t="str">
            <v>N/A</v>
          </cell>
          <cell r="O712">
            <v>45441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 t="e">
            <v>#N/A</v>
          </cell>
          <cell r="Y712">
            <v>0</v>
          </cell>
          <cell r="Z712">
            <v>0</v>
          </cell>
          <cell r="AA712">
            <v>2250</v>
          </cell>
          <cell r="AB712">
            <v>0</v>
          </cell>
          <cell r="AC712">
            <v>2250</v>
          </cell>
          <cell r="AD712">
            <v>2250</v>
          </cell>
          <cell r="AE712">
            <v>0</v>
          </cell>
          <cell r="AF712">
            <v>2250</v>
          </cell>
          <cell r="AG712" t="str">
            <v>ENGR. MICHAEL C. SALARDA
MS. LEONARDA M. LATOR
MS. CARMENCITA VALDEZ
MS. SORAYA P. VERGARA</v>
          </cell>
          <cell r="AH712" t="str">
            <v>N/A</v>
          </cell>
          <cell r="AI712" t="str">
            <v>N/A</v>
          </cell>
          <cell r="AJ712" t="str">
            <v>N/A</v>
          </cell>
          <cell r="AK712" t="str">
            <v>N/A</v>
          </cell>
          <cell r="AL712" t="str">
            <v>N/A</v>
          </cell>
          <cell r="AM712" t="str">
            <v>N/A</v>
          </cell>
          <cell r="AN712">
            <v>0</v>
          </cell>
          <cell r="AO712">
            <v>0</v>
          </cell>
        </row>
        <row r="713">
          <cell r="A713" t="str">
            <v>24-2505</v>
          </cell>
          <cell r="B713" t="str">
            <v>SPAREPARTS (LIGHT
VEHICLES)</v>
          </cell>
          <cell r="C713" t="str">
            <v>PDRRMO</v>
          </cell>
          <cell r="D713" t="str">
            <v>No</v>
          </cell>
          <cell r="E713" t="str">
            <v>Shopping 52.1(a) - Unforeseen Contingency</v>
          </cell>
          <cell r="F713" t="str">
            <v>N/A</v>
          </cell>
          <cell r="G713">
            <v>45425</v>
          </cell>
          <cell r="H713">
            <v>0</v>
          </cell>
          <cell r="I713" t="str">
            <v>N/A</v>
          </cell>
          <cell r="J713">
            <v>45440</v>
          </cell>
          <cell r="K713">
            <v>45440</v>
          </cell>
          <cell r="L713">
            <v>0</v>
          </cell>
          <cell r="M713" t="str">
            <v>N/A</v>
          </cell>
          <cell r="N713" t="str">
            <v>N/A</v>
          </cell>
          <cell r="O713">
            <v>45441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 t="e">
            <v>#N/A</v>
          </cell>
          <cell r="Y713">
            <v>0</v>
          </cell>
          <cell r="Z713">
            <v>0</v>
          </cell>
          <cell r="AA713">
            <v>9800</v>
          </cell>
          <cell r="AB713">
            <v>0</v>
          </cell>
          <cell r="AC713">
            <v>9800</v>
          </cell>
          <cell r="AD713">
            <v>9800</v>
          </cell>
          <cell r="AE713">
            <v>0</v>
          </cell>
          <cell r="AF713">
            <v>9800</v>
          </cell>
          <cell r="AG713" t="str">
            <v>ENGR. MICHAEL C. SALARDA
MS. LEONARDA M. LATOR
MS. CARMENCITA VALDEZ
MS. SORAYA P. VERGARA</v>
          </cell>
          <cell r="AH713" t="str">
            <v>N/A</v>
          </cell>
          <cell r="AI713" t="str">
            <v>N/A</v>
          </cell>
          <cell r="AJ713" t="str">
            <v>N/A</v>
          </cell>
          <cell r="AK713" t="str">
            <v>N/A</v>
          </cell>
          <cell r="AL713" t="str">
            <v>N/A</v>
          </cell>
          <cell r="AM713" t="str">
            <v>N/A</v>
          </cell>
          <cell r="AN713">
            <v>0</v>
          </cell>
          <cell r="AO713">
            <v>0</v>
          </cell>
        </row>
        <row r="714">
          <cell r="A714" t="str">
            <v>24-C1345</v>
          </cell>
          <cell r="B714" t="str">
            <v>SPAREPARTS (HEAVY
EQUIPT)</v>
          </cell>
          <cell r="C714" t="str">
            <v>PDRRMO</v>
          </cell>
          <cell r="D714" t="str">
            <v>No</v>
          </cell>
          <cell r="E714" t="str">
            <v>Shopping 52.1(a) - Unforeseen Contingency</v>
          </cell>
          <cell r="F714" t="str">
            <v>N/A</v>
          </cell>
          <cell r="G714">
            <v>45425</v>
          </cell>
          <cell r="H714">
            <v>0</v>
          </cell>
          <cell r="I714" t="str">
            <v>N/A</v>
          </cell>
          <cell r="J714">
            <v>45440</v>
          </cell>
          <cell r="K714">
            <v>45440</v>
          </cell>
          <cell r="L714">
            <v>0</v>
          </cell>
          <cell r="M714" t="str">
            <v>N/A</v>
          </cell>
          <cell r="N714" t="str">
            <v>N/A</v>
          </cell>
          <cell r="O714">
            <v>45441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23690</v>
          </cell>
          <cell r="AB714">
            <v>0</v>
          </cell>
          <cell r="AC714">
            <v>23690</v>
          </cell>
          <cell r="AD714">
            <v>23690</v>
          </cell>
          <cell r="AE714">
            <v>0</v>
          </cell>
          <cell r="AF714">
            <v>23690</v>
          </cell>
          <cell r="AG714" t="str">
            <v>ENGR. MICHAEL C. SALARDA
MS. LEONARDA M. LATOR
MS. CARMENCITA VALDEZ
MS. SORAYA P. VERGARA</v>
          </cell>
          <cell r="AH714" t="str">
            <v>N/A</v>
          </cell>
          <cell r="AI714" t="str">
            <v>N/A</v>
          </cell>
          <cell r="AJ714" t="str">
            <v>N/A</v>
          </cell>
          <cell r="AK714" t="str">
            <v>N/A</v>
          </cell>
          <cell r="AL714" t="str">
            <v>N/A</v>
          </cell>
          <cell r="AM714" t="str">
            <v>N/A</v>
          </cell>
          <cell r="AN714">
            <v>0</v>
          </cell>
          <cell r="AO714">
            <v>0</v>
          </cell>
        </row>
        <row r="715">
          <cell r="A715" t="str">
            <v>24-2502</v>
          </cell>
          <cell r="B715" t="str">
            <v>SPAREPARTS (HEAVY
EQUIPT)</v>
          </cell>
          <cell r="C715" t="str">
            <v>PDRRMO</v>
          </cell>
          <cell r="D715" t="str">
            <v>No</v>
          </cell>
          <cell r="E715" t="str">
            <v>Shopping 52.1(a) - Unforeseen Contingency</v>
          </cell>
          <cell r="F715" t="str">
            <v>N/A</v>
          </cell>
          <cell r="G715">
            <v>45425</v>
          </cell>
          <cell r="H715">
            <v>0</v>
          </cell>
          <cell r="I715" t="str">
            <v>N/A</v>
          </cell>
          <cell r="J715">
            <v>45440</v>
          </cell>
          <cell r="K715">
            <v>45440</v>
          </cell>
          <cell r="L715">
            <v>0</v>
          </cell>
          <cell r="M715" t="str">
            <v>N/A</v>
          </cell>
          <cell r="N715" t="str">
            <v>N/A</v>
          </cell>
          <cell r="O715">
            <v>45441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 t="e">
            <v>#N/A</v>
          </cell>
          <cell r="Y715">
            <v>0</v>
          </cell>
          <cell r="Z715">
            <v>0</v>
          </cell>
          <cell r="AA715">
            <v>12000</v>
          </cell>
          <cell r="AB715">
            <v>0</v>
          </cell>
          <cell r="AC715">
            <v>12000</v>
          </cell>
          <cell r="AD715">
            <v>12000</v>
          </cell>
          <cell r="AE715">
            <v>0</v>
          </cell>
          <cell r="AF715">
            <v>12000</v>
          </cell>
          <cell r="AG715" t="str">
            <v>ENGR. MICHAEL C. SALARDA
MS. LEONARDA M. LATOR
MS. CARMENCITA VALDEZ
MS. SORAYA P. VERGARA</v>
          </cell>
          <cell r="AH715" t="str">
            <v>N/A</v>
          </cell>
          <cell r="AI715" t="str">
            <v>N/A</v>
          </cell>
          <cell r="AJ715" t="str">
            <v>N/A</v>
          </cell>
          <cell r="AK715" t="str">
            <v>N/A</v>
          </cell>
          <cell r="AL715" t="str">
            <v>N/A</v>
          </cell>
          <cell r="AM715" t="str">
            <v>N/A</v>
          </cell>
          <cell r="AN715">
            <v>0</v>
          </cell>
          <cell r="AO715">
            <v>0</v>
          </cell>
        </row>
        <row r="716">
          <cell r="A716" t="str">
            <v>24-2509</v>
          </cell>
          <cell r="B716" t="str">
            <v>SPAREPARTS (LIGHT
VEHICLES)</v>
          </cell>
          <cell r="C716" t="str">
            <v>PDRRMO</v>
          </cell>
          <cell r="D716" t="str">
            <v>No</v>
          </cell>
          <cell r="E716" t="str">
            <v>Shopping 52.1(a) - Unforeseen Contingency</v>
          </cell>
          <cell r="F716" t="str">
            <v>N/A</v>
          </cell>
          <cell r="G716">
            <v>45425</v>
          </cell>
          <cell r="H716">
            <v>0</v>
          </cell>
          <cell r="I716" t="str">
            <v>N/A</v>
          </cell>
          <cell r="J716">
            <v>45440</v>
          </cell>
          <cell r="K716">
            <v>45440</v>
          </cell>
          <cell r="L716">
            <v>0</v>
          </cell>
          <cell r="M716" t="str">
            <v>N/A</v>
          </cell>
          <cell r="N716" t="str">
            <v>N/A</v>
          </cell>
          <cell r="O716">
            <v>45441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 t="e">
            <v>#N/A</v>
          </cell>
          <cell r="Y716">
            <v>0</v>
          </cell>
          <cell r="Z716">
            <v>0</v>
          </cell>
          <cell r="AA716">
            <v>39000</v>
          </cell>
          <cell r="AB716">
            <v>0</v>
          </cell>
          <cell r="AC716">
            <v>39000</v>
          </cell>
          <cell r="AD716">
            <v>39000</v>
          </cell>
          <cell r="AE716">
            <v>0</v>
          </cell>
          <cell r="AF716">
            <v>39000</v>
          </cell>
          <cell r="AG716" t="str">
            <v>ENGR. MICHAEL C. SALARDA
MS. LEONARDA M. LATOR
MS. CARMENCITA VALDEZ
MS. SORAYA P. VERGARA</v>
          </cell>
          <cell r="AH716" t="str">
            <v>N/A</v>
          </cell>
          <cell r="AI716" t="str">
            <v>N/A</v>
          </cell>
          <cell r="AJ716" t="str">
            <v>N/A</v>
          </cell>
          <cell r="AK716" t="str">
            <v>N/A</v>
          </cell>
          <cell r="AL716" t="str">
            <v>N/A</v>
          </cell>
          <cell r="AM716" t="str">
            <v>N/A</v>
          </cell>
          <cell r="AN716">
            <v>0</v>
          </cell>
          <cell r="AO716">
            <v>0</v>
          </cell>
        </row>
        <row r="717">
          <cell r="A717" t="str">
            <v>24-2492</v>
          </cell>
          <cell r="B717" t="str">
            <v>SPAREPARTS (LIGHT
VEHICLES)</v>
          </cell>
          <cell r="C717" t="str">
            <v>PDRRMO</v>
          </cell>
          <cell r="D717" t="str">
            <v>No</v>
          </cell>
          <cell r="E717" t="str">
            <v>Shopping 52.1(a) - Unforeseen Contingency</v>
          </cell>
          <cell r="F717" t="str">
            <v>N/A</v>
          </cell>
          <cell r="G717">
            <v>45425</v>
          </cell>
          <cell r="H717">
            <v>0</v>
          </cell>
          <cell r="I717" t="str">
            <v>N/A</v>
          </cell>
          <cell r="J717">
            <v>45440</v>
          </cell>
          <cell r="K717">
            <v>45440</v>
          </cell>
          <cell r="L717">
            <v>0</v>
          </cell>
          <cell r="M717" t="str">
            <v>N/A</v>
          </cell>
          <cell r="N717" t="str">
            <v>N/A</v>
          </cell>
          <cell r="O717">
            <v>45441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 t="e">
            <v>#N/A</v>
          </cell>
          <cell r="Y717">
            <v>0</v>
          </cell>
          <cell r="Z717">
            <v>0</v>
          </cell>
          <cell r="AA717">
            <v>4500</v>
          </cell>
          <cell r="AB717">
            <v>0</v>
          </cell>
          <cell r="AC717">
            <v>4500</v>
          </cell>
          <cell r="AD717">
            <v>4500</v>
          </cell>
          <cell r="AE717">
            <v>0</v>
          </cell>
          <cell r="AF717">
            <v>4500</v>
          </cell>
          <cell r="AG717" t="str">
            <v>ENGR. MICHAEL C. SALARDA
MS. LEONARDA M. LATOR
MS. CARMENCITA VALDEZ
MS. SORAYA P. VERGARA</v>
          </cell>
          <cell r="AH717" t="str">
            <v>N/A</v>
          </cell>
          <cell r="AI717" t="str">
            <v>N/A</v>
          </cell>
          <cell r="AJ717" t="str">
            <v>N/A</v>
          </cell>
          <cell r="AK717" t="str">
            <v>N/A</v>
          </cell>
          <cell r="AL717" t="str">
            <v>N/A</v>
          </cell>
          <cell r="AM717" t="str">
            <v>N/A</v>
          </cell>
          <cell r="AN717">
            <v>0</v>
          </cell>
          <cell r="AO717">
            <v>0</v>
          </cell>
        </row>
        <row r="718">
          <cell r="A718" t="str">
            <v>24-2390</v>
          </cell>
          <cell r="B718" t="str">
            <v>JOB ORDER(LABOR &amp;</v>
          </cell>
          <cell r="C718" t="str">
            <v>PGSO</v>
          </cell>
          <cell r="D718" t="str">
            <v>No</v>
          </cell>
          <cell r="E718" t="str">
            <v>Shopping 52.1(a) - Unforeseen Contingency</v>
          </cell>
          <cell r="F718" t="str">
            <v>N/A</v>
          </cell>
          <cell r="G718">
            <v>45425</v>
          </cell>
          <cell r="H718">
            <v>0</v>
          </cell>
          <cell r="I718" t="str">
            <v>N/A</v>
          </cell>
          <cell r="J718">
            <v>45440</v>
          </cell>
          <cell r="K718">
            <v>45440</v>
          </cell>
          <cell r="L718">
            <v>0</v>
          </cell>
          <cell r="M718" t="str">
            <v>N/A</v>
          </cell>
          <cell r="N718" t="str">
            <v>N/A</v>
          </cell>
          <cell r="O718">
            <v>45441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 t="e">
            <v>#N/A</v>
          </cell>
          <cell r="Y718">
            <v>0</v>
          </cell>
          <cell r="Z718">
            <v>0</v>
          </cell>
          <cell r="AA718">
            <v>3560</v>
          </cell>
          <cell r="AB718">
            <v>0</v>
          </cell>
          <cell r="AC718">
            <v>3560</v>
          </cell>
          <cell r="AD718">
            <v>3560</v>
          </cell>
          <cell r="AE718">
            <v>0</v>
          </cell>
          <cell r="AF718">
            <v>3560</v>
          </cell>
          <cell r="AG718" t="str">
            <v>ENGR. MICHAEL C. SALARDA
MS. LEONARDA M. LATOR
MS. CARMENCITA VALDEZ
MS. SORAYA P. VERGARA</v>
          </cell>
          <cell r="AH718" t="str">
            <v>N/A</v>
          </cell>
          <cell r="AI718" t="str">
            <v>N/A</v>
          </cell>
          <cell r="AJ718" t="str">
            <v>N/A</v>
          </cell>
          <cell r="AK718" t="str">
            <v>N/A</v>
          </cell>
          <cell r="AL718" t="str">
            <v>N/A</v>
          </cell>
          <cell r="AM718" t="str">
            <v>N/A</v>
          </cell>
          <cell r="AN718">
            <v>0</v>
          </cell>
          <cell r="AO718">
            <v>0</v>
          </cell>
        </row>
        <row r="719">
          <cell r="A719" t="str">
            <v>24-2521</v>
          </cell>
          <cell r="B719" t="str">
            <v>SPAREPARTS (LIGHT
VEHICLES)</v>
          </cell>
          <cell r="C719" t="str">
            <v>SPO</v>
          </cell>
          <cell r="D719" t="str">
            <v>No</v>
          </cell>
          <cell r="E719" t="str">
            <v>Shopping 52.1(a) - Unforeseen Contingency</v>
          </cell>
          <cell r="F719" t="str">
            <v>N/A</v>
          </cell>
          <cell r="G719">
            <v>45425</v>
          </cell>
          <cell r="H719">
            <v>0</v>
          </cell>
          <cell r="I719" t="str">
            <v>N/A</v>
          </cell>
          <cell r="J719">
            <v>45440</v>
          </cell>
          <cell r="K719">
            <v>45440</v>
          </cell>
          <cell r="L719">
            <v>0</v>
          </cell>
          <cell r="M719" t="str">
            <v>N/A</v>
          </cell>
          <cell r="N719" t="str">
            <v>N/A</v>
          </cell>
          <cell r="O719">
            <v>45441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 t="e">
            <v>#N/A</v>
          </cell>
          <cell r="Y719">
            <v>0</v>
          </cell>
          <cell r="Z719">
            <v>0</v>
          </cell>
          <cell r="AA719">
            <v>45400</v>
          </cell>
          <cell r="AB719">
            <v>0</v>
          </cell>
          <cell r="AC719">
            <v>45400</v>
          </cell>
          <cell r="AD719">
            <v>45400</v>
          </cell>
          <cell r="AE719">
            <v>0</v>
          </cell>
          <cell r="AF719">
            <v>45400</v>
          </cell>
          <cell r="AG719" t="str">
            <v>ENGR. MICHAEL C. SALARDA
MS. LEONARDA M. LATOR
MS. CARMENCITA VALDEZ
MS. SORAYA P. VERGARA</v>
          </cell>
          <cell r="AH719" t="str">
            <v>N/A</v>
          </cell>
          <cell r="AI719" t="str">
            <v>N/A</v>
          </cell>
          <cell r="AJ719" t="str">
            <v>N/A</v>
          </cell>
          <cell r="AK719" t="str">
            <v>N/A</v>
          </cell>
          <cell r="AL719" t="str">
            <v>N/A</v>
          </cell>
          <cell r="AM719" t="str">
            <v>N/A</v>
          </cell>
          <cell r="AN719">
            <v>0</v>
          </cell>
          <cell r="AO719">
            <v>0</v>
          </cell>
        </row>
        <row r="720">
          <cell r="A720" t="str">
            <v>24-2485</v>
          </cell>
          <cell r="B720" t="str">
            <v>JOB ORDER(LABOR &amp;
MATERIALS)</v>
          </cell>
          <cell r="C720" t="str">
            <v>SPO</v>
          </cell>
          <cell r="D720" t="str">
            <v>No</v>
          </cell>
          <cell r="E720" t="str">
            <v>Shopping 52.1(a) - Unforeseen Contingency</v>
          </cell>
          <cell r="F720" t="str">
            <v>N/A</v>
          </cell>
          <cell r="G720">
            <v>45425</v>
          </cell>
          <cell r="H720">
            <v>0</v>
          </cell>
          <cell r="I720" t="str">
            <v>N/A</v>
          </cell>
          <cell r="J720">
            <v>45440</v>
          </cell>
          <cell r="K720">
            <v>45440</v>
          </cell>
          <cell r="L720">
            <v>0</v>
          </cell>
          <cell r="M720" t="str">
            <v>N/A</v>
          </cell>
          <cell r="N720" t="str">
            <v>N/A</v>
          </cell>
          <cell r="O720">
            <v>45441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 t="e">
            <v>#N/A</v>
          </cell>
          <cell r="Y720">
            <v>0</v>
          </cell>
          <cell r="Z720">
            <v>0</v>
          </cell>
          <cell r="AA720">
            <v>2000</v>
          </cell>
          <cell r="AB720">
            <v>0</v>
          </cell>
          <cell r="AC720">
            <v>2000</v>
          </cell>
          <cell r="AD720">
            <v>2000</v>
          </cell>
          <cell r="AE720">
            <v>0</v>
          </cell>
          <cell r="AF720">
            <v>2000</v>
          </cell>
          <cell r="AG720" t="str">
            <v>ENGR. MICHAEL C. SALARDA
MS. LEONARDA M. LATOR
MS. CARMENCITA VALDEZ
MS. SORAYA P. VERGARA</v>
          </cell>
          <cell r="AH720" t="str">
            <v>N/A</v>
          </cell>
          <cell r="AI720" t="str">
            <v>N/A</v>
          </cell>
          <cell r="AJ720" t="str">
            <v>N/A</v>
          </cell>
          <cell r="AK720" t="str">
            <v>N/A</v>
          </cell>
          <cell r="AL720" t="str">
            <v>N/A</v>
          </cell>
          <cell r="AM720" t="str">
            <v>N/A</v>
          </cell>
          <cell r="AN720">
            <v>0</v>
          </cell>
          <cell r="AO720">
            <v>0</v>
          </cell>
        </row>
        <row r="721">
          <cell r="A721" t="str">
            <v>24-2522</v>
          </cell>
          <cell r="B721" t="str">
            <v>SPAREPARTS (LIGHT
VEHICLES)</v>
          </cell>
          <cell r="C721" t="str">
            <v>SPO</v>
          </cell>
          <cell r="D721" t="str">
            <v>No</v>
          </cell>
          <cell r="E721" t="str">
            <v>Shopping 52.1(a) - Unforeseen Contingency</v>
          </cell>
          <cell r="F721" t="str">
            <v>N/A</v>
          </cell>
          <cell r="G721">
            <v>45425</v>
          </cell>
          <cell r="H721">
            <v>0</v>
          </cell>
          <cell r="I721" t="str">
            <v>N/A</v>
          </cell>
          <cell r="J721">
            <v>45440</v>
          </cell>
          <cell r="K721">
            <v>45440</v>
          </cell>
          <cell r="L721">
            <v>0</v>
          </cell>
          <cell r="M721" t="str">
            <v>N/A</v>
          </cell>
          <cell r="N721" t="str">
            <v>N/A</v>
          </cell>
          <cell r="O721">
            <v>45441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 t="e">
            <v>#N/A</v>
          </cell>
          <cell r="Y721">
            <v>0</v>
          </cell>
          <cell r="Z721">
            <v>0</v>
          </cell>
          <cell r="AA721">
            <v>13500</v>
          </cell>
          <cell r="AB721">
            <v>0</v>
          </cell>
          <cell r="AC721">
            <v>13500</v>
          </cell>
          <cell r="AD721">
            <v>13500</v>
          </cell>
          <cell r="AE721">
            <v>0</v>
          </cell>
          <cell r="AF721">
            <v>13500</v>
          </cell>
          <cell r="AG721" t="str">
            <v>ENGR. MICHAEL C. SALARDA
MS. LEONARDA M. LATOR
MS. CARMENCITA VALDEZ
MS. SORAYA P. VERGARA</v>
          </cell>
          <cell r="AH721" t="str">
            <v>N/A</v>
          </cell>
          <cell r="AI721" t="str">
            <v>N/A</v>
          </cell>
          <cell r="AJ721" t="str">
            <v>N/A</v>
          </cell>
          <cell r="AK721" t="str">
            <v>N/A</v>
          </cell>
          <cell r="AL721" t="str">
            <v>N/A</v>
          </cell>
          <cell r="AM721" t="str">
            <v>N/A</v>
          </cell>
          <cell r="AN721">
            <v>0</v>
          </cell>
          <cell r="AO721">
            <v>0</v>
          </cell>
        </row>
        <row r="722">
          <cell r="A722" t="str">
            <v>24-2508</v>
          </cell>
          <cell r="B722" t="str">
            <v>SPAREPARTS (LIGHT
VEHICLES)</v>
          </cell>
          <cell r="C722" t="str">
            <v>PDRRMO</v>
          </cell>
          <cell r="D722" t="str">
            <v>No</v>
          </cell>
          <cell r="E722" t="str">
            <v>Shopping 52.1(a) - Unforeseen Contingency</v>
          </cell>
          <cell r="F722" t="str">
            <v>N/A</v>
          </cell>
          <cell r="G722">
            <v>45425</v>
          </cell>
          <cell r="H722">
            <v>0</v>
          </cell>
          <cell r="I722" t="str">
            <v>N/A</v>
          </cell>
          <cell r="J722">
            <v>45440</v>
          </cell>
          <cell r="K722">
            <v>45440</v>
          </cell>
          <cell r="L722">
            <v>0</v>
          </cell>
          <cell r="M722" t="str">
            <v>N/A</v>
          </cell>
          <cell r="N722" t="str">
            <v>N/A</v>
          </cell>
          <cell r="O722">
            <v>45441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 t="e">
            <v>#N/A</v>
          </cell>
          <cell r="Y722">
            <v>0</v>
          </cell>
          <cell r="Z722">
            <v>0</v>
          </cell>
          <cell r="AA722">
            <v>32400</v>
          </cell>
          <cell r="AB722">
            <v>0</v>
          </cell>
          <cell r="AC722">
            <v>32400</v>
          </cell>
          <cell r="AD722">
            <v>32400</v>
          </cell>
          <cell r="AE722">
            <v>0</v>
          </cell>
          <cell r="AF722">
            <v>32400</v>
          </cell>
          <cell r="AG722" t="str">
            <v>ENGR. MICHAEL C. SALARDA
MS. LEONARDA M. LATOR
MS. CARMENCITA VALDEZ
MS. SORAYA P. VERGARA</v>
          </cell>
          <cell r="AH722" t="str">
            <v>N/A</v>
          </cell>
          <cell r="AI722" t="str">
            <v>N/A</v>
          </cell>
          <cell r="AJ722" t="str">
            <v>N/A</v>
          </cell>
          <cell r="AK722" t="str">
            <v>N/A</v>
          </cell>
          <cell r="AL722" t="str">
            <v>N/A</v>
          </cell>
          <cell r="AM722" t="str">
            <v>N/A</v>
          </cell>
          <cell r="AN722">
            <v>0</v>
          </cell>
          <cell r="AO722">
            <v>0</v>
          </cell>
        </row>
        <row r="723">
          <cell r="A723" t="str">
            <v>24-2610</v>
          </cell>
          <cell r="B723" t="str">
            <v>SPAREPARTS (LIGHT
VEHICLES)</v>
          </cell>
          <cell r="C723" t="str">
            <v>PDRRMO</v>
          </cell>
          <cell r="D723" t="str">
            <v>No</v>
          </cell>
          <cell r="E723" t="str">
            <v>Shopping 52.1(a) - Unforeseen Contingency</v>
          </cell>
          <cell r="F723" t="str">
            <v>N/A</v>
          </cell>
          <cell r="G723">
            <v>45425</v>
          </cell>
          <cell r="H723">
            <v>0</v>
          </cell>
          <cell r="I723" t="str">
            <v>N/A</v>
          </cell>
          <cell r="J723">
            <v>45440</v>
          </cell>
          <cell r="K723">
            <v>45440</v>
          </cell>
          <cell r="L723">
            <v>0</v>
          </cell>
          <cell r="M723" t="str">
            <v>N/A</v>
          </cell>
          <cell r="N723" t="str">
            <v>N/A</v>
          </cell>
          <cell r="O723">
            <v>45441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 t="e">
            <v>#N/A</v>
          </cell>
          <cell r="Y723">
            <v>0</v>
          </cell>
          <cell r="Z723">
            <v>0</v>
          </cell>
          <cell r="AA723">
            <v>13500</v>
          </cell>
          <cell r="AB723">
            <v>0</v>
          </cell>
          <cell r="AC723">
            <v>13500</v>
          </cell>
          <cell r="AD723">
            <v>13500</v>
          </cell>
          <cell r="AE723">
            <v>0</v>
          </cell>
          <cell r="AF723">
            <v>13500</v>
          </cell>
          <cell r="AG723" t="str">
            <v>ENGR. MICHAEL C. SALARDA
MS. LEONARDA M. LATOR
MS. CARMENCITA VALDEZ
MS. SORAYA P. VERGARA</v>
          </cell>
          <cell r="AH723" t="str">
            <v>N/A</v>
          </cell>
          <cell r="AI723" t="str">
            <v>N/A</v>
          </cell>
          <cell r="AJ723" t="str">
            <v>N/A</v>
          </cell>
          <cell r="AK723" t="str">
            <v>N/A</v>
          </cell>
          <cell r="AL723" t="str">
            <v>N/A</v>
          </cell>
          <cell r="AM723" t="str">
            <v>N/A</v>
          </cell>
          <cell r="AN723">
            <v>0</v>
          </cell>
          <cell r="AO723">
            <v>0</v>
          </cell>
        </row>
        <row r="724">
          <cell r="A724" t="str">
            <v>24-2609</v>
          </cell>
          <cell r="B724" t="str">
            <v>SPAREPARTS (LIGHT
VEHICLES)</v>
          </cell>
          <cell r="C724" t="str">
            <v>PDRRMO</v>
          </cell>
          <cell r="D724" t="str">
            <v>No</v>
          </cell>
          <cell r="E724" t="str">
            <v>Shopping 52.1(a) - Unforeseen Contingency</v>
          </cell>
          <cell r="F724" t="str">
            <v>N/A</v>
          </cell>
          <cell r="G724">
            <v>45425</v>
          </cell>
          <cell r="H724">
            <v>0</v>
          </cell>
          <cell r="I724" t="str">
            <v>N/A</v>
          </cell>
          <cell r="J724">
            <v>45440</v>
          </cell>
          <cell r="K724">
            <v>45440</v>
          </cell>
          <cell r="L724">
            <v>0</v>
          </cell>
          <cell r="M724" t="str">
            <v>N/A</v>
          </cell>
          <cell r="N724" t="str">
            <v>N/A</v>
          </cell>
          <cell r="O724">
            <v>45441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 t="e">
            <v>#N/A</v>
          </cell>
          <cell r="Y724">
            <v>0</v>
          </cell>
          <cell r="Z724">
            <v>0</v>
          </cell>
          <cell r="AA724">
            <v>1500</v>
          </cell>
          <cell r="AB724">
            <v>0</v>
          </cell>
          <cell r="AC724">
            <v>1500</v>
          </cell>
          <cell r="AD724">
            <v>1500</v>
          </cell>
          <cell r="AE724">
            <v>0</v>
          </cell>
          <cell r="AF724">
            <v>1500</v>
          </cell>
          <cell r="AG724" t="str">
            <v>ENGR. MICHAEL C. SALARDA
MS. LEONARDA M. LATOR
MS. CARMENCITA VALDEZ
MS. SORAYA P. VERGARA</v>
          </cell>
          <cell r="AH724" t="str">
            <v>N/A</v>
          </cell>
          <cell r="AI724" t="str">
            <v>N/A</v>
          </cell>
          <cell r="AJ724" t="str">
            <v>N/A</v>
          </cell>
          <cell r="AK724" t="str">
            <v>N/A</v>
          </cell>
          <cell r="AL724" t="str">
            <v>N/A</v>
          </cell>
          <cell r="AM724" t="str">
            <v>N/A</v>
          </cell>
          <cell r="AN724">
            <v>0</v>
          </cell>
          <cell r="AO724">
            <v>0</v>
          </cell>
        </row>
        <row r="725">
          <cell r="A725" t="str">
            <v>24-2570</v>
          </cell>
          <cell r="B725" t="str">
            <v>SPAREPARTS (LIGHT
VEHICLES)</v>
          </cell>
          <cell r="C725" t="str">
            <v>PDRRMO</v>
          </cell>
          <cell r="D725" t="str">
            <v>No</v>
          </cell>
          <cell r="E725" t="str">
            <v>Shopping 52.1(a) - Unforeseen Contingency</v>
          </cell>
          <cell r="F725" t="str">
            <v>N/A</v>
          </cell>
          <cell r="G725">
            <v>45429</v>
          </cell>
          <cell r="H725">
            <v>0</v>
          </cell>
          <cell r="I725" t="str">
            <v>N/A</v>
          </cell>
          <cell r="J725">
            <v>45440</v>
          </cell>
          <cell r="K725">
            <v>45440</v>
          </cell>
          <cell r="L725">
            <v>0</v>
          </cell>
          <cell r="M725" t="str">
            <v>N/A</v>
          </cell>
          <cell r="N725" t="str">
            <v>N/A</v>
          </cell>
          <cell r="O725">
            <v>45441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 t="e">
            <v>#N/A</v>
          </cell>
          <cell r="Y725">
            <v>0</v>
          </cell>
          <cell r="Z725">
            <v>0</v>
          </cell>
          <cell r="AA725">
            <v>19080</v>
          </cell>
          <cell r="AB725">
            <v>0</v>
          </cell>
          <cell r="AC725">
            <v>19080</v>
          </cell>
          <cell r="AD725">
            <v>19080</v>
          </cell>
          <cell r="AE725">
            <v>0</v>
          </cell>
          <cell r="AF725">
            <v>19080</v>
          </cell>
          <cell r="AG725" t="str">
            <v>ENGR. MICHAEL C. SALARDA
MS. LEONARDA M. LATOR
MS. CARMENCITA VALDEZ
MS. SORAYA P. VERGARA</v>
          </cell>
          <cell r="AH725" t="str">
            <v>N/A</v>
          </cell>
          <cell r="AI725" t="str">
            <v>N/A</v>
          </cell>
          <cell r="AJ725" t="str">
            <v>N/A</v>
          </cell>
          <cell r="AK725" t="str">
            <v>N/A</v>
          </cell>
          <cell r="AL725" t="str">
            <v>N/A</v>
          </cell>
          <cell r="AM725" t="str">
            <v>N/A</v>
          </cell>
          <cell r="AN725">
            <v>0</v>
          </cell>
          <cell r="AO725">
            <v>0</v>
          </cell>
        </row>
        <row r="726">
          <cell r="A726" t="str">
            <v>24-2572</v>
          </cell>
          <cell r="B726" t="str">
            <v>SPAREPARTS (LIGHT
VEHICLES)</v>
          </cell>
          <cell r="C726" t="str">
            <v>PDRRMO</v>
          </cell>
          <cell r="D726" t="str">
            <v>No</v>
          </cell>
          <cell r="E726" t="str">
            <v>Shopping 52.1(a) - Unforeseen Contingency</v>
          </cell>
          <cell r="F726" t="str">
            <v>N/A</v>
          </cell>
          <cell r="G726">
            <v>45429</v>
          </cell>
          <cell r="H726">
            <v>0</v>
          </cell>
          <cell r="I726" t="str">
            <v>N/A</v>
          </cell>
          <cell r="J726">
            <v>45440</v>
          </cell>
          <cell r="K726">
            <v>45440</v>
          </cell>
          <cell r="L726">
            <v>0</v>
          </cell>
          <cell r="M726" t="str">
            <v>N/A</v>
          </cell>
          <cell r="N726" t="str">
            <v>N/A</v>
          </cell>
          <cell r="O726">
            <v>45441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 t="e">
            <v>#N/A</v>
          </cell>
          <cell r="Y726">
            <v>0</v>
          </cell>
          <cell r="Z726">
            <v>0</v>
          </cell>
          <cell r="AA726">
            <v>18100</v>
          </cell>
          <cell r="AB726">
            <v>0</v>
          </cell>
          <cell r="AC726">
            <v>18100</v>
          </cell>
          <cell r="AD726">
            <v>18100</v>
          </cell>
          <cell r="AE726">
            <v>0</v>
          </cell>
          <cell r="AF726">
            <v>18100</v>
          </cell>
          <cell r="AG726" t="str">
            <v>ENGR. MICHAEL C. SALARDA
MS. LEONARDA M. LATOR
MS. CARMENCITA VALDEZ
MS. SORAYA P. VERGARA</v>
          </cell>
          <cell r="AH726" t="str">
            <v>N/A</v>
          </cell>
          <cell r="AI726" t="str">
            <v>N/A</v>
          </cell>
          <cell r="AJ726" t="str">
            <v>N/A</v>
          </cell>
          <cell r="AK726" t="str">
            <v>N/A</v>
          </cell>
          <cell r="AL726" t="str">
            <v>N/A</v>
          </cell>
          <cell r="AM726" t="str">
            <v>N/A</v>
          </cell>
          <cell r="AN726">
            <v>0</v>
          </cell>
          <cell r="AO726">
            <v>0</v>
          </cell>
        </row>
        <row r="727">
          <cell r="A727" t="str">
            <v>24-2392</v>
          </cell>
          <cell r="B727" t="str">
            <v>SPAREPARTS (MOTOR
CYCLE)</v>
          </cell>
          <cell r="C727" t="str">
            <v>PGSO</v>
          </cell>
          <cell r="D727" t="str">
            <v>No</v>
          </cell>
          <cell r="E727" t="str">
            <v>Shopping 52.1(a) - Unforeseen Contingency</v>
          </cell>
          <cell r="F727" t="str">
            <v>N/A</v>
          </cell>
          <cell r="G727">
            <v>45429</v>
          </cell>
          <cell r="H727">
            <v>0</v>
          </cell>
          <cell r="I727" t="str">
            <v>N/A</v>
          </cell>
          <cell r="J727">
            <v>45440</v>
          </cell>
          <cell r="K727">
            <v>45440</v>
          </cell>
          <cell r="L727">
            <v>0</v>
          </cell>
          <cell r="M727" t="str">
            <v>N/A</v>
          </cell>
          <cell r="N727" t="str">
            <v>N/A</v>
          </cell>
          <cell r="O727">
            <v>45441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 t="e">
            <v>#N/A</v>
          </cell>
          <cell r="Y727">
            <v>0</v>
          </cell>
          <cell r="Z727">
            <v>0</v>
          </cell>
          <cell r="AA727">
            <v>3320</v>
          </cell>
          <cell r="AB727">
            <v>0</v>
          </cell>
          <cell r="AC727">
            <v>3320</v>
          </cell>
          <cell r="AD727">
            <v>3320</v>
          </cell>
          <cell r="AE727">
            <v>0</v>
          </cell>
          <cell r="AF727">
            <v>3320</v>
          </cell>
          <cell r="AG727" t="str">
            <v>ENGR. MICHAEL C. SALARDA
MS. LEONARDA M. LATOR
MS. CARMENCITA VALDEZ
MS. SORAYA P. VERGARA</v>
          </cell>
          <cell r="AH727" t="str">
            <v>N/A</v>
          </cell>
          <cell r="AI727" t="str">
            <v>N/A</v>
          </cell>
          <cell r="AJ727" t="str">
            <v>N/A</v>
          </cell>
          <cell r="AK727" t="str">
            <v>N/A</v>
          </cell>
          <cell r="AL727" t="str">
            <v>N/A</v>
          </cell>
          <cell r="AM727" t="str">
            <v>N/A</v>
          </cell>
          <cell r="AN727">
            <v>0</v>
          </cell>
          <cell r="AO727">
            <v>0</v>
          </cell>
        </row>
        <row r="728">
          <cell r="A728" t="str">
            <v>24-2510</v>
          </cell>
          <cell r="B728" t="str">
            <v>SPAREPARTS (LIGHT
VEHICLES)</v>
          </cell>
          <cell r="C728" t="str">
            <v>PDRRMO</v>
          </cell>
          <cell r="D728" t="str">
            <v>No</v>
          </cell>
          <cell r="E728" t="str">
            <v>Shopping 52.1(a) - Unforeseen Contingency</v>
          </cell>
          <cell r="F728" t="str">
            <v>N/A</v>
          </cell>
          <cell r="G728">
            <v>45434</v>
          </cell>
          <cell r="H728">
            <v>0</v>
          </cell>
          <cell r="I728" t="str">
            <v>N/A</v>
          </cell>
          <cell r="J728">
            <v>45440</v>
          </cell>
          <cell r="K728">
            <v>45440</v>
          </cell>
          <cell r="L728">
            <v>0</v>
          </cell>
          <cell r="M728" t="str">
            <v>N/A</v>
          </cell>
          <cell r="N728" t="str">
            <v>N/A</v>
          </cell>
          <cell r="O728">
            <v>45441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 t="e">
            <v>#N/A</v>
          </cell>
          <cell r="Y728">
            <v>0</v>
          </cell>
          <cell r="Z728">
            <v>0</v>
          </cell>
          <cell r="AA728">
            <v>11800</v>
          </cell>
          <cell r="AB728">
            <v>0</v>
          </cell>
          <cell r="AC728">
            <v>11800</v>
          </cell>
          <cell r="AD728">
            <v>11800</v>
          </cell>
          <cell r="AE728">
            <v>0</v>
          </cell>
          <cell r="AF728">
            <v>11800</v>
          </cell>
          <cell r="AG728" t="str">
            <v>ENGR. MICHAEL C. SALARDA
MS. LEONARDA M. LATOR
MS. CARMENCITA VALDEZ
MS. SORAYA P. VERGARA</v>
          </cell>
          <cell r="AH728" t="str">
            <v>N/A</v>
          </cell>
          <cell r="AI728" t="str">
            <v>N/A</v>
          </cell>
          <cell r="AJ728" t="str">
            <v>N/A</v>
          </cell>
          <cell r="AK728" t="str">
            <v>N/A</v>
          </cell>
          <cell r="AL728" t="str">
            <v>N/A</v>
          </cell>
          <cell r="AM728" t="str">
            <v>N/A</v>
          </cell>
          <cell r="AN728">
            <v>0</v>
          </cell>
          <cell r="AO728">
            <v>0</v>
          </cell>
        </row>
        <row r="729">
          <cell r="A729" t="str">
            <v>24-2623</v>
          </cell>
          <cell r="B729" t="str">
            <v>SPAREPARTS (MOTOR
CYCLE)</v>
          </cell>
          <cell r="C729" t="str">
            <v>PGSO</v>
          </cell>
          <cell r="D729" t="str">
            <v>No</v>
          </cell>
          <cell r="E729" t="str">
            <v>Shopping 52.1(a) - Unforeseen Contingency</v>
          </cell>
          <cell r="F729" t="str">
            <v>N/A</v>
          </cell>
          <cell r="G729">
            <v>45434</v>
          </cell>
          <cell r="H729">
            <v>0</v>
          </cell>
          <cell r="I729" t="str">
            <v>N/A</v>
          </cell>
          <cell r="J729">
            <v>45440</v>
          </cell>
          <cell r="K729">
            <v>45440</v>
          </cell>
          <cell r="L729">
            <v>0</v>
          </cell>
          <cell r="M729" t="str">
            <v>N/A</v>
          </cell>
          <cell r="N729" t="str">
            <v>N/A</v>
          </cell>
          <cell r="O729">
            <v>45441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 t="e">
            <v>#N/A</v>
          </cell>
          <cell r="Y729">
            <v>0</v>
          </cell>
          <cell r="Z729">
            <v>0</v>
          </cell>
          <cell r="AA729">
            <v>10600</v>
          </cell>
          <cell r="AB729">
            <v>0</v>
          </cell>
          <cell r="AC729">
            <v>10600</v>
          </cell>
          <cell r="AD729">
            <v>10600</v>
          </cell>
          <cell r="AE729">
            <v>0</v>
          </cell>
          <cell r="AF729">
            <v>10600</v>
          </cell>
          <cell r="AG729" t="str">
            <v>ENGR. MICHAEL C. SALARDA
MS. LEONARDA M. LATOR
MS. CARMENCITA VALDEZ
MS. SORAYA P. VERGARA</v>
          </cell>
          <cell r="AH729" t="str">
            <v>N/A</v>
          </cell>
          <cell r="AI729" t="str">
            <v>N/A</v>
          </cell>
          <cell r="AJ729" t="str">
            <v>N/A</v>
          </cell>
          <cell r="AK729" t="str">
            <v>N/A</v>
          </cell>
          <cell r="AL729" t="str">
            <v>N/A</v>
          </cell>
          <cell r="AM729" t="str">
            <v>N/A</v>
          </cell>
          <cell r="AN729">
            <v>0</v>
          </cell>
          <cell r="AO729">
            <v>0</v>
          </cell>
        </row>
        <row r="730">
          <cell r="A730" t="str">
            <v>24-2622</v>
          </cell>
          <cell r="B730" t="str">
            <v>SPAREPARTS (LIGHT
VEHICLES)</v>
          </cell>
          <cell r="C730" t="str">
            <v>PGSO</v>
          </cell>
          <cell r="D730" t="str">
            <v>No</v>
          </cell>
          <cell r="E730" t="str">
            <v>Shopping 52.1(a) - Unforeseen Contingency</v>
          </cell>
          <cell r="F730" t="str">
            <v>N/A</v>
          </cell>
          <cell r="G730">
            <v>45434</v>
          </cell>
          <cell r="H730">
            <v>0</v>
          </cell>
          <cell r="I730" t="str">
            <v>N/A</v>
          </cell>
          <cell r="J730">
            <v>45440</v>
          </cell>
          <cell r="K730">
            <v>45440</v>
          </cell>
          <cell r="L730">
            <v>0</v>
          </cell>
          <cell r="M730" t="str">
            <v>N/A</v>
          </cell>
          <cell r="N730" t="str">
            <v>N/A</v>
          </cell>
          <cell r="O730">
            <v>45441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 t="e">
            <v>#N/A</v>
          </cell>
          <cell r="Y730">
            <v>0</v>
          </cell>
          <cell r="Z730">
            <v>0</v>
          </cell>
          <cell r="AA730">
            <v>9400</v>
          </cell>
          <cell r="AB730">
            <v>0</v>
          </cell>
          <cell r="AC730">
            <v>9400</v>
          </cell>
          <cell r="AD730">
            <v>9400</v>
          </cell>
          <cell r="AE730">
            <v>0</v>
          </cell>
          <cell r="AF730">
            <v>9400</v>
          </cell>
          <cell r="AG730" t="str">
            <v>ENGR. MICHAEL C. SALARDA
MS. LEONARDA M. LATOR
MS. CARMENCITA VALDEZ
MS. SORAYA P. VERGARA</v>
          </cell>
          <cell r="AH730" t="str">
            <v>N/A</v>
          </cell>
          <cell r="AI730" t="str">
            <v>N/A</v>
          </cell>
          <cell r="AJ730" t="str">
            <v>N/A</v>
          </cell>
          <cell r="AK730" t="str">
            <v>N/A</v>
          </cell>
          <cell r="AL730" t="str">
            <v>N/A</v>
          </cell>
          <cell r="AM730" t="str">
            <v>N/A</v>
          </cell>
          <cell r="AN730">
            <v>0</v>
          </cell>
          <cell r="AO730">
            <v>0</v>
          </cell>
        </row>
        <row r="731">
          <cell r="A731" t="str">
            <v>24-2545</v>
          </cell>
          <cell r="B731" t="str">
            <v>SPAREPARTS (LIGHT
VEHICLES)</v>
          </cell>
          <cell r="C731" t="str">
            <v>DDOPH-Montevista</v>
          </cell>
          <cell r="D731" t="str">
            <v>No</v>
          </cell>
          <cell r="E731" t="str">
            <v>Shopping 52.1(a) - Unforeseen Contingency</v>
          </cell>
          <cell r="F731" t="str">
            <v>N/A</v>
          </cell>
          <cell r="G731">
            <v>45434</v>
          </cell>
          <cell r="H731">
            <v>0</v>
          </cell>
          <cell r="I731" t="str">
            <v>N/A</v>
          </cell>
          <cell r="J731">
            <v>45440</v>
          </cell>
          <cell r="K731">
            <v>45440</v>
          </cell>
          <cell r="L731">
            <v>0</v>
          </cell>
          <cell r="M731" t="str">
            <v>N/A</v>
          </cell>
          <cell r="N731" t="str">
            <v>N/A</v>
          </cell>
          <cell r="O731">
            <v>45441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 t="e">
            <v>#N/A</v>
          </cell>
          <cell r="Y731">
            <v>0</v>
          </cell>
          <cell r="Z731">
            <v>0</v>
          </cell>
          <cell r="AA731">
            <v>9800</v>
          </cell>
          <cell r="AB731">
            <v>0</v>
          </cell>
          <cell r="AC731">
            <v>9800</v>
          </cell>
          <cell r="AD731">
            <v>9800</v>
          </cell>
          <cell r="AE731">
            <v>0</v>
          </cell>
          <cell r="AF731">
            <v>9800</v>
          </cell>
          <cell r="AG731" t="str">
            <v>ENGR. MICHAEL C. SALARDA
MS. LEONARDA M. LATOR
MS. CARMENCITA VALDEZ
MS. SORAYA P. VERGARA</v>
          </cell>
          <cell r="AH731" t="str">
            <v>N/A</v>
          </cell>
          <cell r="AI731" t="str">
            <v>N/A</v>
          </cell>
          <cell r="AJ731" t="str">
            <v>N/A</v>
          </cell>
          <cell r="AK731" t="str">
            <v>N/A</v>
          </cell>
          <cell r="AL731" t="str">
            <v>N/A</v>
          </cell>
          <cell r="AM731" t="str">
            <v>N/A</v>
          </cell>
          <cell r="AN731">
            <v>0</v>
          </cell>
          <cell r="AO731">
            <v>0</v>
          </cell>
        </row>
        <row r="732">
          <cell r="A732" t="str">
            <v>24-2624</v>
          </cell>
          <cell r="B732" t="str">
            <v>SPAREPARTS (LIGHT
VEHICLES)</v>
          </cell>
          <cell r="C732" t="str">
            <v>PGSO</v>
          </cell>
          <cell r="D732" t="str">
            <v>No</v>
          </cell>
          <cell r="E732" t="str">
            <v>Shopping 52.1(a) - Unforeseen Contingency</v>
          </cell>
          <cell r="F732" t="str">
            <v>N/A</v>
          </cell>
          <cell r="G732">
            <v>45434</v>
          </cell>
          <cell r="H732">
            <v>0</v>
          </cell>
          <cell r="I732" t="str">
            <v>N/A</v>
          </cell>
          <cell r="J732">
            <v>45440</v>
          </cell>
          <cell r="K732">
            <v>45440</v>
          </cell>
          <cell r="L732">
            <v>0</v>
          </cell>
          <cell r="M732" t="str">
            <v>N/A</v>
          </cell>
          <cell r="N732" t="str">
            <v>N/A</v>
          </cell>
          <cell r="O732">
            <v>45441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 t="e">
            <v>#N/A</v>
          </cell>
          <cell r="Y732">
            <v>0</v>
          </cell>
          <cell r="Z732">
            <v>0</v>
          </cell>
          <cell r="AA732">
            <v>12000</v>
          </cell>
          <cell r="AB732">
            <v>0</v>
          </cell>
          <cell r="AC732">
            <v>12000</v>
          </cell>
          <cell r="AD732">
            <v>12000</v>
          </cell>
          <cell r="AE732">
            <v>0</v>
          </cell>
          <cell r="AF732">
            <v>12000</v>
          </cell>
          <cell r="AG732" t="str">
            <v>ENGR. MICHAEL C. SALARDA
MS. LEONARDA M. LATOR
MS. CARMENCITA VALDEZ
MS. SORAYA P. VERGARA</v>
          </cell>
          <cell r="AH732" t="str">
            <v>N/A</v>
          </cell>
          <cell r="AI732" t="str">
            <v>N/A</v>
          </cell>
          <cell r="AJ732" t="str">
            <v>N/A</v>
          </cell>
          <cell r="AK732" t="str">
            <v>N/A</v>
          </cell>
          <cell r="AL732" t="str">
            <v>N/A</v>
          </cell>
          <cell r="AM732" t="str">
            <v>N/A</v>
          </cell>
          <cell r="AN732">
            <v>0</v>
          </cell>
          <cell r="AO732">
            <v>0</v>
          </cell>
        </row>
        <row r="733">
          <cell r="A733" t="str">
            <v>24-2626</v>
          </cell>
          <cell r="B733" t="str">
            <v>SPAREPARTS (MOTOR
CYCLE)</v>
          </cell>
          <cell r="C733" t="str">
            <v>PGSO</v>
          </cell>
          <cell r="D733" t="str">
            <v>No</v>
          </cell>
          <cell r="E733" t="str">
            <v>Shopping 52.1(a) - Unforeseen Contingency</v>
          </cell>
          <cell r="F733" t="str">
            <v>N/A</v>
          </cell>
          <cell r="G733">
            <v>45434</v>
          </cell>
          <cell r="H733">
            <v>0</v>
          </cell>
          <cell r="I733" t="str">
            <v>N/A</v>
          </cell>
          <cell r="J733">
            <v>45440</v>
          </cell>
          <cell r="K733">
            <v>45440</v>
          </cell>
          <cell r="L733">
            <v>0</v>
          </cell>
          <cell r="M733" t="str">
            <v>N/A</v>
          </cell>
          <cell r="N733" t="str">
            <v>N/A</v>
          </cell>
          <cell r="O733">
            <v>45441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 t="e">
            <v>#N/A</v>
          </cell>
          <cell r="Y733">
            <v>0</v>
          </cell>
          <cell r="Z733">
            <v>0</v>
          </cell>
          <cell r="AA733">
            <v>12570</v>
          </cell>
          <cell r="AB733">
            <v>0</v>
          </cell>
          <cell r="AC733">
            <v>12570</v>
          </cell>
          <cell r="AD733">
            <v>12570</v>
          </cell>
          <cell r="AE733">
            <v>0</v>
          </cell>
          <cell r="AF733">
            <v>12570</v>
          </cell>
          <cell r="AG733" t="str">
            <v>ENGR. MICHAEL C. SALARDA
MS. LEONARDA M. LATOR
MS. CARMENCITA VALDEZ
MS. SORAYA P. VERGARA</v>
          </cell>
          <cell r="AH733" t="str">
            <v>N/A</v>
          </cell>
          <cell r="AI733" t="str">
            <v>N/A</v>
          </cell>
          <cell r="AJ733" t="str">
            <v>N/A</v>
          </cell>
          <cell r="AK733" t="str">
            <v>N/A</v>
          </cell>
          <cell r="AL733" t="str">
            <v>N/A</v>
          </cell>
          <cell r="AM733" t="str">
            <v>N/A</v>
          </cell>
          <cell r="AN733">
            <v>0</v>
          </cell>
          <cell r="AO733">
            <v>0</v>
          </cell>
        </row>
        <row r="734">
          <cell r="A734" t="str">
            <v>24-2486</v>
          </cell>
          <cell r="B734" t="str">
            <v>SPAREPARTS (LIGHT
VEHICLES)</v>
          </cell>
          <cell r="C734" t="str">
            <v>SPO</v>
          </cell>
          <cell r="D734" t="str">
            <v>No</v>
          </cell>
          <cell r="E734" t="str">
            <v>Shopping 52.1(a) - Unforeseen Contingency</v>
          </cell>
          <cell r="F734" t="str">
            <v>N/A</v>
          </cell>
          <cell r="G734">
            <v>45436</v>
          </cell>
          <cell r="H734">
            <v>0</v>
          </cell>
          <cell r="I734" t="str">
            <v>N/A</v>
          </cell>
          <cell r="J734">
            <v>45440</v>
          </cell>
          <cell r="K734">
            <v>45440</v>
          </cell>
          <cell r="L734">
            <v>0</v>
          </cell>
          <cell r="M734" t="str">
            <v>N/A</v>
          </cell>
          <cell r="N734" t="str">
            <v>N/A</v>
          </cell>
          <cell r="O734">
            <v>45441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 t="e">
            <v>#N/A</v>
          </cell>
          <cell r="Y734">
            <v>0</v>
          </cell>
          <cell r="Z734">
            <v>0</v>
          </cell>
          <cell r="AA734">
            <v>9075</v>
          </cell>
          <cell r="AB734">
            <v>0</v>
          </cell>
          <cell r="AC734">
            <v>9075</v>
          </cell>
          <cell r="AD734">
            <v>9075</v>
          </cell>
          <cell r="AE734">
            <v>0</v>
          </cell>
          <cell r="AF734">
            <v>9075</v>
          </cell>
          <cell r="AG734" t="str">
            <v>ENGR. MICHAEL C. SALARDA
MS. LEONARDA M. LATOR
MS. CARMENCITA VALDEZ
MS. SORAYA P. VERGARA</v>
          </cell>
          <cell r="AH734" t="str">
            <v>N/A</v>
          </cell>
          <cell r="AI734" t="str">
            <v>N/A</v>
          </cell>
          <cell r="AJ734" t="str">
            <v>N/A</v>
          </cell>
          <cell r="AK734" t="str">
            <v>N/A</v>
          </cell>
          <cell r="AL734" t="str">
            <v>N/A</v>
          </cell>
          <cell r="AM734" t="str">
            <v>N/A</v>
          </cell>
          <cell r="AN734">
            <v>0</v>
          </cell>
          <cell r="AO734">
            <v>0</v>
          </cell>
        </row>
        <row r="735">
          <cell r="A735" t="str">
            <v>24-2845</v>
          </cell>
          <cell r="B735" t="str">
            <v>SPAREPARTS (LIGHT
VEHICLES)</v>
          </cell>
          <cell r="C735" t="str">
            <v>PDRRMO</v>
          </cell>
          <cell r="D735" t="str">
            <v>No</v>
          </cell>
          <cell r="E735" t="str">
            <v>Shopping 52.1(a) - Unforeseen Contingency</v>
          </cell>
          <cell r="F735" t="str">
            <v>N/A</v>
          </cell>
          <cell r="G735">
            <v>45425</v>
          </cell>
          <cell r="H735">
            <v>0</v>
          </cell>
          <cell r="I735" t="str">
            <v>N/A</v>
          </cell>
          <cell r="J735">
            <v>45440</v>
          </cell>
          <cell r="K735">
            <v>45440</v>
          </cell>
          <cell r="L735">
            <v>0</v>
          </cell>
          <cell r="M735" t="str">
            <v>N/A</v>
          </cell>
          <cell r="N735" t="str">
            <v>N/A</v>
          </cell>
          <cell r="O735">
            <v>45441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 t="e">
            <v>#N/A</v>
          </cell>
          <cell r="Y735">
            <v>0</v>
          </cell>
          <cell r="Z735">
            <v>0</v>
          </cell>
          <cell r="AA735">
            <v>1500</v>
          </cell>
          <cell r="AB735">
            <v>0</v>
          </cell>
          <cell r="AC735">
            <v>1500</v>
          </cell>
          <cell r="AD735">
            <v>1500</v>
          </cell>
          <cell r="AE735">
            <v>0</v>
          </cell>
          <cell r="AF735">
            <v>1500</v>
          </cell>
          <cell r="AG735" t="str">
            <v>ENGR. MICHAEL C. SALARDA
MS. LEONARDA M. LATOR
MS. CARMENCITA VALDEZ
MS. SORAYA P. VERGARA</v>
          </cell>
          <cell r="AH735" t="str">
            <v>N/A</v>
          </cell>
          <cell r="AI735" t="str">
            <v>N/A</v>
          </cell>
          <cell r="AJ735" t="str">
            <v>N/A</v>
          </cell>
          <cell r="AK735" t="str">
            <v>N/A</v>
          </cell>
          <cell r="AL735" t="str">
            <v>N/A</v>
          </cell>
          <cell r="AM735" t="str">
            <v>N/A</v>
          </cell>
          <cell r="AN735">
            <v>0</v>
          </cell>
          <cell r="AO735">
            <v>0</v>
          </cell>
        </row>
        <row r="736">
          <cell r="A736" t="str">
            <v>24-1741</v>
          </cell>
          <cell r="B736" t="str">
            <v>SPAREPARTS (LIGHT
VEHICLES)</v>
          </cell>
          <cell r="C736" t="str">
            <v>PGSO</v>
          </cell>
          <cell r="D736" t="str">
            <v>No</v>
          </cell>
          <cell r="E736" t="str">
            <v>Shopping 52.1(a) - Unforeseen Contingency</v>
          </cell>
          <cell r="F736">
            <v>45398</v>
          </cell>
          <cell r="G736">
            <v>45404</v>
          </cell>
          <cell r="H736">
            <v>0</v>
          </cell>
          <cell r="I736" t="str">
            <v>N/A</v>
          </cell>
          <cell r="J736">
            <v>45440</v>
          </cell>
          <cell r="K736">
            <v>45440</v>
          </cell>
          <cell r="L736">
            <v>0</v>
          </cell>
          <cell r="M736" t="str">
            <v>N/A</v>
          </cell>
          <cell r="N736" t="str">
            <v>N/A</v>
          </cell>
          <cell r="O736">
            <v>45441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 t="e">
            <v>#N/A</v>
          </cell>
          <cell r="Y736">
            <v>0</v>
          </cell>
          <cell r="Z736">
            <v>0</v>
          </cell>
          <cell r="AA736">
            <v>1850</v>
          </cell>
          <cell r="AB736">
            <v>0</v>
          </cell>
          <cell r="AC736">
            <v>1850</v>
          </cell>
          <cell r="AD736">
            <v>1850</v>
          </cell>
          <cell r="AE736">
            <v>0</v>
          </cell>
          <cell r="AF736">
            <v>1850</v>
          </cell>
          <cell r="AG736" t="str">
            <v>ENGR. MICHAEL C. SALARDA
MS. LEONARDA M. LATOR
MS. CARMENCITA VALDEZ
MS. SORAYA P. VERGARA</v>
          </cell>
          <cell r="AH736" t="str">
            <v>N/A</v>
          </cell>
          <cell r="AI736" t="str">
            <v>N/A</v>
          </cell>
          <cell r="AJ736" t="str">
            <v>N/A</v>
          </cell>
          <cell r="AK736" t="str">
            <v>N/A</v>
          </cell>
          <cell r="AL736" t="str">
            <v>N/A</v>
          </cell>
          <cell r="AM736" t="str">
            <v>N/A</v>
          </cell>
          <cell r="AN736">
            <v>0</v>
          </cell>
          <cell r="AO736">
            <v>0</v>
          </cell>
        </row>
        <row r="737">
          <cell r="A737" t="str">
            <v>24-2162</v>
          </cell>
          <cell r="B737" t="str">
            <v>OFFICE SUPPLIES</v>
          </cell>
          <cell r="C737" t="str">
            <v>PAO-IPRD</v>
          </cell>
          <cell r="D737" t="str">
            <v>No</v>
          </cell>
          <cell r="E737" t="str">
            <v>Shopping 52.1(b) - Regular Office Supplies and Equipment no available in PS</v>
          </cell>
          <cell r="F737">
            <v>45407</v>
          </cell>
          <cell r="G737">
            <v>45412</v>
          </cell>
          <cell r="H737">
            <v>0</v>
          </cell>
          <cell r="I737" t="str">
            <v>N/A</v>
          </cell>
          <cell r="J737">
            <v>45440</v>
          </cell>
          <cell r="K737">
            <v>45440</v>
          </cell>
          <cell r="L737">
            <v>0</v>
          </cell>
          <cell r="M737" t="str">
            <v>N/A</v>
          </cell>
          <cell r="N737" t="str">
            <v>N/A</v>
          </cell>
          <cell r="O737">
            <v>45441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 t="e">
            <v>#N/A</v>
          </cell>
          <cell r="Y737">
            <v>0</v>
          </cell>
          <cell r="Z737">
            <v>0</v>
          </cell>
          <cell r="AA737">
            <v>7449</v>
          </cell>
          <cell r="AB737">
            <v>0</v>
          </cell>
          <cell r="AC737">
            <v>7449</v>
          </cell>
          <cell r="AD737">
            <v>7116</v>
          </cell>
          <cell r="AE737">
            <v>0</v>
          </cell>
          <cell r="AF737">
            <v>7116</v>
          </cell>
          <cell r="AG737" t="str">
            <v>ENGR. MICHAEL C. SALARDA
MS. LEONARDA M. LATOR
MS. CARMENCITA VALDEZ
MS. SORAYA P. VERGARA</v>
          </cell>
          <cell r="AH737" t="str">
            <v>N/A</v>
          </cell>
          <cell r="AI737" t="str">
            <v>N/A</v>
          </cell>
          <cell r="AJ737" t="str">
            <v>N/A</v>
          </cell>
          <cell r="AK737" t="str">
            <v>N/A</v>
          </cell>
          <cell r="AL737" t="str">
            <v>N/A</v>
          </cell>
          <cell r="AM737" t="str">
            <v>N/A</v>
          </cell>
          <cell r="AN737">
            <v>0</v>
          </cell>
          <cell r="AO737">
            <v>0</v>
          </cell>
        </row>
        <row r="738">
          <cell r="A738" t="str">
            <v>24-2114</v>
          </cell>
          <cell r="B738" t="str">
            <v>OFFICE SUPPLIES
(COLLATERAL FOLDER WITH
SAMPLE DESIGN)</v>
          </cell>
          <cell r="C738" t="str">
            <v>PAO-IPRD</v>
          </cell>
          <cell r="D738" t="str">
            <v>No</v>
          </cell>
          <cell r="E738" t="str">
            <v>Shopping 52.1(b) - Regular Office Supplies and Equipment no available in PS</v>
          </cell>
          <cell r="F738">
            <v>45407</v>
          </cell>
          <cell r="G738">
            <v>45412</v>
          </cell>
          <cell r="H738">
            <v>0</v>
          </cell>
          <cell r="I738" t="str">
            <v>N/A</v>
          </cell>
          <cell r="J738">
            <v>45440</v>
          </cell>
          <cell r="K738">
            <v>45440</v>
          </cell>
          <cell r="L738">
            <v>0</v>
          </cell>
          <cell r="M738" t="str">
            <v>N/A</v>
          </cell>
          <cell r="N738" t="str">
            <v>N/A</v>
          </cell>
          <cell r="O738">
            <v>45441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 t="e">
            <v>#N/A</v>
          </cell>
          <cell r="Y738">
            <v>0</v>
          </cell>
          <cell r="Z738">
            <v>0</v>
          </cell>
          <cell r="AA738">
            <v>5500</v>
          </cell>
          <cell r="AB738">
            <v>0</v>
          </cell>
          <cell r="AC738">
            <v>5500</v>
          </cell>
          <cell r="AD738">
            <v>5500</v>
          </cell>
          <cell r="AE738">
            <v>0</v>
          </cell>
          <cell r="AF738">
            <v>5500</v>
          </cell>
          <cell r="AG738" t="str">
            <v>ENGR. MICHAEL C. SALARDA
MS. LEONARDA M. LATOR
MS. CARMENCITA VALDEZ
MS. SORAYA P. VERGARA</v>
          </cell>
          <cell r="AH738" t="str">
            <v>N/A</v>
          </cell>
          <cell r="AI738" t="str">
            <v>N/A</v>
          </cell>
          <cell r="AJ738" t="str">
            <v>N/A</v>
          </cell>
          <cell r="AK738" t="str">
            <v>N/A</v>
          </cell>
          <cell r="AL738" t="str">
            <v>N/A</v>
          </cell>
          <cell r="AM738" t="str">
            <v>N/A</v>
          </cell>
          <cell r="AN738">
            <v>0</v>
          </cell>
          <cell r="AO738">
            <v>0</v>
          </cell>
        </row>
        <row r="739">
          <cell r="A739" t="str">
            <v>24-2397</v>
          </cell>
          <cell r="B739" t="str">
            <v>OFFICE SUPPLIES</v>
          </cell>
          <cell r="C739" t="str">
            <v>PAO-ADMIN</v>
          </cell>
          <cell r="D739" t="str">
            <v>No</v>
          </cell>
          <cell r="E739" t="str">
            <v>Shopping 52.1(b) - Regular Office Supplies and Equipment no available in PS</v>
          </cell>
          <cell r="F739" t="str">
            <v>N/A</v>
          </cell>
          <cell r="G739">
            <v>45422</v>
          </cell>
          <cell r="H739">
            <v>0</v>
          </cell>
          <cell r="I739" t="str">
            <v>N/A</v>
          </cell>
          <cell r="J739">
            <v>45440</v>
          </cell>
          <cell r="K739">
            <v>45440</v>
          </cell>
          <cell r="L739">
            <v>0</v>
          </cell>
          <cell r="M739" t="str">
            <v>N/A</v>
          </cell>
          <cell r="N739" t="str">
            <v>N/A</v>
          </cell>
          <cell r="O739">
            <v>45441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 t="e">
            <v>#N/A</v>
          </cell>
          <cell r="Y739">
            <v>0</v>
          </cell>
          <cell r="Z739">
            <v>0</v>
          </cell>
          <cell r="AA739">
            <v>7868</v>
          </cell>
          <cell r="AB739">
            <v>0</v>
          </cell>
          <cell r="AC739">
            <v>7868</v>
          </cell>
          <cell r="AD739">
            <v>7860</v>
          </cell>
          <cell r="AE739">
            <v>0</v>
          </cell>
          <cell r="AF739">
            <v>7860</v>
          </cell>
          <cell r="AG739" t="str">
            <v>ENGR. MICHAEL C. SALARDA
MS. LEONARDA M. LATOR
MS. CARMENCITA VALDEZ
MS. SORAYA P. VERGARA</v>
          </cell>
          <cell r="AH739" t="str">
            <v>N/A</v>
          </cell>
          <cell r="AI739" t="str">
            <v>N/A</v>
          </cell>
          <cell r="AJ739" t="str">
            <v>N/A</v>
          </cell>
          <cell r="AK739" t="str">
            <v>N/A</v>
          </cell>
          <cell r="AL739" t="str">
            <v>N/A</v>
          </cell>
          <cell r="AM739" t="str">
            <v>N/A</v>
          </cell>
          <cell r="AN739">
            <v>0</v>
          </cell>
          <cell r="AO739">
            <v>0</v>
          </cell>
        </row>
        <row r="740">
          <cell r="A740" t="str">
            <v>24-C1287</v>
          </cell>
          <cell r="B740" t="str">
            <v>OFFICE SUPPLIES</v>
          </cell>
          <cell r="C740" t="str">
            <v>PDRRMO</v>
          </cell>
          <cell r="D740" t="str">
            <v>No</v>
          </cell>
          <cell r="E740" t="str">
            <v>Shopping 52.1(b) - Regular Office Supplies and Equipment no available in PS</v>
          </cell>
          <cell r="F740" t="str">
            <v>N/A</v>
          </cell>
          <cell r="G740">
            <v>45412</v>
          </cell>
          <cell r="H740">
            <v>0</v>
          </cell>
          <cell r="I740" t="str">
            <v>N/A</v>
          </cell>
          <cell r="J740">
            <v>45440</v>
          </cell>
          <cell r="K740">
            <v>45440</v>
          </cell>
          <cell r="L740">
            <v>0</v>
          </cell>
          <cell r="M740" t="str">
            <v>N/A</v>
          </cell>
          <cell r="N740" t="str">
            <v>N/A</v>
          </cell>
          <cell r="O740">
            <v>45441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18262</v>
          </cell>
          <cell r="AB740">
            <v>0</v>
          </cell>
          <cell r="AC740">
            <v>18262</v>
          </cell>
          <cell r="AD740">
            <v>17973</v>
          </cell>
          <cell r="AE740">
            <v>0</v>
          </cell>
          <cell r="AF740">
            <v>17973</v>
          </cell>
          <cell r="AG740" t="str">
            <v>ENGR. MICHAEL C. SALARDA
MS. LEONARDA M. LATOR
MS. CARMENCITA VALDEZ
MS. SORAYA P. VERGARA</v>
          </cell>
          <cell r="AH740" t="str">
            <v>N/A</v>
          </cell>
          <cell r="AI740" t="str">
            <v>N/A</v>
          </cell>
          <cell r="AJ740" t="str">
            <v>N/A</v>
          </cell>
          <cell r="AK740" t="str">
            <v>N/A</v>
          </cell>
          <cell r="AL740" t="str">
            <v>N/A</v>
          </cell>
          <cell r="AM740" t="str">
            <v>N/A</v>
          </cell>
          <cell r="AN740">
            <v>0</v>
          </cell>
          <cell r="AO740">
            <v>0</v>
          </cell>
        </row>
        <row r="741">
          <cell r="A741" t="str">
            <v>24-C1082</v>
          </cell>
          <cell r="B741" t="str">
            <v>FURNITURES &amp; FIXTURES</v>
          </cell>
          <cell r="C741" t="str">
            <v>PAO</v>
          </cell>
          <cell r="D741" t="str">
            <v>No</v>
          </cell>
          <cell r="E741" t="str">
            <v>NP-53.9 - Small Value Procurement</v>
          </cell>
          <cell r="F741" t="str">
            <v>N/A</v>
          </cell>
          <cell r="G741">
            <v>45376</v>
          </cell>
          <cell r="H741">
            <v>0</v>
          </cell>
          <cell r="I741" t="str">
            <v>N/A</v>
          </cell>
          <cell r="J741">
            <v>45440</v>
          </cell>
          <cell r="K741">
            <v>45440</v>
          </cell>
          <cell r="L741">
            <v>0</v>
          </cell>
          <cell r="M741" t="str">
            <v>N/A</v>
          </cell>
          <cell r="N741" t="str">
            <v>N/A</v>
          </cell>
          <cell r="O741">
            <v>45441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35110</v>
          </cell>
          <cell r="AB741">
            <v>0</v>
          </cell>
          <cell r="AC741">
            <v>35110</v>
          </cell>
          <cell r="AD741">
            <v>34690</v>
          </cell>
          <cell r="AE741">
            <v>0</v>
          </cell>
          <cell r="AF741">
            <v>34690</v>
          </cell>
          <cell r="AG741" t="str">
            <v>ENGR. MICHAEL C. SALARDA
MS. LEONARDA M. LATOR
MS. CARMENCITA VALDEZ
MS. SORAYA P. VERGARA</v>
          </cell>
          <cell r="AH741" t="str">
            <v>N/A</v>
          </cell>
          <cell r="AI741" t="str">
            <v>N/A</v>
          </cell>
          <cell r="AJ741" t="str">
            <v>N/A</v>
          </cell>
          <cell r="AK741" t="str">
            <v>N/A</v>
          </cell>
          <cell r="AL741" t="str">
            <v>N/A</v>
          </cell>
          <cell r="AM741" t="str">
            <v>N/A</v>
          </cell>
          <cell r="AN741">
            <v>0</v>
          </cell>
          <cell r="AO741">
            <v>0</v>
          </cell>
        </row>
        <row r="742">
          <cell r="A742" t="str">
            <v>24-1724</v>
          </cell>
          <cell r="B742" t="str">
            <v>JOB ORDER (REPAIR OF 1
UNIT VHF COMMUNICATION
REPEATER)</v>
          </cell>
          <cell r="C742" t="str">
            <v>PAO</v>
          </cell>
          <cell r="D742" t="str">
            <v>No</v>
          </cell>
          <cell r="E742" t="str">
            <v>NP-53.9 - Small Value Procurement</v>
          </cell>
          <cell r="F742">
            <v>45412</v>
          </cell>
          <cell r="G742">
            <v>45414</v>
          </cell>
          <cell r="H742">
            <v>0</v>
          </cell>
          <cell r="I742" t="str">
            <v>N/A</v>
          </cell>
          <cell r="J742">
            <v>45440</v>
          </cell>
          <cell r="K742">
            <v>45440</v>
          </cell>
          <cell r="L742">
            <v>0</v>
          </cell>
          <cell r="M742" t="str">
            <v>N/A</v>
          </cell>
          <cell r="N742" t="str">
            <v>N/A</v>
          </cell>
          <cell r="O742">
            <v>45441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10000</v>
          </cell>
          <cell r="AB742">
            <v>0</v>
          </cell>
          <cell r="AC742">
            <v>10000</v>
          </cell>
          <cell r="AD742">
            <v>9800</v>
          </cell>
          <cell r="AE742">
            <v>0</v>
          </cell>
          <cell r="AF742">
            <v>9800</v>
          </cell>
          <cell r="AG742" t="str">
            <v>ENGR. MICHAEL C. SALARDA
MS. LEONARDA M. LATOR
MS. CARMENCITA VALDEZ
MS. SORAYA P. VERGARA</v>
          </cell>
          <cell r="AH742" t="str">
            <v>N/A</v>
          </cell>
          <cell r="AI742" t="str">
            <v>N/A</v>
          </cell>
          <cell r="AJ742" t="str">
            <v>N/A</v>
          </cell>
          <cell r="AK742" t="str">
            <v>N/A</v>
          </cell>
          <cell r="AL742" t="str">
            <v>N/A</v>
          </cell>
          <cell r="AM742" t="str">
            <v>N/A</v>
          </cell>
          <cell r="AN742">
            <v>0</v>
          </cell>
          <cell r="AO742">
            <v>0</v>
          </cell>
        </row>
        <row r="743">
          <cell r="A743" t="str">
            <v>24-2326</v>
          </cell>
          <cell r="B743" t="str">
            <v>SPAREPARTS (MOTOR
CYCLE)</v>
          </cell>
          <cell r="C743" t="str">
            <v>PGSO</v>
          </cell>
          <cell r="D743" t="str">
            <v>No</v>
          </cell>
          <cell r="E743" t="str">
            <v>NP-53.9 - Small Value Procurement</v>
          </cell>
          <cell r="F743">
            <v>45407</v>
          </cell>
          <cell r="G743">
            <v>45412</v>
          </cell>
          <cell r="H743">
            <v>0</v>
          </cell>
          <cell r="I743" t="str">
            <v>N/A</v>
          </cell>
          <cell r="J743">
            <v>45440</v>
          </cell>
          <cell r="K743">
            <v>45440</v>
          </cell>
          <cell r="L743">
            <v>0</v>
          </cell>
          <cell r="M743" t="str">
            <v>N/A</v>
          </cell>
          <cell r="N743" t="str">
            <v>N/A</v>
          </cell>
          <cell r="O743">
            <v>45441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 t="e">
            <v>#N/A</v>
          </cell>
          <cell r="Y743">
            <v>0</v>
          </cell>
          <cell r="Z743">
            <v>0</v>
          </cell>
          <cell r="AA743">
            <v>8442</v>
          </cell>
          <cell r="AB743">
            <v>0</v>
          </cell>
          <cell r="AC743">
            <v>8442</v>
          </cell>
          <cell r="AD743">
            <v>8385</v>
          </cell>
          <cell r="AE743">
            <v>0</v>
          </cell>
          <cell r="AF743">
            <v>8385</v>
          </cell>
          <cell r="AG743" t="str">
            <v>ENGR. MICHAEL C. SALARDA
MS. LEONARDA M. LATOR
MS. CARMENCITA VALDEZ
MS. SORAYA P. VERGARA</v>
          </cell>
          <cell r="AH743" t="str">
            <v>N/A</v>
          </cell>
          <cell r="AI743" t="str">
            <v>N/A</v>
          </cell>
          <cell r="AJ743" t="str">
            <v>N/A</v>
          </cell>
          <cell r="AK743" t="str">
            <v>N/A</v>
          </cell>
          <cell r="AL743" t="str">
            <v>N/A</v>
          </cell>
          <cell r="AM743" t="str">
            <v>N/A</v>
          </cell>
          <cell r="AN743">
            <v>0</v>
          </cell>
          <cell r="AO743">
            <v>0</v>
          </cell>
        </row>
        <row r="744">
          <cell r="A744" t="str">
            <v>24-2283</v>
          </cell>
          <cell r="B744" t="str">
            <v>SPAREPARTS (MOTOR
CYCLE)</v>
          </cell>
          <cell r="C744" t="str">
            <v>PGSO</v>
          </cell>
          <cell r="D744" t="str">
            <v>No</v>
          </cell>
          <cell r="E744" t="str">
            <v>NP-53.9 - Small Value Procurement</v>
          </cell>
          <cell r="F744">
            <v>45407</v>
          </cell>
          <cell r="G744">
            <v>45412</v>
          </cell>
          <cell r="H744">
            <v>0</v>
          </cell>
          <cell r="I744" t="str">
            <v>N/A</v>
          </cell>
          <cell r="J744">
            <v>45440</v>
          </cell>
          <cell r="K744">
            <v>45440</v>
          </cell>
          <cell r="L744">
            <v>0</v>
          </cell>
          <cell r="M744" t="str">
            <v>N/A</v>
          </cell>
          <cell r="N744" t="str">
            <v>N/A</v>
          </cell>
          <cell r="O744">
            <v>45441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 t="e">
            <v>#N/A</v>
          </cell>
          <cell r="Y744">
            <v>0</v>
          </cell>
          <cell r="Z744">
            <v>0</v>
          </cell>
          <cell r="AA744">
            <v>17930</v>
          </cell>
          <cell r="AB744">
            <v>0</v>
          </cell>
          <cell r="AC744">
            <v>17930</v>
          </cell>
          <cell r="AD744">
            <v>17930</v>
          </cell>
          <cell r="AE744">
            <v>0</v>
          </cell>
          <cell r="AF744">
            <v>17930</v>
          </cell>
          <cell r="AG744" t="str">
            <v>ENGR. MICHAEL C. SALARDA
MS. LEONARDA M. LATOR
MS. CARMENCITA VALDEZ
MS. SORAYA P. VERGARA</v>
          </cell>
          <cell r="AH744" t="str">
            <v>N/A</v>
          </cell>
          <cell r="AI744" t="str">
            <v>N/A</v>
          </cell>
          <cell r="AJ744" t="str">
            <v>N/A</v>
          </cell>
          <cell r="AK744" t="str">
            <v>N/A</v>
          </cell>
          <cell r="AL744" t="str">
            <v>N/A</v>
          </cell>
          <cell r="AM744" t="str">
            <v>N/A</v>
          </cell>
          <cell r="AN744">
            <v>0</v>
          </cell>
          <cell r="AO744">
            <v>0</v>
          </cell>
        </row>
        <row r="745">
          <cell r="A745" t="str">
            <v>24-2310</v>
          </cell>
          <cell r="B745" t="str">
            <v>SPAREPARTS (MOTOR
CYCLE)</v>
          </cell>
          <cell r="C745" t="str">
            <v>PGSO</v>
          </cell>
          <cell r="D745" t="str">
            <v>No</v>
          </cell>
          <cell r="E745" t="str">
            <v>NP-53.9 - Small Value Procurement</v>
          </cell>
          <cell r="F745">
            <v>45407</v>
          </cell>
          <cell r="G745">
            <v>45412</v>
          </cell>
          <cell r="H745">
            <v>0</v>
          </cell>
          <cell r="I745" t="str">
            <v>N/A</v>
          </cell>
          <cell r="J745">
            <v>45440</v>
          </cell>
          <cell r="K745">
            <v>45440</v>
          </cell>
          <cell r="L745">
            <v>0</v>
          </cell>
          <cell r="M745" t="str">
            <v>N/A</v>
          </cell>
          <cell r="N745" t="str">
            <v>N/A</v>
          </cell>
          <cell r="O745">
            <v>45441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 t="e">
            <v>#N/A</v>
          </cell>
          <cell r="Y745">
            <v>0</v>
          </cell>
          <cell r="Z745">
            <v>0</v>
          </cell>
          <cell r="AA745">
            <v>1880</v>
          </cell>
          <cell r="AB745">
            <v>0</v>
          </cell>
          <cell r="AC745">
            <v>1880</v>
          </cell>
          <cell r="AD745">
            <v>1880</v>
          </cell>
          <cell r="AE745">
            <v>0</v>
          </cell>
          <cell r="AF745">
            <v>1880</v>
          </cell>
          <cell r="AG745" t="str">
            <v>ENGR. MICHAEL C. SALARDA
MS. LEONARDA M. LATOR
MS. CARMENCITA VALDEZ
MS. SORAYA P. VERGARA</v>
          </cell>
          <cell r="AH745" t="str">
            <v>N/A</v>
          </cell>
          <cell r="AI745" t="str">
            <v>N/A</v>
          </cell>
          <cell r="AJ745" t="str">
            <v>N/A</v>
          </cell>
          <cell r="AK745" t="str">
            <v>N/A</v>
          </cell>
          <cell r="AL745" t="str">
            <v>N/A</v>
          </cell>
          <cell r="AM745" t="str">
            <v>N/A</v>
          </cell>
          <cell r="AN745">
            <v>0</v>
          </cell>
          <cell r="AO745">
            <v>0</v>
          </cell>
        </row>
        <row r="746">
          <cell r="A746" t="str">
            <v>24-1709</v>
          </cell>
          <cell r="B746" t="str">
            <v>JANITORIAL SUPPLIES /
HOUSEKEEPING</v>
          </cell>
          <cell r="C746" t="str">
            <v>PGO</v>
          </cell>
          <cell r="D746" t="str">
            <v>No</v>
          </cell>
          <cell r="E746" t="str">
            <v>NP-53.9 - Small Value Procurement</v>
          </cell>
          <cell r="F746" t="str">
            <v>N/A</v>
          </cell>
          <cell r="G746">
            <v>45363</v>
          </cell>
          <cell r="H746">
            <v>0</v>
          </cell>
          <cell r="I746" t="str">
            <v>N/A</v>
          </cell>
          <cell r="J746">
            <v>45440</v>
          </cell>
          <cell r="K746">
            <v>45440</v>
          </cell>
          <cell r="L746">
            <v>0</v>
          </cell>
          <cell r="M746" t="str">
            <v>N/A</v>
          </cell>
          <cell r="N746" t="str">
            <v>N/A</v>
          </cell>
          <cell r="O746">
            <v>45441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 t="e">
            <v>#N/A</v>
          </cell>
          <cell r="Y746">
            <v>0</v>
          </cell>
          <cell r="Z746">
            <v>0</v>
          </cell>
          <cell r="AA746">
            <v>983</v>
          </cell>
          <cell r="AB746">
            <v>0</v>
          </cell>
          <cell r="AC746">
            <v>983</v>
          </cell>
          <cell r="AD746">
            <v>950</v>
          </cell>
          <cell r="AE746">
            <v>0</v>
          </cell>
          <cell r="AF746">
            <v>950</v>
          </cell>
          <cell r="AG746" t="str">
            <v>ENGR. MICHAEL C. SALARDA
MS. LEONARDA M. LATOR
MS. CARMENCITA VALDEZ
MS. SORAYA P. VERGARA</v>
          </cell>
          <cell r="AH746" t="str">
            <v>N/A</v>
          </cell>
          <cell r="AI746" t="str">
            <v>N/A</v>
          </cell>
          <cell r="AJ746" t="str">
            <v>N/A</v>
          </cell>
          <cell r="AK746" t="str">
            <v>N/A</v>
          </cell>
          <cell r="AL746" t="str">
            <v>N/A</v>
          </cell>
          <cell r="AM746" t="str">
            <v>N/A</v>
          </cell>
          <cell r="AN746">
            <v>0</v>
          </cell>
          <cell r="AO746">
            <v>0</v>
          </cell>
        </row>
        <row r="747">
          <cell r="A747" t="str">
            <v>24-2364</v>
          </cell>
          <cell r="B747" t="str">
            <v>SPAREPARTS (MOTOR
CYCLE)</v>
          </cell>
          <cell r="C747" t="str">
            <v>PGSO</v>
          </cell>
          <cell r="D747" t="str">
            <v>No</v>
          </cell>
          <cell r="E747" t="str">
            <v>NP-53.9 - Small Value Procurement</v>
          </cell>
          <cell r="F747">
            <v>45407</v>
          </cell>
          <cell r="G747">
            <v>45412</v>
          </cell>
          <cell r="H747">
            <v>0</v>
          </cell>
          <cell r="I747" t="str">
            <v>N/A</v>
          </cell>
          <cell r="J747">
            <v>45440</v>
          </cell>
          <cell r="K747">
            <v>45440</v>
          </cell>
          <cell r="L747">
            <v>0</v>
          </cell>
          <cell r="M747" t="str">
            <v>N/A</v>
          </cell>
          <cell r="N747" t="str">
            <v>N/A</v>
          </cell>
          <cell r="O747">
            <v>45441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 t="e">
            <v>#N/A</v>
          </cell>
          <cell r="Y747">
            <v>0</v>
          </cell>
          <cell r="Z747">
            <v>0</v>
          </cell>
          <cell r="AA747">
            <v>2930</v>
          </cell>
          <cell r="AB747">
            <v>0</v>
          </cell>
          <cell r="AC747">
            <v>2930</v>
          </cell>
          <cell r="AD747">
            <v>2930</v>
          </cell>
          <cell r="AE747">
            <v>0</v>
          </cell>
          <cell r="AF747">
            <v>2930</v>
          </cell>
          <cell r="AG747" t="str">
            <v>ENGR. MICHAEL C. SALARDA
MS. LEONARDA M. LATOR
MS. CARMENCITA VALDEZ
MS. SORAYA P. VERGARA</v>
          </cell>
          <cell r="AH747" t="str">
            <v>N/A</v>
          </cell>
          <cell r="AI747" t="str">
            <v>N/A</v>
          </cell>
          <cell r="AJ747" t="str">
            <v>N/A</v>
          </cell>
          <cell r="AK747" t="str">
            <v>N/A</v>
          </cell>
          <cell r="AL747" t="str">
            <v>N/A</v>
          </cell>
          <cell r="AM747" t="str">
            <v>N/A</v>
          </cell>
          <cell r="AN747">
            <v>0</v>
          </cell>
          <cell r="AO747">
            <v>0</v>
          </cell>
        </row>
        <row r="748">
          <cell r="A748" t="str">
            <v>24-2385</v>
          </cell>
          <cell r="B748" t="str">
            <v>SPAREPARTS (LIGHT
VEHICLES)</v>
          </cell>
          <cell r="C748" t="str">
            <v>PGSO</v>
          </cell>
          <cell r="D748" t="str">
            <v>No</v>
          </cell>
          <cell r="E748" t="str">
            <v>NP-53.9 - Small Value Procurement</v>
          </cell>
          <cell r="F748">
            <v>45412</v>
          </cell>
          <cell r="G748">
            <v>45414</v>
          </cell>
          <cell r="H748">
            <v>0</v>
          </cell>
          <cell r="I748" t="str">
            <v>N/A</v>
          </cell>
          <cell r="J748">
            <v>45440</v>
          </cell>
          <cell r="K748">
            <v>45440</v>
          </cell>
          <cell r="L748">
            <v>0</v>
          </cell>
          <cell r="M748" t="str">
            <v>N/A</v>
          </cell>
          <cell r="N748" t="str">
            <v>N/A</v>
          </cell>
          <cell r="O748">
            <v>45441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 t="e">
            <v>#N/A</v>
          </cell>
          <cell r="Y748">
            <v>0</v>
          </cell>
          <cell r="Z748">
            <v>0</v>
          </cell>
          <cell r="AA748">
            <v>40630</v>
          </cell>
          <cell r="AB748">
            <v>0</v>
          </cell>
          <cell r="AC748">
            <v>40630</v>
          </cell>
          <cell r="AD748">
            <v>40390</v>
          </cell>
          <cell r="AE748">
            <v>0</v>
          </cell>
          <cell r="AF748">
            <v>40390</v>
          </cell>
          <cell r="AG748" t="str">
            <v>ENGR. MICHAEL C. SALARDA
MS. LEONARDA M. LATOR
MS. CARMENCITA VALDEZ
MS. SORAYA P. VERGARA</v>
          </cell>
          <cell r="AH748" t="str">
            <v>N/A</v>
          </cell>
          <cell r="AI748" t="str">
            <v>N/A</v>
          </cell>
          <cell r="AJ748" t="str">
            <v>N/A</v>
          </cell>
          <cell r="AK748" t="str">
            <v>N/A</v>
          </cell>
          <cell r="AL748" t="str">
            <v>N/A</v>
          </cell>
          <cell r="AM748" t="str">
            <v>N/A</v>
          </cell>
          <cell r="AN748">
            <v>0</v>
          </cell>
          <cell r="AO748">
            <v>0</v>
          </cell>
        </row>
        <row r="749">
          <cell r="A749" t="str">
            <v>24-2362</v>
          </cell>
          <cell r="B749" t="str">
            <v>SPAREPARTS (MOTOR
CYCLE)</v>
          </cell>
          <cell r="C749" t="str">
            <v>PGSO</v>
          </cell>
          <cell r="D749" t="str">
            <v>No</v>
          </cell>
          <cell r="E749" t="str">
            <v>NP-53.9 - Small Value Procurement</v>
          </cell>
          <cell r="F749">
            <v>45412</v>
          </cell>
          <cell r="G749">
            <v>45414</v>
          </cell>
          <cell r="H749">
            <v>0</v>
          </cell>
          <cell r="I749" t="str">
            <v>N/A</v>
          </cell>
          <cell r="J749">
            <v>45440</v>
          </cell>
          <cell r="K749">
            <v>45440</v>
          </cell>
          <cell r="L749">
            <v>0</v>
          </cell>
          <cell r="M749" t="str">
            <v>N/A</v>
          </cell>
          <cell r="N749" t="str">
            <v>N/A</v>
          </cell>
          <cell r="O749">
            <v>45441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 t="e">
            <v>#N/A</v>
          </cell>
          <cell r="Y749">
            <v>0</v>
          </cell>
          <cell r="Z749">
            <v>0</v>
          </cell>
          <cell r="AA749">
            <v>20794</v>
          </cell>
          <cell r="AB749">
            <v>0</v>
          </cell>
          <cell r="AC749">
            <v>20794</v>
          </cell>
          <cell r="AD749">
            <v>20794</v>
          </cell>
          <cell r="AE749">
            <v>0</v>
          </cell>
          <cell r="AF749">
            <v>20794</v>
          </cell>
          <cell r="AG749" t="str">
            <v>ENGR. MICHAEL C. SALARDA
MS. LEONARDA M. LATOR
MS. CARMENCITA VALDEZ
MS. SORAYA P. VERGARA</v>
          </cell>
          <cell r="AH749" t="str">
            <v>N/A</v>
          </cell>
          <cell r="AI749" t="str">
            <v>N/A</v>
          </cell>
          <cell r="AJ749" t="str">
            <v>N/A</v>
          </cell>
          <cell r="AK749" t="str">
            <v>N/A</v>
          </cell>
          <cell r="AL749" t="str">
            <v>N/A</v>
          </cell>
          <cell r="AM749" t="str">
            <v>N/A</v>
          </cell>
          <cell r="AN749">
            <v>0</v>
          </cell>
          <cell r="AO749">
            <v>0</v>
          </cell>
        </row>
        <row r="750">
          <cell r="A750" t="str">
            <v>24-2371</v>
          </cell>
          <cell r="B750" t="str">
            <v>SPAREPARTS (MOTOR
CYCLE)</v>
          </cell>
          <cell r="C750" t="str">
            <v>PGSO</v>
          </cell>
          <cell r="D750" t="str">
            <v>No</v>
          </cell>
          <cell r="E750" t="str">
            <v>NP-53.9 - Small Value Procurement</v>
          </cell>
          <cell r="F750">
            <v>45412</v>
          </cell>
          <cell r="G750">
            <v>45414</v>
          </cell>
          <cell r="H750">
            <v>0</v>
          </cell>
          <cell r="I750" t="str">
            <v>N/A</v>
          </cell>
          <cell r="J750">
            <v>45440</v>
          </cell>
          <cell r="K750">
            <v>45440</v>
          </cell>
          <cell r="L750">
            <v>0</v>
          </cell>
          <cell r="M750" t="str">
            <v>N/A</v>
          </cell>
          <cell r="N750" t="str">
            <v>N/A</v>
          </cell>
          <cell r="O750">
            <v>45441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 t="e">
            <v>#N/A</v>
          </cell>
          <cell r="Y750">
            <v>0</v>
          </cell>
          <cell r="Z750">
            <v>0</v>
          </cell>
          <cell r="AA750">
            <v>5135</v>
          </cell>
          <cell r="AB750">
            <v>0</v>
          </cell>
          <cell r="AC750">
            <v>5135</v>
          </cell>
          <cell r="AD750">
            <v>5130</v>
          </cell>
          <cell r="AE750">
            <v>0</v>
          </cell>
          <cell r="AF750">
            <v>5130</v>
          </cell>
          <cell r="AG750" t="str">
            <v>ENGR. MICHAEL C. SALARDA
MS. LEONARDA M. LATOR
MS. CARMENCITA VALDEZ
MS. SORAYA P. VERGARA</v>
          </cell>
          <cell r="AH750" t="str">
            <v>N/A</v>
          </cell>
          <cell r="AI750" t="str">
            <v>N/A</v>
          </cell>
          <cell r="AJ750" t="str">
            <v>N/A</v>
          </cell>
          <cell r="AK750" t="str">
            <v>N/A</v>
          </cell>
          <cell r="AL750" t="str">
            <v>N/A</v>
          </cell>
          <cell r="AM750" t="str">
            <v>N/A</v>
          </cell>
          <cell r="AN750">
            <v>0</v>
          </cell>
          <cell r="AO750">
            <v>0</v>
          </cell>
        </row>
        <row r="751">
          <cell r="A751" t="str">
            <v>24-2547</v>
          </cell>
          <cell r="B751" t="str">
            <v>DIGITAL BLACK &amp; WHITE
MULTI FUNCTION
COPIER/PRINTER/COLOR
SCANNER</v>
          </cell>
          <cell r="C751" t="str">
            <v>COA</v>
          </cell>
          <cell r="D751" t="str">
            <v>No</v>
          </cell>
          <cell r="E751" t="str">
            <v>NP-53.9 - Small Value Procurement</v>
          </cell>
          <cell r="F751">
            <v>45412</v>
          </cell>
          <cell r="G751">
            <v>45414</v>
          </cell>
          <cell r="H751">
            <v>0</v>
          </cell>
          <cell r="I751" t="str">
            <v>N/A</v>
          </cell>
          <cell r="J751">
            <v>45440</v>
          </cell>
          <cell r="K751">
            <v>45440</v>
          </cell>
          <cell r="L751">
            <v>0</v>
          </cell>
          <cell r="M751" t="str">
            <v>N/A</v>
          </cell>
          <cell r="N751" t="str">
            <v>N/A</v>
          </cell>
          <cell r="O751">
            <v>45441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 t="e">
            <v>#N/A</v>
          </cell>
          <cell r="Y751">
            <v>0</v>
          </cell>
          <cell r="Z751">
            <v>0</v>
          </cell>
          <cell r="AA751">
            <v>93500</v>
          </cell>
          <cell r="AB751">
            <v>0</v>
          </cell>
          <cell r="AC751">
            <v>93500</v>
          </cell>
          <cell r="AD751">
            <v>81000</v>
          </cell>
          <cell r="AE751">
            <v>0</v>
          </cell>
          <cell r="AF751">
            <v>81000</v>
          </cell>
          <cell r="AG751" t="str">
            <v>ENGR. MICHAEL C. SALARDA
MS. LEONARDA M. LATOR
MS. CARMENCITA VALDEZ
MS. SORAYA P. VERGARA</v>
          </cell>
          <cell r="AH751" t="str">
            <v>N/A</v>
          </cell>
          <cell r="AI751" t="str">
            <v>N/A</v>
          </cell>
          <cell r="AJ751" t="str">
            <v>N/A</v>
          </cell>
          <cell r="AK751" t="str">
            <v>N/A</v>
          </cell>
          <cell r="AL751" t="str">
            <v>N/A</v>
          </cell>
          <cell r="AM751" t="str">
            <v>N/A</v>
          </cell>
          <cell r="AN751">
            <v>0</v>
          </cell>
          <cell r="AO751">
            <v>0</v>
          </cell>
        </row>
        <row r="752">
          <cell r="A752" t="str">
            <v>24-2272</v>
          </cell>
          <cell r="B752" t="str">
            <v>SPAREPARTS (LIGHT
VEHICLES)</v>
          </cell>
          <cell r="C752" t="str">
            <v>PGSO</v>
          </cell>
          <cell r="D752" t="str">
            <v>No</v>
          </cell>
          <cell r="E752" t="str">
            <v>NP-53.9 - Small Value Procurement</v>
          </cell>
          <cell r="F752">
            <v>45398</v>
          </cell>
          <cell r="G752">
            <v>45404</v>
          </cell>
          <cell r="H752">
            <v>0</v>
          </cell>
          <cell r="I752" t="str">
            <v>N/A</v>
          </cell>
          <cell r="J752">
            <v>45440</v>
          </cell>
          <cell r="K752">
            <v>45440</v>
          </cell>
          <cell r="L752">
            <v>0</v>
          </cell>
          <cell r="M752" t="str">
            <v>N/A</v>
          </cell>
          <cell r="N752" t="str">
            <v>N/A</v>
          </cell>
          <cell r="O752">
            <v>45441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 t="e">
            <v>#N/A</v>
          </cell>
          <cell r="Y752">
            <v>0</v>
          </cell>
          <cell r="Z752">
            <v>0</v>
          </cell>
          <cell r="AA752">
            <v>22150</v>
          </cell>
          <cell r="AB752">
            <v>0</v>
          </cell>
          <cell r="AC752">
            <v>22150</v>
          </cell>
          <cell r="AD752">
            <v>21960</v>
          </cell>
          <cell r="AE752">
            <v>0</v>
          </cell>
          <cell r="AF752">
            <v>21960</v>
          </cell>
          <cell r="AG752" t="str">
            <v>ENGR. MICHAEL C. SALARDA
MS. LEONARDA M. LATOR
MS. CARMENCITA VALDEZ
MS. SORAYA P. VERGARA</v>
          </cell>
          <cell r="AH752" t="str">
            <v>N/A</v>
          </cell>
          <cell r="AI752" t="str">
            <v>N/A</v>
          </cell>
          <cell r="AJ752" t="str">
            <v>N/A</v>
          </cell>
          <cell r="AK752" t="str">
            <v>N/A</v>
          </cell>
          <cell r="AL752" t="str">
            <v>N/A</v>
          </cell>
          <cell r="AM752" t="str">
            <v>N/A</v>
          </cell>
          <cell r="AN752">
            <v>0</v>
          </cell>
          <cell r="AO752">
            <v>0</v>
          </cell>
        </row>
        <row r="753">
          <cell r="A753" t="str">
            <v xml:space="preserve">24-1670
</v>
          </cell>
          <cell r="B753" t="str">
            <v>ANDROID CELLPHONE</v>
          </cell>
          <cell r="C753" t="str">
            <v>PAO-IPRD</v>
          </cell>
          <cell r="D753" t="str">
            <v>No</v>
          </cell>
          <cell r="E753" t="str">
            <v>NP-53.9 - Small Value Procurement</v>
          </cell>
          <cell r="F753" t="str">
            <v>N/A</v>
          </cell>
          <cell r="G753">
            <v>45412</v>
          </cell>
          <cell r="H753">
            <v>0</v>
          </cell>
          <cell r="I753" t="str">
            <v>N/A</v>
          </cell>
          <cell r="J753">
            <v>45440</v>
          </cell>
          <cell r="K753">
            <v>45440</v>
          </cell>
          <cell r="L753">
            <v>0</v>
          </cell>
          <cell r="M753" t="str">
            <v>N/A</v>
          </cell>
          <cell r="N753" t="str">
            <v>N/A</v>
          </cell>
          <cell r="O753">
            <v>45441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 t="e">
            <v>#N/A</v>
          </cell>
          <cell r="Y753">
            <v>0</v>
          </cell>
          <cell r="Z753">
            <v>0</v>
          </cell>
          <cell r="AA753">
            <v>14000</v>
          </cell>
          <cell r="AB753">
            <v>0</v>
          </cell>
          <cell r="AC753">
            <v>14000</v>
          </cell>
          <cell r="AD753">
            <v>12717.88</v>
          </cell>
          <cell r="AE753">
            <v>0</v>
          </cell>
          <cell r="AF753">
            <v>12717.88</v>
          </cell>
          <cell r="AG753" t="str">
            <v>ENGR. MICHAEL C. SALARDA
MS. LEONARDA M. LATOR
MS. CARMENCITA VALDEZ
MS. SORAYA P. VERGARA</v>
          </cell>
          <cell r="AH753" t="str">
            <v>N/A</v>
          </cell>
          <cell r="AI753" t="str">
            <v>N/A</v>
          </cell>
          <cell r="AJ753" t="str">
            <v>N/A</v>
          </cell>
          <cell r="AK753" t="str">
            <v>N/A</v>
          </cell>
          <cell r="AL753" t="str">
            <v>N/A</v>
          </cell>
          <cell r="AM753" t="str">
            <v>N/A</v>
          </cell>
          <cell r="AN753">
            <v>0</v>
          </cell>
          <cell r="AO753">
            <v>0</v>
          </cell>
        </row>
        <row r="754">
          <cell r="A754" t="str">
            <v>24-2519</v>
          </cell>
          <cell r="B754" t="str">
            <v>SPAREPARTS (LIGHT
VEHICLES)</v>
          </cell>
          <cell r="C754" t="str">
            <v>PGSO</v>
          </cell>
          <cell r="D754" t="str">
            <v>No</v>
          </cell>
          <cell r="E754" t="str">
            <v>NP-53.9 - Small Value Procurement</v>
          </cell>
          <cell r="F754">
            <v>45421</v>
          </cell>
          <cell r="G754">
            <v>45425</v>
          </cell>
          <cell r="H754">
            <v>0</v>
          </cell>
          <cell r="I754" t="str">
            <v>N/A</v>
          </cell>
          <cell r="J754">
            <v>45440</v>
          </cell>
          <cell r="K754">
            <v>45440</v>
          </cell>
          <cell r="L754">
            <v>0</v>
          </cell>
          <cell r="M754" t="str">
            <v>N/A</v>
          </cell>
          <cell r="N754" t="str">
            <v>N/A</v>
          </cell>
          <cell r="O754">
            <v>45441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 t="e">
            <v>#N/A</v>
          </cell>
          <cell r="Y754">
            <v>0</v>
          </cell>
          <cell r="Z754">
            <v>0</v>
          </cell>
          <cell r="AA754">
            <v>17250</v>
          </cell>
          <cell r="AB754">
            <v>0</v>
          </cell>
          <cell r="AC754">
            <v>17250</v>
          </cell>
          <cell r="AD754">
            <v>17100</v>
          </cell>
          <cell r="AE754">
            <v>0</v>
          </cell>
          <cell r="AF754">
            <v>17100</v>
          </cell>
          <cell r="AG754" t="str">
            <v>ENGR. MICHAEL C. SALARDA
MS. LEONARDA M. LATOR
MS. CARMENCITA VALDEZ
MS. SORAYA P. VERGARA</v>
          </cell>
          <cell r="AH754" t="str">
            <v>N/A</v>
          </cell>
          <cell r="AI754" t="str">
            <v>N/A</v>
          </cell>
          <cell r="AJ754" t="str">
            <v>N/A</v>
          </cell>
          <cell r="AK754" t="str">
            <v>N/A</v>
          </cell>
          <cell r="AL754" t="str">
            <v>N/A</v>
          </cell>
          <cell r="AM754" t="str">
            <v>N/A</v>
          </cell>
          <cell r="AN754">
            <v>0</v>
          </cell>
          <cell r="AO754">
            <v>0</v>
          </cell>
        </row>
        <row r="755">
          <cell r="A755" t="str">
            <v>24-2498</v>
          </cell>
          <cell r="B755" t="str">
            <v>COLORED PRINTER</v>
          </cell>
          <cell r="C755" t="str">
            <v>PAO-ADMIN</v>
          </cell>
          <cell r="D755" t="str">
            <v>No</v>
          </cell>
          <cell r="E755" t="str">
            <v>NP-53.9 - Small Value Procurement</v>
          </cell>
          <cell r="F755" t="str">
            <v>N/A</v>
          </cell>
          <cell r="G755">
            <v>45412</v>
          </cell>
          <cell r="H755">
            <v>0</v>
          </cell>
          <cell r="I755" t="str">
            <v>N/A</v>
          </cell>
          <cell r="J755">
            <v>45440</v>
          </cell>
          <cell r="K755">
            <v>45440</v>
          </cell>
          <cell r="L755">
            <v>0</v>
          </cell>
          <cell r="M755" t="str">
            <v>N/A</v>
          </cell>
          <cell r="N755" t="str">
            <v>N/A</v>
          </cell>
          <cell r="O755">
            <v>45441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 t="e">
            <v>#N/A</v>
          </cell>
          <cell r="Y755">
            <v>0</v>
          </cell>
          <cell r="Z755">
            <v>0</v>
          </cell>
          <cell r="AA755">
            <v>12200</v>
          </cell>
          <cell r="AB755">
            <v>0</v>
          </cell>
          <cell r="AC755">
            <v>12200</v>
          </cell>
          <cell r="AD755">
            <v>9323</v>
          </cell>
          <cell r="AE755">
            <v>0</v>
          </cell>
          <cell r="AF755">
            <v>9323</v>
          </cell>
          <cell r="AG755" t="str">
            <v>ENGR. MICHAEL C. SALARDA
MS. LEONARDA M. LATOR
MS. CARMENCITA VALDEZ
MS. SORAYA P. VERGARA</v>
          </cell>
          <cell r="AH755" t="str">
            <v>N/A</v>
          </cell>
          <cell r="AI755" t="str">
            <v>N/A</v>
          </cell>
          <cell r="AJ755" t="str">
            <v>N/A</v>
          </cell>
          <cell r="AK755" t="str">
            <v>N/A</v>
          </cell>
          <cell r="AL755" t="str">
            <v>N/A</v>
          </cell>
          <cell r="AM755" t="str">
            <v>N/A</v>
          </cell>
          <cell r="AN755">
            <v>0</v>
          </cell>
          <cell r="AO755">
            <v>0</v>
          </cell>
        </row>
        <row r="756">
          <cell r="A756" t="str">
            <v>24-2415</v>
          </cell>
          <cell r="B756" t="str">
            <v>SPAREPARTS (LIGHT
VEHICLES)</v>
          </cell>
          <cell r="C756" t="str">
            <v>PGSO</v>
          </cell>
          <cell r="D756" t="str">
            <v>No</v>
          </cell>
          <cell r="E756" t="str">
            <v>NP-53.9 - Small Value Procurement</v>
          </cell>
          <cell r="F756">
            <v>45421</v>
          </cell>
          <cell r="G756">
            <v>45425</v>
          </cell>
          <cell r="H756">
            <v>0</v>
          </cell>
          <cell r="I756" t="str">
            <v>N/A</v>
          </cell>
          <cell r="J756">
            <v>45440</v>
          </cell>
          <cell r="K756">
            <v>45440</v>
          </cell>
          <cell r="L756">
            <v>0</v>
          </cell>
          <cell r="M756" t="str">
            <v>N/A</v>
          </cell>
          <cell r="N756" t="str">
            <v>N/A</v>
          </cell>
          <cell r="O756">
            <v>45441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 t="e">
            <v>#N/A</v>
          </cell>
          <cell r="Y756">
            <v>0</v>
          </cell>
          <cell r="Z756">
            <v>0</v>
          </cell>
          <cell r="AA756">
            <v>1050</v>
          </cell>
          <cell r="AB756">
            <v>0</v>
          </cell>
          <cell r="AC756">
            <v>1050</v>
          </cell>
          <cell r="AD756">
            <v>1000</v>
          </cell>
          <cell r="AE756">
            <v>0</v>
          </cell>
          <cell r="AF756">
            <v>1000</v>
          </cell>
          <cell r="AG756" t="str">
            <v>ENGR. MICHAEL C. SALARDA
MS. LEONARDA M. LATOR
MS. CARMENCITA VALDEZ
MS. SORAYA P. VERGARA</v>
          </cell>
          <cell r="AH756" t="str">
            <v>N/A</v>
          </cell>
          <cell r="AI756" t="str">
            <v>N/A</v>
          </cell>
          <cell r="AJ756" t="str">
            <v>N/A</v>
          </cell>
          <cell r="AK756" t="str">
            <v>N/A</v>
          </cell>
          <cell r="AL756" t="str">
            <v>N/A</v>
          </cell>
          <cell r="AM756" t="str">
            <v>N/A</v>
          </cell>
          <cell r="AN756">
            <v>0</v>
          </cell>
          <cell r="AO756">
            <v>0</v>
          </cell>
        </row>
        <row r="757">
          <cell r="A757" t="str">
            <v>24-2548</v>
          </cell>
          <cell r="B757" t="str">
            <v>COMPUTER LAPTOP</v>
          </cell>
          <cell r="C757" t="str">
            <v>COA</v>
          </cell>
          <cell r="D757" t="str">
            <v>No</v>
          </cell>
          <cell r="E757" t="str">
            <v>NP-53.9 - Small Value Procurement</v>
          </cell>
          <cell r="F757">
            <v>45412</v>
          </cell>
          <cell r="G757">
            <v>45414</v>
          </cell>
          <cell r="H757">
            <v>0</v>
          </cell>
          <cell r="I757" t="str">
            <v>N/A</v>
          </cell>
          <cell r="J757">
            <v>45440</v>
          </cell>
          <cell r="K757">
            <v>45440</v>
          </cell>
          <cell r="L757">
            <v>0</v>
          </cell>
          <cell r="M757" t="str">
            <v>N/A</v>
          </cell>
          <cell r="N757" t="str">
            <v>N/A</v>
          </cell>
          <cell r="O757">
            <v>45441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 t="e">
            <v>#N/A</v>
          </cell>
          <cell r="Y757">
            <v>0</v>
          </cell>
          <cell r="Z757">
            <v>0</v>
          </cell>
          <cell r="AA757">
            <v>66547</v>
          </cell>
          <cell r="AB757">
            <v>0</v>
          </cell>
          <cell r="AC757">
            <v>66547</v>
          </cell>
          <cell r="AD757">
            <v>63693</v>
          </cell>
          <cell r="AE757">
            <v>0</v>
          </cell>
          <cell r="AF757">
            <v>63693</v>
          </cell>
          <cell r="AG757" t="str">
            <v>ENGR. MICHAEL C. SALARDA
MS. LEONARDA M. LATOR
MS. CARMENCITA VALDEZ
MS. SORAYA P. VERGARA</v>
          </cell>
          <cell r="AH757" t="str">
            <v>N/A</v>
          </cell>
          <cell r="AI757" t="str">
            <v>N/A</v>
          </cell>
          <cell r="AJ757" t="str">
            <v>N/A</v>
          </cell>
          <cell r="AK757" t="str">
            <v>N/A</v>
          </cell>
          <cell r="AL757" t="str">
            <v>N/A</v>
          </cell>
          <cell r="AM757" t="str">
            <v>N/A</v>
          </cell>
          <cell r="AN757">
            <v>0</v>
          </cell>
          <cell r="AO757">
            <v>0</v>
          </cell>
        </row>
        <row r="758">
          <cell r="A758" t="str">
            <v>24-2421</v>
          </cell>
          <cell r="B758" t="str">
            <v>SPAREPARTS (LIGHT
VEHICLES)</v>
          </cell>
          <cell r="C758" t="str">
            <v>PGSO</v>
          </cell>
          <cell r="D758" t="str">
            <v>No</v>
          </cell>
          <cell r="E758" t="str">
            <v>NP-53.9 - Small Value Procurement</v>
          </cell>
          <cell r="F758">
            <v>45421</v>
          </cell>
          <cell r="G758">
            <v>45425</v>
          </cell>
          <cell r="H758">
            <v>0</v>
          </cell>
          <cell r="I758" t="str">
            <v>N/A</v>
          </cell>
          <cell r="J758">
            <v>45440</v>
          </cell>
          <cell r="K758">
            <v>45440</v>
          </cell>
          <cell r="L758">
            <v>0</v>
          </cell>
          <cell r="M758" t="str">
            <v>N/A</v>
          </cell>
          <cell r="N758" t="str">
            <v>N/A</v>
          </cell>
          <cell r="O758">
            <v>45441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 t="e">
            <v>#N/A</v>
          </cell>
          <cell r="Y758">
            <v>0</v>
          </cell>
          <cell r="Z758">
            <v>0</v>
          </cell>
          <cell r="AA758">
            <v>3900</v>
          </cell>
          <cell r="AB758">
            <v>0</v>
          </cell>
          <cell r="AC758">
            <v>3900</v>
          </cell>
          <cell r="AD758">
            <v>3750</v>
          </cell>
          <cell r="AE758">
            <v>0</v>
          </cell>
          <cell r="AF758">
            <v>3750</v>
          </cell>
          <cell r="AG758" t="str">
            <v>ENGR. MICHAEL C. SALARDA
MS. LEONARDA M. LATOR
MS. CARMENCITA VALDEZ
MS. SORAYA P. VERGARA</v>
          </cell>
          <cell r="AH758" t="str">
            <v>N/A</v>
          </cell>
          <cell r="AI758" t="str">
            <v>N/A</v>
          </cell>
          <cell r="AJ758" t="str">
            <v>N/A</v>
          </cell>
          <cell r="AK758" t="str">
            <v>N/A</v>
          </cell>
          <cell r="AL758" t="str">
            <v>N/A</v>
          </cell>
          <cell r="AM758" t="str">
            <v>N/A</v>
          </cell>
          <cell r="AN758">
            <v>0</v>
          </cell>
          <cell r="AO758">
            <v>0</v>
          </cell>
        </row>
        <row r="759">
          <cell r="A759" t="str">
            <v>24-2427</v>
          </cell>
          <cell r="B759" t="str">
            <v>SPAREPARTS (LIGHT
VEHICLES)</v>
          </cell>
          <cell r="C759" t="str">
            <v>PGSO</v>
          </cell>
          <cell r="D759" t="str">
            <v>No</v>
          </cell>
          <cell r="E759" t="str">
            <v>NP-53.9 - Small Value Procurement</v>
          </cell>
          <cell r="F759" t="str">
            <v>N/A</v>
          </cell>
          <cell r="G759">
            <v>45425</v>
          </cell>
          <cell r="H759">
            <v>0</v>
          </cell>
          <cell r="I759" t="str">
            <v>N/A</v>
          </cell>
          <cell r="J759">
            <v>45440</v>
          </cell>
          <cell r="K759">
            <v>45440</v>
          </cell>
          <cell r="L759">
            <v>0</v>
          </cell>
          <cell r="M759" t="str">
            <v>N/A</v>
          </cell>
          <cell r="N759" t="str">
            <v>N/A</v>
          </cell>
          <cell r="O759">
            <v>45441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 t="e">
            <v>#N/A</v>
          </cell>
          <cell r="Y759">
            <v>0</v>
          </cell>
          <cell r="Z759">
            <v>0</v>
          </cell>
          <cell r="AA759">
            <v>82140</v>
          </cell>
          <cell r="AB759">
            <v>0</v>
          </cell>
          <cell r="AC759">
            <v>82140</v>
          </cell>
          <cell r="AD759">
            <v>75900</v>
          </cell>
          <cell r="AE759">
            <v>0</v>
          </cell>
          <cell r="AF759">
            <v>75900</v>
          </cell>
          <cell r="AG759" t="str">
            <v>ENGR. MICHAEL C. SALARDA
MS. LEONARDA M. LATOR
MS. CARMENCITA VALDEZ
MS. SORAYA P. VERGARA</v>
          </cell>
          <cell r="AH759" t="str">
            <v>N/A</v>
          </cell>
          <cell r="AI759" t="str">
            <v>N/A</v>
          </cell>
          <cell r="AJ759" t="str">
            <v>N/A</v>
          </cell>
          <cell r="AK759" t="str">
            <v>N/A</v>
          </cell>
          <cell r="AL759" t="str">
            <v>N/A</v>
          </cell>
          <cell r="AM759" t="str">
            <v>N/A</v>
          </cell>
          <cell r="AN759">
            <v>0</v>
          </cell>
          <cell r="AO759">
            <v>0</v>
          </cell>
        </row>
        <row r="760">
          <cell r="A760" t="str">
            <v>24-C1294</v>
          </cell>
          <cell r="B760" t="str">
            <v>MEDICAL SUPPLIES</v>
          </cell>
          <cell r="C760" t="str">
            <v>PEEMO</v>
          </cell>
          <cell r="D760" t="str">
            <v>No</v>
          </cell>
          <cell r="E760" t="str">
            <v>NP-53.9 - Small Value Procurement</v>
          </cell>
          <cell r="F760">
            <v>45384</v>
          </cell>
          <cell r="G760">
            <v>45390</v>
          </cell>
          <cell r="H760">
            <v>0</v>
          </cell>
          <cell r="I760" t="str">
            <v>N/A</v>
          </cell>
          <cell r="J760">
            <v>45440</v>
          </cell>
          <cell r="K760">
            <v>45440</v>
          </cell>
          <cell r="L760">
            <v>0</v>
          </cell>
          <cell r="M760" t="str">
            <v>N/A</v>
          </cell>
          <cell r="N760" t="str">
            <v>N/A</v>
          </cell>
          <cell r="O760">
            <v>45441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45468</v>
          </cell>
          <cell r="Y760">
            <v>0</v>
          </cell>
          <cell r="Z760">
            <v>0</v>
          </cell>
          <cell r="AA760">
            <v>289643</v>
          </cell>
          <cell r="AB760">
            <v>0</v>
          </cell>
          <cell r="AC760">
            <v>289643</v>
          </cell>
          <cell r="AD760">
            <v>289049</v>
          </cell>
          <cell r="AE760">
            <v>0</v>
          </cell>
          <cell r="AF760">
            <v>289049</v>
          </cell>
          <cell r="AG760" t="str">
            <v>ENGR. MICHAEL C. SALARDA
MS. LEONARDA M. LATOR
MS. CARMENCITA VALDEZ
MS. SORAYA P. VERGARA</v>
          </cell>
          <cell r="AH760" t="str">
            <v>N/A</v>
          </cell>
          <cell r="AI760" t="str">
            <v>N/A</v>
          </cell>
          <cell r="AJ760" t="str">
            <v>N/A</v>
          </cell>
          <cell r="AK760" t="str">
            <v>N/A</v>
          </cell>
          <cell r="AL760" t="str">
            <v>N/A</v>
          </cell>
          <cell r="AM760" t="str">
            <v>N/A</v>
          </cell>
          <cell r="AN760">
            <v>0</v>
          </cell>
          <cell r="AO760">
            <v>0</v>
          </cell>
        </row>
        <row r="761">
          <cell r="A761" t="str">
            <v>24-1529</v>
          </cell>
          <cell r="B761" t="str">
            <v>MOTHERBOARD GIGABYTE</v>
          </cell>
          <cell r="C761" t="str">
            <v>PAO-PESO</v>
          </cell>
          <cell r="D761" t="str">
            <v>No</v>
          </cell>
          <cell r="E761" t="str">
            <v>NP-53.9 - Small Value Procurement</v>
          </cell>
          <cell r="F761">
            <v>45407</v>
          </cell>
          <cell r="G761">
            <v>45412</v>
          </cell>
          <cell r="H761">
            <v>0</v>
          </cell>
          <cell r="I761" t="str">
            <v>N/A</v>
          </cell>
          <cell r="J761">
            <v>45440</v>
          </cell>
          <cell r="K761">
            <v>45440</v>
          </cell>
          <cell r="L761">
            <v>0</v>
          </cell>
          <cell r="M761" t="str">
            <v>N/A</v>
          </cell>
          <cell r="N761" t="str">
            <v>N/A</v>
          </cell>
          <cell r="O761">
            <v>45441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 t="e">
            <v>#N/A</v>
          </cell>
          <cell r="Y761">
            <v>0</v>
          </cell>
          <cell r="Z761">
            <v>0</v>
          </cell>
          <cell r="AA761">
            <v>16100</v>
          </cell>
          <cell r="AB761">
            <v>0</v>
          </cell>
          <cell r="AC761">
            <v>16100</v>
          </cell>
          <cell r="AD761">
            <v>15254</v>
          </cell>
          <cell r="AE761">
            <v>0</v>
          </cell>
          <cell r="AF761">
            <v>15254</v>
          </cell>
          <cell r="AG761" t="str">
            <v>ENGR. MICHAEL C. SALARDA
MS. LEONARDA M. LATOR
MS. CARMENCITA VALDEZ
MS. SORAYA P. VERGARA</v>
          </cell>
          <cell r="AH761" t="str">
            <v>N/A</v>
          </cell>
          <cell r="AI761" t="str">
            <v>N/A</v>
          </cell>
          <cell r="AJ761" t="str">
            <v>N/A</v>
          </cell>
          <cell r="AK761" t="str">
            <v>N/A</v>
          </cell>
          <cell r="AL761" t="str">
            <v>N/A</v>
          </cell>
          <cell r="AM761" t="str">
            <v>N/A</v>
          </cell>
          <cell r="AN761">
            <v>0</v>
          </cell>
          <cell r="AO761">
            <v>0</v>
          </cell>
        </row>
        <row r="762">
          <cell r="A762" t="str">
            <v>24-2070</v>
          </cell>
          <cell r="B762" t="str">
            <v>JANITORIAL SUPPLIES /
HOUSEKEEPING</v>
          </cell>
          <cell r="C762" t="str">
            <v>PHRMDO</v>
          </cell>
          <cell r="D762" t="str">
            <v>No</v>
          </cell>
          <cell r="E762" t="str">
            <v>NP-53.9 - Small Value Procurement</v>
          </cell>
          <cell r="F762" t="str">
            <v>N/A</v>
          </cell>
          <cell r="G762">
            <v>45376</v>
          </cell>
          <cell r="H762">
            <v>0</v>
          </cell>
          <cell r="I762" t="str">
            <v>N/A</v>
          </cell>
          <cell r="J762">
            <v>45440</v>
          </cell>
          <cell r="K762">
            <v>45440</v>
          </cell>
          <cell r="L762">
            <v>0</v>
          </cell>
          <cell r="M762" t="str">
            <v>N/A</v>
          </cell>
          <cell r="N762" t="str">
            <v>N/A</v>
          </cell>
          <cell r="O762">
            <v>45441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 t="e">
            <v>#N/A</v>
          </cell>
          <cell r="Y762">
            <v>0</v>
          </cell>
          <cell r="Z762">
            <v>0</v>
          </cell>
          <cell r="AA762">
            <v>43101.5</v>
          </cell>
          <cell r="AB762">
            <v>0</v>
          </cell>
          <cell r="AC762">
            <v>43101.5</v>
          </cell>
          <cell r="AD762">
            <v>43046</v>
          </cell>
          <cell r="AE762">
            <v>0</v>
          </cell>
          <cell r="AF762">
            <v>43046</v>
          </cell>
          <cell r="AG762" t="str">
            <v>ENGR. MICHAEL C. SALARDA
MS. LEONARDA M. LATOR
MS. CARMENCITA VALDEZ
MS. SORAYA P. VERGARA</v>
          </cell>
          <cell r="AH762" t="str">
            <v>N/A</v>
          </cell>
          <cell r="AI762" t="str">
            <v>N/A</v>
          </cell>
          <cell r="AJ762" t="str">
            <v>N/A</v>
          </cell>
          <cell r="AK762" t="str">
            <v>N/A</v>
          </cell>
          <cell r="AL762" t="str">
            <v>N/A</v>
          </cell>
          <cell r="AM762" t="str">
            <v>N/A</v>
          </cell>
          <cell r="AN762">
            <v>0</v>
          </cell>
          <cell r="AO762">
            <v>0</v>
          </cell>
        </row>
        <row r="763">
          <cell r="A763" t="str">
            <v>24-2409</v>
          </cell>
          <cell r="B763" t="str">
            <v>TARPAULIN CONSTRUCTION OF TEACHERS'</v>
          </cell>
          <cell r="C763" t="str">
            <v>SEF</v>
          </cell>
          <cell r="D763" t="str">
            <v>No</v>
          </cell>
          <cell r="E763" t="str">
            <v>NP-53.9 - Small Value Procurement</v>
          </cell>
          <cell r="F763">
            <v>45421</v>
          </cell>
          <cell r="G763">
            <v>45425</v>
          </cell>
          <cell r="H763">
            <v>0</v>
          </cell>
          <cell r="I763" t="str">
            <v>N/A</v>
          </cell>
          <cell r="J763">
            <v>45440</v>
          </cell>
          <cell r="K763">
            <v>45440</v>
          </cell>
          <cell r="L763">
            <v>0</v>
          </cell>
          <cell r="M763" t="str">
            <v>N/A</v>
          </cell>
          <cell r="N763" t="str">
            <v>N/A</v>
          </cell>
          <cell r="O763">
            <v>45441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 t="e">
            <v>#N/A</v>
          </cell>
          <cell r="Y763">
            <v>0</v>
          </cell>
          <cell r="Z763">
            <v>0</v>
          </cell>
          <cell r="AA763">
            <v>1792</v>
          </cell>
          <cell r="AB763">
            <v>0</v>
          </cell>
          <cell r="AC763">
            <v>1792</v>
          </cell>
          <cell r="AD763">
            <v>1792</v>
          </cell>
          <cell r="AE763">
            <v>0</v>
          </cell>
          <cell r="AF763">
            <v>1792</v>
          </cell>
          <cell r="AG763" t="str">
            <v>ENGR. MICHAEL C. SALARDA
MS. LEONARDA M. LATOR
MS. CARMENCITA VALDEZ
MS. SORAYA P. VERGARA</v>
          </cell>
          <cell r="AH763" t="str">
            <v>N/A</v>
          </cell>
          <cell r="AI763" t="str">
            <v>N/A</v>
          </cell>
          <cell r="AJ763" t="str">
            <v>N/A</v>
          </cell>
          <cell r="AK763" t="str">
            <v>N/A</v>
          </cell>
          <cell r="AL763" t="str">
            <v>N/A</v>
          </cell>
          <cell r="AM763" t="str">
            <v>N/A</v>
          </cell>
          <cell r="AN763">
            <v>0</v>
          </cell>
          <cell r="AO763">
            <v>0</v>
          </cell>
        </row>
        <row r="764">
          <cell r="A764" t="str">
            <v>24-C1303</v>
          </cell>
          <cell r="B764" t="str">
            <v>CONSTRUCTION SUPPLIES</v>
          </cell>
          <cell r="C764" t="str">
            <v>PVO</v>
          </cell>
          <cell r="D764" t="str">
            <v>No</v>
          </cell>
          <cell r="E764" t="str">
            <v>NP-53.9 - Small Value Procurement</v>
          </cell>
          <cell r="F764" t="str">
            <v>N/A</v>
          </cell>
          <cell r="G764">
            <v>45385</v>
          </cell>
          <cell r="H764">
            <v>0</v>
          </cell>
          <cell r="I764" t="str">
            <v>N/A</v>
          </cell>
          <cell r="J764">
            <v>45440</v>
          </cell>
          <cell r="K764">
            <v>45440</v>
          </cell>
          <cell r="L764">
            <v>0</v>
          </cell>
          <cell r="M764" t="str">
            <v>N/A</v>
          </cell>
          <cell r="N764" t="str">
            <v>N/A</v>
          </cell>
          <cell r="O764">
            <v>45441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36070</v>
          </cell>
          <cell r="AB764">
            <v>0</v>
          </cell>
          <cell r="AC764">
            <v>36070</v>
          </cell>
          <cell r="AD764">
            <v>36029</v>
          </cell>
          <cell r="AE764">
            <v>0</v>
          </cell>
          <cell r="AF764">
            <v>36029</v>
          </cell>
          <cell r="AG764" t="str">
            <v>ENGR. MICHAEL C. SALARDA
MS. LEONARDA M. LATOR
MS. CARMENCITA VALDEZ
MS. SORAYA P. VERGARA</v>
          </cell>
          <cell r="AH764" t="str">
            <v>N/A</v>
          </cell>
          <cell r="AI764" t="str">
            <v>N/A</v>
          </cell>
          <cell r="AJ764" t="str">
            <v>N/A</v>
          </cell>
          <cell r="AK764" t="str">
            <v>N/A</v>
          </cell>
          <cell r="AL764" t="str">
            <v>N/A</v>
          </cell>
          <cell r="AM764" t="str">
            <v>N/A</v>
          </cell>
          <cell r="AN764">
            <v>0</v>
          </cell>
          <cell r="AO764">
            <v>0</v>
          </cell>
        </row>
        <row r="765">
          <cell r="A765" t="str">
            <v>24-2555</v>
          </cell>
          <cell r="B765" t="str">
            <v>TARPAULIN</v>
          </cell>
          <cell r="C765" t="str">
            <v>PDRRMO</v>
          </cell>
          <cell r="D765" t="str">
            <v>No</v>
          </cell>
          <cell r="E765" t="str">
            <v>NP-53.9 - Small Value Procurement</v>
          </cell>
          <cell r="F765">
            <v>45421</v>
          </cell>
          <cell r="G765">
            <v>45425</v>
          </cell>
          <cell r="H765">
            <v>0</v>
          </cell>
          <cell r="I765" t="str">
            <v>N/A</v>
          </cell>
          <cell r="J765">
            <v>45440</v>
          </cell>
          <cell r="K765">
            <v>45440</v>
          </cell>
          <cell r="L765">
            <v>0</v>
          </cell>
          <cell r="M765" t="str">
            <v>N/A</v>
          </cell>
          <cell r="N765" t="str">
            <v>N/A</v>
          </cell>
          <cell r="O765">
            <v>45441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 t="e">
            <v>#N/A</v>
          </cell>
          <cell r="Y765">
            <v>0</v>
          </cell>
          <cell r="Z765">
            <v>0</v>
          </cell>
          <cell r="AA765">
            <v>1792</v>
          </cell>
          <cell r="AB765">
            <v>0</v>
          </cell>
          <cell r="AC765">
            <v>1792</v>
          </cell>
          <cell r="AD765">
            <v>1792</v>
          </cell>
          <cell r="AE765">
            <v>0</v>
          </cell>
          <cell r="AF765">
            <v>1792</v>
          </cell>
          <cell r="AG765" t="str">
            <v>ENGR. MICHAEL C. SALARDA
MS. LEONARDA M. LATOR
MS. CARMENCITA VALDEZ
MS. SORAYA P. VERGARA</v>
          </cell>
          <cell r="AH765" t="str">
            <v>N/A</v>
          </cell>
          <cell r="AI765" t="str">
            <v>N/A</v>
          </cell>
          <cell r="AJ765" t="str">
            <v>N/A</v>
          </cell>
          <cell r="AK765" t="str">
            <v>N/A</v>
          </cell>
          <cell r="AL765" t="str">
            <v>N/A</v>
          </cell>
          <cell r="AM765" t="str">
            <v>N/A</v>
          </cell>
          <cell r="AN765">
            <v>0</v>
          </cell>
          <cell r="AO765">
            <v>0</v>
          </cell>
        </row>
        <row r="766">
          <cell r="A766" t="str">
            <v>24-2584</v>
          </cell>
          <cell r="B766" t="str">
            <v>TARPAULIN</v>
          </cell>
          <cell r="C766" t="str">
            <v>PEO</v>
          </cell>
          <cell r="D766" t="str">
            <v>No</v>
          </cell>
          <cell r="E766" t="str">
            <v>NP-53.9 - Small Value Procurement</v>
          </cell>
          <cell r="F766">
            <v>45421</v>
          </cell>
          <cell r="G766">
            <v>45425</v>
          </cell>
          <cell r="H766">
            <v>0</v>
          </cell>
          <cell r="I766" t="str">
            <v>N/A</v>
          </cell>
          <cell r="J766">
            <v>45440</v>
          </cell>
          <cell r="K766">
            <v>45440</v>
          </cell>
          <cell r="L766">
            <v>0</v>
          </cell>
          <cell r="M766" t="str">
            <v>N/A</v>
          </cell>
          <cell r="N766" t="str">
            <v>N/A</v>
          </cell>
          <cell r="O766">
            <v>45441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 t="e">
            <v>#N/A</v>
          </cell>
          <cell r="Y766">
            <v>0</v>
          </cell>
          <cell r="Z766">
            <v>0</v>
          </cell>
          <cell r="AA766">
            <v>1792</v>
          </cell>
          <cell r="AB766">
            <v>0</v>
          </cell>
          <cell r="AC766">
            <v>1792</v>
          </cell>
          <cell r="AD766">
            <v>1792</v>
          </cell>
          <cell r="AE766">
            <v>0</v>
          </cell>
          <cell r="AF766">
            <v>1792</v>
          </cell>
          <cell r="AG766" t="str">
            <v>ENGR. MICHAEL C. SALARDA
MS. LEONARDA M. LATOR
MS. CARMENCITA VALDEZ
MS. SORAYA P. VERGARA</v>
          </cell>
          <cell r="AH766" t="str">
            <v>N/A</v>
          </cell>
          <cell r="AI766" t="str">
            <v>N/A</v>
          </cell>
          <cell r="AJ766" t="str">
            <v>N/A</v>
          </cell>
          <cell r="AK766" t="str">
            <v>N/A</v>
          </cell>
          <cell r="AL766" t="str">
            <v>N/A</v>
          </cell>
          <cell r="AM766" t="str">
            <v>N/A</v>
          </cell>
          <cell r="AN766">
            <v>0</v>
          </cell>
          <cell r="AO766">
            <v>0</v>
          </cell>
        </row>
        <row r="767">
          <cell r="A767" t="str">
            <v>24-1969</v>
          </cell>
          <cell r="B767" t="str">
            <v>JANITORIAL SUPPLIES /
HOUSEKEEPING</v>
          </cell>
          <cell r="C767" t="str">
            <v>PVO</v>
          </cell>
          <cell r="D767" t="str">
            <v>No</v>
          </cell>
          <cell r="E767" t="str">
            <v>NP-53.9 - Small Value Procurement</v>
          </cell>
          <cell r="F767" t="str">
            <v>N/A</v>
          </cell>
          <cell r="G767">
            <v>45385</v>
          </cell>
          <cell r="H767">
            <v>0</v>
          </cell>
          <cell r="I767" t="str">
            <v>N/A</v>
          </cell>
          <cell r="J767">
            <v>45440</v>
          </cell>
          <cell r="K767">
            <v>45440</v>
          </cell>
          <cell r="L767">
            <v>0</v>
          </cell>
          <cell r="M767" t="str">
            <v>N/A</v>
          </cell>
          <cell r="N767" t="str">
            <v>N/A</v>
          </cell>
          <cell r="O767">
            <v>45441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 t="e">
            <v>#N/A</v>
          </cell>
          <cell r="Y767">
            <v>0</v>
          </cell>
          <cell r="Z767">
            <v>0</v>
          </cell>
          <cell r="AA767">
            <v>14523</v>
          </cell>
          <cell r="AB767">
            <v>0</v>
          </cell>
          <cell r="AC767">
            <v>14523</v>
          </cell>
          <cell r="AD767">
            <v>14445</v>
          </cell>
          <cell r="AE767">
            <v>0</v>
          </cell>
          <cell r="AF767">
            <v>14445</v>
          </cell>
          <cell r="AG767" t="str">
            <v>ENGR. MICHAEL C. SALARDA
MS. LEONARDA M. LATOR
MS. CARMENCITA VALDEZ
MS. SORAYA P. VERGARA</v>
          </cell>
          <cell r="AH767" t="str">
            <v>N/A</v>
          </cell>
          <cell r="AI767" t="str">
            <v>N/A</v>
          </cell>
          <cell r="AJ767" t="str">
            <v>N/A</v>
          </cell>
          <cell r="AK767" t="str">
            <v>N/A</v>
          </cell>
          <cell r="AL767" t="str">
            <v>N/A</v>
          </cell>
          <cell r="AM767" t="str">
            <v>N/A</v>
          </cell>
          <cell r="AN767">
            <v>0</v>
          </cell>
          <cell r="AO767">
            <v>0</v>
          </cell>
        </row>
        <row r="768">
          <cell r="A768" t="str">
            <v>24-2370</v>
          </cell>
          <cell r="B768" t="str">
            <v>COMPUTER SUPPLIES /
SPAREPARTS</v>
          </cell>
          <cell r="C768" t="str">
            <v>PAO-ADMIN</v>
          </cell>
          <cell r="D768" t="str">
            <v>No</v>
          </cell>
          <cell r="E768" t="str">
            <v>NP-53.9 - Small Value Procurement</v>
          </cell>
          <cell r="F768">
            <v>45421</v>
          </cell>
          <cell r="G768">
            <v>45425</v>
          </cell>
          <cell r="H768">
            <v>0</v>
          </cell>
          <cell r="I768" t="str">
            <v>N/A</v>
          </cell>
          <cell r="J768">
            <v>45440</v>
          </cell>
          <cell r="K768">
            <v>45440</v>
          </cell>
          <cell r="L768">
            <v>0</v>
          </cell>
          <cell r="M768" t="str">
            <v>N/A</v>
          </cell>
          <cell r="N768" t="str">
            <v>N/A</v>
          </cell>
          <cell r="O768">
            <v>45441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 t="e">
            <v>#N/A</v>
          </cell>
          <cell r="Y768">
            <v>0</v>
          </cell>
          <cell r="Z768">
            <v>0</v>
          </cell>
          <cell r="AA768">
            <v>22960</v>
          </cell>
          <cell r="AB768">
            <v>0</v>
          </cell>
          <cell r="AC768">
            <v>22960</v>
          </cell>
          <cell r="AD768">
            <v>22800</v>
          </cell>
          <cell r="AE768">
            <v>0</v>
          </cell>
          <cell r="AF768">
            <v>22800</v>
          </cell>
          <cell r="AG768" t="str">
            <v>ENGR. MICHAEL C. SALARDA
MS. LEONARDA M. LATOR
MS. CARMENCITA VALDEZ
MS. SORAYA P. VERGARA</v>
          </cell>
          <cell r="AH768" t="str">
            <v>N/A</v>
          </cell>
          <cell r="AI768" t="str">
            <v>N/A</v>
          </cell>
          <cell r="AJ768" t="str">
            <v>N/A</v>
          </cell>
          <cell r="AK768" t="str">
            <v>N/A</v>
          </cell>
          <cell r="AL768" t="str">
            <v>N/A</v>
          </cell>
          <cell r="AM768" t="str">
            <v>N/A</v>
          </cell>
          <cell r="AN768">
            <v>0</v>
          </cell>
          <cell r="AO768">
            <v>0</v>
          </cell>
        </row>
        <row r="769">
          <cell r="A769" t="str">
            <v>24-C1305</v>
          </cell>
          <cell r="B769" t="str">
            <v>KITCHENWARE &amp; UTENSILS</v>
          </cell>
          <cell r="C769" t="str">
            <v>PVO</v>
          </cell>
          <cell r="D769" t="str">
            <v>No</v>
          </cell>
          <cell r="E769" t="str">
            <v>NP-53.9 - Small Value Procurement</v>
          </cell>
          <cell r="F769" t="str">
            <v>N/A</v>
          </cell>
          <cell r="G769">
            <v>45385</v>
          </cell>
          <cell r="H769">
            <v>0</v>
          </cell>
          <cell r="I769" t="str">
            <v>N/A</v>
          </cell>
          <cell r="J769">
            <v>45440</v>
          </cell>
          <cell r="K769">
            <v>45440</v>
          </cell>
          <cell r="L769">
            <v>0</v>
          </cell>
          <cell r="M769" t="str">
            <v>N/A</v>
          </cell>
          <cell r="N769" t="str">
            <v>N/A</v>
          </cell>
          <cell r="O769">
            <v>45441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12706</v>
          </cell>
          <cell r="AB769">
            <v>0</v>
          </cell>
          <cell r="AC769">
            <v>12706</v>
          </cell>
          <cell r="AD769">
            <v>12570</v>
          </cell>
          <cell r="AE769">
            <v>0</v>
          </cell>
          <cell r="AF769">
            <v>12570</v>
          </cell>
          <cell r="AG769" t="str">
            <v>ENGR. MICHAEL C. SALARDA
MS. LEONARDA M. LATOR
MS. CARMENCITA VALDEZ
MS. SORAYA P. VERGARA</v>
          </cell>
          <cell r="AH769" t="str">
            <v>N/A</v>
          </cell>
          <cell r="AI769" t="str">
            <v>N/A</v>
          </cell>
          <cell r="AJ769" t="str">
            <v>N/A</v>
          </cell>
          <cell r="AK769" t="str">
            <v>N/A</v>
          </cell>
          <cell r="AL769" t="str">
            <v>N/A</v>
          </cell>
          <cell r="AM769" t="str">
            <v>N/A</v>
          </cell>
          <cell r="AN769">
            <v>0</v>
          </cell>
          <cell r="AO769">
            <v>0</v>
          </cell>
        </row>
        <row r="770">
          <cell r="A770" t="str">
            <v>24-1586</v>
          </cell>
          <cell r="B770" t="str">
            <v>CONSTRUCTION SUPPLIES</v>
          </cell>
          <cell r="C770" t="str">
            <v>PGSO</v>
          </cell>
          <cell r="D770" t="str">
            <v>No</v>
          </cell>
          <cell r="E770" t="str">
            <v>NP-53.9 - Small Value Procurement</v>
          </cell>
          <cell r="F770">
            <v>45407</v>
          </cell>
          <cell r="G770">
            <v>45412</v>
          </cell>
          <cell r="H770">
            <v>0</v>
          </cell>
          <cell r="I770" t="str">
            <v>N/A</v>
          </cell>
          <cell r="J770">
            <v>45440</v>
          </cell>
          <cell r="K770">
            <v>45440</v>
          </cell>
          <cell r="L770">
            <v>0</v>
          </cell>
          <cell r="M770" t="str">
            <v>N/A</v>
          </cell>
          <cell r="N770" t="str">
            <v>N/A</v>
          </cell>
          <cell r="O770">
            <v>45441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 t="e">
            <v>#N/A</v>
          </cell>
          <cell r="Y770">
            <v>0</v>
          </cell>
          <cell r="Z770">
            <v>0</v>
          </cell>
          <cell r="AA770">
            <v>18800</v>
          </cell>
          <cell r="AB770">
            <v>0</v>
          </cell>
          <cell r="AC770">
            <v>18800</v>
          </cell>
          <cell r="AD770">
            <v>18720</v>
          </cell>
          <cell r="AE770">
            <v>0</v>
          </cell>
          <cell r="AF770">
            <v>18720</v>
          </cell>
          <cell r="AG770" t="str">
            <v>ENGR. MICHAEL C. SALARDA
MS. LEONARDA M. LATOR
MS. CARMENCITA VALDEZ
MS. SORAYA P. VERGARA</v>
          </cell>
          <cell r="AH770" t="str">
            <v>N/A</v>
          </cell>
          <cell r="AI770" t="str">
            <v>N/A</v>
          </cell>
          <cell r="AJ770" t="str">
            <v>N/A</v>
          </cell>
          <cell r="AK770" t="str">
            <v>N/A</v>
          </cell>
          <cell r="AL770" t="str">
            <v>N/A</v>
          </cell>
          <cell r="AM770" t="str">
            <v>N/A</v>
          </cell>
          <cell r="AN770">
            <v>0</v>
          </cell>
          <cell r="AO770">
            <v>0</v>
          </cell>
        </row>
        <row r="771">
          <cell r="A771" t="str">
            <v>24-C1266</v>
          </cell>
          <cell r="B771" t="str">
            <v>SPAREPARTS ( FARM
MACHINERIES AND
EQUIPMENT )</v>
          </cell>
          <cell r="C771" t="str">
            <v>PDRRMO</v>
          </cell>
          <cell r="D771" t="str">
            <v>No</v>
          </cell>
          <cell r="E771" t="str">
            <v>NP-53.9 - Small Value Procurement</v>
          </cell>
          <cell r="F771" t="str">
            <v>N/A</v>
          </cell>
          <cell r="G771">
            <v>45414</v>
          </cell>
          <cell r="H771">
            <v>0</v>
          </cell>
          <cell r="I771" t="str">
            <v>N/A</v>
          </cell>
          <cell r="J771">
            <v>45440</v>
          </cell>
          <cell r="K771">
            <v>45440</v>
          </cell>
          <cell r="L771">
            <v>0</v>
          </cell>
          <cell r="M771" t="str">
            <v>N/A</v>
          </cell>
          <cell r="N771" t="str">
            <v>N/A</v>
          </cell>
          <cell r="O771">
            <v>45441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57183.1</v>
          </cell>
          <cell r="AB771">
            <v>0</v>
          </cell>
          <cell r="AC771">
            <v>57183.1</v>
          </cell>
          <cell r="AD771">
            <v>56052</v>
          </cell>
          <cell r="AE771">
            <v>0</v>
          </cell>
          <cell r="AF771">
            <v>56052</v>
          </cell>
          <cell r="AG771" t="str">
            <v>ENGR. MICHAEL C. SALARDA
MS. LEONARDA M. LATOR
MS. CARMENCITA VALDEZ
MS. SORAYA P. VERGARA</v>
          </cell>
          <cell r="AH771" t="str">
            <v>N/A</v>
          </cell>
          <cell r="AI771" t="str">
            <v>N/A</v>
          </cell>
          <cell r="AJ771" t="str">
            <v>N/A</v>
          </cell>
          <cell r="AK771" t="str">
            <v>N/A</v>
          </cell>
          <cell r="AL771" t="str">
            <v>N/A</v>
          </cell>
          <cell r="AM771" t="str">
            <v>N/A</v>
          </cell>
          <cell r="AN771">
            <v>0</v>
          </cell>
          <cell r="AO771">
            <v>0</v>
          </cell>
        </row>
        <row r="772">
          <cell r="A772" t="str">
            <v>24-1902</v>
          </cell>
          <cell r="B772" t="str">
            <v>TARPAULIN</v>
          </cell>
          <cell r="C772" t="str">
            <v>PGO</v>
          </cell>
          <cell r="D772" t="str">
            <v>No</v>
          </cell>
          <cell r="E772" t="str">
            <v>NP-53.9 - Small Value Procurement</v>
          </cell>
          <cell r="F772" t="str">
            <v>N/A</v>
          </cell>
          <cell r="G772">
            <v>45422</v>
          </cell>
          <cell r="H772">
            <v>0</v>
          </cell>
          <cell r="I772" t="str">
            <v>N/A</v>
          </cell>
          <cell r="J772">
            <v>45440</v>
          </cell>
          <cell r="K772">
            <v>45440</v>
          </cell>
          <cell r="L772">
            <v>0</v>
          </cell>
          <cell r="M772" t="str">
            <v>N/A</v>
          </cell>
          <cell r="N772" t="str">
            <v>N/A</v>
          </cell>
          <cell r="O772">
            <v>45441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 t="e">
            <v>#N/A</v>
          </cell>
          <cell r="Y772">
            <v>0</v>
          </cell>
          <cell r="Z772">
            <v>0</v>
          </cell>
          <cell r="AA772">
            <v>5600</v>
          </cell>
          <cell r="AB772">
            <v>0</v>
          </cell>
          <cell r="AC772">
            <v>5600</v>
          </cell>
          <cell r="AD772">
            <v>5600</v>
          </cell>
          <cell r="AE772">
            <v>0</v>
          </cell>
          <cell r="AF772">
            <v>5600</v>
          </cell>
          <cell r="AG772" t="str">
            <v>ENGR. MICHAEL C. SALARDA
MS. LEONARDA M. LATOR
MS. CARMENCITA VALDEZ
MS. SORAYA P. VERGARA</v>
          </cell>
          <cell r="AH772" t="str">
            <v>N/A</v>
          </cell>
          <cell r="AI772" t="str">
            <v>N/A</v>
          </cell>
          <cell r="AJ772" t="str">
            <v>N/A</v>
          </cell>
          <cell r="AK772" t="str">
            <v>N/A</v>
          </cell>
          <cell r="AL772" t="str">
            <v>N/A</v>
          </cell>
          <cell r="AM772" t="str">
            <v>N/A</v>
          </cell>
          <cell r="AN772">
            <v>0</v>
          </cell>
          <cell r="AO772">
            <v>0</v>
          </cell>
        </row>
        <row r="773">
          <cell r="A773" t="str">
            <v>24-1919</v>
          </cell>
          <cell r="B773" t="str">
            <v>PRINTING (PROGRAMS)</v>
          </cell>
          <cell r="C773" t="str">
            <v>PGO</v>
          </cell>
          <cell r="D773" t="str">
            <v>No</v>
          </cell>
          <cell r="E773" t="str">
            <v>NP-53.9 - Small Value Procurement</v>
          </cell>
          <cell r="F773" t="str">
            <v>N/A</v>
          </cell>
          <cell r="G773">
            <v>45422</v>
          </cell>
          <cell r="H773">
            <v>0</v>
          </cell>
          <cell r="I773" t="str">
            <v>N/A</v>
          </cell>
          <cell r="J773">
            <v>45440</v>
          </cell>
          <cell r="K773">
            <v>45440</v>
          </cell>
          <cell r="L773">
            <v>0</v>
          </cell>
          <cell r="M773" t="str">
            <v>N/A</v>
          </cell>
          <cell r="N773" t="str">
            <v>N/A</v>
          </cell>
          <cell r="O773">
            <v>45441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 t="e">
            <v>#N/A</v>
          </cell>
          <cell r="Y773">
            <v>0</v>
          </cell>
          <cell r="Z773">
            <v>0</v>
          </cell>
          <cell r="AA773">
            <v>9880</v>
          </cell>
          <cell r="AB773">
            <v>0</v>
          </cell>
          <cell r="AC773">
            <v>9880</v>
          </cell>
          <cell r="AD773">
            <v>9880</v>
          </cell>
          <cell r="AE773">
            <v>0</v>
          </cell>
          <cell r="AF773">
            <v>9880</v>
          </cell>
          <cell r="AG773" t="str">
            <v>ENGR. MICHAEL C. SALARDA
MS. LEONARDA M. LATOR
MS. CARMENCITA VALDEZ
MS. SORAYA P. VERGARA</v>
          </cell>
          <cell r="AH773" t="str">
            <v>N/A</v>
          </cell>
          <cell r="AI773" t="str">
            <v>N/A</v>
          </cell>
          <cell r="AJ773" t="str">
            <v>N/A</v>
          </cell>
          <cell r="AK773" t="str">
            <v>N/A</v>
          </cell>
          <cell r="AL773" t="str">
            <v>N/A</v>
          </cell>
          <cell r="AM773" t="str">
            <v>N/A</v>
          </cell>
          <cell r="AN773">
            <v>0</v>
          </cell>
          <cell r="AO773">
            <v>0</v>
          </cell>
        </row>
        <row r="774">
          <cell r="A774" t="str">
            <v>24-2481</v>
          </cell>
          <cell r="B774" t="str">
            <v>WATER</v>
          </cell>
          <cell r="C774" t="str">
            <v>SPO</v>
          </cell>
          <cell r="D774" t="str">
            <v>No</v>
          </cell>
          <cell r="E774" t="str">
            <v>NP-53.9 - Small Value Procurement</v>
          </cell>
          <cell r="F774" t="str">
            <v>N/A</v>
          </cell>
          <cell r="G774">
            <v>45422</v>
          </cell>
          <cell r="H774">
            <v>0</v>
          </cell>
          <cell r="I774" t="str">
            <v>N/A</v>
          </cell>
          <cell r="J774">
            <v>45440</v>
          </cell>
          <cell r="K774">
            <v>45440</v>
          </cell>
          <cell r="L774">
            <v>0</v>
          </cell>
          <cell r="M774" t="str">
            <v>N/A</v>
          </cell>
          <cell r="N774" t="str">
            <v>N/A</v>
          </cell>
          <cell r="O774">
            <v>45441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 t="e">
            <v>#N/A</v>
          </cell>
          <cell r="Y774">
            <v>0</v>
          </cell>
          <cell r="Z774">
            <v>0</v>
          </cell>
          <cell r="AA774">
            <v>25010</v>
          </cell>
          <cell r="AB774">
            <v>0</v>
          </cell>
          <cell r="AC774">
            <v>25010</v>
          </cell>
          <cell r="AD774">
            <v>24400</v>
          </cell>
          <cell r="AE774">
            <v>0</v>
          </cell>
          <cell r="AF774">
            <v>24400</v>
          </cell>
          <cell r="AG774" t="str">
            <v>ENGR. MICHAEL C. SALARDA
MS. LEONARDA M. LATOR
MS. CARMENCITA VALDEZ
MS. SORAYA P. VERGARA</v>
          </cell>
          <cell r="AH774" t="str">
            <v>N/A</v>
          </cell>
          <cell r="AI774" t="str">
            <v>N/A</v>
          </cell>
          <cell r="AJ774" t="str">
            <v>N/A</v>
          </cell>
          <cell r="AK774" t="str">
            <v>N/A</v>
          </cell>
          <cell r="AL774" t="str">
            <v>N/A</v>
          </cell>
          <cell r="AM774" t="str">
            <v>N/A</v>
          </cell>
          <cell r="AN774">
            <v>0</v>
          </cell>
          <cell r="AO774">
            <v>0</v>
          </cell>
        </row>
        <row r="775">
          <cell r="A775" t="str">
            <v>24-2494</v>
          </cell>
          <cell r="B775" t="str">
            <v>TARPAULIN</v>
          </cell>
          <cell r="C775" t="str">
            <v>SEF</v>
          </cell>
          <cell r="D775" t="str">
            <v>No</v>
          </cell>
          <cell r="E775" t="str">
            <v>NP-53.9 - Small Value Procurement</v>
          </cell>
          <cell r="F775">
            <v>45426</v>
          </cell>
          <cell r="G775">
            <v>45429</v>
          </cell>
          <cell r="H775">
            <v>0</v>
          </cell>
          <cell r="I775" t="str">
            <v>N/A</v>
          </cell>
          <cell r="J775">
            <v>45440</v>
          </cell>
          <cell r="K775">
            <v>45440</v>
          </cell>
          <cell r="L775">
            <v>0</v>
          </cell>
          <cell r="M775" t="str">
            <v>N/A</v>
          </cell>
          <cell r="N775" t="str">
            <v>N/A</v>
          </cell>
          <cell r="O775">
            <v>45441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 t="e">
            <v>#N/A</v>
          </cell>
          <cell r="Y775">
            <v>0</v>
          </cell>
          <cell r="Z775">
            <v>0</v>
          </cell>
          <cell r="AA775">
            <v>1792</v>
          </cell>
          <cell r="AB775">
            <v>0</v>
          </cell>
          <cell r="AC775">
            <v>1792</v>
          </cell>
          <cell r="AD775">
            <v>1792</v>
          </cell>
          <cell r="AE775">
            <v>0</v>
          </cell>
          <cell r="AF775">
            <v>1792</v>
          </cell>
          <cell r="AG775" t="str">
            <v>ENGR. MICHAEL C. SALARDA
MS. LEONARDA M. LATOR
MS. CARMENCITA VALDEZ
MS. SORAYA P. VERGARA</v>
          </cell>
          <cell r="AH775" t="str">
            <v>N/A</v>
          </cell>
          <cell r="AI775" t="str">
            <v>N/A</v>
          </cell>
          <cell r="AJ775" t="str">
            <v>N/A</v>
          </cell>
          <cell r="AK775" t="str">
            <v>N/A</v>
          </cell>
          <cell r="AL775" t="str">
            <v>N/A</v>
          </cell>
          <cell r="AM775" t="str">
            <v>N/A</v>
          </cell>
          <cell r="AN775">
            <v>0</v>
          </cell>
          <cell r="AO775">
            <v>0</v>
          </cell>
        </row>
        <row r="776">
          <cell r="A776" t="str">
            <v>24-C1144</v>
          </cell>
          <cell r="B776" t="str">
            <v>CONSTRUCTION SUPPLIES</v>
          </cell>
          <cell r="C776" t="str">
            <v>PVO</v>
          </cell>
          <cell r="D776" t="str">
            <v>No</v>
          </cell>
          <cell r="E776" t="str">
            <v>NP-53.9 - Small Value Procurement</v>
          </cell>
          <cell r="F776">
            <v>45407</v>
          </cell>
          <cell r="G776">
            <v>45429</v>
          </cell>
          <cell r="H776">
            <v>0</v>
          </cell>
          <cell r="I776" t="str">
            <v>N/A</v>
          </cell>
          <cell r="J776">
            <v>45440</v>
          </cell>
          <cell r="K776">
            <v>45440</v>
          </cell>
          <cell r="L776">
            <v>0</v>
          </cell>
          <cell r="M776" t="str">
            <v>N/A</v>
          </cell>
          <cell r="N776" t="str">
            <v>N/A</v>
          </cell>
          <cell r="O776">
            <v>45441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243840.7</v>
          </cell>
          <cell r="AB776">
            <v>0</v>
          </cell>
          <cell r="AC776">
            <v>243840.7</v>
          </cell>
          <cell r="AD776">
            <v>242725.22</v>
          </cell>
          <cell r="AE776">
            <v>0</v>
          </cell>
          <cell r="AF776">
            <v>242725.22</v>
          </cell>
          <cell r="AG776" t="str">
            <v>ENGR. MICHAEL C. SALARDA
MS. LEONARDA M. LATOR
MS. CARMENCITA VALDEZ
MS. SORAYA P. VERGARA</v>
          </cell>
          <cell r="AH776" t="str">
            <v>N/A</v>
          </cell>
          <cell r="AI776" t="str">
            <v>N/A</v>
          </cell>
          <cell r="AJ776" t="str">
            <v>N/A</v>
          </cell>
          <cell r="AK776" t="str">
            <v>N/A</v>
          </cell>
          <cell r="AL776" t="str">
            <v>N/A</v>
          </cell>
          <cell r="AM776" t="str">
            <v>N/A</v>
          </cell>
          <cell r="AN776">
            <v>0</v>
          </cell>
          <cell r="AO776">
            <v>0</v>
          </cell>
        </row>
        <row r="777">
          <cell r="A777" t="str">
            <v>24-1428</v>
          </cell>
          <cell r="B777" t="str">
            <v>T-SHIRT JERSEY</v>
          </cell>
          <cell r="C777" t="str">
            <v>PAO-ADMIN</v>
          </cell>
          <cell r="D777" t="str">
            <v>No</v>
          </cell>
          <cell r="E777" t="str">
            <v>NP-53.9 - Small Value Procurement</v>
          </cell>
          <cell r="F777">
            <v>45370</v>
          </cell>
          <cell r="G777">
            <v>45376</v>
          </cell>
          <cell r="H777">
            <v>0</v>
          </cell>
          <cell r="I777" t="str">
            <v>N/A</v>
          </cell>
          <cell r="J777">
            <v>45440</v>
          </cell>
          <cell r="K777">
            <v>45440</v>
          </cell>
          <cell r="L777">
            <v>0</v>
          </cell>
          <cell r="M777" t="str">
            <v>N/A</v>
          </cell>
          <cell r="N777" t="str">
            <v>N/A</v>
          </cell>
          <cell r="O777">
            <v>45441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 t="e">
            <v>#N/A</v>
          </cell>
          <cell r="Y777">
            <v>0</v>
          </cell>
          <cell r="Z777">
            <v>0</v>
          </cell>
          <cell r="AA777">
            <v>21700</v>
          </cell>
          <cell r="AB777">
            <v>0</v>
          </cell>
          <cell r="AC777">
            <v>21700</v>
          </cell>
          <cell r="AD777">
            <v>21700</v>
          </cell>
          <cell r="AE777">
            <v>0</v>
          </cell>
          <cell r="AF777">
            <v>21700</v>
          </cell>
          <cell r="AG777" t="str">
            <v>ENGR. MICHAEL C. SALARDA
MS. LEONARDA M. LATOR
MS. CARMENCITA VALDEZ
MS. SORAYA P. VERGARA</v>
          </cell>
          <cell r="AH777" t="str">
            <v>N/A</v>
          </cell>
          <cell r="AI777" t="str">
            <v>N/A</v>
          </cell>
          <cell r="AJ777" t="str">
            <v>N/A</v>
          </cell>
          <cell r="AK777" t="str">
            <v>N/A</v>
          </cell>
          <cell r="AL777" t="str">
            <v>N/A</v>
          </cell>
          <cell r="AM777" t="str">
            <v>N/A</v>
          </cell>
          <cell r="AN777">
            <v>0</v>
          </cell>
          <cell r="AO777">
            <v>0</v>
          </cell>
        </row>
        <row r="778">
          <cell r="A778" t="str">
            <v>24-2535</v>
          </cell>
          <cell r="B778" t="str">
            <v>SPAREPARTS (LIGHT
VEHICLES)</v>
          </cell>
          <cell r="C778" t="str">
            <v>PGSO</v>
          </cell>
          <cell r="D778" t="str">
            <v>No</v>
          </cell>
          <cell r="E778" t="str">
            <v>NP-53.9 - Small Value Procurement</v>
          </cell>
          <cell r="F778">
            <v>45421</v>
          </cell>
          <cell r="G778">
            <v>45425</v>
          </cell>
          <cell r="H778">
            <v>0</v>
          </cell>
          <cell r="I778" t="str">
            <v>N/A</v>
          </cell>
          <cell r="J778">
            <v>45440</v>
          </cell>
          <cell r="K778">
            <v>45440</v>
          </cell>
          <cell r="L778">
            <v>0</v>
          </cell>
          <cell r="M778" t="str">
            <v>N/A</v>
          </cell>
          <cell r="N778" t="str">
            <v>N/A</v>
          </cell>
          <cell r="O778">
            <v>45441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 t="e">
            <v>#N/A</v>
          </cell>
          <cell r="Y778">
            <v>0</v>
          </cell>
          <cell r="Z778">
            <v>0</v>
          </cell>
          <cell r="AA778">
            <v>28000</v>
          </cell>
          <cell r="AB778">
            <v>0</v>
          </cell>
          <cell r="AC778">
            <v>28000</v>
          </cell>
          <cell r="AD778">
            <v>27580</v>
          </cell>
          <cell r="AE778">
            <v>0</v>
          </cell>
          <cell r="AF778">
            <v>27580</v>
          </cell>
          <cell r="AG778" t="str">
            <v>ENGR. MICHAEL C. SALARDA
MS. LEONARDA M. LATOR
MS. CARMENCITA VALDEZ
MS. SORAYA P. VERGARA</v>
          </cell>
          <cell r="AH778" t="str">
            <v>N/A</v>
          </cell>
          <cell r="AI778" t="str">
            <v>N/A</v>
          </cell>
          <cell r="AJ778" t="str">
            <v>N/A</v>
          </cell>
          <cell r="AK778" t="str">
            <v>N/A</v>
          </cell>
          <cell r="AL778" t="str">
            <v>N/A</v>
          </cell>
          <cell r="AM778" t="str">
            <v>N/A</v>
          </cell>
          <cell r="AN778">
            <v>0</v>
          </cell>
          <cell r="AO778">
            <v>0</v>
          </cell>
        </row>
        <row r="779">
          <cell r="A779" t="str">
            <v>24-1329</v>
          </cell>
          <cell r="B779" t="str">
            <v>ELECTRICAL SUPPLIES</v>
          </cell>
          <cell r="C779" t="str">
            <v>PGSO</v>
          </cell>
          <cell r="D779" t="str">
            <v>No</v>
          </cell>
          <cell r="E779" t="str">
            <v>NP-53.9 - Small Value Procurement</v>
          </cell>
          <cell r="F779" t="str">
            <v>N/A</v>
          </cell>
          <cell r="G779">
            <v>45376</v>
          </cell>
          <cell r="H779">
            <v>0</v>
          </cell>
          <cell r="I779" t="str">
            <v>N/A</v>
          </cell>
          <cell r="J779">
            <v>45440</v>
          </cell>
          <cell r="K779">
            <v>45440</v>
          </cell>
          <cell r="L779">
            <v>0</v>
          </cell>
          <cell r="M779" t="str">
            <v>N/A</v>
          </cell>
          <cell r="N779" t="str">
            <v>N/A</v>
          </cell>
          <cell r="O779">
            <v>45441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 t="e">
            <v>#N/A</v>
          </cell>
          <cell r="Y779">
            <v>0</v>
          </cell>
          <cell r="Z779">
            <v>0</v>
          </cell>
          <cell r="AA779">
            <v>160104</v>
          </cell>
          <cell r="AB779">
            <v>0</v>
          </cell>
          <cell r="AC779">
            <v>160104</v>
          </cell>
          <cell r="AD779">
            <v>155750</v>
          </cell>
          <cell r="AE779">
            <v>0</v>
          </cell>
          <cell r="AF779">
            <v>155750</v>
          </cell>
          <cell r="AG779" t="str">
            <v>ENGR. MICHAEL C. SALARDA
MS. LEONARDA M. LATOR
MS. CARMENCITA VALDEZ
MS. SORAYA P. VERGARA</v>
          </cell>
          <cell r="AH779" t="str">
            <v>N/A</v>
          </cell>
          <cell r="AI779" t="str">
            <v>N/A</v>
          </cell>
          <cell r="AJ779" t="str">
            <v>N/A</v>
          </cell>
          <cell r="AK779" t="str">
            <v>N/A</v>
          </cell>
          <cell r="AL779" t="str">
            <v>N/A</v>
          </cell>
          <cell r="AM779" t="str">
            <v>N/A</v>
          </cell>
          <cell r="AN779">
            <v>0</v>
          </cell>
          <cell r="AO779">
            <v>0</v>
          </cell>
        </row>
        <row r="780">
          <cell r="A780" t="str">
            <v>24-2540</v>
          </cell>
          <cell r="B780" t="str">
            <v>SPAREPARTS (MOTOR
CYCLE)</v>
          </cell>
          <cell r="C780" t="str">
            <v>PGSO</v>
          </cell>
          <cell r="D780" t="str">
            <v>No</v>
          </cell>
          <cell r="E780" t="str">
            <v>NP-53.9 - Small Value Procurement</v>
          </cell>
          <cell r="F780">
            <v>45421</v>
          </cell>
          <cell r="G780">
            <v>45425</v>
          </cell>
          <cell r="H780">
            <v>0</v>
          </cell>
          <cell r="I780" t="str">
            <v>N/A</v>
          </cell>
          <cell r="J780">
            <v>45440</v>
          </cell>
          <cell r="K780">
            <v>45440</v>
          </cell>
          <cell r="L780">
            <v>0</v>
          </cell>
          <cell r="M780" t="str">
            <v>N/A</v>
          </cell>
          <cell r="N780" t="str">
            <v>N/A</v>
          </cell>
          <cell r="O780">
            <v>45441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 t="e">
            <v>#N/A</v>
          </cell>
          <cell r="Y780">
            <v>0</v>
          </cell>
          <cell r="Z780">
            <v>0</v>
          </cell>
          <cell r="AA780">
            <v>1560</v>
          </cell>
          <cell r="AB780">
            <v>0</v>
          </cell>
          <cell r="AC780">
            <v>1560</v>
          </cell>
          <cell r="AD780">
            <v>1500</v>
          </cell>
          <cell r="AE780">
            <v>0</v>
          </cell>
          <cell r="AF780">
            <v>1500</v>
          </cell>
          <cell r="AG780" t="str">
            <v>ENGR. MICHAEL C. SALARDA
MS. LEONARDA M. LATOR
MS. CARMENCITA VALDEZ
MS. SORAYA P. VERGARA</v>
          </cell>
          <cell r="AH780" t="str">
            <v>N/A</v>
          </cell>
          <cell r="AI780" t="str">
            <v>N/A</v>
          </cell>
          <cell r="AJ780" t="str">
            <v>N/A</v>
          </cell>
          <cell r="AK780" t="str">
            <v>N/A</v>
          </cell>
          <cell r="AL780" t="str">
            <v>N/A</v>
          </cell>
          <cell r="AM780" t="str">
            <v>N/A</v>
          </cell>
          <cell r="AN780">
            <v>0</v>
          </cell>
          <cell r="AO780">
            <v>0</v>
          </cell>
        </row>
        <row r="781">
          <cell r="A781" t="str">
            <v>24-2532</v>
          </cell>
          <cell r="B781" t="str">
            <v>SPAREPARTS (MOTOR
CYCLE)</v>
          </cell>
          <cell r="C781" t="str">
            <v>PGSO</v>
          </cell>
          <cell r="D781" t="str">
            <v>No</v>
          </cell>
          <cell r="E781" t="str">
            <v>NP-53.9 - Small Value Procurement</v>
          </cell>
          <cell r="F781">
            <v>45421</v>
          </cell>
          <cell r="G781">
            <v>45425</v>
          </cell>
          <cell r="H781">
            <v>0</v>
          </cell>
          <cell r="I781" t="str">
            <v>N/A</v>
          </cell>
          <cell r="J781">
            <v>45440</v>
          </cell>
          <cell r="K781">
            <v>45440</v>
          </cell>
          <cell r="L781">
            <v>0</v>
          </cell>
          <cell r="M781" t="str">
            <v>N/A</v>
          </cell>
          <cell r="N781" t="str">
            <v>N/A</v>
          </cell>
          <cell r="O781">
            <v>45441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 t="e">
            <v>#N/A</v>
          </cell>
          <cell r="Y781">
            <v>0</v>
          </cell>
          <cell r="Z781">
            <v>0</v>
          </cell>
          <cell r="AA781">
            <v>3740</v>
          </cell>
          <cell r="AB781">
            <v>0</v>
          </cell>
          <cell r="AC781">
            <v>3740</v>
          </cell>
          <cell r="AD781">
            <v>3696</v>
          </cell>
          <cell r="AE781">
            <v>0</v>
          </cell>
          <cell r="AF781">
            <v>3696</v>
          </cell>
          <cell r="AG781" t="str">
            <v>ENGR. MICHAEL C. SALARDA
MS. LEONARDA M. LATOR
MS. CARMENCITA VALDEZ
MS. SORAYA P. VERGARA</v>
          </cell>
          <cell r="AH781" t="str">
            <v>N/A</v>
          </cell>
          <cell r="AI781" t="str">
            <v>N/A</v>
          </cell>
          <cell r="AJ781" t="str">
            <v>N/A</v>
          </cell>
          <cell r="AK781" t="str">
            <v>N/A</v>
          </cell>
          <cell r="AL781" t="str">
            <v>N/A</v>
          </cell>
          <cell r="AM781" t="str">
            <v>N/A</v>
          </cell>
          <cell r="AN781">
            <v>0</v>
          </cell>
          <cell r="AO781">
            <v>0</v>
          </cell>
        </row>
        <row r="782">
          <cell r="A782" t="str">
            <v>24-2428</v>
          </cell>
          <cell r="B782" t="str">
            <v>SPAREPARTS (MOTOR
CYCLE)</v>
          </cell>
          <cell r="C782" t="str">
            <v>PGSO</v>
          </cell>
          <cell r="D782" t="str">
            <v>No</v>
          </cell>
          <cell r="E782" t="str">
            <v>NP-53.9 - Small Value Procurement</v>
          </cell>
          <cell r="F782">
            <v>45421</v>
          </cell>
          <cell r="G782">
            <v>45425</v>
          </cell>
          <cell r="H782">
            <v>0</v>
          </cell>
          <cell r="I782" t="str">
            <v>N/A</v>
          </cell>
          <cell r="J782">
            <v>45440</v>
          </cell>
          <cell r="K782">
            <v>45440</v>
          </cell>
          <cell r="L782">
            <v>0</v>
          </cell>
          <cell r="M782" t="str">
            <v>N/A</v>
          </cell>
          <cell r="N782" t="str">
            <v>N/A</v>
          </cell>
          <cell r="O782">
            <v>45441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 t="e">
            <v>#N/A</v>
          </cell>
          <cell r="Y782">
            <v>0</v>
          </cell>
          <cell r="Z782">
            <v>0</v>
          </cell>
          <cell r="AA782">
            <v>6925</v>
          </cell>
          <cell r="AB782">
            <v>0</v>
          </cell>
          <cell r="AC782">
            <v>6925</v>
          </cell>
          <cell r="AD782">
            <v>6860</v>
          </cell>
          <cell r="AE782">
            <v>0</v>
          </cell>
          <cell r="AF782">
            <v>6860</v>
          </cell>
          <cell r="AG782" t="str">
            <v>ENGR. MICHAEL C. SALARDA
MS. LEONARDA M. LATOR
MS. CARMENCITA VALDEZ
MS. SORAYA P. VERGARA</v>
          </cell>
          <cell r="AH782" t="str">
            <v>N/A</v>
          </cell>
          <cell r="AI782" t="str">
            <v>N/A</v>
          </cell>
          <cell r="AJ782" t="str">
            <v>N/A</v>
          </cell>
          <cell r="AK782" t="str">
            <v>N/A</v>
          </cell>
          <cell r="AL782" t="str">
            <v>N/A</v>
          </cell>
          <cell r="AM782" t="str">
            <v>N/A</v>
          </cell>
          <cell r="AN782">
            <v>0</v>
          </cell>
          <cell r="AO782">
            <v>0</v>
          </cell>
        </row>
        <row r="783">
          <cell r="A783" t="str">
            <v>24-2551</v>
          </cell>
          <cell r="B783" t="str">
            <v>SPAREPARTS (MOTOR
CYCLE)</v>
          </cell>
          <cell r="C783" t="str">
            <v>PGSO</v>
          </cell>
          <cell r="D783" t="str">
            <v>No</v>
          </cell>
          <cell r="E783" t="str">
            <v>NP-53.9 - Small Value Procurement</v>
          </cell>
          <cell r="F783">
            <v>45421</v>
          </cell>
          <cell r="G783">
            <v>45425</v>
          </cell>
          <cell r="H783">
            <v>0</v>
          </cell>
          <cell r="I783" t="str">
            <v>N/A</v>
          </cell>
          <cell r="J783">
            <v>45440</v>
          </cell>
          <cell r="K783">
            <v>45440</v>
          </cell>
          <cell r="L783">
            <v>0</v>
          </cell>
          <cell r="M783" t="str">
            <v>N/A</v>
          </cell>
          <cell r="N783" t="str">
            <v>N/A</v>
          </cell>
          <cell r="O783">
            <v>45441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 t="e">
            <v>#N/A</v>
          </cell>
          <cell r="Y783">
            <v>0</v>
          </cell>
          <cell r="Z783">
            <v>0</v>
          </cell>
          <cell r="AA783">
            <v>9140</v>
          </cell>
          <cell r="AB783">
            <v>0</v>
          </cell>
          <cell r="AC783">
            <v>9140</v>
          </cell>
          <cell r="AD783">
            <v>9115</v>
          </cell>
          <cell r="AE783">
            <v>0</v>
          </cell>
          <cell r="AF783">
            <v>9115</v>
          </cell>
          <cell r="AG783" t="str">
            <v>ENGR. MICHAEL C. SALARDA
MS. LEONARDA M. LATOR
MS. CARMENCITA VALDEZ
MS. SORAYA P. VERGARA</v>
          </cell>
          <cell r="AH783" t="str">
            <v>N/A</v>
          </cell>
          <cell r="AI783" t="str">
            <v>N/A</v>
          </cell>
          <cell r="AJ783" t="str">
            <v>N/A</v>
          </cell>
          <cell r="AK783" t="str">
            <v>N/A</v>
          </cell>
          <cell r="AL783" t="str">
            <v>N/A</v>
          </cell>
          <cell r="AM783" t="str">
            <v>N/A</v>
          </cell>
          <cell r="AN783">
            <v>0</v>
          </cell>
          <cell r="AO783">
            <v>0</v>
          </cell>
        </row>
        <row r="784">
          <cell r="A784" t="str">
            <v>24-2539</v>
          </cell>
          <cell r="B784" t="str">
            <v>SPAREPARTS (MOTOR
CYCLE)</v>
          </cell>
          <cell r="C784" t="str">
            <v>PGSO</v>
          </cell>
          <cell r="D784" t="str">
            <v>No</v>
          </cell>
          <cell r="E784" t="str">
            <v>NP-53.9 - Small Value Procurement</v>
          </cell>
          <cell r="F784">
            <v>45421</v>
          </cell>
          <cell r="G784">
            <v>45425</v>
          </cell>
          <cell r="H784">
            <v>0</v>
          </cell>
          <cell r="I784" t="str">
            <v>N/A</v>
          </cell>
          <cell r="J784">
            <v>45440</v>
          </cell>
          <cell r="K784">
            <v>45440</v>
          </cell>
          <cell r="L784">
            <v>0</v>
          </cell>
          <cell r="M784" t="str">
            <v>N/A</v>
          </cell>
          <cell r="N784" t="str">
            <v>N/A</v>
          </cell>
          <cell r="O784">
            <v>45441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 t="e">
            <v>#N/A</v>
          </cell>
          <cell r="Y784">
            <v>0</v>
          </cell>
          <cell r="Z784">
            <v>0</v>
          </cell>
          <cell r="AA784">
            <v>3750</v>
          </cell>
          <cell r="AB784">
            <v>0</v>
          </cell>
          <cell r="AC784">
            <v>3750</v>
          </cell>
          <cell r="AD784">
            <v>3704</v>
          </cell>
          <cell r="AE784">
            <v>0</v>
          </cell>
          <cell r="AF784">
            <v>3704</v>
          </cell>
          <cell r="AG784" t="str">
            <v>ENGR. MICHAEL C. SALARDA
MS. LEONARDA M. LATOR
MS. CARMENCITA VALDEZ
MS. SORAYA P. VERGARA</v>
          </cell>
          <cell r="AH784" t="str">
            <v>N/A</v>
          </cell>
          <cell r="AI784" t="str">
            <v>N/A</v>
          </cell>
          <cell r="AJ784" t="str">
            <v>N/A</v>
          </cell>
          <cell r="AK784" t="str">
            <v>N/A</v>
          </cell>
          <cell r="AL784" t="str">
            <v>N/A</v>
          </cell>
          <cell r="AM784" t="str">
            <v>N/A</v>
          </cell>
          <cell r="AN784">
            <v>0</v>
          </cell>
          <cell r="AO784">
            <v>0</v>
          </cell>
        </row>
        <row r="785">
          <cell r="A785" t="str">
            <v>24-2414</v>
          </cell>
          <cell r="B785" t="str">
            <v>SPAREPARTS (MOTOR
CYCLE)</v>
          </cell>
          <cell r="C785" t="str">
            <v>PGSO</v>
          </cell>
          <cell r="D785" t="str">
            <v>No</v>
          </cell>
          <cell r="E785" t="str">
            <v>NP-53.9 - Small Value Procurement</v>
          </cell>
          <cell r="F785">
            <v>45421</v>
          </cell>
          <cell r="G785">
            <v>45425</v>
          </cell>
          <cell r="H785">
            <v>0</v>
          </cell>
          <cell r="I785" t="str">
            <v>N/A</v>
          </cell>
          <cell r="J785">
            <v>45440</v>
          </cell>
          <cell r="K785">
            <v>45440</v>
          </cell>
          <cell r="L785">
            <v>0</v>
          </cell>
          <cell r="M785" t="str">
            <v>N/A</v>
          </cell>
          <cell r="N785" t="str">
            <v>N/A</v>
          </cell>
          <cell r="O785">
            <v>45441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 t="e">
            <v>#N/A</v>
          </cell>
          <cell r="Y785">
            <v>0</v>
          </cell>
          <cell r="Z785">
            <v>0</v>
          </cell>
          <cell r="AA785">
            <v>6080</v>
          </cell>
          <cell r="AB785">
            <v>0</v>
          </cell>
          <cell r="AC785">
            <v>6080</v>
          </cell>
          <cell r="AD785">
            <v>6020</v>
          </cell>
          <cell r="AE785">
            <v>0</v>
          </cell>
          <cell r="AF785">
            <v>6020</v>
          </cell>
          <cell r="AG785" t="str">
            <v>ENGR. MICHAEL C. SALARDA
MS. LEONARDA M. LATOR
MS. CARMENCITA VALDEZ
MS. SORAYA P. VERGARA</v>
          </cell>
          <cell r="AH785" t="str">
            <v>N/A</v>
          </cell>
          <cell r="AI785" t="str">
            <v>N/A</v>
          </cell>
          <cell r="AJ785" t="str">
            <v>N/A</v>
          </cell>
          <cell r="AK785" t="str">
            <v>N/A</v>
          </cell>
          <cell r="AL785" t="str">
            <v>N/A</v>
          </cell>
          <cell r="AM785" t="str">
            <v>N/A</v>
          </cell>
          <cell r="AN785">
            <v>0</v>
          </cell>
          <cell r="AO785">
            <v>0</v>
          </cell>
        </row>
        <row r="786">
          <cell r="A786" t="str">
            <v>24-2425</v>
          </cell>
          <cell r="B786" t="str">
            <v>SPAREPARTS (MOTOR
CYCLE)</v>
          </cell>
          <cell r="C786" t="str">
            <v>PGSO</v>
          </cell>
          <cell r="D786" t="str">
            <v>No</v>
          </cell>
          <cell r="E786" t="str">
            <v>NP-53.9 - Small Value Procurement</v>
          </cell>
          <cell r="F786" t="str">
            <v>N/A</v>
          </cell>
          <cell r="G786">
            <v>45425</v>
          </cell>
          <cell r="H786">
            <v>0</v>
          </cell>
          <cell r="I786" t="str">
            <v>N/A</v>
          </cell>
          <cell r="J786">
            <v>45440</v>
          </cell>
          <cell r="K786">
            <v>45440</v>
          </cell>
          <cell r="L786">
            <v>0</v>
          </cell>
          <cell r="M786" t="str">
            <v>N/A</v>
          </cell>
          <cell r="N786" t="str">
            <v>N/A</v>
          </cell>
          <cell r="O786">
            <v>45441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 t="e">
            <v>#N/A</v>
          </cell>
          <cell r="Y786">
            <v>0</v>
          </cell>
          <cell r="Z786">
            <v>0</v>
          </cell>
          <cell r="AA786">
            <v>9200</v>
          </cell>
          <cell r="AB786">
            <v>0</v>
          </cell>
          <cell r="AC786">
            <v>9200</v>
          </cell>
          <cell r="AD786">
            <v>9070</v>
          </cell>
          <cell r="AE786">
            <v>0</v>
          </cell>
          <cell r="AF786">
            <v>9070</v>
          </cell>
          <cell r="AG786" t="str">
            <v>ENGR. MICHAEL C. SALARDA
MS. LEONARDA M. LATOR
MS. CARMENCITA VALDEZ
MS. SORAYA P. VERGARA</v>
          </cell>
          <cell r="AH786" t="str">
            <v>N/A</v>
          </cell>
          <cell r="AI786" t="str">
            <v>N/A</v>
          </cell>
          <cell r="AJ786" t="str">
            <v>N/A</v>
          </cell>
          <cell r="AK786" t="str">
            <v>N/A</v>
          </cell>
          <cell r="AL786" t="str">
            <v>N/A</v>
          </cell>
          <cell r="AM786" t="str">
            <v>N/A</v>
          </cell>
          <cell r="AN786">
            <v>0</v>
          </cell>
          <cell r="AO786">
            <v>0</v>
          </cell>
        </row>
        <row r="787">
          <cell r="A787" t="str">
            <v>24-2423</v>
          </cell>
          <cell r="B787" t="str">
            <v>SPAREPARTS (MOTOR
CYCLE)</v>
          </cell>
          <cell r="C787" t="str">
            <v>PGSO</v>
          </cell>
          <cell r="D787" t="str">
            <v>No</v>
          </cell>
          <cell r="E787" t="str">
            <v>NP-53.9 - Small Value Procurement</v>
          </cell>
          <cell r="F787">
            <v>45421</v>
          </cell>
          <cell r="G787">
            <v>45425</v>
          </cell>
          <cell r="H787">
            <v>0</v>
          </cell>
          <cell r="I787" t="str">
            <v>N/A</v>
          </cell>
          <cell r="J787">
            <v>45440</v>
          </cell>
          <cell r="K787">
            <v>45440</v>
          </cell>
          <cell r="L787">
            <v>0</v>
          </cell>
          <cell r="M787" t="str">
            <v>N/A</v>
          </cell>
          <cell r="N787" t="str">
            <v>N/A</v>
          </cell>
          <cell r="O787">
            <v>45441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 t="e">
            <v>#N/A</v>
          </cell>
          <cell r="Y787">
            <v>0</v>
          </cell>
          <cell r="Z787">
            <v>0</v>
          </cell>
          <cell r="AA787">
            <v>9200</v>
          </cell>
          <cell r="AB787">
            <v>0</v>
          </cell>
          <cell r="AC787">
            <v>9200</v>
          </cell>
          <cell r="AD787">
            <v>9070</v>
          </cell>
          <cell r="AE787">
            <v>0</v>
          </cell>
          <cell r="AF787">
            <v>9070</v>
          </cell>
          <cell r="AG787" t="str">
            <v>ENGR. MICHAEL C. SALARDA
MS. LEONARDA M. LATOR
MS. CARMENCITA VALDEZ
MS. SORAYA P. VERGARA</v>
          </cell>
          <cell r="AH787" t="str">
            <v>N/A</v>
          </cell>
          <cell r="AI787" t="str">
            <v>N/A</v>
          </cell>
          <cell r="AJ787" t="str">
            <v>N/A</v>
          </cell>
          <cell r="AK787" t="str">
            <v>N/A</v>
          </cell>
          <cell r="AL787" t="str">
            <v>N/A</v>
          </cell>
          <cell r="AM787" t="str">
            <v>N/A</v>
          </cell>
          <cell r="AN787">
            <v>0</v>
          </cell>
          <cell r="AO787">
            <v>0</v>
          </cell>
        </row>
        <row r="788">
          <cell r="A788" t="str">
            <v>24-2543</v>
          </cell>
          <cell r="B788" t="str">
            <v>SPAREPARTS (MOTOR
CYCLE)</v>
          </cell>
          <cell r="C788" t="str">
            <v>PGSO</v>
          </cell>
          <cell r="D788" t="str">
            <v>No</v>
          </cell>
          <cell r="E788" t="str">
            <v>NP-53.9 - Small Value Procurement</v>
          </cell>
          <cell r="F788">
            <v>45421</v>
          </cell>
          <cell r="G788">
            <v>45425</v>
          </cell>
          <cell r="H788">
            <v>0</v>
          </cell>
          <cell r="I788" t="str">
            <v>N/A</v>
          </cell>
          <cell r="J788">
            <v>45440</v>
          </cell>
          <cell r="K788">
            <v>45440</v>
          </cell>
          <cell r="L788">
            <v>0</v>
          </cell>
          <cell r="M788" t="str">
            <v>N/A</v>
          </cell>
          <cell r="N788" t="str">
            <v>N/A</v>
          </cell>
          <cell r="O788">
            <v>45441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 t="e">
            <v>#N/A</v>
          </cell>
          <cell r="Y788">
            <v>0</v>
          </cell>
          <cell r="Z788">
            <v>0</v>
          </cell>
          <cell r="AA788">
            <v>3850</v>
          </cell>
          <cell r="AB788">
            <v>0</v>
          </cell>
          <cell r="AC788">
            <v>3850</v>
          </cell>
          <cell r="AD788">
            <v>3810</v>
          </cell>
          <cell r="AE788">
            <v>0</v>
          </cell>
          <cell r="AF788">
            <v>3810</v>
          </cell>
          <cell r="AG788" t="str">
            <v>ENGR. MICHAEL C. SALARDA
MS. LEONARDA M. LATOR
MS. CARMENCITA VALDEZ
MS. SORAYA P. VERGARA</v>
          </cell>
          <cell r="AH788" t="str">
            <v>N/A</v>
          </cell>
          <cell r="AI788" t="str">
            <v>N/A</v>
          </cell>
          <cell r="AJ788" t="str">
            <v>N/A</v>
          </cell>
          <cell r="AK788" t="str">
            <v>N/A</v>
          </cell>
          <cell r="AL788" t="str">
            <v>N/A</v>
          </cell>
          <cell r="AM788" t="str">
            <v>N/A</v>
          </cell>
          <cell r="AN788">
            <v>0</v>
          </cell>
          <cell r="AO788">
            <v>0</v>
          </cell>
        </row>
        <row r="789">
          <cell r="A789" t="str">
            <v>24-2426</v>
          </cell>
          <cell r="B789" t="str">
            <v>SPAREPARTS (MOTOR
CYCLE)</v>
          </cell>
          <cell r="C789" t="str">
            <v>PGSO</v>
          </cell>
          <cell r="D789" t="str">
            <v>No</v>
          </cell>
          <cell r="E789" t="str">
            <v>NP-53.9 - Small Value Procurement</v>
          </cell>
          <cell r="F789">
            <v>45421</v>
          </cell>
          <cell r="G789">
            <v>45425</v>
          </cell>
          <cell r="H789">
            <v>0</v>
          </cell>
          <cell r="I789" t="str">
            <v>N/A</v>
          </cell>
          <cell r="J789">
            <v>45440</v>
          </cell>
          <cell r="K789">
            <v>45440</v>
          </cell>
          <cell r="L789">
            <v>0</v>
          </cell>
          <cell r="M789" t="str">
            <v>N/A</v>
          </cell>
          <cell r="N789" t="str">
            <v>N/A</v>
          </cell>
          <cell r="O789">
            <v>45441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 t="e">
            <v>#N/A</v>
          </cell>
          <cell r="Y789">
            <v>0</v>
          </cell>
          <cell r="Z789">
            <v>0</v>
          </cell>
          <cell r="AA789">
            <v>18273</v>
          </cell>
          <cell r="AB789">
            <v>0</v>
          </cell>
          <cell r="AC789">
            <v>18273</v>
          </cell>
          <cell r="AD789">
            <v>17920</v>
          </cell>
          <cell r="AE789">
            <v>0</v>
          </cell>
          <cell r="AF789">
            <v>17920</v>
          </cell>
          <cell r="AG789" t="str">
            <v>ENGR. MICHAEL C. SALARDA
MS. LEONARDA M. LATOR
MS. CARMENCITA VALDEZ
MS. SORAYA P. VERGARA</v>
          </cell>
          <cell r="AH789" t="str">
            <v>N/A</v>
          </cell>
          <cell r="AI789" t="str">
            <v>N/A</v>
          </cell>
          <cell r="AJ789" t="str">
            <v>N/A</v>
          </cell>
          <cell r="AK789" t="str">
            <v>N/A</v>
          </cell>
          <cell r="AL789" t="str">
            <v>N/A</v>
          </cell>
          <cell r="AM789" t="str">
            <v>N/A</v>
          </cell>
          <cell r="AN789">
            <v>0</v>
          </cell>
          <cell r="AO789">
            <v>0</v>
          </cell>
        </row>
        <row r="790">
          <cell r="A790" t="str">
            <v>24-C1013</v>
          </cell>
          <cell r="B790" t="str">
            <v>CONSTRUCTION SUPPLIES</v>
          </cell>
          <cell r="C790" t="str">
            <v>PEEMO</v>
          </cell>
          <cell r="D790" t="str">
            <v>No</v>
          </cell>
          <cell r="E790" t="str">
            <v>NP-53.9 - Small Value Procurement</v>
          </cell>
          <cell r="F790" t="str">
            <v>N/A</v>
          </cell>
          <cell r="G790">
            <v>45412</v>
          </cell>
          <cell r="H790">
            <v>0</v>
          </cell>
          <cell r="I790" t="str">
            <v>N/A</v>
          </cell>
          <cell r="J790">
            <v>45440</v>
          </cell>
          <cell r="K790">
            <v>45440</v>
          </cell>
          <cell r="L790">
            <v>0</v>
          </cell>
          <cell r="M790" t="str">
            <v>N/A</v>
          </cell>
          <cell r="N790" t="str">
            <v>N/A</v>
          </cell>
          <cell r="O790">
            <v>45441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43752</v>
          </cell>
          <cell r="AB790">
            <v>0</v>
          </cell>
          <cell r="AC790">
            <v>43752</v>
          </cell>
          <cell r="AD790">
            <v>43385</v>
          </cell>
          <cell r="AE790">
            <v>0</v>
          </cell>
          <cell r="AF790">
            <v>43385</v>
          </cell>
          <cell r="AG790" t="str">
            <v>ENGR. MICHAEL C. SALARDA
MS. LEONARDA M. LATOR
MS. CARMENCITA VALDEZ
MS. SORAYA P. VERGARA</v>
          </cell>
          <cell r="AH790" t="str">
            <v>N/A</v>
          </cell>
          <cell r="AI790" t="str">
            <v>N/A</v>
          </cell>
          <cell r="AJ790" t="str">
            <v>N/A</v>
          </cell>
          <cell r="AK790" t="str">
            <v>N/A</v>
          </cell>
          <cell r="AL790" t="str">
            <v>N/A</v>
          </cell>
          <cell r="AM790" t="str">
            <v>N/A</v>
          </cell>
          <cell r="AN790">
            <v>0</v>
          </cell>
          <cell r="AO790">
            <v>0</v>
          </cell>
        </row>
        <row r="791">
          <cell r="A791" t="str">
            <v>24-2583</v>
          </cell>
          <cell r="B791" t="str">
            <v>CONSTRUCTION MATERIALS</v>
          </cell>
          <cell r="C791" t="str">
            <v>PEO</v>
          </cell>
          <cell r="D791" t="str">
            <v>No</v>
          </cell>
          <cell r="E791" t="str">
            <v>NP-53.9 - Small Value Procurement</v>
          </cell>
          <cell r="F791">
            <v>45421</v>
          </cell>
          <cell r="G791">
            <v>45425</v>
          </cell>
          <cell r="H791">
            <v>0</v>
          </cell>
          <cell r="I791" t="str">
            <v>N/A</v>
          </cell>
          <cell r="J791">
            <v>45440</v>
          </cell>
          <cell r="K791">
            <v>45440</v>
          </cell>
          <cell r="L791">
            <v>0</v>
          </cell>
          <cell r="M791" t="str">
            <v>N/A</v>
          </cell>
          <cell r="N791" t="str">
            <v>N/A</v>
          </cell>
          <cell r="O791">
            <v>45441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 t="e">
            <v>#N/A</v>
          </cell>
          <cell r="Y791">
            <v>0</v>
          </cell>
          <cell r="Z791">
            <v>0</v>
          </cell>
          <cell r="AA791">
            <v>5206</v>
          </cell>
          <cell r="AB791">
            <v>0</v>
          </cell>
          <cell r="AC791">
            <v>5206</v>
          </cell>
          <cell r="AD791">
            <v>5150</v>
          </cell>
          <cell r="AE791">
            <v>0</v>
          </cell>
          <cell r="AF791">
            <v>5150</v>
          </cell>
          <cell r="AG791" t="str">
            <v>ENGR. MICHAEL C. SALARDA
MS. LEONARDA M. LATOR
MS. CARMENCITA VALDEZ
MS. SORAYA P. VERGARA</v>
          </cell>
          <cell r="AH791" t="str">
            <v>N/A</v>
          </cell>
          <cell r="AI791" t="str">
            <v>N/A</v>
          </cell>
          <cell r="AJ791" t="str">
            <v>N/A</v>
          </cell>
          <cell r="AK791" t="str">
            <v>N/A</v>
          </cell>
          <cell r="AL791" t="str">
            <v>N/A</v>
          </cell>
          <cell r="AM791" t="str">
            <v>N/A</v>
          </cell>
          <cell r="AN791">
            <v>0</v>
          </cell>
          <cell r="AO791">
            <v>0</v>
          </cell>
        </row>
        <row r="792">
          <cell r="A792" t="str">
            <v>24-1242</v>
          </cell>
          <cell r="B792" t="str">
            <v>CONSTRUCTION SUPPLIES</v>
          </cell>
          <cell r="C792" t="str">
            <v>PAGRO</v>
          </cell>
          <cell r="D792" t="str">
            <v>No</v>
          </cell>
          <cell r="E792" t="str">
            <v>NP-53.9 - Small Value Procurement</v>
          </cell>
          <cell r="F792">
            <v>45398</v>
          </cell>
          <cell r="G792">
            <v>45404</v>
          </cell>
          <cell r="H792">
            <v>0</v>
          </cell>
          <cell r="I792" t="str">
            <v>N/A</v>
          </cell>
          <cell r="J792">
            <v>45440</v>
          </cell>
          <cell r="K792">
            <v>45440</v>
          </cell>
          <cell r="L792">
            <v>0</v>
          </cell>
          <cell r="M792" t="str">
            <v>N/A</v>
          </cell>
          <cell r="N792" t="str">
            <v>N/A</v>
          </cell>
          <cell r="O792">
            <v>45441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2058</v>
          </cell>
          <cell r="AB792">
            <v>0</v>
          </cell>
          <cell r="AC792">
            <v>2058</v>
          </cell>
          <cell r="AD792">
            <v>1975</v>
          </cell>
          <cell r="AE792">
            <v>0</v>
          </cell>
          <cell r="AF792">
            <v>1975</v>
          </cell>
          <cell r="AG792" t="str">
            <v>ENGR. MICHAEL C. SALARDA
MS. LEONARDA M. LATOR
MS. CARMENCITA VALDEZ
MS. SORAYA P. VERGARA</v>
          </cell>
          <cell r="AH792" t="str">
            <v>N/A</v>
          </cell>
          <cell r="AI792" t="str">
            <v>N/A</v>
          </cell>
          <cell r="AJ792" t="str">
            <v>N/A</v>
          </cell>
          <cell r="AK792" t="str">
            <v>N/A</v>
          </cell>
          <cell r="AL792" t="str">
            <v>N/A</v>
          </cell>
          <cell r="AM792" t="str">
            <v>N/A</v>
          </cell>
          <cell r="AN792">
            <v>0</v>
          </cell>
          <cell r="AO792">
            <v>0</v>
          </cell>
        </row>
        <row r="793">
          <cell r="A793" t="str">
            <v>24-2474</v>
          </cell>
          <cell r="B793" t="str">
            <v>DOORSIGN &amp; TABLESIGN</v>
          </cell>
          <cell r="C793" t="str">
            <v>SPO</v>
          </cell>
          <cell r="D793" t="str">
            <v>No</v>
          </cell>
          <cell r="E793" t="str">
            <v>NP-53.9 - Small Value Procurement</v>
          </cell>
          <cell r="F793" t="str">
            <v>N/A</v>
          </cell>
          <cell r="G793">
            <v>45418</v>
          </cell>
          <cell r="H793">
            <v>0</v>
          </cell>
          <cell r="I793" t="str">
            <v>N/A</v>
          </cell>
          <cell r="J793">
            <v>45440</v>
          </cell>
          <cell r="K793">
            <v>45440</v>
          </cell>
          <cell r="L793">
            <v>0</v>
          </cell>
          <cell r="M793" t="str">
            <v>N/A</v>
          </cell>
          <cell r="N793" t="str">
            <v>N/A</v>
          </cell>
          <cell r="O793">
            <v>45441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 t="e">
            <v>#N/A</v>
          </cell>
          <cell r="Y793">
            <v>0</v>
          </cell>
          <cell r="Z793">
            <v>0</v>
          </cell>
          <cell r="AA793">
            <v>16000</v>
          </cell>
          <cell r="AB793">
            <v>0</v>
          </cell>
          <cell r="AC793">
            <v>16000</v>
          </cell>
          <cell r="AD793">
            <v>16000</v>
          </cell>
          <cell r="AE793">
            <v>0</v>
          </cell>
          <cell r="AF793">
            <v>16000</v>
          </cell>
          <cell r="AG793" t="str">
            <v>ENGR. MICHAEL C. SALARDA
MS. LEONARDA M. LATOR
MS. CARMENCITA VALDEZ
MS. SORAYA P. VERGARA</v>
          </cell>
          <cell r="AH793" t="str">
            <v>N/A</v>
          </cell>
          <cell r="AI793" t="str">
            <v>N/A</v>
          </cell>
          <cell r="AJ793" t="str">
            <v>N/A</v>
          </cell>
          <cell r="AK793" t="str">
            <v>N/A</v>
          </cell>
          <cell r="AL793" t="str">
            <v>N/A</v>
          </cell>
          <cell r="AM793" t="str">
            <v>N/A</v>
          </cell>
          <cell r="AN793">
            <v>0</v>
          </cell>
          <cell r="AO793">
            <v>0</v>
          </cell>
        </row>
        <row r="794">
          <cell r="A794" t="str">
            <v>24-2439</v>
          </cell>
          <cell r="B794" t="str">
            <v>GENSET ENGINE
THERMOSTAT</v>
          </cell>
          <cell r="C794" t="str">
            <v>PGSO</v>
          </cell>
          <cell r="D794" t="str">
            <v>No</v>
          </cell>
          <cell r="E794" t="str">
            <v>NP-53.9 - Small Value Procurement</v>
          </cell>
          <cell r="F794">
            <v>45421</v>
          </cell>
          <cell r="G794">
            <v>45425</v>
          </cell>
          <cell r="H794">
            <v>0</v>
          </cell>
          <cell r="I794" t="str">
            <v>N/A</v>
          </cell>
          <cell r="J794">
            <v>45440</v>
          </cell>
          <cell r="K794">
            <v>45440</v>
          </cell>
          <cell r="L794">
            <v>0</v>
          </cell>
          <cell r="M794" t="str">
            <v>N/A</v>
          </cell>
          <cell r="N794" t="str">
            <v>N/A</v>
          </cell>
          <cell r="O794">
            <v>45441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 t="e">
            <v>#N/A</v>
          </cell>
          <cell r="Y794">
            <v>0</v>
          </cell>
          <cell r="Z794">
            <v>0</v>
          </cell>
          <cell r="AA794">
            <v>14036.66</v>
          </cell>
          <cell r="AB794">
            <v>0</v>
          </cell>
          <cell r="AC794">
            <v>14036.66</v>
          </cell>
          <cell r="AD794">
            <v>10521.28</v>
          </cell>
          <cell r="AE794">
            <v>0</v>
          </cell>
          <cell r="AF794">
            <v>10521.28</v>
          </cell>
          <cell r="AG794" t="str">
            <v>ENGR. MICHAEL C. SALARDA
MS. LEONARDA M. LATOR
MS. CARMENCITA VALDEZ
MS. SORAYA P. VERGARA</v>
          </cell>
          <cell r="AH794" t="str">
            <v>N/A</v>
          </cell>
          <cell r="AI794" t="str">
            <v>N/A</v>
          </cell>
          <cell r="AJ794" t="str">
            <v>N/A</v>
          </cell>
          <cell r="AK794" t="str">
            <v>N/A</v>
          </cell>
          <cell r="AL794" t="str">
            <v>N/A</v>
          </cell>
          <cell r="AM794" t="str">
            <v>N/A</v>
          </cell>
          <cell r="AN794">
            <v>0</v>
          </cell>
          <cell r="AO794">
            <v>0</v>
          </cell>
        </row>
        <row r="795">
          <cell r="A795" t="str">
            <v>24-C1265</v>
          </cell>
          <cell r="B795" t="str">
            <v>FOOD/CATERING SERVICES</v>
          </cell>
          <cell r="C795" t="str">
            <v>PDRRMO</v>
          </cell>
          <cell r="D795" t="str">
            <v>No</v>
          </cell>
          <cell r="E795" t="str">
            <v>NP-53.1 Two Failed Biddings</v>
          </cell>
          <cell r="F795" t="str">
            <v>N/A</v>
          </cell>
          <cell r="G795">
            <v>45422</v>
          </cell>
          <cell r="H795">
            <v>0</v>
          </cell>
          <cell r="I795" t="str">
            <v>N/A</v>
          </cell>
          <cell r="J795">
            <v>45440</v>
          </cell>
          <cell r="K795">
            <v>45440</v>
          </cell>
          <cell r="L795">
            <v>0</v>
          </cell>
          <cell r="M795" t="str">
            <v>N/A</v>
          </cell>
          <cell r="N795" t="str">
            <v>N/A</v>
          </cell>
          <cell r="O795">
            <v>45441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297980</v>
          </cell>
          <cell r="AB795">
            <v>0</v>
          </cell>
          <cell r="AC795">
            <v>297980</v>
          </cell>
          <cell r="AD795">
            <v>297980</v>
          </cell>
          <cell r="AE795">
            <v>0</v>
          </cell>
          <cell r="AF795">
            <v>297980</v>
          </cell>
          <cell r="AG795" t="str">
            <v>ENGR. MICHAEL C. SALARDA
MS. LEONARDA M. LATOR
MS. CARMENCITA VALDEZ
MS. SORAYA P. VERGARA</v>
          </cell>
          <cell r="AH795" t="str">
            <v>N/A</v>
          </cell>
          <cell r="AI795" t="str">
            <v>N/A</v>
          </cell>
          <cell r="AJ795" t="str">
            <v>N/A</v>
          </cell>
          <cell r="AK795" t="str">
            <v>N/A</v>
          </cell>
          <cell r="AL795" t="str">
            <v>N/A</v>
          </cell>
          <cell r="AM795" t="str">
            <v>N/A</v>
          </cell>
          <cell r="AN795">
            <v>0</v>
          </cell>
          <cell r="AO795">
            <v>0</v>
          </cell>
        </row>
        <row r="796">
          <cell r="A796" t="str">
            <v>24-1892</v>
          </cell>
          <cell r="B796" t="str">
            <v>UTILITY VEHICLE</v>
          </cell>
          <cell r="C796" t="str">
            <v>PAO-ADMIN</v>
          </cell>
          <cell r="D796" t="str">
            <v>No</v>
          </cell>
          <cell r="E796" t="str">
            <v>NP-53.1 Two Failed Biddings</v>
          </cell>
          <cell r="F796" t="str">
            <v>N/A</v>
          </cell>
          <cell r="G796">
            <v>45429</v>
          </cell>
          <cell r="H796">
            <v>0</v>
          </cell>
          <cell r="I796" t="str">
            <v>N/A</v>
          </cell>
          <cell r="J796">
            <v>45440</v>
          </cell>
          <cell r="K796">
            <v>45440</v>
          </cell>
          <cell r="L796">
            <v>0</v>
          </cell>
          <cell r="M796" t="str">
            <v>N/A</v>
          </cell>
          <cell r="N796" t="str">
            <v>N/A</v>
          </cell>
          <cell r="O796">
            <v>45441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 t="e">
            <v>#N/A</v>
          </cell>
          <cell r="Y796">
            <v>0</v>
          </cell>
          <cell r="Z796">
            <v>0</v>
          </cell>
          <cell r="AA796">
            <v>1300000</v>
          </cell>
          <cell r="AB796">
            <v>0</v>
          </cell>
          <cell r="AC796">
            <v>1300000</v>
          </cell>
          <cell r="AD796">
            <v>1298000</v>
          </cell>
          <cell r="AE796">
            <v>0</v>
          </cell>
          <cell r="AF796">
            <v>1298000</v>
          </cell>
          <cell r="AG796" t="str">
            <v>ENGR. MICHAEL C. SALARDA
MS. LEONARDA M. LATOR
MS. CARMENCITA VALDEZ
MS. SORAYA P. VERGARA</v>
          </cell>
          <cell r="AH796" t="str">
            <v>N/A</v>
          </cell>
          <cell r="AI796" t="str">
            <v>N/A</v>
          </cell>
          <cell r="AJ796" t="str">
            <v>N/A</v>
          </cell>
          <cell r="AK796" t="str">
            <v>N/A</v>
          </cell>
          <cell r="AL796" t="str">
            <v>N/A</v>
          </cell>
          <cell r="AM796" t="str">
            <v>N/A</v>
          </cell>
          <cell r="AN796">
            <v>0</v>
          </cell>
          <cell r="AO796">
            <v>0</v>
          </cell>
        </row>
        <row r="797">
          <cell r="A797" t="str">
            <v>24-C1307</v>
          </cell>
          <cell r="B797" t="str">
            <v>SPAREPARTS ( FARM
MACHINERIES AND
EQUIPMENT )</v>
          </cell>
          <cell r="C797" t="str">
            <v>PAGRO</v>
          </cell>
          <cell r="D797" t="str">
            <v>No</v>
          </cell>
          <cell r="E797" t="str">
            <v>NP-53.1 Two Failed Biddings</v>
          </cell>
          <cell r="F797">
            <v>45390</v>
          </cell>
          <cell r="G797">
            <v>45429</v>
          </cell>
          <cell r="H797">
            <v>0</v>
          </cell>
          <cell r="I797" t="str">
            <v>N/A</v>
          </cell>
          <cell r="J797">
            <v>45440</v>
          </cell>
          <cell r="K797">
            <v>45440</v>
          </cell>
          <cell r="L797">
            <v>0</v>
          </cell>
          <cell r="M797" t="str">
            <v>N/A</v>
          </cell>
          <cell r="N797" t="str">
            <v>N/A</v>
          </cell>
          <cell r="O797">
            <v>45441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508835.8</v>
          </cell>
          <cell r="AB797">
            <v>0</v>
          </cell>
          <cell r="AC797">
            <v>508835.8</v>
          </cell>
          <cell r="AD797">
            <v>500920</v>
          </cell>
          <cell r="AE797">
            <v>0</v>
          </cell>
          <cell r="AF797">
            <v>500920</v>
          </cell>
          <cell r="AG797" t="str">
            <v>ENGR. MICHAEL C. SALARDA
MS. LEONARDA M. LATOR
MS. CARMENCITA VALDEZ
MS. SORAYA P. VERGARA</v>
          </cell>
          <cell r="AH797" t="str">
            <v>N/A</v>
          </cell>
          <cell r="AI797" t="str">
            <v>N/A</v>
          </cell>
          <cell r="AJ797" t="str">
            <v>N/A</v>
          </cell>
          <cell r="AK797" t="str">
            <v>N/A</v>
          </cell>
          <cell r="AL797" t="str">
            <v>N/A</v>
          </cell>
          <cell r="AM797" t="str">
            <v>N/A</v>
          </cell>
          <cell r="AN797">
            <v>0</v>
          </cell>
          <cell r="AO797">
            <v>0</v>
          </cell>
        </row>
        <row r="798">
          <cell r="A798" t="str">
            <v>24-C1310</v>
          </cell>
          <cell r="B798" t="str">
            <v>CONSTRUCTION SUPPLIES</v>
          </cell>
          <cell r="C798" t="str">
            <v>PAGRO</v>
          </cell>
          <cell r="D798" t="str">
            <v>No</v>
          </cell>
          <cell r="E798" t="str">
            <v>NP-53.1 Two Failed Biddings</v>
          </cell>
          <cell r="F798">
            <v>45398</v>
          </cell>
          <cell r="G798">
            <v>45429</v>
          </cell>
          <cell r="H798">
            <v>0</v>
          </cell>
          <cell r="I798" t="str">
            <v>N/A</v>
          </cell>
          <cell r="J798">
            <v>45440</v>
          </cell>
          <cell r="K798">
            <v>45440</v>
          </cell>
          <cell r="L798">
            <v>0</v>
          </cell>
          <cell r="M798" t="str">
            <v>N/A</v>
          </cell>
          <cell r="N798" t="str">
            <v>N/A</v>
          </cell>
          <cell r="O798">
            <v>45441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338328</v>
          </cell>
          <cell r="AB798">
            <v>0</v>
          </cell>
          <cell r="AC798">
            <v>338328</v>
          </cell>
          <cell r="AD798">
            <v>335722.5</v>
          </cell>
          <cell r="AE798">
            <v>0</v>
          </cell>
          <cell r="AF798">
            <v>335722.5</v>
          </cell>
          <cell r="AG798" t="str">
            <v>ENGR. MICHAEL C. SALARDA
MS. LEONARDA M. LATOR
MS. CARMENCITA VALDEZ
MS. SORAYA P. VERGARA</v>
          </cell>
          <cell r="AH798" t="str">
            <v>N/A</v>
          </cell>
          <cell r="AI798" t="str">
            <v>N/A</v>
          </cell>
          <cell r="AJ798" t="str">
            <v>N/A</v>
          </cell>
          <cell r="AK798" t="str">
            <v>N/A</v>
          </cell>
          <cell r="AL798" t="str">
            <v>N/A</v>
          </cell>
          <cell r="AM798" t="str">
            <v>N/A</v>
          </cell>
          <cell r="AN798">
            <v>0</v>
          </cell>
          <cell r="AO798">
            <v>0</v>
          </cell>
        </row>
        <row r="799">
          <cell r="A799" t="str">
            <v>24-1884</v>
          </cell>
          <cell r="B799" t="str">
            <v>FOOD/CATERING SERVICES</v>
          </cell>
          <cell r="C799" t="str">
            <v>PGO</v>
          </cell>
          <cell r="D799" t="str">
            <v>No</v>
          </cell>
          <cell r="E799" t="str">
            <v>NP-53.1 Two Failed Biddings</v>
          </cell>
          <cell r="F799" t="str">
            <v>N/A</v>
          </cell>
          <cell r="G799">
            <v>45429</v>
          </cell>
          <cell r="H799">
            <v>0</v>
          </cell>
          <cell r="I799" t="str">
            <v>N/A</v>
          </cell>
          <cell r="J799">
            <v>45440</v>
          </cell>
          <cell r="K799">
            <v>45440</v>
          </cell>
          <cell r="L799">
            <v>0</v>
          </cell>
          <cell r="M799" t="str">
            <v>N/A</v>
          </cell>
          <cell r="N799" t="str">
            <v>N/A</v>
          </cell>
          <cell r="O799">
            <v>45441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 t="e">
            <v>#N/A</v>
          </cell>
          <cell r="Y799">
            <v>0</v>
          </cell>
          <cell r="Z799">
            <v>0</v>
          </cell>
          <cell r="AA799">
            <v>1185000</v>
          </cell>
          <cell r="AB799">
            <v>0</v>
          </cell>
          <cell r="AC799">
            <v>1185000</v>
          </cell>
          <cell r="AD799">
            <v>1132500</v>
          </cell>
          <cell r="AE799">
            <v>0</v>
          </cell>
          <cell r="AF799">
            <v>1132500</v>
          </cell>
          <cell r="AG799" t="str">
            <v>ENGR. MICHAEL C. SALARDA
MS. LEONARDA M. LATOR
MS. CARMENCITA VALDEZ
MS. SORAYA P. VERGARA</v>
          </cell>
          <cell r="AH799" t="str">
            <v>N/A</v>
          </cell>
          <cell r="AI799" t="str">
            <v>N/A</v>
          </cell>
          <cell r="AJ799" t="str">
            <v>N/A</v>
          </cell>
          <cell r="AK799" t="str">
            <v>N/A</v>
          </cell>
          <cell r="AL799" t="str">
            <v>N/A</v>
          </cell>
          <cell r="AM799" t="str">
            <v>N/A</v>
          </cell>
          <cell r="AN799">
            <v>0</v>
          </cell>
          <cell r="AO799">
            <v>0</v>
          </cell>
        </row>
        <row r="800">
          <cell r="A800" t="str">
            <v>24-0864</v>
          </cell>
          <cell r="B800" t="str">
            <v>MONTHLY INTERNET
SUBSCRIPTION</v>
          </cell>
          <cell r="C800" t="str">
            <v>SPO</v>
          </cell>
          <cell r="D800" t="str">
            <v>No</v>
          </cell>
          <cell r="E800" t="str">
            <v>NP-53.1 Two Failed Biddings</v>
          </cell>
          <cell r="F800" t="str">
            <v>N/A</v>
          </cell>
          <cell r="G800">
            <v>45422</v>
          </cell>
          <cell r="H800">
            <v>0</v>
          </cell>
          <cell r="I800" t="str">
            <v>N/A</v>
          </cell>
          <cell r="J800">
            <v>45440</v>
          </cell>
          <cell r="K800">
            <v>45440</v>
          </cell>
          <cell r="L800">
            <v>0</v>
          </cell>
          <cell r="M800" t="str">
            <v>N/A</v>
          </cell>
          <cell r="N800" t="str">
            <v>N/A</v>
          </cell>
          <cell r="O800">
            <v>45441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 t="e">
            <v>#N/A</v>
          </cell>
          <cell r="Y800">
            <v>0</v>
          </cell>
          <cell r="Z800">
            <v>0</v>
          </cell>
          <cell r="AA800">
            <v>403200</v>
          </cell>
          <cell r="AB800">
            <v>0</v>
          </cell>
          <cell r="AC800">
            <v>403200</v>
          </cell>
          <cell r="AD800">
            <v>403200</v>
          </cell>
          <cell r="AE800">
            <v>0</v>
          </cell>
          <cell r="AF800">
            <v>403200</v>
          </cell>
          <cell r="AG800" t="str">
            <v>ENGR. MICHAEL C. SALARDA
MS. LEONARDA M. LATOR
MS. CARMENCITA VALDEZ
MS. SORAYA P. VERGARA</v>
          </cell>
          <cell r="AH800" t="str">
            <v>N/A</v>
          </cell>
          <cell r="AI800" t="str">
            <v>N/A</v>
          </cell>
          <cell r="AJ800" t="str">
            <v>N/A</v>
          </cell>
          <cell r="AK800" t="str">
            <v>N/A</v>
          </cell>
          <cell r="AL800" t="str">
            <v>N/A</v>
          </cell>
          <cell r="AM800" t="str">
            <v>N/A</v>
          </cell>
          <cell r="AN800">
            <v>0</v>
          </cell>
          <cell r="AO800">
            <v>0</v>
          </cell>
        </row>
        <row r="801">
          <cell r="A801" t="str">
            <v>24-2219</v>
          </cell>
          <cell r="B801" t="str">
            <v>SPAREPARTS (LIGHT
VEHICLES)</v>
          </cell>
          <cell r="C801" t="str">
            <v>SPO</v>
          </cell>
          <cell r="D801" t="str">
            <v>No</v>
          </cell>
          <cell r="E801" t="str">
            <v>Shopping 52.1(a) - Unforeseen Contingency</v>
          </cell>
          <cell r="F801" t="str">
            <v>N/A</v>
          </cell>
          <cell r="G801">
            <v>45425</v>
          </cell>
          <cell r="H801">
            <v>0</v>
          </cell>
          <cell r="I801" t="str">
            <v>N/A</v>
          </cell>
          <cell r="J801">
            <v>45446</v>
          </cell>
          <cell r="K801">
            <v>45446</v>
          </cell>
          <cell r="L801">
            <v>0</v>
          </cell>
          <cell r="M801" t="str">
            <v>N/A</v>
          </cell>
          <cell r="N801" t="str">
            <v>N/A</v>
          </cell>
          <cell r="O801">
            <v>45450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 t="e">
            <v>#N/A</v>
          </cell>
          <cell r="Y801">
            <v>0</v>
          </cell>
          <cell r="Z801">
            <v>0</v>
          </cell>
          <cell r="AA801">
            <v>7000</v>
          </cell>
          <cell r="AB801">
            <v>0</v>
          </cell>
          <cell r="AC801">
            <v>7000</v>
          </cell>
          <cell r="AD801">
            <v>7000</v>
          </cell>
          <cell r="AE801">
            <v>0</v>
          </cell>
          <cell r="AF801">
            <v>7000</v>
          </cell>
          <cell r="AG801" t="str">
            <v>ENGR. MICHAEL C. SALARDA
MS. LEONARDA M. LATOR
MS. CARMENCITA VALDEZ
MS. SORAYA P. VERGARA</v>
          </cell>
          <cell r="AH801" t="str">
            <v>N/A</v>
          </cell>
          <cell r="AI801" t="str">
            <v>N/A</v>
          </cell>
          <cell r="AJ801" t="str">
            <v>N/A</v>
          </cell>
          <cell r="AK801" t="str">
            <v>N/A</v>
          </cell>
          <cell r="AL801" t="str">
            <v>N/A</v>
          </cell>
          <cell r="AM801" t="str">
            <v>N/A</v>
          </cell>
          <cell r="AN801">
            <v>0</v>
          </cell>
          <cell r="AO801">
            <v>0</v>
          </cell>
        </row>
        <row r="802">
          <cell r="A802" t="str">
            <v>24-2606</v>
          </cell>
          <cell r="B802" t="str">
            <v>SPAREPARTS (LIGHT
VEHICLES)</v>
          </cell>
          <cell r="C802" t="str">
            <v>SPO</v>
          </cell>
          <cell r="D802" t="str">
            <v>No</v>
          </cell>
          <cell r="E802" t="str">
            <v>Shopping 52.1(a) - Unforeseen Contingency</v>
          </cell>
          <cell r="F802" t="str">
            <v>N/A</v>
          </cell>
          <cell r="G802">
            <v>45425</v>
          </cell>
          <cell r="H802">
            <v>0</v>
          </cell>
          <cell r="I802" t="str">
            <v>N/A</v>
          </cell>
          <cell r="J802">
            <v>45446</v>
          </cell>
          <cell r="K802">
            <v>45446</v>
          </cell>
          <cell r="L802">
            <v>0</v>
          </cell>
          <cell r="M802" t="str">
            <v>N/A</v>
          </cell>
          <cell r="N802" t="str">
            <v>N/A</v>
          </cell>
          <cell r="O802">
            <v>45450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 t="e">
            <v>#N/A</v>
          </cell>
          <cell r="Y802">
            <v>0</v>
          </cell>
          <cell r="Z802">
            <v>0</v>
          </cell>
          <cell r="AA802">
            <v>24150</v>
          </cell>
          <cell r="AB802">
            <v>0</v>
          </cell>
          <cell r="AC802">
            <v>24150</v>
          </cell>
          <cell r="AD802">
            <v>24150</v>
          </cell>
          <cell r="AE802">
            <v>0</v>
          </cell>
          <cell r="AF802">
            <v>24150</v>
          </cell>
          <cell r="AG802" t="str">
            <v>ENGR. MICHAEL C. SALARDA
MS. LEONARDA M. LATOR
MS. CARMENCITA VALDEZ
MS. SORAYA P. VERGARA</v>
          </cell>
          <cell r="AH802" t="str">
            <v>N/A</v>
          </cell>
          <cell r="AI802" t="str">
            <v>N/A</v>
          </cell>
          <cell r="AJ802" t="str">
            <v>N/A</v>
          </cell>
          <cell r="AK802" t="str">
            <v>N/A</v>
          </cell>
          <cell r="AL802" t="str">
            <v>N/A</v>
          </cell>
          <cell r="AM802" t="str">
            <v>N/A</v>
          </cell>
          <cell r="AN802">
            <v>0</v>
          </cell>
          <cell r="AO802">
            <v>0</v>
          </cell>
        </row>
        <row r="803">
          <cell r="A803" t="str">
            <v>24-2523</v>
          </cell>
          <cell r="B803" t="str">
            <v>SPAREPARTS (LIGHT
VEHICLES)</v>
          </cell>
          <cell r="C803" t="str">
            <v>SPO</v>
          </cell>
          <cell r="D803" t="str">
            <v>No</v>
          </cell>
          <cell r="E803" t="str">
            <v>Shopping 52.1(a) - Unforeseen Contingency</v>
          </cell>
          <cell r="F803" t="str">
            <v>N/A</v>
          </cell>
          <cell r="G803">
            <v>45425</v>
          </cell>
          <cell r="H803">
            <v>0</v>
          </cell>
          <cell r="I803" t="str">
            <v>N/A</v>
          </cell>
          <cell r="J803">
            <v>45446</v>
          </cell>
          <cell r="K803">
            <v>45446</v>
          </cell>
          <cell r="L803">
            <v>0</v>
          </cell>
          <cell r="M803" t="str">
            <v>N/A</v>
          </cell>
          <cell r="N803" t="str">
            <v>N/A</v>
          </cell>
          <cell r="O803">
            <v>45450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 t="e">
            <v>#N/A</v>
          </cell>
          <cell r="Y803">
            <v>0</v>
          </cell>
          <cell r="Z803">
            <v>0</v>
          </cell>
          <cell r="AA803">
            <v>3500</v>
          </cell>
          <cell r="AB803">
            <v>0</v>
          </cell>
          <cell r="AC803">
            <v>3500</v>
          </cell>
          <cell r="AD803">
            <v>3500</v>
          </cell>
          <cell r="AE803">
            <v>0</v>
          </cell>
          <cell r="AF803">
            <v>3500</v>
          </cell>
          <cell r="AG803" t="str">
            <v>ENGR. MICHAEL C. SALARDA
MS. LEONARDA M. LATOR
MS. CARMENCITA VALDEZ
MS. SORAYA P. VERGARA</v>
          </cell>
          <cell r="AH803" t="str">
            <v>N/A</v>
          </cell>
          <cell r="AI803" t="str">
            <v>N/A</v>
          </cell>
          <cell r="AJ803" t="str">
            <v>N/A</v>
          </cell>
          <cell r="AK803" t="str">
            <v>N/A</v>
          </cell>
          <cell r="AL803" t="str">
            <v>N/A</v>
          </cell>
          <cell r="AM803" t="str">
            <v>N/A</v>
          </cell>
          <cell r="AN803">
            <v>0</v>
          </cell>
          <cell r="AO803">
            <v>0</v>
          </cell>
        </row>
        <row r="804">
          <cell r="A804" t="str">
            <v>24-2520</v>
          </cell>
          <cell r="B804" t="str">
            <v>SPAREPARTS (LIGHT
VEHICLES)</v>
          </cell>
          <cell r="C804" t="str">
            <v>SPO</v>
          </cell>
          <cell r="D804" t="str">
            <v>No</v>
          </cell>
          <cell r="E804" t="str">
            <v>Shopping 52.1(a) - Unforeseen Contingency</v>
          </cell>
          <cell r="F804" t="str">
            <v>N/A</v>
          </cell>
          <cell r="G804">
            <v>45425</v>
          </cell>
          <cell r="H804">
            <v>0</v>
          </cell>
          <cell r="I804" t="str">
            <v>N/A</v>
          </cell>
          <cell r="J804">
            <v>45446</v>
          </cell>
          <cell r="K804">
            <v>45446</v>
          </cell>
          <cell r="L804">
            <v>0</v>
          </cell>
          <cell r="M804" t="str">
            <v>N/A</v>
          </cell>
          <cell r="N804" t="str">
            <v>N/A</v>
          </cell>
          <cell r="O804">
            <v>45450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 t="e">
            <v>#N/A</v>
          </cell>
          <cell r="Y804">
            <v>0</v>
          </cell>
          <cell r="Z804">
            <v>0</v>
          </cell>
          <cell r="AA804">
            <v>3300</v>
          </cell>
          <cell r="AB804">
            <v>0</v>
          </cell>
          <cell r="AC804">
            <v>3300</v>
          </cell>
          <cell r="AD804">
            <v>3300</v>
          </cell>
          <cell r="AE804">
            <v>0</v>
          </cell>
          <cell r="AF804">
            <v>3300</v>
          </cell>
          <cell r="AG804" t="str">
            <v>ENGR. MICHAEL C. SALARDA
MS. LEONARDA M. LATOR
MS. CARMENCITA VALDEZ
MS. SORAYA P. VERGARA</v>
          </cell>
          <cell r="AH804" t="str">
            <v>N/A</v>
          </cell>
          <cell r="AI804" t="str">
            <v>N/A</v>
          </cell>
          <cell r="AJ804" t="str">
            <v>N/A</v>
          </cell>
          <cell r="AK804" t="str">
            <v>N/A</v>
          </cell>
          <cell r="AL804" t="str">
            <v>N/A</v>
          </cell>
          <cell r="AM804" t="str">
            <v>N/A</v>
          </cell>
          <cell r="AN804">
            <v>0</v>
          </cell>
          <cell r="AO804">
            <v>0</v>
          </cell>
        </row>
        <row r="805">
          <cell r="A805" t="str">
            <v>24-C1155</v>
          </cell>
          <cell r="B805" t="str">
            <v>CLOUD SERVICE
SUBSCRIPTION, CODE
REPOSITORY &amp; WEB
HOSTING PACKAGE</v>
          </cell>
          <cell r="C805" t="str">
            <v>PICTO</v>
          </cell>
          <cell r="D805" t="str">
            <v>No</v>
          </cell>
          <cell r="E805" t="str">
            <v>NP-53.1 Two Failed Biddings</v>
          </cell>
          <cell r="F805">
            <v>45390</v>
          </cell>
          <cell r="G805">
            <v>45429</v>
          </cell>
          <cell r="H805">
            <v>0</v>
          </cell>
          <cell r="I805" t="str">
            <v>N/A</v>
          </cell>
          <cell r="J805">
            <v>45446</v>
          </cell>
          <cell r="K805">
            <v>45446</v>
          </cell>
          <cell r="L805">
            <v>0</v>
          </cell>
          <cell r="M805" t="str">
            <v>N/A</v>
          </cell>
          <cell r="N805" t="str">
            <v>N/A</v>
          </cell>
          <cell r="O805">
            <v>45450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350000</v>
          </cell>
          <cell r="AB805">
            <v>0</v>
          </cell>
          <cell r="AC805">
            <v>350000</v>
          </cell>
          <cell r="AD805">
            <v>350000</v>
          </cell>
          <cell r="AE805">
            <v>0</v>
          </cell>
          <cell r="AF805">
            <v>350000</v>
          </cell>
          <cell r="AG805" t="str">
            <v>ENGR. MICHAEL C. SALARDA
MS. LEONARDA M. LATOR
MS. CARMENCITA VALDEZ
MS. SORAYA P. VERGARA</v>
          </cell>
          <cell r="AH805" t="str">
            <v>N/A</v>
          </cell>
          <cell r="AI805" t="str">
            <v>N/A</v>
          </cell>
          <cell r="AJ805" t="str">
            <v>N/A</v>
          </cell>
          <cell r="AK805" t="str">
            <v>N/A</v>
          </cell>
          <cell r="AL805" t="str">
            <v>N/A</v>
          </cell>
          <cell r="AM805" t="str">
            <v>N/A</v>
          </cell>
          <cell r="AN805">
            <v>0</v>
          </cell>
          <cell r="AO805">
            <v>0</v>
          </cell>
        </row>
        <row r="806">
          <cell r="A806" t="str">
            <v>24-2341</v>
          </cell>
          <cell r="B806" t="str">
            <v>OFFICE EQUIPMENT</v>
          </cell>
          <cell r="C806" t="str">
            <v>PTO</v>
          </cell>
          <cell r="D806" t="str">
            <v>No</v>
          </cell>
          <cell r="E806" t="str">
            <v>NP-53.9 - Small Value Procurement</v>
          </cell>
          <cell r="F806" t="str">
            <v>N/A</v>
          </cell>
          <cell r="G806">
            <v>45412</v>
          </cell>
          <cell r="H806">
            <v>0</v>
          </cell>
          <cell r="I806" t="str">
            <v>N/A</v>
          </cell>
          <cell r="J806">
            <v>45446</v>
          </cell>
          <cell r="K806">
            <v>45446</v>
          </cell>
          <cell r="L806">
            <v>0</v>
          </cell>
          <cell r="M806" t="str">
            <v>N/A</v>
          </cell>
          <cell r="N806" t="str">
            <v>N/A</v>
          </cell>
          <cell r="O806">
            <v>45450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 t="e">
            <v>#N/A</v>
          </cell>
          <cell r="Y806">
            <v>0</v>
          </cell>
          <cell r="Z806">
            <v>0</v>
          </cell>
          <cell r="AA806">
            <v>30000</v>
          </cell>
          <cell r="AB806">
            <v>0</v>
          </cell>
          <cell r="AC806">
            <v>30000</v>
          </cell>
          <cell r="AD806">
            <v>30000</v>
          </cell>
          <cell r="AE806">
            <v>0</v>
          </cell>
          <cell r="AF806">
            <v>30000</v>
          </cell>
          <cell r="AG806" t="str">
            <v>ENGR. MICHAEL C. SALARDA
MS. LEONARDA M. LATOR
MS. CARMENCITA VALDEZ
MS. SORAYA P. VERGARA</v>
          </cell>
          <cell r="AH806" t="str">
            <v>N/A</v>
          </cell>
          <cell r="AI806" t="str">
            <v>N/A</v>
          </cell>
          <cell r="AJ806" t="str">
            <v>N/A</v>
          </cell>
          <cell r="AK806" t="str">
            <v>N/A</v>
          </cell>
          <cell r="AL806" t="str">
            <v>N/A</v>
          </cell>
          <cell r="AM806" t="str">
            <v>N/A</v>
          </cell>
          <cell r="AN806">
            <v>0</v>
          </cell>
          <cell r="AO806">
            <v>0</v>
          </cell>
        </row>
        <row r="807">
          <cell r="A807" t="str">
            <v>24-2365</v>
          </cell>
          <cell r="B807" t="str">
            <v>SPAREPARTS (LIGHT
VEHICLES)</v>
          </cell>
          <cell r="C807" t="str">
            <v>PGSO</v>
          </cell>
          <cell r="D807" t="str">
            <v>No</v>
          </cell>
          <cell r="E807" t="str">
            <v>NP-53.9 - Small Value Procurement</v>
          </cell>
          <cell r="F807">
            <v>45407</v>
          </cell>
          <cell r="G807">
            <v>45412</v>
          </cell>
          <cell r="H807">
            <v>0</v>
          </cell>
          <cell r="I807" t="str">
            <v>N/A</v>
          </cell>
          <cell r="J807">
            <v>45446</v>
          </cell>
          <cell r="K807">
            <v>45446</v>
          </cell>
          <cell r="L807">
            <v>0</v>
          </cell>
          <cell r="M807" t="str">
            <v>N/A</v>
          </cell>
          <cell r="N807" t="str">
            <v>N/A</v>
          </cell>
          <cell r="O807">
            <v>45450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 t="e">
            <v>#N/A</v>
          </cell>
          <cell r="Y807">
            <v>0</v>
          </cell>
          <cell r="Z807">
            <v>0</v>
          </cell>
          <cell r="AA807">
            <v>1950</v>
          </cell>
          <cell r="AB807">
            <v>0</v>
          </cell>
          <cell r="AC807">
            <v>1950</v>
          </cell>
          <cell r="AD807">
            <v>1850</v>
          </cell>
          <cell r="AE807">
            <v>0</v>
          </cell>
          <cell r="AF807">
            <v>1850</v>
          </cell>
          <cell r="AG807" t="str">
            <v>ENGR. MICHAEL C. SALARDA
MS. LEONARDA M. LATOR
MS. CARMENCITA VALDEZ
MS. SORAYA P. VERGARA</v>
          </cell>
          <cell r="AH807" t="str">
            <v>N/A</v>
          </cell>
          <cell r="AI807" t="str">
            <v>N/A</v>
          </cell>
          <cell r="AJ807" t="str">
            <v>N/A</v>
          </cell>
          <cell r="AK807" t="str">
            <v>N/A</v>
          </cell>
          <cell r="AL807" t="str">
            <v>N/A</v>
          </cell>
          <cell r="AM807" t="str">
            <v>N/A</v>
          </cell>
          <cell r="AN807">
            <v>0</v>
          </cell>
          <cell r="AO807">
            <v>0</v>
          </cell>
        </row>
        <row r="808">
          <cell r="A808" t="str">
            <v>24-C1160</v>
          </cell>
          <cell r="B808" t="str">
            <v>CONSTRUCTION MATERIALS</v>
          </cell>
          <cell r="C808" t="str">
            <v>PDRRMO</v>
          </cell>
          <cell r="D808" t="str">
            <v>No</v>
          </cell>
          <cell r="E808" t="str">
            <v>NP-53.9 - Small Value Procurement</v>
          </cell>
          <cell r="F808">
            <v>45407</v>
          </cell>
          <cell r="G808">
            <v>45412</v>
          </cell>
          <cell r="H808">
            <v>0</v>
          </cell>
          <cell r="I808" t="str">
            <v>N/A</v>
          </cell>
          <cell r="J808">
            <v>45446</v>
          </cell>
          <cell r="K808">
            <v>45446</v>
          </cell>
          <cell r="L808">
            <v>0</v>
          </cell>
          <cell r="M808" t="str">
            <v>N/A</v>
          </cell>
          <cell r="N808" t="str">
            <v>N/A</v>
          </cell>
          <cell r="O808">
            <v>45450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10902</v>
          </cell>
          <cell r="AB808">
            <v>0</v>
          </cell>
          <cell r="AC808">
            <v>10902</v>
          </cell>
          <cell r="AD808">
            <v>10858</v>
          </cell>
          <cell r="AE808">
            <v>0</v>
          </cell>
          <cell r="AF808">
            <v>10858</v>
          </cell>
          <cell r="AG808" t="str">
            <v>ENGR. MICHAEL C. SALARDA
MS. LEONARDA M. LATOR
MS. CARMENCITA VALDEZ
MS. SORAYA P. VERGARA</v>
          </cell>
          <cell r="AH808" t="str">
            <v>N/A</v>
          </cell>
          <cell r="AI808" t="str">
            <v>N/A</v>
          </cell>
          <cell r="AJ808" t="str">
            <v>N/A</v>
          </cell>
          <cell r="AK808" t="str">
            <v>N/A</v>
          </cell>
          <cell r="AL808" t="str">
            <v>N/A</v>
          </cell>
          <cell r="AM808" t="str">
            <v>N/A</v>
          </cell>
          <cell r="AN808">
            <v>0</v>
          </cell>
          <cell r="AO808">
            <v>0</v>
          </cell>
        </row>
        <row r="809">
          <cell r="A809" t="str">
            <v>24-C1256</v>
          </cell>
          <cell r="B809" t="str">
            <v>NURSERY NET &amp; PLASTIC
SPRAYER</v>
          </cell>
          <cell r="C809" t="str">
            <v>PAGRO</v>
          </cell>
          <cell r="D809" t="str">
            <v>No</v>
          </cell>
          <cell r="E809" t="str">
            <v>NP-53.9 - Small Value Procurement</v>
          </cell>
          <cell r="F809" t="str">
            <v>N/A</v>
          </cell>
          <cell r="G809">
            <v>45434</v>
          </cell>
          <cell r="H809">
            <v>0</v>
          </cell>
          <cell r="I809" t="str">
            <v>N/A</v>
          </cell>
          <cell r="J809">
            <v>45446</v>
          </cell>
          <cell r="K809">
            <v>45446</v>
          </cell>
          <cell r="L809">
            <v>0</v>
          </cell>
          <cell r="M809" t="str">
            <v>N/A</v>
          </cell>
          <cell r="N809" t="str">
            <v>N/A</v>
          </cell>
          <cell r="O809">
            <v>45450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14920</v>
          </cell>
          <cell r="AB809">
            <v>0</v>
          </cell>
          <cell r="AC809">
            <v>14920</v>
          </cell>
          <cell r="AD809">
            <v>14880</v>
          </cell>
          <cell r="AE809">
            <v>0</v>
          </cell>
          <cell r="AF809">
            <v>14880</v>
          </cell>
          <cell r="AG809" t="str">
            <v>ENGR. MICHAEL C. SALARDA
MS. LEONARDA M. LATOR
MS. CARMENCITA VALDEZ
MS. SORAYA P. VERGARA</v>
          </cell>
          <cell r="AH809" t="str">
            <v>N/A</v>
          </cell>
          <cell r="AI809" t="str">
            <v>N/A</v>
          </cell>
          <cell r="AJ809" t="str">
            <v>N/A</v>
          </cell>
          <cell r="AK809" t="str">
            <v>N/A</v>
          </cell>
          <cell r="AL809" t="str">
            <v>N/A</v>
          </cell>
          <cell r="AM809" t="str">
            <v>N/A</v>
          </cell>
          <cell r="AN809">
            <v>0</v>
          </cell>
          <cell r="AO809">
            <v>0</v>
          </cell>
        </row>
        <row r="810">
          <cell r="A810" t="str">
            <v>24-2379</v>
          </cell>
          <cell r="B810" t="str">
            <v>PLAQUE, FIBER GLASS</v>
          </cell>
          <cell r="C810" t="str">
            <v>SEF</v>
          </cell>
          <cell r="D810" t="str">
            <v>No</v>
          </cell>
          <cell r="E810" t="str">
            <v>NP-53.9 - Small Value Procurement</v>
          </cell>
          <cell r="F810" t="str">
            <v>N/A</v>
          </cell>
          <cell r="G810">
            <v>45434</v>
          </cell>
          <cell r="H810">
            <v>0</v>
          </cell>
          <cell r="I810" t="str">
            <v>N/A</v>
          </cell>
          <cell r="J810">
            <v>45446</v>
          </cell>
          <cell r="K810">
            <v>45446</v>
          </cell>
          <cell r="L810">
            <v>0</v>
          </cell>
          <cell r="M810" t="str">
            <v>N/A</v>
          </cell>
          <cell r="N810" t="str">
            <v>N/A</v>
          </cell>
          <cell r="O810">
            <v>45450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9000</v>
          </cell>
          <cell r="AB810">
            <v>0</v>
          </cell>
          <cell r="AC810">
            <v>9000</v>
          </cell>
          <cell r="AD810">
            <v>9000</v>
          </cell>
          <cell r="AE810">
            <v>0</v>
          </cell>
          <cell r="AF810">
            <v>9000</v>
          </cell>
          <cell r="AG810" t="str">
            <v>ENGR. MICHAEL C. SALARDA
MS. LEONARDA M. LATOR
MS. CARMENCITA VALDEZ
MS. SORAYA P. VERGARA</v>
          </cell>
          <cell r="AH810" t="str">
            <v>N/A</v>
          </cell>
          <cell r="AI810" t="str">
            <v>N/A</v>
          </cell>
          <cell r="AJ810" t="str">
            <v>N/A</v>
          </cell>
          <cell r="AK810" t="str">
            <v>N/A</v>
          </cell>
          <cell r="AL810" t="str">
            <v>N/A</v>
          </cell>
          <cell r="AM810" t="str">
            <v>N/A</v>
          </cell>
          <cell r="AN810">
            <v>0</v>
          </cell>
          <cell r="AO810">
            <v>0</v>
          </cell>
        </row>
        <row r="811">
          <cell r="A811" t="str">
            <v>24-2275</v>
          </cell>
          <cell r="B811" t="str">
            <v>SPAREPARTS (LIGHT
VEHICLES)</v>
          </cell>
          <cell r="C811" t="str">
            <v>PGSO</v>
          </cell>
          <cell r="D811" t="str">
            <v>No</v>
          </cell>
          <cell r="E811" t="str">
            <v>NP-53.9 - Small Value Procurement</v>
          </cell>
          <cell r="F811">
            <v>45390</v>
          </cell>
          <cell r="G811">
            <v>45397</v>
          </cell>
          <cell r="H811">
            <v>0</v>
          </cell>
          <cell r="I811" t="str">
            <v>N/A</v>
          </cell>
          <cell r="J811">
            <v>45446</v>
          </cell>
          <cell r="K811">
            <v>45446</v>
          </cell>
          <cell r="L811">
            <v>0</v>
          </cell>
          <cell r="M811" t="str">
            <v>N/A</v>
          </cell>
          <cell r="N811" t="str">
            <v>N/A</v>
          </cell>
          <cell r="O811">
            <v>45450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 t="e">
            <v>#N/A</v>
          </cell>
          <cell r="Y811">
            <v>0</v>
          </cell>
          <cell r="Z811">
            <v>0</v>
          </cell>
          <cell r="AA811">
            <v>73090</v>
          </cell>
          <cell r="AB811">
            <v>0</v>
          </cell>
          <cell r="AC811">
            <v>73090</v>
          </cell>
          <cell r="AD811">
            <v>73090</v>
          </cell>
          <cell r="AE811">
            <v>0</v>
          </cell>
          <cell r="AF811">
            <v>73090</v>
          </cell>
          <cell r="AG811" t="str">
            <v>ENGR. MICHAEL C. SALARDA
MS. LEONARDA M. LATOR
MS. CARMENCITA VALDEZ
MS. SORAYA P. VERGARA</v>
          </cell>
          <cell r="AH811" t="str">
            <v>N/A</v>
          </cell>
          <cell r="AI811" t="str">
            <v>N/A</v>
          </cell>
          <cell r="AJ811" t="str">
            <v>N/A</v>
          </cell>
          <cell r="AK811" t="str">
            <v>N/A</v>
          </cell>
          <cell r="AL811" t="str">
            <v>N/A</v>
          </cell>
          <cell r="AM811" t="str">
            <v>N/A</v>
          </cell>
          <cell r="AN811">
            <v>0</v>
          </cell>
          <cell r="AO811">
            <v>0</v>
          </cell>
        </row>
        <row r="812">
          <cell r="A812" t="str">
            <v>24-C1325</v>
          </cell>
          <cell r="B812" t="str">
            <v>ELECTRICAL SUPPLIES</v>
          </cell>
          <cell r="C812" t="str">
            <v>PEEMO</v>
          </cell>
          <cell r="D812" t="str">
            <v>No</v>
          </cell>
          <cell r="E812" t="str">
            <v>NP-53.9 - Small Value Procurement</v>
          </cell>
          <cell r="F812" t="str">
            <v>N/A</v>
          </cell>
          <cell r="G812">
            <v>45397</v>
          </cell>
          <cell r="H812">
            <v>0</v>
          </cell>
          <cell r="I812" t="str">
            <v>N/A</v>
          </cell>
          <cell r="J812">
            <v>45446</v>
          </cell>
          <cell r="K812">
            <v>45446</v>
          </cell>
          <cell r="L812">
            <v>0</v>
          </cell>
          <cell r="M812" t="str">
            <v>N/A</v>
          </cell>
          <cell r="N812" t="str">
            <v>N/A</v>
          </cell>
          <cell r="O812">
            <v>45450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67485</v>
          </cell>
          <cell r="AB812">
            <v>0</v>
          </cell>
          <cell r="AC812">
            <v>67485</v>
          </cell>
          <cell r="AD812">
            <v>61250</v>
          </cell>
          <cell r="AE812">
            <v>0</v>
          </cell>
          <cell r="AF812">
            <v>61250</v>
          </cell>
          <cell r="AG812" t="str">
            <v>ENGR. MICHAEL C. SALARDA
MS. LEONARDA M. LATOR
MS. CARMENCITA VALDEZ
MS. SORAYA P. VERGARA</v>
          </cell>
          <cell r="AH812" t="str">
            <v>N/A</v>
          </cell>
          <cell r="AI812" t="str">
            <v>N/A</v>
          </cell>
          <cell r="AJ812" t="str">
            <v>N/A</v>
          </cell>
          <cell r="AK812" t="str">
            <v>N/A</v>
          </cell>
          <cell r="AL812" t="str">
            <v>N/A</v>
          </cell>
          <cell r="AM812" t="str">
            <v>N/A</v>
          </cell>
          <cell r="AN812">
            <v>0</v>
          </cell>
          <cell r="AO812">
            <v>0</v>
          </cell>
        </row>
        <row r="813">
          <cell r="A813" t="str">
            <v>24-0870</v>
          </cell>
          <cell r="B813" t="str">
            <v>TROLLEY SPEAKER,
PORTABLE</v>
          </cell>
          <cell r="C813" t="str">
            <v>PAGRO</v>
          </cell>
          <cell r="D813" t="str">
            <v>No</v>
          </cell>
          <cell r="E813" t="str">
            <v>NP-53.9 - Small Value Procurement</v>
          </cell>
          <cell r="F813" t="str">
            <v>N/A</v>
          </cell>
          <cell r="G813">
            <v>45397</v>
          </cell>
          <cell r="H813">
            <v>0</v>
          </cell>
          <cell r="I813" t="str">
            <v>N/A</v>
          </cell>
          <cell r="J813">
            <v>45446</v>
          </cell>
          <cell r="K813">
            <v>45446</v>
          </cell>
          <cell r="L813">
            <v>0</v>
          </cell>
          <cell r="M813" t="str">
            <v>N/A</v>
          </cell>
          <cell r="N813" t="str">
            <v>N/A</v>
          </cell>
          <cell r="O813">
            <v>45450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33600</v>
          </cell>
          <cell r="AB813">
            <v>0</v>
          </cell>
          <cell r="AC813">
            <v>33600</v>
          </cell>
          <cell r="AD813">
            <v>33600</v>
          </cell>
          <cell r="AE813">
            <v>0</v>
          </cell>
          <cell r="AF813">
            <v>33600</v>
          </cell>
          <cell r="AG813" t="str">
            <v>ENGR. MICHAEL C. SALARDA
MS. LEONARDA M. LATOR
MS. CARMENCITA VALDEZ
MS. SORAYA P. VERGARA</v>
          </cell>
          <cell r="AH813" t="str">
            <v>N/A</v>
          </cell>
          <cell r="AI813" t="str">
            <v>N/A</v>
          </cell>
          <cell r="AJ813" t="str">
            <v>N/A</v>
          </cell>
          <cell r="AK813" t="str">
            <v>N/A</v>
          </cell>
          <cell r="AL813" t="str">
            <v>N/A</v>
          </cell>
          <cell r="AM813" t="str">
            <v>N/A</v>
          </cell>
          <cell r="AN813">
            <v>0</v>
          </cell>
          <cell r="AO813">
            <v>0</v>
          </cell>
        </row>
        <row r="814">
          <cell r="A814" t="str">
            <v>24-1462</v>
          </cell>
          <cell r="B814" t="str">
            <v>JOB ORDER: LABOR,
MATERIALS &amp;
INSTALLATION OFFICE
NAMEPLATE</v>
          </cell>
          <cell r="C814" t="str">
            <v>PGO</v>
          </cell>
          <cell r="D814" t="str">
            <v>No</v>
          </cell>
          <cell r="E814" t="str">
            <v>NP-53.9 - Small Value Procurement</v>
          </cell>
          <cell r="F814" t="str">
            <v>N/A</v>
          </cell>
          <cell r="G814">
            <v>45385</v>
          </cell>
          <cell r="H814">
            <v>0</v>
          </cell>
          <cell r="I814" t="str">
            <v>N/A</v>
          </cell>
          <cell r="J814">
            <v>45446</v>
          </cell>
          <cell r="K814">
            <v>45446</v>
          </cell>
          <cell r="L814">
            <v>0</v>
          </cell>
          <cell r="M814" t="str">
            <v>N/A</v>
          </cell>
          <cell r="N814" t="str">
            <v>N/A</v>
          </cell>
          <cell r="O814">
            <v>45450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 t="e">
            <v>#N/A</v>
          </cell>
          <cell r="Y814">
            <v>0</v>
          </cell>
          <cell r="Z814">
            <v>0</v>
          </cell>
          <cell r="AA814">
            <v>45000</v>
          </cell>
          <cell r="AB814">
            <v>0</v>
          </cell>
          <cell r="AC814">
            <v>45000</v>
          </cell>
          <cell r="AD814">
            <v>45000</v>
          </cell>
          <cell r="AE814">
            <v>0</v>
          </cell>
          <cell r="AF814">
            <v>45000</v>
          </cell>
          <cell r="AG814" t="str">
            <v>ENGR. MICHAEL C. SALARDA
MS. LEONARDA M. LATOR
MS. CARMENCITA VALDEZ
MS. SORAYA P. VERGARA</v>
          </cell>
          <cell r="AH814" t="str">
            <v>N/A</v>
          </cell>
          <cell r="AI814" t="str">
            <v>N/A</v>
          </cell>
          <cell r="AJ814" t="str">
            <v>N/A</v>
          </cell>
          <cell r="AK814" t="str">
            <v>N/A</v>
          </cell>
          <cell r="AL814" t="str">
            <v>N/A</v>
          </cell>
          <cell r="AM814" t="str">
            <v>N/A</v>
          </cell>
          <cell r="AN814">
            <v>0</v>
          </cell>
          <cell r="AO814">
            <v>0</v>
          </cell>
        </row>
        <row r="815">
          <cell r="A815" t="str">
            <v>24-2416</v>
          </cell>
          <cell r="B815" t="str">
            <v>TARPAULIN</v>
          </cell>
          <cell r="C815" t="str">
            <v>PAO-ADMIN</v>
          </cell>
          <cell r="D815" t="str">
            <v>No</v>
          </cell>
          <cell r="E815" t="str">
            <v>NP-53.9 - Small Value Procurement</v>
          </cell>
          <cell r="F815" t="str">
            <v>N/A</v>
          </cell>
          <cell r="G815">
            <v>45436</v>
          </cell>
          <cell r="H815">
            <v>0</v>
          </cell>
          <cell r="I815" t="str">
            <v>N/A</v>
          </cell>
          <cell r="J815">
            <v>45446</v>
          </cell>
          <cell r="K815">
            <v>45446</v>
          </cell>
          <cell r="L815">
            <v>0</v>
          </cell>
          <cell r="M815" t="str">
            <v>N/A</v>
          </cell>
          <cell r="N815" t="str">
            <v>N/A</v>
          </cell>
          <cell r="O815">
            <v>45450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 t="e">
            <v>#N/A</v>
          </cell>
          <cell r="Y815">
            <v>0</v>
          </cell>
          <cell r="Z815">
            <v>0</v>
          </cell>
          <cell r="AA815">
            <v>7476</v>
          </cell>
          <cell r="AB815">
            <v>0</v>
          </cell>
          <cell r="AC815">
            <v>7476</v>
          </cell>
          <cell r="AD815">
            <v>7476</v>
          </cell>
          <cell r="AE815">
            <v>0</v>
          </cell>
          <cell r="AF815">
            <v>7476</v>
          </cell>
          <cell r="AG815" t="str">
            <v>ENGR. MICHAEL C. SALARDA
MS. LEONARDA M. LATOR
MS. CARMENCITA VALDEZ
MS. SORAYA P. VERGARA</v>
          </cell>
          <cell r="AH815" t="str">
            <v>N/A</v>
          </cell>
          <cell r="AI815" t="str">
            <v>N/A</v>
          </cell>
          <cell r="AJ815" t="str">
            <v>N/A</v>
          </cell>
          <cell r="AK815" t="str">
            <v>N/A</v>
          </cell>
          <cell r="AL815" t="str">
            <v>N/A</v>
          </cell>
          <cell r="AM815" t="str">
            <v>N/A</v>
          </cell>
          <cell r="AN815">
            <v>0</v>
          </cell>
          <cell r="AO815">
            <v>0</v>
          </cell>
        </row>
        <row r="816">
          <cell r="A816" t="str">
            <v>24-C1269</v>
          </cell>
          <cell r="B816" t="str">
            <v>OFFICE SUPPLIES</v>
          </cell>
          <cell r="C816" t="str">
            <v>PHO</v>
          </cell>
          <cell r="D816" t="str">
            <v>No</v>
          </cell>
          <cell r="E816" t="str">
            <v>Shopping 52.1(b) - Regular Office Supplies and Equipment no available in PS</v>
          </cell>
          <cell r="F816" t="str">
            <v>N/A</v>
          </cell>
          <cell r="G816">
            <v>45397</v>
          </cell>
          <cell r="H816">
            <v>0</v>
          </cell>
          <cell r="I816" t="str">
            <v>N/A</v>
          </cell>
          <cell r="J816">
            <v>45446</v>
          </cell>
          <cell r="K816">
            <v>45446</v>
          </cell>
          <cell r="L816">
            <v>0</v>
          </cell>
          <cell r="M816" t="str">
            <v>N/A</v>
          </cell>
          <cell r="N816" t="str">
            <v>N/A</v>
          </cell>
          <cell r="O816">
            <v>45450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25448</v>
          </cell>
          <cell r="AB816">
            <v>0</v>
          </cell>
          <cell r="AC816">
            <v>25448</v>
          </cell>
          <cell r="AD816">
            <v>25448</v>
          </cell>
          <cell r="AE816">
            <v>0</v>
          </cell>
          <cell r="AF816">
            <v>25448</v>
          </cell>
          <cell r="AG816" t="str">
            <v>ENGR. MICHAEL C. SALARDA
MS. LEONARDA M. LATOR
MS. CARMENCITA VALDEZ
MS. SORAYA P. VERGARA</v>
          </cell>
          <cell r="AH816" t="str">
            <v>N/A</v>
          </cell>
          <cell r="AI816" t="str">
            <v>N/A</v>
          </cell>
          <cell r="AJ816" t="str">
            <v>N/A</v>
          </cell>
          <cell r="AK816" t="str">
            <v>N/A</v>
          </cell>
          <cell r="AL816" t="str">
            <v>N/A</v>
          </cell>
          <cell r="AM816" t="str">
            <v>N/A</v>
          </cell>
          <cell r="AN816">
            <v>0</v>
          </cell>
          <cell r="AO816">
            <v>0</v>
          </cell>
        </row>
        <row r="817">
          <cell r="A817" t="str">
            <v>24-2946</v>
          </cell>
          <cell r="B817" t="str">
            <v>OFFICE SUPPLIES</v>
          </cell>
          <cell r="C817" t="str">
            <v>PGO</v>
          </cell>
          <cell r="D817" t="str">
            <v>No</v>
          </cell>
          <cell r="E817" t="str">
            <v>Shopping 52.1(b) - Regular Office Supplies and Equipment no available in PS</v>
          </cell>
          <cell r="F817" t="str">
            <v>N/A</v>
          </cell>
          <cell r="G817">
            <v>45442</v>
          </cell>
          <cell r="H817">
            <v>0</v>
          </cell>
          <cell r="I817" t="str">
            <v>N/A</v>
          </cell>
          <cell r="J817">
            <v>45446</v>
          </cell>
          <cell r="K817">
            <v>45446</v>
          </cell>
          <cell r="L817">
            <v>0</v>
          </cell>
          <cell r="M817" t="str">
            <v>N/A</v>
          </cell>
          <cell r="N817" t="str">
            <v>N/A</v>
          </cell>
          <cell r="O817">
            <v>45450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 t="e">
            <v>#N/A</v>
          </cell>
          <cell r="Y817">
            <v>0</v>
          </cell>
          <cell r="Z817">
            <v>0</v>
          </cell>
          <cell r="AA817">
            <v>2958</v>
          </cell>
          <cell r="AB817">
            <v>0</v>
          </cell>
          <cell r="AC817">
            <v>2958</v>
          </cell>
          <cell r="AD817">
            <v>2905</v>
          </cell>
          <cell r="AE817">
            <v>0</v>
          </cell>
          <cell r="AF817">
            <v>2905</v>
          </cell>
          <cell r="AG817" t="str">
            <v>ENGR. MICHAEL C. SALARDA
MS. LEONARDA M. LATOR
MS. CARMENCITA VALDEZ
MS. SORAYA P. VERGARA</v>
          </cell>
          <cell r="AH817" t="str">
            <v>N/A</v>
          </cell>
          <cell r="AI817" t="str">
            <v>N/A</v>
          </cell>
          <cell r="AJ817" t="str">
            <v>N/A</v>
          </cell>
          <cell r="AK817" t="str">
            <v>N/A</v>
          </cell>
          <cell r="AL817" t="str">
            <v>N/A</v>
          </cell>
          <cell r="AM817" t="str">
            <v>N/A</v>
          </cell>
          <cell r="AN817">
            <v>0</v>
          </cell>
          <cell r="AO817">
            <v>0</v>
          </cell>
        </row>
        <row r="818">
          <cell r="A818" t="str">
            <v>24-C1313</v>
          </cell>
          <cell r="B818" t="str">
            <v>ACETYLENE REFILL</v>
          </cell>
          <cell r="C818" t="str">
            <v>PAGRO</v>
          </cell>
          <cell r="D818" t="str">
            <v>No</v>
          </cell>
          <cell r="E818" t="str">
            <v>Direct Contracting</v>
          </cell>
          <cell r="F818">
            <v>45398</v>
          </cell>
          <cell r="G818">
            <v>45404</v>
          </cell>
          <cell r="H818">
            <v>0</v>
          </cell>
          <cell r="I818" t="str">
            <v>N/A</v>
          </cell>
          <cell r="J818">
            <v>45454</v>
          </cell>
          <cell r="K818">
            <v>45454</v>
          </cell>
          <cell r="L818">
            <v>0</v>
          </cell>
          <cell r="M818" t="str">
            <v>N/A</v>
          </cell>
          <cell r="N818" t="str">
            <v>N/A</v>
          </cell>
          <cell r="O818">
            <v>45464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48620</v>
          </cell>
          <cell r="AB818">
            <v>0</v>
          </cell>
          <cell r="AC818">
            <v>48620</v>
          </cell>
          <cell r="AD818">
            <v>24540</v>
          </cell>
          <cell r="AE818">
            <v>0</v>
          </cell>
          <cell r="AF818">
            <v>24540</v>
          </cell>
          <cell r="AG818" t="str">
            <v>ENGR. MICHAEL C. SALARDA
MS. LEONARDA M. LATOR
MS. CARMENCITA VALDEZ
MS. SORAYA P. VERGARA</v>
          </cell>
          <cell r="AH818" t="str">
            <v>N/A</v>
          </cell>
          <cell r="AI818" t="str">
            <v>N/A</v>
          </cell>
          <cell r="AJ818" t="str">
            <v>N/A</v>
          </cell>
          <cell r="AK818" t="str">
            <v>N/A</v>
          </cell>
          <cell r="AL818" t="str">
            <v>N/A</v>
          </cell>
          <cell r="AM818" t="str">
            <v>N/A</v>
          </cell>
          <cell r="AN818">
            <v>0</v>
          </cell>
          <cell r="AO818">
            <v>0</v>
          </cell>
        </row>
        <row r="819">
          <cell r="A819" t="str">
            <v>24-2141</v>
          </cell>
          <cell r="B819" t="str">
            <v>TONER FOR MP 2555SP-
GESTETNER</v>
          </cell>
          <cell r="C819" t="str">
            <v>SEF</v>
          </cell>
          <cell r="D819" t="str">
            <v>No</v>
          </cell>
          <cell r="E819" t="str">
            <v>Direct Contracting</v>
          </cell>
          <cell r="F819">
            <v>45440</v>
          </cell>
          <cell r="G819">
            <v>45442</v>
          </cell>
          <cell r="H819">
            <v>0</v>
          </cell>
          <cell r="I819" t="str">
            <v>N/A</v>
          </cell>
          <cell r="J819">
            <v>45454</v>
          </cell>
          <cell r="K819">
            <v>45454</v>
          </cell>
          <cell r="L819">
            <v>0</v>
          </cell>
          <cell r="M819" t="str">
            <v>N/A</v>
          </cell>
          <cell r="N819" t="str">
            <v>N/A</v>
          </cell>
          <cell r="O819">
            <v>45464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6023</v>
          </cell>
          <cell r="AB819">
            <v>0</v>
          </cell>
          <cell r="AC819">
            <v>6023</v>
          </cell>
          <cell r="AD819">
            <v>6023</v>
          </cell>
          <cell r="AE819">
            <v>0</v>
          </cell>
          <cell r="AF819">
            <v>6023</v>
          </cell>
          <cell r="AG819" t="str">
            <v>ENGR. MICHAEL C. SALARDA
MS. LEONARDA M. LATOR
MS. CARMENCITA VALDEZ
MS. SORAYA P. VERGARA</v>
          </cell>
          <cell r="AH819" t="str">
            <v>N/A</v>
          </cell>
          <cell r="AI819" t="str">
            <v>N/A</v>
          </cell>
          <cell r="AJ819" t="str">
            <v>N/A</v>
          </cell>
          <cell r="AK819" t="str">
            <v>N/A</v>
          </cell>
          <cell r="AL819" t="str">
            <v>N/A</v>
          </cell>
          <cell r="AM819" t="str">
            <v>N/A</v>
          </cell>
          <cell r="AN819">
            <v>0</v>
          </cell>
          <cell r="AO819">
            <v>0</v>
          </cell>
        </row>
        <row r="820">
          <cell r="A820" t="str">
            <v>24-2854</v>
          </cell>
          <cell r="B820" t="str">
            <v>SPAREPARTS (LIGHT
VEHICLES)</v>
          </cell>
          <cell r="C820" t="str">
            <v>PGSO</v>
          </cell>
          <cell r="D820" t="str">
            <v>No</v>
          </cell>
          <cell r="E820" t="str">
            <v>Shopping 52.1(a) - Unforeseen Contingency</v>
          </cell>
          <cell r="F820" t="str">
            <v>N/A</v>
          </cell>
          <cell r="G820">
            <v>45442</v>
          </cell>
          <cell r="H820">
            <v>0</v>
          </cell>
          <cell r="I820" t="str">
            <v>N/A</v>
          </cell>
          <cell r="J820">
            <v>45454</v>
          </cell>
          <cell r="K820">
            <v>45454</v>
          </cell>
          <cell r="L820">
            <v>0</v>
          </cell>
          <cell r="M820" t="str">
            <v>N/A</v>
          </cell>
          <cell r="N820" t="str">
            <v>N/A</v>
          </cell>
          <cell r="O820">
            <v>45464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 t="e">
            <v>#N/A</v>
          </cell>
          <cell r="Y820">
            <v>0</v>
          </cell>
          <cell r="Z820">
            <v>0</v>
          </cell>
          <cell r="AA820">
            <v>69300</v>
          </cell>
          <cell r="AB820">
            <v>0</v>
          </cell>
          <cell r="AC820">
            <v>69300</v>
          </cell>
          <cell r="AD820">
            <v>69300</v>
          </cell>
          <cell r="AE820">
            <v>0</v>
          </cell>
          <cell r="AF820">
            <v>69300</v>
          </cell>
          <cell r="AG820" t="str">
            <v>ENGR. MICHAEL C. SALARDA
MS. LEONARDA M. LATOR
MS. CARMENCITA VALDEZ
MS. SORAYA P. VERGARA</v>
          </cell>
          <cell r="AH820" t="str">
            <v>N/A</v>
          </cell>
          <cell r="AI820" t="str">
            <v>N/A</v>
          </cell>
          <cell r="AJ820" t="str">
            <v>N/A</v>
          </cell>
          <cell r="AK820" t="str">
            <v>N/A</v>
          </cell>
          <cell r="AL820" t="str">
            <v>N/A</v>
          </cell>
          <cell r="AM820" t="str">
            <v>N/A</v>
          </cell>
          <cell r="AN820">
            <v>0</v>
          </cell>
          <cell r="AO820">
            <v>0</v>
          </cell>
        </row>
        <row r="821">
          <cell r="A821" t="str">
            <v>24-2855</v>
          </cell>
          <cell r="B821" t="str">
            <v>SPAREPARTS (LIGHT
VEHICLES)</v>
          </cell>
          <cell r="C821" t="str">
            <v>PGSO</v>
          </cell>
          <cell r="D821" t="str">
            <v>No</v>
          </cell>
          <cell r="E821" t="str">
            <v>Shopping 52.1(a) - Unforeseen Contingency</v>
          </cell>
          <cell r="F821" t="str">
            <v>N/A</v>
          </cell>
          <cell r="G821">
            <v>45442</v>
          </cell>
          <cell r="H821">
            <v>0</v>
          </cell>
          <cell r="I821" t="str">
            <v>N/A</v>
          </cell>
          <cell r="J821">
            <v>45454</v>
          </cell>
          <cell r="K821">
            <v>45454</v>
          </cell>
          <cell r="L821">
            <v>0</v>
          </cell>
          <cell r="M821" t="str">
            <v>N/A</v>
          </cell>
          <cell r="N821" t="str">
            <v>N/A</v>
          </cell>
          <cell r="O821">
            <v>45464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 t="e">
            <v>#N/A</v>
          </cell>
          <cell r="Y821">
            <v>0</v>
          </cell>
          <cell r="Z821">
            <v>0</v>
          </cell>
          <cell r="AA821">
            <v>36200</v>
          </cell>
          <cell r="AB821">
            <v>0</v>
          </cell>
          <cell r="AC821">
            <v>36200</v>
          </cell>
          <cell r="AD821">
            <v>36200</v>
          </cell>
          <cell r="AE821">
            <v>0</v>
          </cell>
          <cell r="AF821">
            <v>36200</v>
          </cell>
          <cell r="AG821" t="str">
            <v>ENGR. MICHAEL C. SALARDA
MS. LEONARDA M. LATOR
MS. CARMENCITA VALDEZ
MS. SORAYA P. VERGARA</v>
          </cell>
          <cell r="AH821" t="str">
            <v>N/A</v>
          </cell>
          <cell r="AI821" t="str">
            <v>N/A</v>
          </cell>
          <cell r="AJ821" t="str">
            <v>N/A</v>
          </cell>
          <cell r="AK821" t="str">
            <v>N/A</v>
          </cell>
          <cell r="AL821" t="str">
            <v>N/A</v>
          </cell>
          <cell r="AM821" t="str">
            <v>N/A</v>
          </cell>
          <cell r="AN821">
            <v>0</v>
          </cell>
          <cell r="AO821">
            <v>0</v>
          </cell>
        </row>
        <row r="822">
          <cell r="A822" t="str">
            <v>24-2607</v>
          </cell>
          <cell r="B822" t="str">
            <v>SPAREPARTS (LIGHT
VEHICLES)</v>
          </cell>
          <cell r="C822" t="str">
            <v>DDOPH-Montevista</v>
          </cell>
          <cell r="D822" t="str">
            <v>No</v>
          </cell>
          <cell r="E822" t="str">
            <v>Shopping 52.1(a) - Unforeseen Contingency</v>
          </cell>
          <cell r="F822" t="str">
            <v>N/A</v>
          </cell>
          <cell r="G822">
            <v>45442</v>
          </cell>
          <cell r="H822">
            <v>0</v>
          </cell>
          <cell r="I822" t="str">
            <v>N/A</v>
          </cell>
          <cell r="J822">
            <v>45454</v>
          </cell>
          <cell r="K822">
            <v>45454</v>
          </cell>
          <cell r="L822">
            <v>0</v>
          </cell>
          <cell r="M822" t="str">
            <v>N/A</v>
          </cell>
          <cell r="N822" t="str">
            <v>N/A</v>
          </cell>
          <cell r="O822">
            <v>45464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 t="e">
            <v>#N/A</v>
          </cell>
          <cell r="Y822">
            <v>0</v>
          </cell>
          <cell r="Z822">
            <v>0</v>
          </cell>
          <cell r="AA822">
            <v>23600</v>
          </cell>
          <cell r="AB822">
            <v>0</v>
          </cell>
          <cell r="AC822">
            <v>23600</v>
          </cell>
          <cell r="AD822">
            <v>23600</v>
          </cell>
          <cell r="AE822">
            <v>0</v>
          </cell>
          <cell r="AF822">
            <v>23600</v>
          </cell>
          <cell r="AG822" t="str">
            <v>ENGR. MICHAEL C. SALARDA
MS. LEONARDA M. LATOR
MS. CARMENCITA VALDEZ
MS. SORAYA P. VERGARA</v>
          </cell>
          <cell r="AH822" t="str">
            <v>N/A</v>
          </cell>
          <cell r="AI822" t="str">
            <v>N/A</v>
          </cell>
          <cell r="AJ822" t="str">
            <v>N/A</v>
          </cell>
          <cell r="AK822" t="str">
            <v>N/A</v>
          </cell>
          <cell r="AL822" t="str">
            <v>N/A</v>
          </cell>
          <cell r="AM822" t="str">
            <v>N/A</v>
          </cell>
          <cell r="AN822">
            <v>0</v>
          </cell>
          <cell r="AO822">
            <v>0</v>
          </cell>
        </row>
        <row r="823">
          <cell r="A823" t="str">
            <v>24-3050</v>
          </cell>
          <cell r="B823" t="str">
            <v>SPAREPARTS (MOTOR
CYCLE)</v>
          </cell>
          <cell r="C823" t="str">
            <v>PGSO</v>
          </cell>
          <cell r="D823" t="str">
            <v>No</v>
          </cell>
          <cell r="E823" t="str">
            <v>Shopping 52.1(a) - Unforeseen Contingency</v>
          </cell>
          <cell r="F823" t="str">
            <v>N/A</v>
          </cell>
          <cell r="G823">
            <v>45448</v>
          </cell>
          <cell r="H823">
            <v>0</v>
          </cell>
          <cell r="I823" t="str">
            <v>N/A</v>
          </cell>
          <cell r="J823">
            <v>45454</v>
          </cell>
          <cell r="K823">
            <v>45454</v>
          </cell>
          <cell r="L823">
            <v>0</v>
          </cell>
          <cell r="M823" t="str">
            <v>N/A</v>
          </cell>
          <cell r="N823" t="str">
            <v>N/A</v>
          </cell>
          <cell r="O823">
            <v>45464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 t="e">
            <v>#N/A</v>
          </cell>
          <cell r="Y823">
            <v>0</v>
          </cell>
          <cell r="Z823">
            <v>0</v>
          </cell>
          <cell r="AA823">
            <v>3150</v>
          </cell>
          <cell r="AB823">
            <v>0</v>
          </cell>
          <cell r="AC823">
            <v>3150</v>
          </cell>
          <cell r="AD823">
            <v>3150</v>
          </cell>
          <cell r="AE823">
            <v>0</v>
          </cell>
          <cell r="AF823">
            <v>3150</v>
          </cell>
          <cell r="AG823" t="str">
            <v>ENGR. MICHAEL C. SALARDA
MS. LEONARDA M. LATOR
MS. CARMENCITA VALDEZ
MS. SORAYA P. VERGARA</v>
          </cell>
          <cell r="AH823" t="str">
            <v>N/A</v>
          </cell>
          <cell r="AI823" t="str">
            <v>N/A</v>
          </cell>
          <cell r="AJ823" t="str">
            <v>N/A</v>
          </cell>
          <cell r="AK823" t="str">
            <v>N/A</v>
          </cell>
          <cell r="AL823" t="str">
            <v>N/A</v>
          </cell>
          <cell r="AM823" t="str">
            <v>N/A</v>
          </cell>
          <cell r="AN823">
            <v>0</v>
          </cell>
          <cell r="AO823">
            <v>0</v>
          </cell>
        </row>
        <row r="824">
          <cell r="A824" t="str">
            <v>24-3092</v>
          </cell>
          <cell r="B824" t="str">
            <v>SPAREPARTS (LIGHT
VEHICLES)</v>
          </cell>
          <cell r="C824" t="str">
            <v>PGSO</v>
          </cell>
          <cell r="D824" t="str">
            <v>No</v>
          </cell>
          <cell r="E824" t="str">
            <v>Shopping 52.1(a) - Unforeseen Contingency</v>
          </cell>
          <cell r="F824" t="str">
            <v>N/A</v>
          </cell>
          <cell r="G824">
            <v>45448</v>
          </cell>
          <cell r="H824">
            <v>0</v>
          </cell>
          <cell r="I824" t="str">
            <v>N/A</v>
          </cell>
          <cell r="J824">
            <v>45454</v>
          </cell>
          <cell r="K824">
            <v>45454</v>
          </cell>
          <cell r="L824">
            <v>0</v>
          </cell>
          <cell r="M824" t="str">
            <v>N/A</v>
          </cell>
          <cell r="N824" t="str">
            <v>N/A</v>
          </cell>
          <cell r="O824">
            <v>45464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 t="e">
            <v>#N/A</v>
          </cell>
          <cell r="Y824">
            <v>0</v>
          </cell>
          <cell r="Z824">
            <v>0</v>
          </cell>
          <cell r="AA824">
            <v>101250</v>
          </cell>
          <cell r="AB824">
            <v>0</v>
          </cell>
          <cell r="AC824">
            <v>101250</v>
          </cell>
          <cell r="AD824">
            <v>101250</v>
          </cell>
          <cell r="AE824">
            <v>0</v>
          </cell>
          <cell r="AF824">
            <v>101250</v>
          </cell>
          <cell r="AG824" t="str">
            <v>ENGR. MICHAEL C. SALARDA
MS. LEONARDA M. LATOR
MS. CARMENCITA VALDEZ
MS. SORAYA P. VERGARA</v>
          </cell>
          <cell r="AH824" t="str">
            <v>N/A</v>
          </cell>
          <cell r="AI824" t="str">
            <v>N/A</v>
          </cell>
          <cell r="AJ824" t="str">
            <v>N/A</v>
          </cell>
          <cell r="AK824" t="str">
            <v>N/A</v>
          </cell>
          <cell r="AL824" t="str">
            <v>N/A</v>
          </cell>
          <cell r="AM824" t="str">
            <v>N/A</v>
          </cell>
          <cell r="AN824">
            <v>0</v>
          </cell>
          <cell r="AO824">
            <v>0</v>
          </cell>
        </row>
        <row r="825">
          <cell r="A825" t="str">
            <v>24-3049</v>
          </cell>
          <cell r="B825" t="str">
            <v>SPAREPARTS (MOTOR
CYCLE)</v>
          </cell>
          <cell r="C825" t="str">
            <v>PGSO</v>
          </cell>
          <cell r="D825" t="str">
            <v>No</v>
          </cell>
          <cell r="E825" t="str">
            <v>Shopping 52.1(a) - Unforeseen Contingency</v>
          </cell>
          <cell r="F825" t="str">
            <v>N/A</v>
          </cell>
          <cell r="G825">
            <v>45448</v>
          </cell>
          <cell r="H825">
            <v>0</v>
          </cell>
          <cell r="I825" t="str">
            <v>N/A</v>
          </cell>
          <cell r="J825">
            <v>45454</v>
          </cell>
          <cell r="K825">
            <v>45454</v>
          </cell>
          <cell r="L825">
            <v>0</v>
          </cell>
          <cell r="M825" t="str">
            <v>N/A</v>
          </cell>
          <cell r="N825" t="str">
            <v>N/A</v>
          </cell>
          <cell r="O825">
            <v>45464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 t="e">
            <v>#N/A</v>
          </cell>
          <cell r="Y825">
            <v>0</v>
          </cell>
          <cell r="Z825">
            <v>0</v>
          </cell>
          <cell r="AA825">
            <v>5850</v>
          </cell>
          <cell r="AB825">
            <v>0</v>
          </cell>
          <cell r="AC825">
            <v>5850</v>
          </cell>
          <cell r="AD825">
            <v>5850</v>
          </cell>
          <cell r="AE825">
            <v>0</v>
          </cell>
          <cell r="AF825">
            <v>5850</v>
          </cell>
          <cell r="AG825" t="str">
            <v>ENGR. MICHAEL C. SALARDA
MS. LEONARDA M. LATOR
MS. CARMENCITA VALDEZ
MS. SORAYA P. VERGARA</v>
          </cell>
          <cell r="AH825" t="str">
            <v>N/A</v>
          </cell>
          <cell r="AI825" t="str">
            <v>N/A</v>
          </cell>
          <cell r="AJ825" t="str">
            <v>N/A</v>
          </cell>
          <cell r="AK825" t="str">
            <v>N/A</v>
          </cell>
          <cell r="AL825" t="str">
            <v>N/A</v>
          </cell>
          <cell r="AM825" t="str">
            <v>N/A</v>
          </cell>
          <cell r="AN825">
            <v>0</v>
          </cell>
          <cell r="AO825">
            <v>0</v>
          </cell>
        </row>
        <row r="826">
          <cell r="A826" t="str">
            <v>24-3051</v>
          </cell>
          <cell r="B826" t="str">
            <v>SPAREPARTS (MOTOR
CYCLE)</v>
          </cell>
          <cell r="C826" t="str">
            <v>PGSO</v>
          </cell>
          <cell r="D826" t="str">
            <v>No</v>
          </cell>
          <cell r="E826" t="str">
            <v>Shopping 52.1(a) - Unforeseen Contingency</v>
          </cell>
          <cell r="F826" t="str">
            <v>N/A</v>
          </cell>
          <cell r="G826">
            <v>45448</v>
          </cell>
          <cell r="H826">
            <v>0</v>
          </cell>
          <cell r="I826" t="str">
            <v>N/A</v>
          </cell>
          <cell r="J826">
            <v>45454</v>
          </cell>
          <cell r="K826">
            <v>45454</v>
          </cell>
          <cell r="L826">
            <v>0</v>
          </cell>
          <cell r="M826" t="str">
            <v>N/A</v>
          </cell>
          <cell r="N826" t="str">
            <v>N/A</v>
          </cell>
          <cell r="O826">
            <v>45464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 t="e">
            <v>#N/A</v>
          </cell>
          <cell r="Y826">
            <v>0</v>
          </cell>
          <cell r="Z826">
            <v>0</v>
          </cell>
          <cell r="AA826">
            <v>2750</v>
          </cell>
          <cell r="AB826">
            <v>0</v>
          </cell>
          <cell r="AC826">
            <v>2750</v>
          </cell>
          <cell r="AD826">
            <v>2750</v>
          </cell>
          <cell r="AE826">
            <v>0</v>
          </cell>
          <cell r="AF826">
            <v>2750</v>
          </cell>
          <cell r="AG826" t="str">
            <v>ENGR. MICHAEL C. SALARDA
MS. LEONARDA M. LATOR
MS. CARMENCITA VALDEZ
MS. SORAYA P. VERGARA</v>
          </cell>
          <cell r="AH826" t="str">
            <v>N/A</v>
          </cell>
          <cell r="AI826" t="str">
            <v>N/A</v>
          </cell>
          <cell r="AJ826" t="str">
            <v>N/A</v>
          </cell>
          <cell r="AK826" t="str">
            <v>N/A</v>
          </cell>
          <cell r="AL826" t="str">
            <v>N/A</v>
          </cell>
          <cell r="AM826" t="str">
            <v>N/A</v>
          </cell>
          <cell r="AN826">
            <v>0</v>
          </cell>
          <cell r="AO826">
            <v>0</v>
          </cell>
        </row>
        <row r="827">
          <cell r="A827" t="str">
            <v>24-2344</v>
          </cell>
          <cell r="B827" t="str">
            <v>SPAREPARTS (LIGHT
VEHICLES)</v>
          </cell>
          <cell r="C827" t="str">
            <v>PGSO</v>
          </cell>
          <cell r="D827" t="str">
            <v>No</v>
          </cell>
          <cell r="E827" t="str">
            <v>NP-53.9 - Small Value Procurement</v>
          </cell>
          <cell r="F827">
            <v>45407</v>
          </cell>
          <cell r="G827">
            <v>45412</v>
          </cell>
          <cell r="H827">
            <v>0</v>
          </cell>
          <cell r="I827" t="str">
            <v>N/A</v>
          </cell>
          <cell r="J827">
            <v>45454</v>
          </cell>
          <cell r="K827">
            <v>45454</v>
          </cell>
          <cell r="L827">
            <v>0</v>
          </cell>
          <cell r="M827" t="str">
            <v>N/A</v>
          </cell>
          <cell r="N827" t="str">
            <v>N/A</v>
          </cell>
          <cell r="O827">
            <v>45464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 t="e">
            <v>#N/A</v>
          </cell>
          <cell r="Y827">
            <v>0</v>
          </cell>
          <cell r="Z827">
            <v>0</v>
          </cell>
          <cell r="AA827">
            <v>20800</v>
          </cell>
          <cell r="AB827">
            <v>0</v>
          </cell>
          <cell r="AC827">
            <v>20800</v>
          </cell>
          <cell r="AD827">
            <v>20800</v>
          </cell>
          <cell r="AE827">
            <v>0</v>
          </cell>
          <cell r="AF827">
            <v>20800</v>
          </cell>
          <cell r="AG827" t="str">
            <v>ENGR. MICHAEL C. SALARDA
MS. LEONARDA M. LATOR
MS. CARMENCITA VALDEZ
MS. SORAYA P. VERGARA</v>
          </cell>
          <cell r="AH827" t="str">
            <v>N/A</v>
          </cell>
          <cell r="AI827" t="str">
            <v>N/A</v>
          </cell>
          <cell r="AJ827" t="str">
            <v>N/A</v>
          </cell>
          <cell r="AK827" t="str">
            <v>N/A</v>
          </cell>
          <cell r="AL827" t="str">
            <v>N/A</v>
          </cell>
          <cell r="AM827" t="str">
            <v>N/A</v>
          </cell>
          <cell r="AN827">
            <v>0</v>
          </cell>
          <cell r="AO827">
            <v>0</v>
          </cell>
        </row>
        <row r="828">
          <cell r="A828" t="str">
            <v xml:space="preserve">24-2308
</v>
          </cell>
          <cell r="B828" t="str">
            <v>SPAREPARTS (LIGHT
VEHICLES)</v>
          </cell>
          <cell r="C828" t="str">
            <v>PGSO</v>
          </cell>
          <cell r="D828" t="str">
            <v>No</v>
          </cell>
          <cell r="E828" t="str">
            <v>NP-53.9 - Small Value Procurement</v>
          </cell>
          <cell r="F828">
            <v>45407</v>
          </cell>
          <cell r="G828">
            <v>45412</v>
          </cell>
          <cell r="H828">
            <v>0</v>
          </cell>
          <cell r="I828" t="str">
            <v>N/A</v>
          </cell>
          <cell r="J828">
            <v>45454</v>
          </cell>
          <cell r="K828">
            <v>45454</v>
          </cell>
          <cell r="L828">
            <v>0</v>
          </cell>
          <cell r="M828" t="str">
            <v>N/A</v>
          </cell>
          <cell r="N828" t="str">
            <v>N/A</v>
          </cell>
          <cell r="O828">
            <v>45464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 t="e">
            <v>#N/A</v>
          </cell>
          <cell r="Y828">
            <v>0</v>
          </cell>
          <cell r="Z828">
            <v>0</v>
          </cell>
          <cell r="AA828">
            <v>1100</v>
          </cell>
          <cell r="AB828">
            <v>0</v>
          </cell>
          <cell r="AC828">
            <v>1100</v>
          </cell>
          <cell r="AD828">
            <v>1100</v>
          </cell>
          <cell r="AE828">
            <v>0</v>
          </cell>
          <cell r="AF828">
            <v>1100</v>
          </cell>
          <cell r="AG828" t="str">
            <v>ENGR. MICHAEL C. SALARDA
MS. LEONARDA M. LATOR
MS. CARMENCITA VALDEZ
MS. SORAYA P. VERGARA</v>
          </cell>
          <cell r="AH828" t="str">
            <v>N/A</v>
          </cell>
          <cell r="AI828" t="str">
            <v>N/A</v>
          </cell>
          <cell r="AJ828" t="str">
            <v>N/A</v>
          </cell>
          <cell r="AK828" t="str">
            <v>N/A</v>
          </cell>
          <cell r="AL828" t="str">
            <v>N/A</v>
          </cell>
          <cell r="AM828" t="str">
            <v>N/A</v>
          </cell>
          <cell r="AN828">
            <v>0</v>
          </cell>
          <cell r="AO828">
            <v>0</v>
          </cell>
        </row>
        <row r="829">
          <cell r="A829" t="str">
            <v>24-1422</v>
          </cell>
          <cell r="B829" t="str">
            <v>CONSTRUCTION MATERIALS</v>
          </cell>
          <cell r="C829" t="str">
            <v>PEO</v>
          </cell>
          <cell r="D829" t="str">
            <v>No</v>
          </cell>
          <cell r="E829" t="str">
            <v>NP-53.9 - Small Value Procurement</v>
          </cell>
          <cell r="F829" t="str">
            <v>N/A</v>
          </cell>
          <cell r="G829">
            <v>45429</v>
          </cell>
          <cell r="H829">
            <v>0</v>
          </cell>
          <cell r="I829" t="str">
            <v>N/A</v>
          </cell>
          <cell r="J829">
            <v>45454</v>
          </cell>
          <cell r="K829">
            <v>45454</v>
          </cell>
          <cell r="L829">
            <v>0</v>
          </cell>
          <cell r="M829" t="str">
            <v>N/A</v>
          </cell>
          <cell r="N829" t="str">
            <v>N/A</v>
          </cell>
          <cell r="O829">
            <v>45464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 t="e">
            <v>#N/A</v>
          </cell>
          <cell r="Y829">
            <v>0</v>
          </cell>
          <cell r="Z829">
            <v>0</v>
          </cell>
          <cell r="AA829">
            <v>434704.27</v>
          </cell>
          <cell r="AB829">
            <v>0</v>
          </cell>
          <cell r="AC829">
            <v>434704.27</v>
          </cell>
          <cell r="AD829">
            <v>432438</v>
          </cell>
          <cell r="AE829">
            <v>0</v>
          </cell>
          <cell r="AF829">
            <v>432438</v>
          </cell>
          <cell r="AG829" t="str">
            <v>ENGR. MICHAEL C. SALARDA
MS. LEONARDA M. LATOR
MS. CARMENCITA VALDEZ
MS. SORAYA P. VERGARA</v>
          </cell>
          <cell r="AH829" t="str">
            <v>N/A</v>
          </cell>
          <cell r="AI829" t="str">
            <v>N/A</v>
          </cell>
          <cell r="AJ829" t="str">
            <v>N/A</v>
          </cell>
          <cell r="AK829" t="str">
            <v>N/A</v>
          </cell>
          <cell r="AL829" t="str">
            <v>N/A</v>
          </cell>
          <cell r="AM829" t="str">
            <v>N/A</v>
          </cell>
          <cell r="AN829">
            <v>0</v>
          </cell>
          <cell r="AO829">
            <v>0</v>
          </cell>
        </row>
        <row r="830">
          <cell r="A830" t="str">
            <v>24-C1201</v>
          </cell>
          <cell r="B830" t="str">
            <v>CONSTRUCTION MATERIALS</v>
          </cell>
          <cell r="C830" t="str">
            <v>PEO</v>
          </cell>
          <cell r="D830" t="str">
            <v>No</v>
          </cell>
          <cell r="E830" t="str">
            <v>NP-53.9 - Small Value Procurement</v>
          </cell>
          <cell r="F830" t="str">
            <v>N/A</v>
          </cell>
          <cell r="G830">
            <v>45434</v>
          </cell>
          <cell r="H830">
            <v>0</v>
          </cell>
          <cell r="I830" t="str">
            <v>N/A</v>
          </cell>
          <cell r="J830">
            <v>45454</v>
          </cell>
          <cell r="K830">
            <v>45454</v>
          </cell>
          <cell r="L830">
            <v>0</v>
          </cell>
          <cell r="M830" t="str">
            <v>N/A</v>
          </cell>
          <cell r="N830" t="str">
            <v>N/A</v>
          </cell>
          <cell r="O830">
            <v>45464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716536.59</v>
          </cell>
          <cell r="AB830">
            <v>0</v>
          </cell>
          <cell r="AC830">
            <v>716536.59</v>
          </cell>
          <cell r="AD830">
            <v>714454</v>
          </cell>
          <cell r="AE830">
            <v>0</v>
          </cell>
          <cell r="AF830">
            <v>714454</v>
          </cell>
          <cell r="AG830" t="str">
            <v>ENGR. MICHAEL C. SALARDA
MS. LEONARDA M. LATOR
MS. CARMENCITA VALDEZ
MS. SORAYA P. VERGARA</v>
          </cell>
          <cell r="AH830" t="str">
            <v>N/A</v>
          </cell>
          <cell r="AI830" t="str">
            <v>N/A</v>
          </cell>
          <cell r="AJ830" t="str">
            <v>N/A</v>
          </cell>
          <cell r="AK830" t="str">
            <v>N/A</v>
          </cell>
          <cell r="AL830" t="str">
            <v>N/A</v>
          </cell>
          <cell r="AM830" t="str">
            <v>N/A</v>
          </cell>
          <cell r="AN830">
            <v>0</v>
          </cell>
          <cell r="AO830">
            <v>0</v>
          </cell>
        </row>
        <row r="831">
          <cell r="A831" t="str">
            <v>24-C1274</v>
          </cell>
          <cell r="B831" t="str">
            <v>CONSTRUCTION MATERIALS</v>
          </cell>
          <cell r="C831" t="str">
            <v>PEO</v>
          </cell>
          <cell r="D831" t="str">
            <v>No</v>
          </cell>
          <cell r="E831" t="str">
            <v>NP-53.9 - Small Value Procurement</v>
          </cell>
          <cell r="F831" t="str">
            <v>N/A</v>
          </cell>
          <cell r="G831">
            <v>45434</v>
          </cell>
          <cell r="H831">
            <v>0</v>
          </cell>
          <cell r="I831" t="str">
            <v>N/A</v>
          </cell>
          <cell r="J831">
            <v>45454</v>
          </cell>
          <cell r="K831">
            <v>45454</v>
          </cell>
          <cell r="L831">
            <v>0</v>
          </cell>
          <cell r="M831" t="str">
            <v>N/A</v>
          </cell>
          <cell r="N831" t="str">
            <v>N/A</v>
          </cell>
          <cell r="O831">
            <v>45464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399962</v>
          </cell>
          <cell r="AB831">
            <v>0</v>
          </cell>
          <cell r="AC831">
            <v>399962</v>
          </cell>
          <cell r="AD831">
            <v>391957</v>
          </cell>
          <cell r="AE831">
            <v>0</v>
          </cell>
          <cell r="AF831">
            <v>391957</v>
          </cell>
          <cell r="AG831" t="str">
            <v>ENGR. MICHAEL C. SALARDA
MS. LEONARDA M. LATOR
MS. CARMENCITA VALDEZ
MS. SORAYA P. VERGARA</v>
          </cell>
          <cell r="AH831" t="str">
            <v>N/A</v>
          </cell>
          <cell r="AI831" t="str">
            <v>N/A</v>
          </cell>
          <cell r="AJ831" t="str">
            <v>N/A</v>
          </cell>
          <cell r="AK831" t="str">
            <v>N/A</v>
          </cell>
          <cell r="AL831" t="str">
            <v>N/A</v>
          </cell>
          <cell r="AM831" t="str">
            <v>N/A</v>
          </cell>
          <cell r="AN831">
            <v>0</v>
          </cell>
          <cell r="AO831">
            <v>0</v>
          </cell>
        </row>
        <row r="832">
          <cell r="A832" t="str">
            <v>24-1674</v>
          </cell>
          <cell r="B832" t="str">
            <v>CONSTRUCTION MATERIALS</v>
          </cell>
          <cell r="C832" t="str">
            <v>PEO</v>
          </cell>
          <cell r="D832" t="str">
            <v>No</v>
          </cell>
          <cell r="E832" t="str">
            <v>NP-53.9 - Small Value Procurement</v>
          </cell>
          <cell r="F832" t="str">
            <v>N/A</v>
          </cell>
          <cell r="G832">
            <v>45434</v>
          </cell>
          <cell r="H832">
            <v>0</v>
          </cell>
          <cell r="I832" t="str">
            <v>N/A</v>
          </cell>
          <cell r="J832">
            <v>45454</v>
          </cell>
          <cell r="K832">
            <v>45454</v>
          </cell>
          <cell r="L832">
            <v>0</v>
          </cell>
          <cell r="M832" t="str">
            <v>N/A</v>
          </cell>
          <cell r="N832" t="str">
            <v>N/A</v>
          </cell>
          <cell r="O832">
            <v>45464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 t="e">
            <v>#N/A</v>
          </cell>
          <cell r="Y832">
            <v>0</v>
          </cell>
          <cell r="Z832">
            <v>0</v>
          </cell>
          <cell r="AA832">
            <v>496028.3</v>
          </cell>
          <cell r="AB832">
            <v>0</v>
          </cell>
          <cell r="AC832">
            <v>496028.3</v>
          </cell>
          <cell r="AD832">
            <v>493840</v>
          </cell>
          <cell r="AE832">
            <v>0</v>
          </cell>
          <cell r="AF832">
            <v>493840</v>
          </cell>
          <cell r="AG832" t="str">
            <v>ENGR. MICHAEL C. SALARDA
MS. LEONARDA M. LATOR
MS. CARMENCITA VALDEZ
MS. SORAYA P. VERGARA</v>
          </cell>
          <cell r="AH832" t="str">
            <v>N/A</v>
          </cell>
          <cell r="AI832" t="str">
            <v>N/A</v>
          </cell>
          <cell r="AJ832" t="str">
            <v>N/A</v>
          </cell>
          <cell r="AK832" t="str">
            <v>N/A</v>
          </cell>
          <cell r="AL832" t="str">
            <v>N/A</v>
          </cell>
          <cell r="AM832" t="str">
            <v>N/A</v>
          </cell>
          <cell r="AN832">
            <v>0</v>
          </cell>
          <cell r="AO832">
            <v>0</v>
          </cell>
        </row>
        <row r="833">
          <cell r="A833" t="str">
            <v>24-C1290</v>
          </cell>
          <cell r="B833" t="str">
            <v>CONSTRUCTION MATERIALS</v>
          </cell>
          <cell r="C833" t="str">
            <v>PEO</v>
          </cell>
          <cell r="D833" t="str">
            <v>No</v>
          </cell>
          <cell r="E833" t="str">
            <v>NP-53.9 - Small Value Procurement</v>
          </cell>
          <cell r="F833" t="str">
            <v>N/A</v>
          </cell>
          <cell r="G833">
            <v>45434</v>
          </cell>
          <cell r="H833">
            <v>0</v>
          </cell>
          <cell r="I833" t="str">
            <v>N/A</v>
          </cell>
          <cell r="J833">
            <v>45454</v>
          </cell>
          <cell r="K833">
            <v>45454</v>
          </cell>
          <cell r="L833">
            <v>0</v>
          </cell>
          <cell r="M833" t="str">
            <v>N/A</v>
          </cell>
          <cell r="N833" t="str">
            <v>N/A</v>
          </cell>
          <cell r="O833">
            <v>45464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399962</v>
          </cell>
          <cell r="AB833">
            <v>0</v>
          </cell>
          <cell r="AC833">
            <v>399962</v>
          </cell>
          <cell r="AD833">
            <v>397277</v>
          </cell>
          <cell r="AE833">
            <v>0</v>
          </cell>
          <cell r="AF833">
            <v>397277</v>
          </cell>
          <cell r="AG833" t="str">
            <v>ENGR. MICHAEL C. SALARDA
MS. LEONARDA M. LATOR
MS. CARMENCITA VALDEZ
MS. SORAYA P. VERGARA</v>
          </cell>
          <cell r="AH833" t="str">
            <v>N/A</v>
          </cell>
          <cell r="AI833" t="str">
            <v>N/A</v>
          </cell>
          <cell r="AJ833" t="str">
            <v>N/A</v>
          </cell>
          <cell r="AK833" t="str">
            <v>N/A</v>
          </cell>
          <cell r="AL833" t="str">
            <v>N/A</v>
          </cell>
          <cell r="AM833" t="str">
            <v>N/A</v>
          </cell>
          <cell r="AN833">
            <v>0</v>
          </cell>
          <cell r="AO833">
            <v>0</v>
          </cell>
        </row>
        <row r="834">
          <cell r="A834" t="str">
            <v>24-2417</v>
          </cell>
          <cell r="B834" t="str">
            <v>FOOD/CATERING SERVICES</v>
          </cell>
          <cell r="C834" t="str">
            <v>PAO-ADMIN</v>
          </cell>
          <cell r="D834" t="str">
            <v>No</v>
          </cell>
          <cell r="E834" t="str">
            <v>NP-53.9 - Small Value Procurement</v>
          </cell>
          <cell r="F834" t="str">
            <v>N/A</v>
          </cell>
          <cell r="G834">
            <v>45442</v>
          </cell>
          <cell r="H834">
            <v>0</v>
          </cell>
          <cell r="I834" t="str">
            <v>N/A</v>
          </cell>
          <cell r="J834">
            <v>45454</v>
          </cell>
          <cell r="K834">
            <v>45454</v>
          </cell>
          <cell r="L834">
            <v>0</v>
          </cell>
          <cell r="M834" t="str">
            <v>N/A</v>
          </cell>
          <cell r="N834" t="str">
            <v>N/A</v>
          </cell>
          <cell r="O834">
            <v>45464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 t="e">
            <v>#N/A</v>
          </cell>
          <cell r="Y834">
            <v>0</v>
          </cell>
          <cell r="Z834">
            <v>0</v>
          </cell>
          <cell r="AA834">
            <v>100000</v>
          </cell>
          <cell r="AB834">
            <v>0</v>
          </cell>
          <cell r="AC834">
            <v>100000</v>
          </cell>
          <cell r="AD834">
            <v>98858</v>
          </cell>
          <cell r="AE834">
            <v>0</v>
          </cell>
          <cell r="AF834">
            <v>98858</v>
          </cell>
          <cell r="AG834" t="str">
            <v>ENGR. MICHAEL C. SALARDA
MS. LEONARDA M. LATOR
MS. CARMENCITA VALDEZ
MS. SORAYA P. VERGARA</v>
          </cell>
          <cell r="AH834" t="str">
            <v>N/A</v>
          </cell>
          <cell r="AI834" t="str">
            <v>N/A</v>
          </cell>
          <cell r="AJ834" t="str">
            <v>N/A</v>
          </cell>
          <cell r="AK834" t="str">
            <v>N/A</v>
          </cell>
          <cell r="AL834" t="str">
            <v>N/A</v>
          </cell>
          <cell r="AM834" t="str">
            <v>N/A</v>
          </cell>
          <cell r="AN834">
            <v>0</v>
          </cell>
          <cell r="AO834">
            <v>0</v>
          </cell>
        </row>
        <row r="835">
          <cell r="A835" t="str">
            <v>24-2984</v>
          </cell>
          <cell r="B835" t="str">
            <v>MONOBLOCK PLASTIC
CHAIR</v>
          </cell>
          <cell r="C835" t="str">
            <v>PGO</v>
          </cell>
          <cell r="D835" t="str">
            <v>No</v>
          </cell>
          <cell r="E835" t="str">
            <v>NP-53.9 - Small Value Procurement</v>
          </cell>
          <cell r="F835" t="str">
            <v>N/A</v>
          </cell>
          <cell r="G835">
            <v>45442</v>
          </cell>
          <cell r="H835">
            <v>0</v>
          </cell>
          <cell r="I835" t="str">
            <v>N/A</v>
          </cell>
          <cell r="J835">
            <v>45454</v>
          </cell>
          <cell r="K835">
            <v>45454</v>
          </cell>
          <cell r="L835">
            <v>0</v>
          </cell>
          <cell r="M835" t="str">
            <v>N/A</v>
          </cell>
          <cell r="N835" t="str">
            <v>N/A</v>
          </cell>
          <cell r="O835">
            <v>45464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 t="e">
            <v>#N/A</v>
          </cell>
          <cell r="Y835">
            <v>0</v>
          </cell>
          <cell r="Z835">
            <v>0</v>
          </cell>
          <cell r="AA835">
            <v>277680</v>
          </cell>
          <cell r="AB835">
            <v>0</v>
          </cell>
          <cell r="AC835">
            <v>277680</v>
          </cell>
          <cell r="AD835">
            <v>275600</v>
          </cell>
          <cell r="AE835">
            <v>0</v>
          </cell>
          <cell r="AF835">
            <v>275600</v>
          </cell>
          <cell r="AG835" t="str">
            <v>ENGR. MICHAEL C. SALARDA
MS. LEONARDA M. LATOR
MS. CARMENCITA VALDEZ
MS. SORAYA P. VERGARA</v>
          </cell>
          <cell r="AH835" t="str">
            <v>N/A</v>
          </cell>
          <cell r="AI835" t="str">
            <v>N/A</v>
          </cell>
          <cell r="AJ835" t="str">
            <v>N/A</v>
          </cell>
          <cell r="AK835" t="str">
            <v>N/A</v>
          </cell>
          <cell r="AL835" t="str">
            <v>N/A</v>
          </cell>
          <cell r="AM835" t="str">
            <v>N/A</v>
          </cell>
          <cell r="AN835">
            <v>0</v>
          </cell>
          <cell r="AO835">
            <v>0</v>
          </cell>
        </row>
        <row r="836">
          <cell r="A836" t="str">
            <v>24-2868</v>
          </cell>
          <cell r="B836" t="str">
            <v>BATTERY &amp; SELF INKING
STAMP WITH ATTACHED
SAMPLE</v>
          </cell>
          <cell r="C836" t="str">
            <v>PTO</v>
          </cell>
          <cell r="D836" t="str">
            <v>No</v>
          </cell>
          <cell r="E836" t="str">
            <v>NP-53.9 - Small Value Procurement</v>
          </cell>
          <cell r="F836" t="str">
            <v>N/A</v>
          </cell>
          <cell r="G836">
            <v>45442</v>
          </cell>
          <cell r="H836">
            <v>0</v>
          </cell>
          <cell r="I836" t="str">
            <v>N/A</v>
          </cell>
          <cell r="J836">
            <v>45454</v>
          </cell>
          <cell r="K836">
            <v>45454</v>
          </cell>
          <cell r="L836">
            <v>0</v>
          </cell>
          <cell r="M836" t="str">
            <v>N/A</v>
          </cell>
          <cell r="N836" t="str">
            <v>N/A</v>
          </cell>
          <cell r="O836">
            <v>45464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5040</v>
          </cell>
          <cell r="AB836">
            <v>0</v>
          </cell>
          <cell r="AC836">
            <v>5040</v>
          </cell>
          <cell r="AD836">
            <v>5040</v>
          </cell>
          <cell r="AE836">
            <v>0</v>
          </cell>
          <cell r="AF836">
            <v>5040</v>
          </cell>
          <cell r="AG836" t="str">
            <v>ENGR. MICHAEL C. SALARDA
MS. LEONARDA M. LATOR
MS. CARMENCITA VALDEZ
MS. SORAYA P. VERGARA</v>
          </cell>
          <cell r="AH836" t="str">
            <v>N/A</v>
          </cell>
          <cell r="AI836" t="str">
            <v>N/A</v>
          </cell>
          <cell r="AJ836" t="str">
            <v>N/A</v>
          </cell>
          <cell r="AK836" t="str">
            <v>N/A</v>
          </cell>
          <cell r="AL836" t="str">
            <v>N/A</v>
          </cell>
          <cell r="AM836" t="str">
            <v>N/A</v>
          </cell>
          <cell r="AN836">
            <v>0</v>
          </cell>
          <cell r="AO836">
            <v>0</v>
          </cell>
        </row>
        <row r="837">
          <cell r="A837" t="str">
            <v>24-2869</v>
          </cell>
          <cell r="B837" t="str">
            <v>AIRPOT</v>
          </cell>
          <cell r="C837" t="str">
            <v>PTO</v>
          </cell>
          <cell r="D837" t="str">
            <v>No</v>
          </cell>
          <cell r="E837" t="str">
            <v>NP-53.9 - Small Value Procurement</v>
          </cell>
          <cell r="F837" t="str">
            <v>N/A</v>
          </cell>
          <cell r="G837">
            <v>45442</v>
          </cell>
          <cell r="H837">
            <v>0</v>
          </cell>
          <cell r="I837" t="str">
            <v>N/A</v>
          </cell>
          <cell r="J837">
            <v>45454</v>
          </cell>
          <cell r="K837">
            <v>45454</v>
          </cell>
          <cell r="L837">
            <v>0</v>
          </cell>
          <cell r="M837" t="str">
            <v>N/A</v>
          </cell>
          <cell r="N837" t="str">
            <v>N/A</v>
          </cell>
          <cell r="O837">
            <v>45464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 t="e">
            <v>#N/A</v>
          </cell>
          <cell r="Y837">
            <v>0</v>
          </cell>
          <cell r="Z837">
            <v>0</v>
          </cell>
          <cell r="AA837">
            <v>3500</v>
          </cell>
          <cell r="AB837">
            <v>0</v>
          </cell>
          <cell r="AC837">
            <v>3500</v>
          </cell>
          <cell r="AD837">
            <v>3500</v>
          </cell>
          <cell r="AE837">
            <v>0</v>
          </cell>
          <cell r="AF837">
            <v>3500</v>
          </cell>
          <cell r="AG837" t="str">
            <v>ENGR. MICHAEL C. SALARDA
MS. LEONARDA M. LATOR
MS. CARMENCITA VALDEZ
MS. SORAYA P. VERGARA</v>
          </cell>
          <cell r="AH837" t="str">
            <v>N/A</v>
          </cell>
          <cell r="AI837" t="str">
            <v>N/A</v>
          </cell>
          <cell r="AJ837" t="str">
            <v>N/A</v>
          </cell>
          <cell r="AK837" t="str">
            <v>N/A</v>
          </cell>
          <cell r="AL837" t="str">
            <v>N/A</v>
          </cell>
          <cell r="AM837" t="str">
            <v>N/A</v>
          </cell>
          <cell r="AN837">
            <v>0</v>
          </cell>
          <cell r="AO837">
            <v>0</v>
          </cell>
        </row>
        <row r="838">
          <cell r="A838" t="str">
            <v>24-2998</v>
          </cell>
          <cell r="B838" t="str">
            <v>CONSTRUCTION SUPPLIES</v>
          </cell>
          <cell r="C838" t="str">
            <v>PDRRMO</v>
          </cell>
          <cell r="D838" t="str">
            <v>No</v>
          </cell>
          <cell r="E838" t="str">
            <v>NP-53.9 - Small Value Procurement</v>
          </cell>
          <cell r="F838">
            <v>45440</v>
          </cell>
          <cell r="G838">
            <v>45442</v>
          </cell>
          <cell r="H838">
            <v>0</v>
          </cell>
          <cell r="I838" t="str">
            <v>N/A</v>
          </cell>
          <cell r="J838">
            <v>45454</v>
          </cell>
          <cell r="K838">
            <v>45454</v>
          </cell>
          <cell r="L838">
            <v>0</v>
          </cell>
          <cell r="M838" t="str">
            <v>N/A</v>
          </cell>
          <cell r="N838" t="str">
            <v>N/A</v>
          </cell>
          <cell r="O838">
            <v>45464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 t="e">
            <v>#N/A</v>
          </cell>
          <cell r="Y838">
            <v>0</v>
          </cell>
          <cell r="Z838">
            <v>0</v>
          </cell>
          <cell r="AA838">
            <v>115928</v>
          </cell>
          <cell r="AB838">
            <v>0</v>
          </cell>
          <cell r="AC838">
            <v>115928</v>
          </cell>
          <cell r="AD838">
            <v>115612</v>
          </cell>
          <cell r="AE838">
            <v>0</v>
          </cell>
          <cell r="AF838">
            <v>115612</v>
          </cell>
          <cell r="AG838" t="str">
            <v>ENGR. MICHAEL C. SALARDA
MS. LEONARDA M. LATOR
MS. CARMENCITA VALDEZ
MS. SORAYA P. VERGARA</v>
          </cell>
          <cell r="AH838" t="str">
            <v>N/A</v>
          </cell>
          <cell r="AI838" t="str">
            <v>N/A</v>
          </cell>
          <cell r="AJ838" t="str">
            <v>N/A</v>
          </cell>
          <cell r="AK838" t="str">
            <v>N/A</v>
          </cell>
          <cell r="AL838" t="str">
            <v>N/A</v>
          </cell>
          <cell r="AM838" t="str">
            <v>N/A</v>
          </cell>
          <cell r="AN838">
            <v>0</v>
          </cell>
          <cell r="AO838">
            <v>0</v>
          </cell>
        </row>
        <row r="839">
          <cell r="A839" t="str">
            <v>24-2730</v>
          </cell>
          <cell r="B839" t="str">
            <v>BARCODE SCANNER</v>
          </cell>
          <cell r="C839" t="str">
            <v>PACCO</v>
          </cell>
          <cell r="D839" t="str">
            <v>No</v>
          </cell>
          <cell r="E839" t="str">
            <v>NP-53.9 - Small Value Procurement</v>
          </cell>
          <cell r="F839" t="str">
            <v>N/A</v>
          </cell>
          <cell r="G839">
            <v>45442</v>
          </cell>
          <cell r="H839">
            <v>0</v>
          </cell>
          <cell r="I839" t="str">
            <v>N/A</v>
          </cell>
          <cell r="J839">
            <v>45454</v>
          </cell>
          <cell r="K839">
            <v>45454</v>
          </cell>
          <cell r="L839">
            <v>0</v>
          </cell>
          <cell r="M839" t="str">
            <v>N/A</v>
          </cell>
          <cell r="N839" t="str">
            <v>N/A</v>
          </cell>
          <cell r="O839">
            <v>45464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 t="e">
            <v>#N/A</v>
          </cell>
          <cell r="Y839">
            <v>0</v>
          </cell>
          <cell r="Z839">
            <v>0</v>
          </cell>
          <cell r="AA839">
            <v>6600</v>
          </cell>
          <cell r="AB839">
            <v>0</v>
          </cell>
          <cell r="AC839">
            <v>6600</v>
          </cell>
          <cell r="AD839">
            <v>5339</v>
          </cell>
          <cell r="AE839">
            <v>0</v>
          </cell>
          <cell r="AF839">
            <v>5339</v>
          </cell>
          <cell r="AG839" t="str">
            <v>ENGR. MICHAEL C. SALARDA
MS. LEONARDA M. LATOR
MS. CARMENCITA VALDEZ
MS. SORAYA P. VERGARA</v>
          </cell>
          <cell r="AH839" t="str">
            <v>N/A</v>
          </cell>
          <cell r="AI839" t="str">
            <v>N/A</v>
          </cell>
          <cell r="AJ839" t="str">
            <v>N/A</v>
          </cell>
          <cell r="AK839" t="str">
            <v>N/A</v>
          </cell>
          <cell r="AL839" t="str">
            <v>N/A</v>
          </cell>
          <cell r="AM839" t="str">
            <v>N/A</v>
          </cell>
          <cell r="AN839">
            <v>0</v>
          </cell>
          <cell r="AO839">
            <v>0</v>
          </cell>
        </row>
        <row r="840">
          <cell r="A840" t="str">
            <v>24-2850</v>
          </cell>
          <cell r="B840" t="str">
            <v>TARPAULIN</v>
          </cell>
          <cell r="C840" t="str">
            <v>PEO</v>
          </cell>
          <cell r="D840" t="str">
            <v>No</v>
          </cell>
          <cell r="E840" t="str">
            <v>NP-53.9 - Small Value Procurement</v>
          </cell>
          <cell r="F840">
            <v>45440</v>
          </cell>
          <cell r="G840">
            <v>45442</v>
          </cell>
          <cell r="H840">
            <v>0</v>
          </cell>
          <cell r="I840" t="str">
            <v>N/A</v>
          </cell>
          <cell r="J840">
            <v>45454</v>
          </cell>
          <cell r="K840">
            <v>45454</v>
          </cell>
          <cell r="L840">
            <v>0</v>
          </cell>
          <cell r="M840" t="str">
            <v>N/A</v>
          </cell>
          <cell r="N840" t="str">
            <v>N/A</v>
          </cell>
          <cell r="O840">
            <v>45464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 t="e">
            <v>#N/A</v>
          </cell>
          <cell r="Y840">
            <v>0</v>
          </cell>
          <cell r="Z840">
            <v>0</v>
          </cell>
          <cell r="AA840">
            <v>1792</v>
          </cell>
          <cell r="AB840">
            <v>0</v>
          </cell>
          <cell r="AC840">
            <v>1792</v>
          </cell>
          <cell r="AD840">
            <v>1792</v>
          </cell>
          <cell r="AE840">
            <v>0</v>
          </cell>
          <cell r="AF840">
            <v>1792</v>
          </cell>
          <cell r="AG840" t="str">
            <v>ENGR. MICHAEL C. SALARDA
MS. LEONARDA M. LATOR
MS. CARMENCITA VALDEZ
MS. SORAYA P. VERGARA</v>
          </cell>
          <cell r="AH840" t="str">
            <v>N/A</v>
          </cell>
          <cell r="AI840" t="str">
            <v>N/A</v>
          </cell>
          <cell r="AJ840" t="str">
            <v>N/A</v>
          </cell>
          <cell r="AK840" t="str">
            <v>N/A</v>
          </cell>
          <cell r="AL840" t="str">
            <v>N/A</v>
          </cell>
          <cell r="AM840" t="str">
            <v>N/A</v>
          </cell>
          <cell r="AN840">
            <v>0</v>
          </cell>
          <cell r="AO840">
            <v>0</v>
          </cell>
        </row>
        <row r="841">
          <cell r="A841" t="str">
            <v>24-2514</v>
          </cell>
          <cell r="B841" t="str">
            <v>TARPAULIN</v>
          </cell>
          <cell r="C841" t="str">
            <v>SEF</v>
          </cell>
          <cell r="D841" t="str">
            <v>No</v>
          </cell>
          <cell r="E841" t="str">
            <v>NP-53.9 - Small Value Procurement</v>
          </cell>
          <cell r="F841">
            <v>45440</v>
          </cell>
          <cell r="G841">
            <v>45442</v>
          </cell>
          <cell r="H841">
            <v>0</v>
          </cell>
          <cell r="I841" t="str">
            <v>N/A</v>
          </cell>
          <cell r="J841">
            <v>45454</v>
          </cell>
          <cell r="K841">
            <v>45454</v>
          </cell>
          <cell r="L841">
            <v>0</v>
          </cell>
          <cell r="M841" t="str">
            <v>N/A</v>
          </cell>
          <cell r="N841" t="str">
            <v>N/A</v>
          </cell>
          <cell r="O841">
            <v>45464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 t="e">
            <v>#N/A</v>
          </cell>
          <cell r="Y841">
            <v>0</v>
          </cell>
          <cell r="Z841">
            <v>0</v>
          </cell>
          <cell r="AA841">
            <v>1792</v>
          </cell>
          <cell r="AB841">
            <v>0</v>
          </cell>
          <cell r="AC841">
            <v>1792</v>
          </cell>
          <cell r="AD841">
            <v>1792</v>
          </cell>
          <cell r="AE841">
            <v>0</v>
          </cell>
          <cell r="AF841">
            <v>1792</v>
          </cell>
          <cell r="AG841" t="str">
            <v>ENGR. MICHAEL C. SALARDA
MS. LEONARDA M. LATOR
MS. CARMENCITA VALDEZ
MS. SORAYA P. VERGARA</v>
          </cell>
          <cell r="AH841" t="str">
            <v>N/A</v>
          </cell>
          <cell r="AI841" t="str">
            <v>N/A</v>
          </cell>
          <cell r="AJ841" t="str">
            <v>N/A</v>
          </cell>
          <cell r="AK841" t="str">
            <v>N/A</v>
          </cell>
          <cell r="AL841" t="str">
            <v>N/A</v>
          </cell>
          <cell r="AM841" t="str">
            <v>N/A</v>
          </cell>
          <cell r="AN841">
            <v>0</v>
          </cell>
          <cell r="AO841">
            <v>0</v>
          </cell>
        </row>
        <row r="842">
          <cell r="A842" t="str">
            <v>24-2988</v>
          </cell>
          <cell r="B842" t="str">
            <v>TARPAULIN</v>
          </cell>
          <cell r="C842" t="str">
            <v>PEO</v>
          </cell>
          <cell r="D842" t="str">
            <v>No</v>
          </cell>
          <cell r="E842" t="str">
            <v>NP-53.9 - Small Value Procurement</v>
          </cell>
          <cell r="F842">
            <v>45440</v>
          </cell>
          <cell r="G842">
            <v>45442</v>
          </cell>
          <cell r="H842">
            <v>0</v>
          </cell>
          <cell r="I842" t="str">
            <v>N/A</v>
          </cell>
          <cell r="J842">
            <v>45454</v>
          </cell>
          <cell r="K842">
            <v>45454</v>
          </cell>
          <cell r="L842">
            <v>0</v>
          </cell>
          <cell r="M842" t="str">
            <v>N/A</v>
          </cell>
          <cell r="N842" t="str">
            <v>N/A</v>
          </cell>
          <cell r="O842">
            <v>45464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 t="e">
            <v>#N/A</v>
          </cell>
          <cell r="Y842">
            <v>0</v>
          </cell>
          <cell r="Z842">
            <v>0</v>
          </cell>
          <cell r="AA842">
            <v>1792</v>
          </cell>
          <cell r="AB842">
            <v>0</v>
          </cell>
          <cell r="AC842">
            <v>1792</v>
          </cell>
          <cell r="AD842">
            <v>1792</v>
          </cell>
          <cell r="AE842">
            <v>0</v>
          </cell>
          <cell r="AF842">
            <v>1792</v>
          </cell>
          <cell r="AG842" t="str">
            <v>ENGR. MICHAEL C. SALARDA
MS. LEONARDA M. LATOR
MS. CARMENCITA VALDEZ
MS. SORAYA P. VERGARA</v>
          </cell>
          <cell r="AH842" t="str">
            <v>N/A</v>
          </cell>
          <cell r="AI842" t="str">
            <v>N/A</v>
          </cell>
          <cell r="AJ842" t="str">
            <v>N/A</v>
          </cell>
          <cell r="AK842" t="str">
            <v>N/A</v>
          </cell>
          <cell r="AL842" t="str">
            <v>N/A</v>
          </cell>
          <cell r="AM842" t="str">
            <v>N/A</v>
          </cell>
          <cell r="AN842">
            <v>0</v>
          </cell>
          <cell r="AO842">
            <v>0</v>
          </cell>
        </row>
        <row r="843">
          <cell r="A843" t="str">
            <v>24-2992</v>
          </cell>
          <cell r="B843" t="str">
            <v>TARPAULIN</v>
          </cell>
          <cell r="C843" t="str">
            <v>PEO</v>
          </cell>
          <cell r="D843" t="str">
            <v>No</v>
          </cell>
          <cell r="E843" t="str">
            <v>NP-53.9 - Small Value Procurement</v>
          </cell>
          <cell r="F843">
            <v>45440</v>
          </cell>
          <cell r="G843">
            <v>45442</v>
          </cell>
          <cell r="H843">
            <v>0</v>
          </cell>
          <cell r="I843" t="str">
            <v>N/A</v>
          </cell>
          <cell r="J843">
            <v>45454</v>
          </cell>
          <cell r="K843">
            <v>45454</v>
          </cell>
          <cell r="L843">
            <v>0</v>
          </cell>
          <cell r="M843" t="str">
            <v>N/A</v>
          </cell>
          <cell r="N843" t="str">
            <v>N/A</v>
          </cell>
          <cell r="O843">
            <v>45464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 t="e">
            <v>#N/A</v>
          </cell>
          <cell r="Y843">
            <v>0</v>
          </cell>
          <cell r="Z843">
            <v>0</v>
          </cell>
          <cell r="AA843">
            <v>1792</v>
          </cell>
          <cell r="AB843">
            <v>0</v>
          </cell>
          <cell r="AC843">
            <v>1792</v>
          </cell>
          <cell r="AD843">
            <v>1792</v>
          </cell>
          <cell r="AE843">
            <v>0</v>
          </cell>
          <cell r="AF843">
            <v>1792</v>
          </cell>
          <cell r="AG843" t="str">
            <v>ENGR. MICHAEL C. SALARDA
MS. LEONARDA M. LATOR
MS. CARMENCITA VALDEZ
MS. SORAYA P. VERGARA</v>
          </cell>
          <cell r="AH843" t="str">
            <v>N/A</v>
          </cell>
          <cell r="AI843" t="str">
            <v>N/A</v>
          </cell>
          <cell r="AJ843" t="str">
            <v>N/A</v>
          </cell>
          <cell r="AK843" t="str">
            <v>N/A</v>
          </cell>
          <cell r="AL843" t="str">
            <v>N/A</v>
          </cell>
          <cell r="AM843" t="str">
            <v>N/A</v>
          </cell>
          <cell r="AN843">
            <v>0</v>
          </cell>
          <cell r="AO843">
            <v>0</v>
          </cell>
        </row>
        <row r="844">
          <cell r="A844" t="str">
            <v>24-3020</v>
          </cell>
          <cell r="B844" t="str">
            <v>TARPAULIN</v>
          </cell>
          <cell r="C844" t="str">
            <v>PEO</v>
          </cell>
          <cell r="D844" t="str">
            <v>No</v>
          </cell>
          <cell r="E844" t="str">
            <v>NP-53.9 - Small Value Procurement</v>
          </cell>
          <cell r="F844">
            <v>45440</v>
          </cell>
          <cell r="G844">
            <v>45442</v>
          </cell>
          <cell r="H844">
            <v>0</v>
          </cell>
          <cell r="I844" t="str">
            <v>N/A</v>
          </cell>
          <cell r="J844">
            <v>45454</v>
          </cell>
          <cell r="K844">
            <v>45454</v>
          </cell>
          <cell r="L844">
            <v>0</v>
          </cell>
          <cell r="M844" t="str">
            <v>N/A</v>
          </cell>
          <cell r="N844" t="str">
            <v>N/A</v>
          </cell>
          <cell r="O844">
            <v>45464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 t="e">
            <v>#N/A</v>
          </cell>
          <cell r="Y844">
            <v>0</v>
          </cell>
          <cell r="Z844">
            <v>0</v>
          </cell>
          <cell r="AA844">
            <v>1792</v>
          </cell>
          <cell r="AB844">
            <v>0</v>
          </cell>
          <cell r="AC844">
            <v>1792</v>
          </cell>
          <cell r="AD844">
            <v>1792</v>
          </cell>
          <cell r="AE844">
            <v>0</v>
          </cell>
          <cell r="AF844">
            <v>1792</v>
          </cell>
          <cell r="AG844" t="str">
            <v>ENGR. MICHAEL C. SALARDA
MS. LEONARDA M. LATOR
MS. CARMENCITA VALDEZ
MS. SORAYA P. VERGARA</v>
          </cell>
          <cell r="AH844" t="str">
            <v>N/A</v>
          </cell>
          <cell r="AI844" t="str">
            <v>N/A</v>
          </cell>
          <cell r="AJ844" t="str">
            <v>N/A</v>
          </cell>
          <cell r="AK844" t="str">
            <v>N/A</v>
          </cell>
          <cell r="AL844" t="str">
            <v>N/A</v>
          </cell>
          <cell r="AM844" t="str">
            <v>N/A</v>
          </cell>
          <cell r="AN844">
            <v>0</v>
          </cell>
          <cell r="AO844">
            <v>0</v>
          </cell>
        </row>
        <row r="845">
          <cell r="A845" t="str">
            <v>24-2419</v>
          </cell>
          <cell r="B845" t="str">
            <v>FOOD/CATERING SERVICES</v>
          </cell>
          <cell r="C845" t="str">
            <v>PAO-ADMIN</v>
          </cell>
          <cell r="D845" t="str">
            <v>No</v>
          </cell>
          <cell r="E845" t="str">
            <v>NP-53.9 - Small Value Procurement</v>
          </cell>
          <cell r="F845" t="str">
            <v>N/A</v>
          </cell>
          <cell r="G845">
            <v>45442</v>
          </cell>
          <cell r="H845">
            <v>0</v>
          </cell>
          <cell r="I845" t="str">
            <v>N/A</v>
          </cell>
          <cell r="J845">
            <v>45454</v>
          </cell>
          <cell r="K845">
            <v>45454</v>
          </cell>
          <cell r="L845">
            <v>0</v>
          </cell>
          <cell r="M845" t="str">
            <v>N/A</v>
          </cell>
          <cell r="N845" t="str">
            <v>N/A</v>
          </cell>
          <cell r="O845">
            <v>45464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 t="e">
            <v>#N/A</v>
          </cell>
          <cell r="Y845">
            <v>0</v>
          </cell>
          <cell r="Z845">
            <v>0</v>
          </cell>
          <cell r="AA845">
            <v>230000</v>
          </cell>
          <cell r="AB845">
            <v>0</v>
          </cell>
          <cell r="AC845">
            <v>230000</v>
          </cell>
          <cell r="AD845">
            <v>230000</v>
          </cell>
          <cell r="AE845">
            <v>0</v>
          </cell>
          <cell r="AF845">
            <v>230000</v>
          </cell>
          <cell r="AG845" t="str">
            <v>ENGR. MICHAEL C. SALARDA
MS. LEONARDA M. LATOR
MS. CARMENCITA VALDEZ
MS. SORAYA P. VERGARA</v>
          </cell>
          <cell r="AH845" t="str">
            <v>N/A</v>
          </cell>
          <cell r="AI845" t="str">
            <v>N/A</v>
          </cell>
          <cell r="AJ845" t="str">
            <v>N/A</v>
          </cell>
          <cell r="AK845" t="str">
            <v>N/A</v>
          </cell>
          <cell r="AL845" t="str">
            <v>N/A</v>
          </cell>
          <cell r="AM845" t="str">
            <v>N/A</v>
          </cell>
          <cell r="AN845">
            <v>0</v>
          </cell>
          <cell r="AO845">
            <v>0</v>
          </cell>
        </row>
        <row r="846">
          <cell r="A846" t="str">
            <v>24-2542</v>
          </cell>
          <cell r="B846" t="str">
            <v>FOOD/CATERING SERVICES</v>
          </cell>
          <cell r="C846" t="str">
            <v>PGO</v>
          </cell>
          <cell r="D846" t="str">
            <v>No</v>
          </cell>
          <cell r="E846" t="str">
            <v>NP-53.9 - Small Value Procurement</v>
          </cell>
          <cell r="F846" t="str">
            <v>N/A</v>
          </cell>
          <cell r="G846">
            <v>45442</v>
          </cell>
          <cell r="H846">
            <v>0</v>
          </cell>
          <cell r="I846" t="str">
            <v>N/A</v>
          </cell>
          <cell r="J846">
            <v>45454</v>
          </cell>
          <cell r="K846">
            <v>45454</v>
          </cell>
          <cell r="L846">
            <v>0</v>
          </cell>
          <cell r="M846" t="str">
            <v>N/A</v>
          </cell>
          <cell r="N846" t="str">
            <v>N/A</v>
          </cell>
          <cell r="O846">
            <v>45464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 t="e">
            <v>#N/A</v>
          </cell>
          <cell r="Y846">
            <v>0</v>
          </cell>
          <cell r="Z846">
            <v>0</v>
          </cell>
          <cell r="AA846">
            <v>12480</v>
          </cell>
          <cell r="AB846">
            <v>0</v>
          </cell>
          <cell r="AC846">
            <v>12480</v>
          </cell>
          <cell r="AD846">
            <v>12366</v>
          </cell>
          <cell r="AE846">
            <v>0</v>
          </cell>
          <cell r="AF846">
            <v>12366</v>
          </cell>
          <cell r="AG846" t="str">
            <v>ENGR. MICHAEL C. SALARDA
MS. LEONARDA M. LATOR
MS. CARMENCITA VALDEZ
MS. SORAYA P. VERGARA</v>
          </cell>
          <cell r="AH846" t="str">
            <v>N/A</v>
          </cell>
          <cell r="AI846" t="str">
            <v>N/A</v>
          </cell>
          <cell r="AJ846" t="str">
            <v>N/A</v>
          </cell>
          <cell r="AK846" t="str">
            <v>N/A</v>
          </cell>
          <cell r="AL846" t="str">
            <v>N/A</v>
          </cell>
          <cell r="AM846" t="str">
            <v>N/A</v>
          </cell>
          <cell r="AN846">
            <v>0</v>
          </cell>
          <cell r="AO846">
            <v>0</v>
          </cell>
        </row>
        <row r="847">
          <cell r="A847" t="str">
            <v>24-2715</v>
          </cell>
          <cell r="B847" t="str">
            <v>TARPAULIN</v>
          </cell>
          <cell r="C847" t="str">
            <v>SPO</v>
          </cell>
          <cell r="D847" t="str">
            <v>No</v>
          </cell>
          <cell r="E847" t="str">
            <v>NP-53.9 - Small Value Procurement</v>
          </cell>
          <cell r="F847">
            <v>45440</v>
          </cell>
          <cell r="G847">
            <v>45442</v>
          </cell>
          <cell r="H847">
            <v>0</v>
          </cell>
          <cell r="I847" t="str">
            <v>N/A</v>
          </cell>
          <cell r="J847">
            <v>45454</v>
          </cell>
          <cell r="K847">
            <v>45454</v>
          </cell>
          <cell r="L847">
            <v>0</v>
          </cell>
          <cell r="M847" t="str">
            <v>N/A</v>
          </cell>
          <cell r="N847" t="str">
            <v>N/A</v>
          </cell>
          <cell r="O847">
            <v>45464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 t="e">
            <v>#N/A</v>
          </cell>
          <cell r="Y847">
            <v>0</v>
          </cell>
          <cell r="Z847">
            <v>0</v>
          </cell>
          <cell r="AA847">
            <v>14000</v>
          </cell>
          <cell r="AB847">
            <v>0</v>
          </cell>
          <cell r="AC847">
            <v>14000</v>
          </cell>
          <cell r="AD847">
            <v>14000</v>
          </cell>
          <cell r="AE847">
            <v>0</v>
          </cell>
          <cell r="AF847">
            <v>14000</v>
          </cell>
          <cell r="AG847" t="str">
            <v>ENGR. MICHAEL C. SALARDA
MS. LEONARDA M. LATOR
MS. CARMENCITA VALDEZ
MS. SORAYA P. VERGARA</v>
          </cell>
          <cell r="AH847" t="str">
            <v>N/A</v>
          </cell>
          <cell r="AI847" t="str">
            <v>N/A</v>
          </cell>
          <cell r="AJ847" t="str">
            <v>N/A</v>
          </cell>
          <cell r="AK847" t="str">
            <v>N/A</v>
          </cell>
          <cell r="AL847" t="str">
            <v>N/A</v>
          </cell>
          <cell r="AM847" t="str">
            <v>N/A</v>
          </cell>
          <cell r="AN847">
            <v>0</v>
          </cell>
          <cell r="AO847">
            <v>0</v>
          </cell>
        </row>
        <row r="848">
          <cell r="A848" t="str">
            <v>24-3000</v>
          </cell>
          <cell r="B848" t="str">
            <v>TARPAULIN</v>
          </cell>
          <cell r="C848" t="str">
            <v>PDRRMO</v>
          </cell>
          <cell r="D848" t="str">
            <v>No</v>
          </cell>
          <cell r="E848" t="str">
            <v>NP-53.9 - Small Value Procurement</v>
          </cell>
          <cell r="F848">
            <v>45440</v>
          </cell>
          <cell r="G848">
            <v>45442</v>
          </cell>
          <cell r="H848">
            <v>0</v>
          </cell>
          <cell r="I848" t="str">
            <v>N/A</v>
          </cell>
          <cell r="J848">
            <v>45454</v>
          </cell>
          <cell r="K848">
            <v>45454</v>
          </cell>
          <cell r="L848">
            <v>0</v>
          </cell>
          <cell r="M848" t="str">
            <v>N/A</v>
          </cell>
          <cell r="N848" t="str">
            <v>N/A</v>
          </cell>
          <cell r="O848">
            <v>45464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 t="e">
            <v>#N/A</v>
          </cell>
          <cell r="Y848">
            <v>0</v>
          </cell>
          <cell r="Z848">
            <v>0</v>
          </cell>
          <cell r="AA848">
            <v>1792</v>
          </cell>
          <cell r="AB848">
            <v>0</v>
          </cell>
          <cell r="AC848">
            <v>1792</v>
          </cell>
          <cell r="AD848">
            <v>1792</v>
          </cell>
          <cell r="AE848">
            <v>0</v>
          </cell>
          <cell r="AF848">
            <v>1792</v>
          </cell>
          <cell r="AG848" t="str">
            <v>ENGR. MICHAEL C. SALARDA
MS. LEONARDA M. LATOR
MS. CARMENCITA VALDEZ
MS. SORAYA P. VERGARA</v>
          </cell>
          <cell r="AH848" t="str">
            <v>N/A</v>
          </cell>
          <cell r="AI848" t="str">
            <v>N/A</v>
          </cell>
          <cell r="AJ848" t="str">
            <v>N/A</v>
          </cell>
          <cell r="AK848" t="str">
            <v>N/A</v>
          </cell>
          <cell r="AL848" t="str">
            <v>N/A</v>
          </cell>
          <cell r="AM848" t="str">
            <v>N/A</v>
          </cell>
          <cell r="AN848">
            <v>0</v>
          </cell>
          <cell r="AO848">
            <v>0</v>
          </cell>
        </row>
        <row r="849">
          <cell r="A849" t="str">
            <v>24-1883</v>
          </cell>
          <cell r="B849" t="str">
            <v>POSTER CALENDAR</v>
          </cell>
          <cell r="C849" t="str">
            <v>PAO-ADMIN</v>
          </cell>
          <cell r="D849" t="str">
            <v>No</v>
          </cell>
          <cell r="E849" t="str">
            <v>NP-53.9 - Small Value Procurement</v>
          </cell>
          <cell r="F849" t="str">
            <v>N/A</v>
          </cell>
          <cell r="G849">
            <v>45442</v>
          </cell>
          <cell r="H849">
            <v>0</v>
          </cell>
          <cell r="I849" t="str">
            <v>N/A</v>
          </cell>
          <cell r="J849">
            <v>45454</v>
          </cell>
          <cell r="K849">
            <v>45454</v>
          </cell>
          <cell r="L849">
            <v>0</v>
          </cell>
          <cell r="M849" t="str">
            <v>N/A</v>
          </cell>
          <cell r="N849" t="str">
            <v>N/A</v>
          </cell>
          <cell r="O849">
            <v>45464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 t="e">
            <v>#N/A</v>
          </cell>
          <cell r="Y849">
            <v>0</v>
          </cell>
          <cell r="Z849">
            <v>0</v>
          </cell>
          <cell r="AA849">
            <v>24981</v>
          </cell>
          <cell r="AB849">
            <v>0</v>
          </cell>
          <cell r="AC849">
            <v>24981</v>
          </cell>
          <cell r="AD849">
            <v>23467</v>
          </cell>
          <cell r="AE849">
            <v>0</v>
          </cell>
          <cell r="AF849">
            <v>23467</v>
          </cell>
          <cell r="AG849" t="str">
            <v>ENGR. MICHAEL C. SALARDA
MS. LEONARDA M. LATOR
MS. CARMENCITA VALDEZ
MS. SORAYA P. VERGARA</v>
          </cell>
          <cell r="AH849" t="str">
            <v>N/A</v>
          </cell>
          <cell r="AI849" t="str">
            <v>N/A</v>
          </cell>
          <cell r="AJ849" t="str">
            <v>N/A</v>
          </cell>
          <cell r="AK849" t="str">
            <v>N/A</v>
          </cell>
          <cell r="AL849" t="str">
            <v>N/A</v>
          </cell>
          <cell r="AM849" t="str">
            <v>N/A</v>
          </cell>
          <cell r="AN849">
            <v>0</v>
          </cell>
          <cell r="AO849">
            <v>0</v>
          </cell>
        </row>
        <row r="850">
          <cell r="A850" t="str">
            <v>24-2605</v>
          </cell>
          <cell r="B850" t="str">
            <v>TARPAULIN</v>
          </cell>
          <cell r="C850" t="str">
            <v>PAO-ADMIN</v>
          </cell>
          <cell r="D850" t="str">
            <v>No</v>
          </cell>
          <cell r="E850" t="str">
            <v>NP-53.9 - Small Value Procurement</v>
          </cell>
          <cell r="F850" t="str">
            <v>N/A</v>
          </cell>
          <cell r="G850">
            <v>45442</v>
          </cell>
          <cell r="H850">
            <v>0</v>
          </cell>
          <cell r="I850" t="str">
            <v>N/A</v>
          </cell>
          <cell r="J850">
            <v>45454</v>
          </cell>
          <cell r="K850">
            <v>45454</v>
          </cell>
          <cell r="L850">
            <v>0</v>
          </cell>
          <cell r="M850" t="str">
            <v>N/A</v>
          </cell>
          <cell r="N850" t="str">
            <v>N/A</v>
          </cell>
          <cell r="O850">
            <v>45464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 t="e">
            <v>#N/A</v>
          </cell>
          <cell r="Y850">
            <v>0</v>
          </cell>
          <cell r="Z850">
            <v>0</v>
          </cell>
          <cell r="AA850">
            <v>28000</v>
          </cell>
          <cell r="AB850">
            <v>0</v>
          </cell>
          <cell r="AC850">
            <v>28000</v>
          </cell>
          <cell r="AD850">
            <v>28000</v>
          </cell>
          <cell r="AE850">
            <v>0</v>
          </cell>
          <cell r="AF850">
            <v>28000</v>
          </cell>
          <cell r="AG850" t="str">
            <v>ENGR. MICHAEL C. SALARDA
MS. LEONARDA M. LATOR
MS. CARMENCITA VALDEZ
MS. SORAYA P. VERGARA</v>
          </cell>
          <cell r="AH850" t="str">
            <v>N/A</v>
          </cell>
          <cell r="AI850" t="str">
            <v>N/A</v>
          </cell>
          <cell r="AJ850" t="str">
            <v>N/A</v>
          </cell>
          <cell r="AK850" t="str">
            <v>N/A</v>
          </cell>
          <cell r="AL850" t="str">
            <v>N/A</v>
          </cell>
          <cell r="AM850" t="str">
            <v>N/A</v>
          </cell>
          <cell r="AN850">
            <v>0</v>
          </cell>
          <cell r="AO850">
            <v>0</v>
          </cell>
        </row>
        <row r="851">
          <cell r="A851" t="str">
            <v>24-C1372</v>
          </cell>
          <cell r="B851" t="str">
            <v>COMPUTER SUPPLIES &amp;
PRINTER</v>
          </cell>
          <cell r="C851" t="str">
            <v>PBO</v>
          </cell>
          <cell r="D851" t="str">
            <v>No</v>
          </cell>
          <cell r="E851" t="str">
            <v>NP-53.9 - Small Value Procurement</v>
          </cell>
          <cell r="F851" t="str">
            <v>N/A</v>
          </cell>
          <cell r="G851">
            <v>45442</v>
          </cell>
          <cell r="H851">
            <v>0</v>
          </cell>
          <cell r="I851" t="str">
            <v>N/A</v>
          </cell>
          <cell r="J851">
            <v>45454</v>
          </cell>
          <cell r="K851">
            <v>45454</v>
          </cell>
          <cell r="L851">
            <v>0</v>
          </cell>
          <cell r="M851" t="str">
            <v>N/A</v>
          </cell>
          <cell r="N851" t="str">
            <v>N/A</v>
          </cell>
          <cell r="O851">
            <v>45464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25137</v>
          </cell>
          <cell r="AB851">
            <v>0</v>
          </cell>
          <cell r="AC851">
            <v>25137</v>
          </cell>
          <cell r="AD851">
            <v>21111</v>
          </cell>
          <cell r="AE851">
            <v>0</v>
          </cell>
          <cell r="AF851">
            <v>21111</v>
          </cell>
          <cell r="AG851" t="str">
            <v>ENGR. MICHAEL C. SALARDA
MS. LEONARDA M. LATOR
MS. CARMENCITA VALDEZ
MS. SORAYA P. VERGARA</v>
          </cell>
          <cell r="AH851" t="str">
            <v>N/A</v>
          </cell>
          <cell r="AI851" t="str">
            <v>N/A</v>
          </cell>
          <cell r="AJ851" t="str">
            <v>N/A</v>
          </cell>
          <cell r="AK851" t="str">
            <v>N/A</v>
          </cell>
          <cell r="AL851" t="str">
            <v>N/A</v>
          </cell>
          <cell r="AM851" t="str">
            <v>N/A</v>
          </cell>
          <cell r="AN851">
            <v>0</v>
          </cell>
          <cell r="AO851">
            <v>0</v>
          </cell>
        </row>
        <row r="852">
          <cell r="A852" t="str">
            <v>24-2713</v>
          </cell>
          <cell r="B852" t="str">
            <v>PUBLICATION OF
ORDINANCES</v>
          </cell>
          <cell r="C852" t="str">
            <v>SPO</v>
          </cell>
          <cell r="D852" t="str">
            <v>No</v>
          </cell>
          <cell r="E852" t="str">
            <v>NP-53.9 - Small Value Procurement</v>
          </cell>
          <cell r="F852">
            <v>45440</v>
          </cell>
          <cell r="G852">
            <v>45442</v>
          </cell>
          <cell r="H852">
            <v>0</v>
          </cell>
          <cell r="I852" t="str">
            <v>N/A</v>
          </cell>
          <cell r="J852">
            <v>45454</v>
          </cell>
          <cell r="K852">
            <v>45454</v>
          </cell>
          <cell r="L852">
            <v>0</v>
          </cell>
          <cell r="M852" t="str">
            <v>N/A</v>
          </cell>
          <cell r="N852" t="str">
            <v>N/A</v>
          </cell>
          <cell r="O852">
            <v>45464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 t="e">
            <v>#N/A</v>
          </cell>
          <cell r="Y852">
            <v>0</v>
          </cell>
          <cell r="Z852">
            <v>0</v>
          </cell>
          <cell r="AA852">
            <v>180000</v>
          </cell>
          <cell r="AB852">
            <v>0</v>
          </cell>
          <cell r="AC852">
            <v>180000</v>
          </cell>
          <cell r="AD852">
            <v>150000</v>
          </cell>
          <cell r="AE852">
            <v>0</v>
          </cell>
          <cell r="AF852">
            <v>150000</v>
          </cell>
          <cell r="AG852" t="str">
            <v>ENGR. MICHAEL C. SALARDA
MS. LEONARDA M. LATOR
MS. CARMENCITA VALDEZ
MS. SORAYA P. VERGARA</v>
          </cell>
          <cell r="AH852" t="str">
            <v>N/A</v>
          </cell>
          <cell r="AI852" t="str">
            <v>N/A</v>
          </cell>
          <cell r="AJ852" t="str">
            <v>N/A</v>
          </cell>
          <cell r="AK852" t="str">
            <v>N/A</v>
          </cell>
          <cell r="AL852" t="str">
            <v>N/A</v>
          </cell>
          <cell r="AM852" t="str">
            <v>N/A</v>
          </cell>
          <cell r="AN852">
            <v>0</v>
          </cell>
          <cell r="AO852">
            <v>0</v>
          </cell>
        </row>
        <row r="853">
          <cell r="A853" t="str">
            <v>24-2928</v>
          </cell>
          <cell r="B853" t="str">
            <v>FOOD/CATERING SERVICES</v>
          </cell>
          <cell r="C853" t="str">
            <v>PGO</v>
          </cell>
          <cell r="D853" t="str">
            <v>No</v>
          </cell>
          <cell r="E853" t="str">
            <v>NP-53.9 - Small Value Procurement</v>
          </cell>
          <cell r="F853" t="str">
            <v>N/A</v>
          </cell>
          <cell r="G853">
            <v>45442</v>
          </cell>
          <cell r="H853">
            <v>0</v>
          </cell>
          <cell r="I853" t="str">
            <v>N/A</v>
          </cell>
          <cell r="J853">
            <v>45454</v>
          </cell>
          <cell r="K853">
            <v>45454</v>
          </cell>
          <cell r="L853">
            <v>0</v>
          </cell>
          <cell r="M853" t="str">
            <v>N/A</v>
          </cell>
          <cell r="N853" t="str">
            <v>N/A</v>
          </cell>
          <cell r="O853">
            <v>45464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 t="e">
            <v>#N/A</v>
          </cell>
          <cell r="Y853">
            <v>0</v>
          </cell>
          <cell r="Z853">
            <v>0</v>
          </cell>
          <cell r="AA853">
            <v>74460</v>
          </cell>
          <cell r="AB853">
            <v>0</v>
          </cell>
          <cell r="AC853">
            <v>74460</v>
          </cell>
          <cell r="AD853">
            <v>73584</v>
          </cell>
          <cell r="AE853">
            <v>0</v>
          </cell>
          <cell r="AF853">
            <v>73584</v>
          </cell>
          <cell r="AG853" t="str">
            <v>ENGR. MICHAEL C. SALARDA
MS. LEONARDA M. LATOR
MS. CARMENCITA VALDEZ
MS. SORAYA P. VERGARA</v>
          </cell>
          <cell r="AH853" t="str">
            <v>N/A</v>
          </cell>
          <cell r="AI853" t="str">
            <v>N/A</v>
          </cell>
          <cell r="AJ853" t="str">
            <v>N/A</v>
          </cell>
          <cell r="AK853" t="str">
            <v>N/A</v>
          </cell>
          <cell r="AL853" t="str">
            <v>N/A</v>
          </cell>
          <cell r="AM853" t="str">
            <v>N/A</v>
          </cell>
          <cell r="AN853">
            <v>0</v>
          </cell>
          <cell r="AO853">
            <v>0</v>
          </cell>
        </row>
        <row r="854">
          <cell r="A854" t="str">
            <v>24-2319</v>
          </cell>
          <cell r="B854" t="str">
            <v>CHB</v>
          </cell>
          <cell r="C854" t="str">
            <v>PEO</v>
          </cell>
          <cell r="D854" t="str">
            <v>No</v>
          </cell>
          <cell r="E854" t="str">
            <v>NP-53.9 - Small Value Procurement</v>
          </cell>
          <cell r="F854">
            <v>45407</v>
          </cell>
          <cell r="G854">
            <v>45442</v>
          </cell>
          <cell r="H854">
            <v>0</v>
          </cell>
          <cell r="I854" t="str">
            <v>N/A</v>
          </cell>
          <cell r="J854">
            <v>45454</v>
          </cell>
          <cell r="K854">
            <v>45454</v>
          </cell>
          <cell r="L854">
            <v>0</v>
          </cell>
          <cell r="M854" t="str">
            <v>N/A</v>
          </cell>
          <cell r="N854" t="str">
            <v>N/A</v>
          </cell>
          <cell r="O854">
            <v>45464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 t="e">
            <v>#N/A</v>
          </cell>
          <cell r="Y854">
            <v>0</v>
          </cell>
          <cell r="Z854">
            <v>0</v>
          </cell>
          <cell r="AA854">
            <v>6270</v>
          </cell>
          <cell r="AB854">
            <v>0</v>
          </cell>
          <cell r="AC854">
            <v>6270</v>
          </cell>
          <cell r="AD854">
            <v>6270</v>
          </cell>
          <cell r="AE854">
            <v>0</v>
          </cell>
          <cell r="AF854">
            <v>6270</v>
          </cell>
          <cell r="AG854" t="str">
            <v>ENGR. MICHAEL C. SALARDA
MS. LEONARDA M. LATOR
MS. CARMENCITA VALDEZ
MS. SORAYA P. VERGARA</v>
          </cell>
          <cell r="AH854" t="str">
            <v>N/A</v>
          </cell>
          <cell r="AI854" t="str">
            <v>N/A</v>
          </cell>
          <cell r="AJ854" t="str">
            <v>N/A</v>
          </cell>
          <cell r="AK854" t="str">
            <v>N/A</v>
          </cell>
          <cell r="AL854" t="str">
            <v>N/A</v>
          </cell>
          <cell r="AM854" t="str">
            <v>N/A</v>
          </cell>
          <cell r="AN854">
            <v>0</v>
          </cell>
          <cell r="AO854">
            <v>0</v>
          </cell>
        </row>
        <row r="855">
          <cell r="A855" t="str">
            <v>24-1910</v>
          </cell>
          <cell r="B855" t="str">
            <v>WATER</v>
          </cell>
          <cell r="C855" t="str">
            <v>PGO</v>
          </cell>
          <cell r="D855" t="str">
            <v>No</v>
          </cell>
          <cell r="E855" t="str">
            <v>NP-53.9 - Small Value Procurement</v>
          </cell>
          <cell r="F855" t="str">
            <v>N/A</v>
          </cell>
          <cell r="G855">
            <v>45397</v>
          </cell>
          <cell r="H855">
            <v>0</v>
          </cell>
          <cell r="I855" t="str">
            <v>N/A</v>
          </cell>
          <cell r="J855">
            <v>45454</v>
          </cell>
          <cell r="K855">
            <v>45454</v>
          </cell>
          <cell r="L855">
            <v>0</v>
          </cell>
          <cell r="M855" t="str">
            <v>N/A</v>
          </cell>
          <cell r="N855" t="str">
            <v>N/A</v>
          </cell>
          <cell r="O855">
            <v>45464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 t="e">
            <v>#N/A</v>
          </cell>
          <cell r="Y855">
            <v>0</v>
          </cell>
          <cell r="Z855">
            <v>0</v>
          </cell>
          <cell r="AA855">
            <v>1640</v>
          </cell>
          <cell r="AB855">
            <v>0</v>
          </cell>
          <cell r="AC855">
            <v>1640</v>
          </cell>
          <cell r="AD855">
            <v>1600</v>
          </cell>
          <cell r="AE855">
            <v>0</v>
          </cell>
          <cell r="AF855">
            <v>1600</v>
          </cell>
          <cell r="AG855" t="str">
            <v>ENGR. MICHAEL C. SALARDA
MS. LEONARDA M. LATOR
MS. CARMENCITA VALDEZ
MS. SORAYA P. VERGARA</v>
          </cell>
          <cell r="AH855" t="str">
            <v>N/A</v>
          </cell>
          <cell r="AI855" t="str">
            <v>N/A</v>
          </cell>
          <cell r="AJ855" t="str">
            <v>N/A</v>
          </cell>
          <cell r="AK855" t="str">
            <v>N/A</v>
          </cell>
          <cell r="AL855" t="str">
            <v>N/A</v>
          </cell>
          <cell r="AM855" t="str">
            <v>N/A</v>
          </cell>
          <cell r="AN855">
            <v>0</v>
          </cell>
          <cell r="AO855">
            <v>0</v>
          </cell>
        </row>
        <row r="856">
          <cell r="A856" t="str">
            <v>24-2320</v>
          </cell>
          <cell r="B856" t="str">
            <v>CHB</v>
          </cell>
          <cell r="C856" t="str">
            <v>PEO</v>
          </cell>
          <cell r="D856" t="str">
            <v>No</v>
          </cell>
          <cell r="E856" t="str">
            <v>NP-53.9 - Small Value Procurement</v>
          </cell>
          <cell r="F856" t="str">
            <v>N/A</v>
          </cell>
          <cell r="G856">
            <v>45397</v>
          </cell>
          <cell r="H856">
            <v>0</v>
          </cell>
          <cell r="I856" t="str">
            <v>N/A</v>
          </cell>
          <cell r="J856">
            <v>45454</v>
          </cell>
          <cell r="K856">
            <v>45454</v>
          </cell>
          <cell r="L856">
            <v>0</v>
          </cell>
          <cell r="M856" t="str">
            <v>N/A</v>
          </cell>
          <cell r="N856" t="str">
            <v>N/A</v>
          </cell>
          <cell r="O856">
            <v>45464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 t="e">
            <v>#N/A</v>
          </cell>
          <cell r="Y856">
            <v>0</v>
          </cell>
          <cell r="Z856">
            <v>0</v>
          </cell>
          <cell r="AA856">
            <v>6270</v>
          </cell>
          <cell r="AB856">
            <v>0</v>
          </cell>
          <cell r="AC856">
            <v>6270</v>
          </cell>
          <cell r="AD856">
            <v>6270</v>
          </cell>
          <cell r="AE856">
            <v>0</v>
          </cell>
          <cell r="AF856">
            <v>6270</v>
          </cell>
          <cell r="AG856" t="str">
            <v>ENGR. MICHAEL C. SALARDA
MS. LEONARDA M. LATOR
MS. CARMENCITA VALDEZ
MS. SORAYA P. VERGARA</v>
          </cell>
          <cell r="AH856" t="str">
            <v>N/A</v>
          </cell>
          <cell r="AI856" t="str">
            <v>N/A</v>
          </cell>
          <cell r="AJ856" t="str">
            <v>N/A</v>
          </cell>
          <cell r="AK856" t="str">
            <v>N/A</v>
          </cell>
          <cell r="AL856" t="str">
            <v>N/A</v>
          </cell>
          <cell r="AM856" t="str">
            <v>N/A</v>
          </cell>
          <cell r="AN856">
            <v>0</v>
          </cell>
          <cell r="AO856">
            <v>0</v>
          </cell>
        </row>
        <row r="857">
          <cell r="A857" t="str">
            <v>24-2064</v>
          </cell>
          <cell r="B857" t="str">
            <v>CONSTRUCTION MATERIALS</v>
          </cell>
          <cell r="C857" t="str">
            <v>SEF</v>
          </cell>
          <cell r="D857" t="str">
            <v>No</v>
          </cell>
          <cell r="E857" t="str">
            <v>NP-53.9 - Small Value Procurement</v>
          </cell>
          <cell r="F857">
            <v>45387</v>
          </cell>
          <cell r="G857">
            <v>45397</v>
          </cell>
          <cell r="H857">
            <v>0</v>
          </cell>
          <cell r="I857" t="str">
            <v>N/A</v>
          </cell>
          <cell r="J857">
            <v>45454</v>
          </cell>
          <cell r="K857">
            <v>45454</v>
          </cell>
          <cell r="L857">
            <v>0</v>
          </cell>
          <cell r="M857" t="str">
            <v>N/A</v>
          </cell>
          <cell r="N857" t="str">
            <v>N/A</v>
          </cell>
          <cell r="O857">
            <v>45464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 t="e">
            <v>#N/A</v>
          </cell>
          <cell r="Y857">
            <v>0</v>
          </cell>
          <cell r="Z857">
            <v>0</v>
          </cell>
          <cell r="AA857">
            <v>224734.8</v>
          </cell>
          <cell r="AB857">
            <v>0</v>
          </cell>
          <cell r="AC857">
            <v>224734.8</v>
          </cell>
          <cell r="AD857">
            <v>224325</v>
          </cell>
          <cell r="AE857">
            <v>0</v>
          </cell>
          <cell r="AF857">
            <v>224325</v>
          </cell>
          <cell r="AG857" t="str">
            <v>ENGR. MICHAEL C. SALARDA
MS. LEONARDA M. LATOR
MS. CARMENCITA VALDEZ
MS. SORAYA P. VERGARA</v>
          </cell>
          <cell r="AH857" t="str">
            <v>N/A</v>
          </cell>
          <cell r="AI857" t="str">
            <v>N/A</v>
          </cell>
          <cell r="AJ857" t="str">
            <v>N/A</v>
          </cell>
          <cell r="AK857" t="str">
            <v>N/A</v>
          </cell>
          <cell r="AL857" t="str">
            <v>N/A</v>
          </cell>
          <cell r="AM857" t="str">
            <v>N/A</v>
          </cell>
          <cell r="AN857">
            <v>0</v>
          </cell>
          <cell r="AO857">
            <v>0</v>
          </cell>
        </row>
        <row r="858">
          <cell r="A858" t="str">
            <v>24-2377</v>
          </cell>
          <cell r="B858" t="str">
            <v>POWER TOOLS TIRE
WRENCE</v>
          </cell>
          <cell r="C858" t="str">
            <v>PDRRMO</v>
          </cell>
          <cell r="D858" t="str">
            <v>No</v>
          </cell>
          <cell r="E858" t="str">
            <v>NP-53.9 - Small Value Procurement</v>
          </cell>
          <cell r="F858">
            <v>45440</v>
          </cell>
          <cell r="G858">
            <v>45442</v>
          </cell>
          <cell r="H858">
            <v>0</v>
          </cell>
          <cell r="I858" t="str">
            <v>N/A</v>
          </cell>
          <cell r="J858">
            <v>45454</v>
          </cell>
          <cell r="K858">
            <v>45454</v>
          </cell>
          <cell r="L858">
            <v>0</v>
          </cell>
          <cell r="M858" t="str">
            <v>N/A</v>
          </cell>
          <cell r="N858" t="str">
            <v>N/A</v>
          </cell>
          <cell r="O858">
            <v>45464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 t="e">
            <v>#N/A</v>
          </cell>
          <cell r="Y858">
            <v>0</v>
          </cell>
          <cell r="Z858">
            <v>0</v>
          </cell>
          <cell r="AA858">
            <v>18700</v>
          </cell>
          <cell r="AB858">
            <v>0</v>
          </cell>
          <cell r="AC858">
            <v>18700</v>
          </cell>
          <cell r="AD858">
            <v>18696</v>
          </cell>
          <cell r="AE858">
            <v>0</v>
          </cell>
          <cell r="AF858">
            <v>18696</v>
          </cell>
          <cell r="AG858" t="str">
            <v>ENGR. MICHAEL C. SALARDA
MS. LEONARDA M. LATOR
MS. CARMENCITA VALDEZ
MS. SORAYA P. VERGARA</v>
          </cell>
          <cell r="AH858" t="str">
            <v>N/A</v>
          </cell>
          <cell r="AI858" t="str">
            <v>N/A</v>
          </cell>
          <cell r="AJ858" t="str">
            <v>N/A</v>
          </cell>
          <cell r="AK858" t="str">
            <v>N/A</v>
          </cell>
          <cell r="AL858" t="str">
            <v>N/A</v>
          </cell>
          <cell r="AM858" t="str">
            <v>N/A</v>
          </cell>
          <cell r="AN858">
            <v>0</v>
          </cell>
          <cell r="AO858">
            <v>0</v>
          </cell>
        </row>
        <row r="859">
          <cell r="A859" t="str">
            <v>24-2862</v>
          </cell>
          <cell r="B859" t="str">
            <v>INDUSTRIAL FLOOR FAN</v>
          </cell>
          <cell r="C859" t="str">
            <v>PGSO</v>
          </cell>
          <cell r="D859" t="str">
            <v>No</v>
          </cell>
          <cell r="E859" t="str">
            <v>NP-53.9 - Small Value Procurement</v>
          </cell>
          <cell r="F859" t="str">
            <v>N/A</v>
          </cell>
          <cell r="G859">
            <v>45442</v>
          </cell>
          <cell r="H859">
            <v>0</v>
          </cell>
          <cell r="I859" t="str">
            <v>N/A</v>
          </cell>
          <cell r="J859">
            <v>45454</v>
          </cell>
          <cell r="K859">
            <v>45454</v>
          </cell>
          <cell r="L859">
            <v>0</v>
          </cell>
          <cell r="M859" t="str">
            <v>N/A</v>
          </cell>
          <cell r="N859" t="str">
            <v>N/A</v>
          </cell>
          <cell r="O859">
            <v>45464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 t="e">
            <v>#N/A</v>
          </cell>
          <cell r="Y859">
            <v>0</v>
          </cell>
          <cell r="Z859">
            <v>0</v>
          </cell>
          <cell r="AA859">
            <v>20850</v>
          </cell>
          <cell r="AB859">
            <v>0</v>
          </cell>
          <cell r="AC859">
            <v>20850</v>
          </cell>
          <cell r="AD859">
            <v>20844</v>
          </cell>
          <cell r="AE859">
            <v>0</v>
          </cell>
          <cell r="AF859">
            <v>20844</v>
          </cell>
          <cell r="AG859" t="str">
            <v>ENGR. MICHAEL C. SALARDA
MS. LEONARDA M. LATOR
MS. CARMENCITA VALDEZ
MS. SORAYA P. VERGARA</v>
          </cell>
          <cell r="AH859" t="str">
            <v>N/A</v>
          </cell>
          <cell r="AI859" t="str">
            <v>N/A</v>
          </cell>
          <cell r="AJ859" t="str">
            <v>N/A</v>
          </cell>
          <cell r="AK859" t="str">
            <v>N/A</v>
          </cell>
          <cell r="AL859" t="str">
            <v>N/A</v>
          </cell>
          <cell r="AM859" t="str">
            <v>N/A</v>
          </cell>
          <cell r="AN859">
            <v>0</v>
          </cell>
          <cell r="AO859">
            <v>0</v>
          </cell>
        </row>
        <row r="860">
          <cell r="A860" t="str">
            <v>24-C1340</v>
          </cell>
          <cell r="B860" t="str">
            <v>COMPUTER SUPPLIES</v>
          </cell>
          <cell r="C860" t="str">
            <v>PDRRMO</v>
          </cell>
          <cell r="D860" t="str">
            <v>No</v>
          </cell>
          <cell r="E860" t="str">
            <v>NP-53.9 - Small Value Procurement</v>
          </cell>
          <cell r="F860" t="str">
            <v>N/A</v>
          </cell>
          <cell r="G860">
            <v>45412</v>
          </cell>
          <cell r="H860">
            <v>0</v>
          </cell>
          <cell r="I860" t="str">
            <v>N/A</v>
          </cell>
          <cell r="J860">
            <v>45454</v>
          </cell>
          <cell r="K860">
            <v>45454</v>
          </cell>
          <cell r="L860">
            <v>0</v>
          </cell>
          <cell r="M860" t="str">
            <v>N/A</v>
          </cell>
          <cell r="N860" t="str">
            <v>N/A</v>
          </cell>
          <cell r="O860">
            <v>45464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24400</v>
          </cell>
          <cell r="AB860">
            <v>0</v>
          </cell>
          <cell r="AC860">
            <v>24400</v>
          </cell>
          <cell r="AD860">
            <v>24370</v>
          </cell>
          <cell r="AE860">
            <v>0</v>
          </cell>
          <cell r="AF860">
            <v>24370</v>
          </cell>
          <cell r="AG860" t="str">
            <v>ENGR. MICHAEL C. SALARDA
MS. LEONARDA M. LATOR
MS. CARMENCITA VALDEZ
MS. SORAYA P. VERGARA</v>
          </cell>
          <cell r="AH860" t="str">
            <v>N/A</v>
          </cell>
          <cell r="AI860" t="str">
            <v>N/A</v>
          </cell>
          <cell r="AJ860" t="str">
            <v>N/A</v>
          </cell>
          <cell r="AK860" t="str">
            <v>N/A</v>
          </cell>
          <cell r="AL860" t="str">
            <v>N/A</v>
          </cell>
          <cell r="AM860" t="str">
            <v>N/A</v>
          </cell>
          <cell r="AN860">
            <v>0</v>
          </cell>
          <cell r="AO860">
            <v>0</v>
          </cell>
        </row>
        <row r="861">
          <cell r="A861" t="str">
            <v>24-2867</v>
          </cell>
          <cell r="B861" t="str">
            <v>RECHARGEABLE BATTERY
&amp; BATTERY CHARGER</v>
          </cell>
          <cell r="C861" t="str">
            <v>PTO</v>
          </cell>
          <cell r="D861" t="str">
            <v>No</v>
          </cell>
          <cell r="E861" t="str">
            <v>NP-53.9 - Small Value Procurement</v>
          </cell>
          <cell r="F861" t="str">
            <v>N/A</v>
          </cell>
          <cell r="G861">
            <v>45442</v>
          </cell>
          <cell r="H861">
            <v>0</v>
          </cell>
          <cell r="I861" t="str">
            <v>N/A</v>
          </cell>
          <cell r="J861">
            <v>45454</v>
          </cell>
          <cell r="K861">
            <v>45454</v>
          </cell>
          <cell r="L861">
            <v>0</v>
          </cell>
          <cell r="M861" t="str">
            <v>N/A</v>
          </cell>
          <cell r="N861" t="str">
            <v>N/A</v>
          </cell>
          <cell r="O861">
            <v>45464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2360</v>
          </cell>
          <cell r="AB861">
            <v>0</v>
          </cell>
          <cell r="AC861">
            <v>2360</v>
          </cell>
          <cell r="AD861">
            <v>2360</v>
          </cell>
          <cell r="AE861">
            <v>0</v>
          </cell>
          <cell r="AF861">
            <v>2360</v>
          </cell>
          <cell r="AG861" t="str">
            <v>ENGR. MICHAEL C. SALARDA
MS. LEONARDA M. LATOR
MS. CARMENCITA VALDEZ
MS. SORAYA P. VERGARA</v>
          </cell>
          <cell r="AH861" t="str">
            <v>N/A</v>
          </cell>
          <cell r="AI861" t="str">
            <v>N/A</v>
          </cell>
          <cell r="AJ861" t="str">
            <v>N/A</v>
          </cell>
          <cell r="AK861" t="str">
            <v>N/A</v>
          </cell>
          <cell r="AL861" t="str">
            <v>N/A</v>
          </cell>
          <cell r="AM861" t="str">
            <v>N/A</v>
          </cell>
          <cell r="AN861">
            <v>0</v>
          </cell>
          <cell r="AO861">
            <v>0</v>
          </cell>
        </row>
        <row r="862">
          <cell r="A862" t="str">
            <v>24-C1363</v>
          </cell>
          <cell r="B862" t="str">
            <v>COLORED PRINTER &amp;
POWER SUPPLY</v>
          </cell>
          <cell r="C862" t="str">
            <v>SPO</v>
          </cell>
          <cell r="D862" t="str">
            <v>No</v>
          </cell>
          <cell r="E862" t="str">
            <v>NP-53.9 - Small Value Procurement</v>
          </cell>
          <cell r="F862" t="str">
            <v>N/A</v>
          </cell>
          <cell r="G862">
            <v>45436</v>
          </cell>
          <cell r="H862">
            <v>0</v>
          </cell>
          <cell r="I862" t="str">
            <v>N/A</v>
          </cell>
          <cell r="J862">
            <v>45454</v>
          </cell>
          <cell r="K862">
            <v>45454</v>
          </cell>
          <cell r="L862">
            <v>0</v>
          </cell>
          <cell r="M862" t="str">
            <v>N/A</v>
          </cell>
          <cell r="N862" t="str">
            <v>N/A</v>
          </cell>
          <cell r="O862">
            <v>45464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55280</v>
          </cell>
          <cell r="AB862">
            <v>0</v>
          </cell>
          <cell r="AC862">
            <v>55280</v>
          </cell>
          <cell r="AD862">
            <v>55000</v>
          </cell>
          <cell r="AE862">
            <v>0</v>
          </cell>
          <cell r="AF862">
            <v>55000</v>
          </cell>
          <cell r="AG862" t="str">
            <v>ENGR. MICHAEL C. SALARDA
MS. LEONARDA M. LATOR
MS. CARMENCITA VALDEZ
MS. SORAYA P. VERGARA</v>
          </cell>
          <cell r="AH862" t="str">
            <v>N/A</v>
          </cell>
          <cell r="AI862" t="str">
            <v>N/A</v>
          </cell>
          <cell r="AJ862" t="str">
            <v>N/A</v>
          </cell>
          <cell r="AK862" t="str">
            <v>N/A</v>
          </cell>
          <cell r="AL862" t="str">
            <v>N/A</v>
          </cell>
          <cell r="AM862" t="str">
            <v>N/A</v>
          </cell>
          <cell r="AN862">
            <v>0</v>
          </cell>
          <cell r="AO862">
            <v>0</v>
          </cell>
        </row>
        <row r="863">
          <cell r="A863" t="str">
            <v>24-2672</v>
          </cell>
          <cell r="B863" t="str">
            <v>HEAVY DUTY HYDRAULIC
JACK</v>
          </cell>
          <cell r="C863" t="str">
            <v>PDRRMO</v>
          </cell>
          <cell r="D863" t="str">
            <v>No</v>
          </cell>
          <cell r="E863" t="str">
            <v>NP-53.9 - Small Value Procurement</v>
          </cell>
          <cell r="F863">
            <v>45440</v>
          </cell>
          <cell r="G863">
            <v>45442</v>
          </cell>
          <cell r="H863">
            <v>0</v>
          </cell>
          <cell r="I863" t="str">
            <v>N/A</v>
          </cell>
          <cell r="J863">
            <v>45454</v>
          </cell>
          <cell r="K863">
            <v>45454</v>
          </cell>
          <cell r="L863">
            <v>0</v>
          </cell>
          <cell r="M863" t="str">
            <v>N/A</v>
          </cell>
          <cell r="N863" t="str">
            <v>N/A</v>
          </cell>
          <cell r="O863">
            <v>45464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 t="e">
            <v>#N/A</v>
          </cell>
          <cell r="Y863">
            <v>0</v>
          </cell>
          <cell r="Z863">
            <v>0</v>
          </cell>
          <cell r="AA863">
            <v>14800</v>
          </cell>
          <cell r="AB863">
            <v>0</v>
          </cell>
          <cell r="AC863">
            <v>14800</v>
          </cell>
          <cell r="AD863">
            <v>14799</v>
          </cell>
          <cell r="AE863">
            <v>0</v>
          </cell>
          <cell r="AF863">
            <v>14799</v>
          </cell>
          <cell r="AG863" t="str">
            <v>ENGR. MICHAEL C. SALARDA
MS. LEONARDA M. LATOR
MS. CARMENCITA VALDEZ
MS. SORAYA P. VERGARA</v>
          </cell>
          <cell r="AH863" t="str">
            <v>N/A</v>
          </cell>
          <cell r="AI863" t="str">
            <v>N/A</v>
          </cell>
          <cell r="AJ863" t="str">
            <v>N/A</v>
          </cell>
          <cell r="AK863" t="str">
            <v>N/A</v>
          </cell>
          <cell r="AL863" t="str">
            <v>N/A</v>
          </cell>
          <cell r="AM863" t="str">
            <v>N/A</v>
          </cell>
          <cell r="AN863">
            <v>0</v>
          </cell>
          <cell r="AO863">
            <v>0</v>
          </cell>
        </row>
        <row r="864">
          <cell r="A864" t="str">
            <v>24-2934</v>
          </cell>
          <cell r="B864" t="str">
            <v>PIPE WRENCH</v>
          </cell>
          <cell r="C864" t="str">
            <v>PDRRMO</v>
          </cell>
          <cell r="D864" t="str">
            <v>No</v>
          </cell>
          <cell r="E864" t="str">
            <v>NP-53.9 - Small Value Procurement</v>
          </cell>
          <cell r="F864">
            <v>45440</v>
          </cell>
          <cell r="G864">
            <v>45442</v>
          </cell>
          <cell r="H864">
            <v>0</v>
          </cell>
          <cell r="I864" t="str">
            <v>N/A</v>
          </cell>
          <cell r="J864">
            <v>45454</v>
          </cell>
          <cell r="K864">
            <v>45454</v>
          </cell>
          <cell r="L864">
            <v>0</v>
          </cell>
          <cell r="M864" t="str">
            <v>N/A</v>
          </cell>
          <cell r="N864" t="str">
            <v>N/A</v>
          </cell>
          <cell r="O864">
            <v>45464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 t="e">
            <v>#N/A</v>
          </cell>
          <cell r="Y864">
            <v>0</v>
          </cell>
          <cell r="Z864">
            <v>0</v>
          </cell>
          <cell r="AA864">
            <v>5200</v>
          </cell>
          <cell r="AB864">
            <v>0</v>
          </cell>
          <cell r="AC864">
            <v>5200</v>
          </cell>
          <cell r="AD864">
            <v>5198</v>
          </cell>
          <cell r="AE864">
            <v>0</v>
          </cell>
          <cell r="AF864">
            <v>5198</v>
          </cell>
          <cell r="AG864" t="str">
            <v>ENGR. MICHAEL C. SALARDA
MS. LEONARDA M. LATOR
MS. CARMENCITA VALDEZ
MS. SORAYA P. VERGARA</v>
          </cell>
          <cell r="AH864" t="str">
            <v>N/A</v>
          </cell>
          <cell r="AI864" t="str">
            <v>N/A</v>
          </cell>
          <cell r="AJ864" t="str">
            <v>N/A</v>
          </cell>
          <cell r="AK864" t="str">
            <v>N/A</v>
          </cell>
          <cell r="AL864" t="str">
            <v>N/A</v>
          </cell>
          <cell r="AM864" t="str">
            <v>N/A</v>
          </cell>
          <cell r="AN864">
            <v>0</v>
          </cell>
          <cell r="AO864">
            <v>0</v>
          </cell>
        </row>
        <row r="865">
          <cell r="A865" t="str">
            <v>24-1241</v>
          </cell>
          <cell r="B865" t="str">
            <v>JOB ORDER: SUPPLY AND INSTALLATION OF 3 UNITS OF 50KVA DISTRIBUTION TRANSFER</v>
          </cell>
          <cell r="C865" t="str">
            <v>PAGRO</v>
          </cell>
          <cell r="D865" t="str">
            <v>No</v>
          </cell>
          <cell r="E865" t="str">
            <v>Competitive Bidding</v>
          </cell>
          <cell r="F865">
            <v>45398</v>
          </cell>
          <cell r="G865">
            <v>45411</v>
          </cell>
          <cell r="H865">
            <v>0</v>
          </cell>
          <cell r="I865">
            <v>45421</v>
          </cell>
          <cell r="J865">
            <v>45440</v>
          </cell>
          <cell r="K865">
            <v>45440</v>
          </cell>
          <cell r="L865">
            <v>0</v>
          </cell>
          <cell r="M865">
            <v>45440</v>
          </cell>
          <cell r="N865">
            <v>45457</v>
          </cell>
          <cell r="O865">
            <v>45464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794859</v>
          </cell>
          <cell r="AB865">
            <v>0</v>
          </cell>
          <cell r="AC865">
            <v>794859</v>
          </cell>
          <cell r="AD865">
            <v>750000</v>
          </cell>
          <cell r="AE865">
            <v>0</v>
          </cell>
          <cell r="AF865">
            <v>750000</v>
          </cell>
          <cell r="AG865" t="str">
            <v>ENGR. MICHAEL C. SALARDA
MS. LEONARDA M. LATOR
MS. CARMENCITA VALDEZ
MS. SORAYA P. VERGARA</v>
          </cell>
          <cell r="AH865">
            <v>45419</v>
          </cell>
          <cell r="AI865">
            <v>45439</v>
          </cell>
          <cell r="AJ865">
            <v>45439</v>
          </cell>
          <cell r="AK865">
            <v>45439</v>
          </cell>
          <cell r="AL865" t="str">
            <v>N/A</v>
          </cell>
          <cell r="AM865" t="str">
            <v>N/A</v>
          </cell>
          <cell r="AN865">
            <v>0</v>
          </cell>
          <cell r="AO865">
            <v>0</v>
          </cell>
        </row>
        <row r="866">
          <cell r="A866" t="str">
            <v>24-4953</v>
          </cell>
          <cell r="B866" t="str">
            <v>SUPPLY AND DELIVERY OF LAPTOP (MIDRANGE)</v>
          </cell>
          <cell r="C866" t="str">
            <v>SEF</v>
          </cell>
          <cell r="D866" t="str">
            <v>No</v>
          </cell>
          <cell r="E866" t="str">
            <v>Competitive Bidding</v>
          </cell>
          <cell r="F866">
            <v>45421</v>
          </cell>
          <cell r="G866">
            <v>45425</v>
          </cell>
          <cell r="H866">
            <v>0</v>
          </cell>
          <cell r="I866" t="str">
            <v>N/A</v>
          </cell>
          <cell r="J866">
            <v>45440</v>
          </cell>
          <cell r="K866">
            <v>45440</v>
          </cell>
          <cell r="L866">
            <v>0</v>
          </cell>
          <cell r="M866">
            <v>45440</v>
          </cell>
          <cell r="N866">
            <v>45457</v>
          </cell>
          <cell r="O866">
            <v>45464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 t="e">
            <v>#N/A</v>
          </cell>
          <cell r="Y866">
            <v>0</v>
          </cell>
          <cell r="Z866">
            <v>0</v>
          </cell>
          <cell r="AA866">
            <v>165000</v>
          </cell>
          <cell r="AB866">
            <v>0</v>
          </cell>
          <cell r="AC866">
            <v>165000</v>
          </cell>
          <cell r="AD866">
            <v>157200</v>
          </cell>
          <cell r="AE866">
            <v>0</v>
          </cell>
          <cell r="AF866">
            <v>157200</v>
          </cell>
          <cell r="AG866" t="str">
            <v>ENGR. MICHAEL C. SALARDA
MS. LEONARDA M. LATOR
MS. CARMENCITA VALDEZ
MS. SORAYA P. VERGARA</v>
          </cell>
          <cell r="AH866" t="str">
            <v>N/A</v>
          </cell>
          <cell r="AI866" t="str">
            <v>N/A</v>
          </cell>
          <cell r="AJ866" t="str">
            <v>N/A</v>
          </cell>
          <cell r="AK866" t="str">
            <v>N/A</v>
          </cell>
          <cell r="AL866" t="str">
            <v>N/A</v>
          </cell>
          <cell r="AM866" t="str">
            <v>N/A</v>
          </cell>
          <cell r="AN866">
            <v>0</v>
          </cell>
          <cell r="AO866">
            <v>0</v>
          </cell>
        </row>
        <row r="867">
          <cell r="A867" t="str">
            <v>24-2360</v>
          </cell>
          <cell r="B867" t="str">
            <v>ACCOUNTABLE FORMS</v>
          </cell>
          <cell r="C867" t="str">
            <v>PTO</v>
          </cell>
          <cell r="D867" t="str">
            <v>No</v>
          </cell>
          <cell r="E867" t="str">
            <v>NP-53.5 Agency-to-Agency</v>
          </cell>
          <cell r="F867">
            <v>45398</v>
          </cell>
          <cell r="G867">
            <v>45404</v>
          </cell>
          <cell r="H867">
            <v>0</v>
          </cell>
          <cell r="I867" t="str">
            <v>N/A</v>
          </cell>
          <cell r="J867">
            <v>45461</v>
          </cell>
          <cell r="K867">
            <v>45461</v>
          </cell>
          <cell r="L867">
            <v>0</v>
          </cell>
          <cell r="M867" t="str">
            <v>N/A</v>
          </cell>
          <cell r="N867" t="str">
            <v>N/A</v>
          </cell>
          <cell r="O867">
            <v>45464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 t="e">
            <v>#N/A</v>
          </cell>
          <cell r="Y867">
            <v>0</v>
          </cell>
          <cell r="Z867">
            <v>0</v>
          </cell>
          <cell r="AA867">
            <v>1899865</v>
          </cell>
          <cell r="AB867">
            <v>0</v>
          </cell>
          <cell r="AC867">
            <v>1899865</v>
          </cell>
          <cell r="AD867">
            <v>1545568.25</v>
          </cell>
          <cell r="AE867">
            <v>0</v>
          </cell>
          <cell r="AF867">
            <v>1545568.25</v>
          </cell>
          <cell r="AG867" t="str">
            <v>ENGR. MICHAEL C. SALARDA
MS. LEONARDA M. LATOR
MS. CARMENCITA VALDEZ
MS. SORAYA P. VERGARA</v>
          </cell>
          <cell r="AH867" t="str">
            <v>N/A</v>
          </cell>
          <cell r="AI867" t="str">
            <v>N/A</v>
          </cell>
          <cell r="AJ867" t="str">
            <v>N/A</v>
          </cell>
          <cell r="AK867" t="str">
            <v>N/A</v>
          </cell>
          <cell r="AL867" t="str">
            <v>N/A</v>
          </cell>
          <cell r="AM867" t="str">
            <v>N/A</v>
          </cell>
          <cell r="AN867">
            <v>0</v>
          </cell>
          <cell r="AO867">
            <v>0</v>
          </cell>
        </row>
        <row r="868">
          <cell r="A868" t="str">
            <v>24-2803</v>
          </cell>
          <cell r="B868" t="str">
            <v>TONER</v>
          </cell>
          <cell r="C868" t="str">
            <v>PBO</v>
          </cell>
          <cell r="D868" t="str">
            <v>No</v>
          </cell>
          <cell r="E868" t="str">
            <v>Direct Contracting</v>
          </cell>
          <cell r="F868" t="str">
            <v>N/A</v>
          </cell>
          <cell r="G868">
            <v>45448</v>
          </cell>
          <cell r="H868">
            <v>0</v>
          </cell>
          <cell r="I868" t="str">
            <v>N/A</v>
          </cell>
          <cell r="J868">
            <v>45461</v>
          </cell>
          <cell r="K868">
            <v>45461</v>
          </cell>
          <cell r="L868">
            <v>0</v>
          </cell>
          <cell r="M868" t="str">
            <v>N/A</v>
          </cell>
          <cell r="N868" t="str">
            <v>N/A</v>
          </cell>
          <cell r="O868">
            <v>45464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 t="e">
            <v>#N/A</v>
          </cell>
          <cell r="Y868">
            <v>0</v>
          </cell>
          <cell r="Z868">
            <v>0</v>
          </cell>
          <cell r="AA868">
            <v>6023</v>
          </cell>
          <cell r="AB868">
            <v>0</v>
          </cell>
          <cell r="AC868">
            <v>6023</v>
          </cell>
          <cell r="AD868">
            <v>6023</v>
          </cell>
          <cell r="AE868">
            <v>0</v>
          </cell>
          <cell r="AF868">
            <v>6023</v>
          </cell>
          <cell r="AG868" t="str">
            <v>ENGR. MICHAEL C. SALARDA
MS. LEONARDA M. LATOR
MS. CARMENCITA VALDEZ
MS. SORAYA P. VERGARA</v>
          </cell>
          <cell r="AH868" t="str">
            <v>N/A</v>
          </cell>
          <cell r="AI868" t="str">
            <v>N/A</v>
          </cell>
          <cell r="AJ868" t="str">
            <v>N/A</v>
          </cell>
          <cell r="AK868" t="str">
            <v>N/A</v>
          </cell>
          <cell r="AL868" t="str">
            <v>N/A</v>
          </cell>
          <cell r="AM868" t="str">
            <v>N/A</v>
          </cell>
          <cell r="AN868">
            <v>0</v>
          </cell>
          <cell r="AO868">
            <v>0</v>
          </cell>
        </row>
        <row r="869">
          <cell r="A869" t="str">
            <v>24-3175</v>
          </cell>
          <cell r="B869" t="str">
            <v>SPAREPARTS (LIGHT
VEHICLES)</v>
          </cell>
          <cell r="C869" t="str">
            <v>PDRRMO</v>
          </cell>
          <cell r="D869" t="str">
            <v>No</v>
          </cell>
          <cell r="E869" t="str">
            <v>Shopping 52.1(a) - Unforeseen Contingency</v>
          </cell>
          <cell r="F869">
            <v>45454</v>
          </cell>
          <cell r="G869">
            <v>45457</v>
          </cell>
          <cell r="H869">
            <v>0</v>
          </cell>
          <cell r="I869" t="str">
            <v>N/A</v>
          </cell>
          <cell r="J869">
            <v>45461</v>
          </cell>
          <cell r="K869">
            <v>45461</v>
          </cell>
          <cell r="L869">
            <v>0</v>
          </cell>
          <cell r="M869" t="str">
            <v>N/A</v>
          </cell>
          <cell r="N869" t="str">
            <v>N/A</v>
          </cell>
          <cell r="O869">
            <v>45464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 t="e">
            <v>#N/A</v>
          </cell>
          <cell r="Y869">
            <v>0</v>
          </cell>
          <cell r="Z869">
            <v>0</v>
          </cell>
          <cell r="AA869">
            <v>17500</v>
          </cell>
          <cell r="AB869">
            <v>0</v>
          </cell>
          <cell r="AC869">
            <v>17500</v>
          </cell>
          <cell r="AD869">
            <v>17500</v>
          </cell>
          <cell r="AE869">
            <v>0</v>
          </cell>
          <cell r="AF869">
            <v>17500</v>
          </cell>
          <cell r="AG869" t="str">
            <v>ENGR. MICHAEL C. SALARDA
MS. LEONARDA M. LATOR
MS. CARMENCITA VALDEZ
MS. SORAYA P. VERGARA</v>
          </cell>
          <cell r="AH869" t="str">
            <v>N/A</v>
          </cell>
          <cell r="AI869" t="str">
            <v>N/A</v>
          </cell>
          <cell r="AJ869" t="str">
            <v>N/A</v>
          </cell>
          <cell r="AK869" t="str">
            <v>N/A</v>
          </cell>
          <cell r="AL869" t="str">
            <v>N/A</v>
          </cell>
          <cell r="AM869" t="str">
            <v>N/A</v>
          </cell>
          <cell r="AN869">
            <v>0</v>
          </cell>
          <cell r="AO869">
            <v>0</v>
          </cell>
        </row>
        <row r="870">
          <cell r="A870" t="str">
            <v>24-2881</v>
          </cell>
          <cell r="B870" t="str">
            <v>SPAREPARTS (LIGHT
VEHICLES)</v>
          </cell>
          <cell r="C870" t="str">
            <v>PDRRMO</v>
          </cell>
          <cell r="D870" t="str">
            <v>No</v>
          </cell>
          <cell r="E870" t="str">
            <v>Shopping 52.1(a) - Unforeseen Contingency</v>
          </cell>
          <cell r="F870" t="str">
            <v>N/A</v>
          </cell>
          <cell r="G870">
            <v>45457</v>
          </cell>
          <cell r="H870">
            <v>0</v>
          </cell>
          <cell r="I870" t="str">
            <v>N/A</v>
          </cell>
          <cell r="J870">
            <v>45461</v>
          </cell>
          <cell r="K870">
            <v>45461</v>
          </cell>
          <cell r="L870">
            <v>0</v>
          </cell>
          <cell r="M870" t="str">
            <v>N/A</v>
          </cell>
          <cell r="N870" t="str">
            <v>N/A</v>
          </cell>
          <cell r="O870">
            <v>45464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 t="e">
            <v>#N/A</v>
          </cell>
          <cell r="Y870">
            <v>0</v>
          </cell>
          <cell r="Z870">
            <v>0</v>
          </cell>
          <cell r="AA870">
            <v>85000</v>
          </cell>
          <cell r="AB870">
            <v>0</v>
          </cell>
          <cell r="AC870">
            <v>85000</v>
          </cell>
          <cell r="AD870">
            <v>85000</v>
          </cell>
          <cell r="AE870">
            <v>0</v>
          </cell>
          <cell r="AF870">
            <v>85000</v>
          </cell>
          <cell r="AG870" t="str">
            <v>ENGR. MICHAEL C. SALARDA
MS. LEONARDA M. LATOR
MS. CARMENCITA VALDEZ
MS. SORAYA P. VERGARA</v>
          </cell>
          <cell r="AH870" t="str">
            <v>N/A</v>
          </cell>
          <cell r="AI870" t="str">
            <v>N/A</v>
          </cell>
          <cell r="AJ870" t="str">
            <v>N/A</v>
          </cell>
          <cell r="AK870" t="str">
            <v>N/A</v>
          </cell>
          <cell r="AL870" t="str">
            <v>N/A</v>
          </cell>
          <cell r="AM870" t="str">
            <v>N/A</v>
          </cell>
          <cell r="AN870">
            <v>0</v>
          </cell>
          <cell r="AO870">
            <v>0</v>
          </cell>
        </row>
        <row r="871">
          <cell r="A871" t="str">
            <v>24-3381</v>
          </cell>
          <cell r="B871" t="str">
            <v>JOB ORDER(LABOR &amp;
MATERIALS)</v>
          </cell>
          <cell r="C871" t="str">
            <v>VGO</v>
          </cell>
          <cell r="D871" t="str">
            <v>No</v>
          </cell>
          <cell r="E871" t="str">
            <v>Shopping 52.1(a) - Unforeseen Contingency</v>
          </cell>
          <cell r="F871" t="str">
            <v>N/A</v>
          </cell>
          <cell r="G871">
            <v>45457</v>
          </cell>
          <cell r="H871">
            <v>0</v>
          </cell>
          <cell r="I871" t="str">
            <v>N/A</v>
          </cell>
          <cell r="J871">
            <v>45461</v>
          </cell>
          <cell r="K871">
            <v>45461</v>
          </cell>
          <cell r="L871">
            <v>0</v>
          </cell>
          <cell r="M871" t="str">
            <v>N/A</v>
          </cell>
          <cell r="N871" t="str">
            <v>N/A</v>
          </cell>
          <cell r="O871">
            <v>45464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 t="e">
            <v>#N/A</v>
          </cell>
          <cell r="Y871">
            <v>0</v>
          </cell>
          <cell r="Z871">
            <v>0</v>
          </cell>
          <cell r="AA871">
            <v>3500</v>
          </cell>
          <cell r="AB871">
            <v>0</v>
          </cell>
          <cell r="AC871">
            <v>3500</v>
          </cell>
          <cell r="AD871">
            <v>3500</v>
          </cell>
          <cell r="AE871">
            <v>0</v>
          </cell>
          <cell r="AF871">
            <v>3500</v>
          </cell>
          <cell r="AG871" t="str">
            <v>ENGR. MICHAEL C. SALARDA
MS. LEONARDA M. LATOR
MS. CARMENCITA VALDEZ
MS. SORAYA P. VERGARA</v>
          </cell>
          <cell r="AH871" t="str">
            <v>N/A</v>
          </cell>
          <cell r="AI871" t="str">
            <v>N/A</v>
          </cell>
          <cell r="AJ871" t="str">
            <v>N/A</v>
          </cell>
          <cell r="AK871" t="str">
            <v>N/A</v>
          </cell>
          <cell r="AL871" t="str">
            <v>N/A</v>
          </cell>
          <cell r="AM871" t="str">
            <v>N/A</v>
          </cell>
          <cell r="AN871">
            <v>0</v>
          </cell>
          <cell r="AO871">
            <v>0</v>
          </cell>
        </row>
        <row r="872">
          <cell r="A872" t="str">
            <v>24-2725</v>
          </cell>
          <cell r="B872" t="str">
            <v>SPAREPARTS (MOTOR
CYCLE)</v>
          </cell>
          <cell r="C872" t="str">
            <v>PGSO</v>
          </cell>
          <cell r="D872" t="str">
            <v>No</v>
          </cell>
          <cell r="E872" t="str">
            <v>Shopping 52.1(a) - Unforeseen Contingency</v>
          </cell>
          <cell r="F872">
            <v>45440</v>
          </cell>
          <cell r="G872">
            <v>45442</v>
          </cell>
          <cell r="H872">
            <v>0</v>
          </cell>
          <cell r="I872" t="str">
            <v>N/A</v>
          </cell>
          <cell r="J872">
            <v>45461</v>
          </cell>
          <cell r="K872">
            <v>45461</v>
          </cell>
          <cell r="L872">
            <v>0</v>
          </cell>
          <cell r="M872" t="str">
            <v>N/A</v>
          </cell>
          <cell r="N872" t="str">
            <v>N/A</v>
          </cell>
          <cell r="O872">
            <v>45464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 t="e">
            <v>#N/A</v>
          </cell>
          <cell r="Y872">
            <v>0</v>
          </cell>
          <cell r="Z872">
            <v>0</v>
          </cell>
          <cell r="AA872">
            <v>1700</v>
          </cell>
          <cell r="AB872">
            <v>0</v>
          </cell>
          <cell r="AC872">
            <v>1700</v>
          </cell>
          <cell r="AD872">
            <v>1675</v>
          </cell>
          <cell r="AE872">
            <v>0</v>
          </cell>
          <cell r="AF872">
            <v>1675</v>
          </cell>
          <cell r="AG872" t="str">
            <v>ENGR. MICHAEL C. SALARDA
MS. LEONARDA M. LATOR
MS. CARMENCITA VALDEZ
MS. SORAYA P. VERGARA</v>
          </cell>
          <cell r="AH872" t="str">
            <v>N/A</v>
          </cell>
          <cell r="AI872" t="str">
            <v>N/A</v>
          </cell>
          <cell r="AJ872" t="str">
            <v>N/A</v>
          </cell>
          <cell r="AK872" t="str">
            <v>N/A</v>
          </cell>
          <cell r="AL872" t="str">
            <v>N/A</v>
          </cell>
          <cell r="AM872" t="str">
            <v>N/A</v>
          </cell>
          <cell r="AN872">
            <v>0</v>
          </cell>
          <cell r="AO872">
            <v>0</v>
          </cell>
        </row>
        <row r="873">
          <cell r="A873" t="str">
            <v>24-2692</v>
          </cell>
          <cell r="B873" t="str">
            <v>SPAREPARTS (LIGHT
VEHICLES)</v>
          </cell>
          <cell r="C873" t="str">
            <v>PGSO</v>
          </cell>
          <cell r="D873" t="str">
            <v>No</v>
          </cell>
          <cell r="E873" t="str">
            <v>Shopping 52.1(a) - Unforeseen Contingency</v>
          </cell>
          <cell r="F873">
            <v>45440</v>
          </cell>
          <cell r="G873">
            <v>45442</v>
          </cell>
          <cell r="H873">
            <v>0</v>
          </cell>
          <cell r="I873" t="str">
            <v>N/A</v>
          </cell>
          <cell r="J873">
            <v>45461</v>
          </cell>
          <cell r="K873">
            <v>45461</v>
          </cell>
          <cell r="L873">
            <v>0</v>
          </cell>
          <cell r="M873" t="str">
            <v>N/A</v>
          </cell>
          <cell r="N873" t="str">
            <v>N/A</v>
          </cell>
          <cell r="O873">
            <v>45464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 t="e">
            <v>#N/A</v>
          </cell>
          <cell r="Y873">
            <v>0</v>
          </cell>
          <cell r="Z873">
            <v>0</v>
          </cell>
          <cell r="AA873">
            <v>63050</v>
          </cell>
          <cell r="AB873">
            <v>0</v>
          </cell>
          <cell r="AC873">
            <v>63050</v>
          </cell>
          <cell r="AD873">
            <v>43150</v>
          </cell>
          <cell r="AE873">
            <v>0</v>
          </cell>
          <cell r="AF873">
            <v>43150</v>
          </cell>
          <cell r="AG873" t="str">
            <v>ENGR. MICHAEL C. SALARDA
MS. LEONARDA M. LATOR
MS. CARMENCITA VALDEZ
MS. SORAYA P. VERGARA</v>
          </cell>
          <cell r="AH873" t="str">
            <v>N/A</v>
          </cell>
          <cell r="AI873" t="str">
            <v>N/A</v>
          </cell>
          <cell r="AJ873" t="str">
            <v>N/A</v>
          </cell>
          <cell r="AK873" t="str">
            <v>N/A</v>
          </cell>
          <cell r="AL873" t="str">
            <v>N/A</v>
          </cell>
          <cell r="AM873" t="str">
            <v>N/A</v>
          </cell>
          <cell r="AN873">
            <v>0</v>
          </cell>
          <cell r="AO873">
            <v>0</v>
          </cell>
        </row>
        <row r="874">
          <cell r="A874" t="str">
            <v>24-2853</v>
          </cell>
          <cell r="B874" t="str">
            <v>SPAREPARTS (LIGHT
VEHICLES)</v>
          </cell>
          <cell r="C874" t="str">
            <v>PGSO</v>
          </cell>
          <cell r="D874" t="str">
            <v>No</v>
          </cell>
          <cell r="E874" t="str">
            <v>Shopping 52.1(a) - Unforeseen Contingency</v>
          </cell>
          <cell r="F874" t="str">
            <v>N/A</v>
          </cell>
          <cell r="G874">
            <v>45442</v>
          </cell>
          <cell r="H874">
            <v>0</v>
          </cell>
          <cell r="I874" t="str">
            <v>N/A</v>
          </cell>
          <cell r="J874">
            <v>45461</v>
          </cell>
          <cell r="K874">
            <v>45461</v>
          </cell>
          <cell r="L874">
            <v>0</v>
          </cell>
          <cell r="M874" t="str">
            <v>N/A</v>
          </cell>
          <cell r="N874" t="str">
            <v>N/A</v>
          </cell>
          <cell r="O874">
            <v>45464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 t="e">
            <v>#N/A</v>
          </cell>
          <cell r="Y874">
            <v>0</v>
          </cell>
          <cell r="Z874">
            <v>0</v>
          </cell>
          <cell r="AA874">
            <v>56580</v>
          </cell>
          <cell r="AB874">
            <v>0</v>
          </cell>
          <cell r="AC874">
            <v>56580</v>
          </cell>
          <cell r="AD874">
            <v>51130</v>
          </cell>
          <cell r="AE874">
            <v>0</v>
          </cell>
          <cell r="AF874">
            <v>51130</v>
          </cell>
          <cell r="AG874" t="str">
            <v>ENGR. MICHAEL C. SALARDA
MS. LEONARDA M. LATOR
MS. CARMENCITA VALDEZ
MS. SORAYA P. VERGARA</v>
          </cell>
          <cell r="AH874" t="str">
            <v>N/A</v>
          </cell>
          <cell r="AI874" t="str">
            <v>N/A</v>
          </cell>
          <cell r="AJ874" t="str">
            <v>N/A</v>
          </cell>
          <cell r="AK874" t="str">
            <v>N/A</v>
          </cell>
          <cell r="AL874" t="str">
            <v>N/A</v>
          </cell>
          <cell r="AM874" t="str">
            <v>N/A</v>
          </cell>
          <cell r="AN874">
            <v>0</v>
          </cell>
          <cell r="AO874">
            <v>0</v>
          </cell>
        </row>
        <row r="875">
          <cell r="A875" t="str">
            <v>24-2681</v>
          </cell>
          <cell r="B875" t="str">
            <v>SPAREPARTS (LIGHT
VEHICLES)</v>
          </cell>
          <cell r="C875" t="str">
            <v>PGSO</v>
          </cell>
          <cell r="D875" t="str">
            <v>No</v>
          </cell>
          <cell r="E875" t="str">
            <v>Shopping 52.1(a) - Unforeseen Contingency</v>
          </cell>
          <cell r="F875">
            <v>45440</v>
          </cell>
          <cell r="G875">
            <v>45442</v>
          </cell>
          <cell r="H875">
            <v>0</v>
          </cell>
          <cell r="I875" t="str">
            <v>N/A</v>
          </cell>
          <cell r="J875">
            <v>45461</v>
          </cell>
          <cell r="K875">
            <v>45461</v>
          </cell>
          <cell r="L875">
            <v>0</v>
          </cell>
          <cell r="M875" t="str">
            <v>N/A</v>
          </cell>
          <cell r="N875" t="str">
            <v>N/A</v>
          </cell>
          <cell r="O875">
            <v>45464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 t="e">
            <v>#N/A</v>
          </cell>
          <cell r="Y875">
            <v>0</v>
          </cell>
          <cell r="Z875">
            <v>0</v>
          </cell>
          <cell r="AA875">
            <v>5500</v>
          </cell>
          <cell r="AB875">
            <v>0</v>
          </cell>
          <cell r="AC875">
            <v>5500</v>
          </cell>
          <cell r="AD875">
            <v>4800</v>
          </cell>
          <cell r="AE875">
            <v>0</v>
          </cell>
          <cell r="AF875">
            <v>4800</v>
          </cell>
          <cell r="AG875" t="str">
            <v>ENGR. MICHAEL C. SALARDA
MS. LEONARDA M. LATOR
MS. CARMENCITA VALDEZ
MS. SORAYA P. VERGARA</v>
          </cell>
          <cell r="AH875" t="str">
            <v>N/A</v>
          </cell>
          <cell r="AI875" t="str">
            <v>N/A</v>
          </cell>
          <cell r="AJ875" t="str">
            <v>N/A</v>
          </cell>
          <cell r="AK875" t="str">
            <v>N/A</v>
          </cell>
          <cell r="AL875" t="str">
            <v>N/A</v>
          </cell>
          <cell r="AM875" t="str">
            <v>N/A</v>
          </cell>
          <cell r="AN875">
            <v>0</v>
          </cell>
          <cell r="AO875">
            <v>0</v>
          </cell>
        </row>
        <row r="876">
          <cell r="A876" t="str">
            <v>24-2678</v>
          </cell>
          <cell r="B876" t="str">
            <v>SPAREPARTS (MOTOR
CYCLE)</v>
          </cell>
          <cell r="C876" t="str">
            <v>PGSO</v>
          </cell>
          <cell r="D876" t="str">
            <v>No</v>
          </cell>
          <cell r="E876" t="str">
            <v>Shopping 52.1(a) - Unforeseen Contingency</v>
          </cell>
          <cell r="F876">
            <v>45440</v>
          </cell>
          <cell r="G876">
            <v>45442</v>
          </cell>
          <cell r="H876">
            <v>0</v>
          </cell>
          <cell r="I876" t="str">
            <v>N/A</v>
          </cell>
          <cell r="J876">
            <v>45461</v>
          </cell>
          <cell r="K876">
            <v>45461</v>
          </cell>
          <cell r="L876">
            <v>0</v>
          </cell>
          <cell r="M876" t="str">
            <v>N/A</v>
          </cell>
          <cell r="N876" t="str">
            <v>N/A</v>
          </cell>
          <cell r="O876">
            <v>45464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 t="e">
            <v>#N/A</v>
          </cell>
          <cell r="Y876">
            <v>0</v>
          </cell>
          <cell r="Z876">
            <v>0</v>
          </cell>
          <cell r="AA876">
            <v>5850</v>
          </cell>
          <cell r="AB876">
            <v>0</v>
          </cell>
          <cell r="AC876">
            <v>5850</v>
          </cell>
          <cell r="AD876">
            <v>5845</v>
          </cell>
          <cell r="AE876">
            <v>0</v>
          </cell>
          <cell r="AF876">
            <v>5845</v>
          </cell>
          <cell r="AG876" t="str">
            <v>ENGR. MICHAEL C. SALARDA
MS. LEONARDA M. LATOR
MS. CARMENCITA VALDEZ
MS. SORAYA P. VERGARA</v>
          </cell>
          <cell r="AH876" t="str">
            <v>N/A</v>
          </cell>
          <cell r="AI876" t="str">
            <v>N/A</v>
          </cell>
          <cell r="AJ876" t="str">
            <v>N/A</v>
          </cell>
          <cell r="AK876" t="str">
            <v>N/A</v>
          </cell>
          <cell r="AL876" t="str">
            <v>N/A</v>
          </cell>
          <cell r="AM876" t="str">
            <v>N/A</v>
          </cell>
          <cell r="AN876">
            <v>0</v>
          </cell>
          <cell r="AO876">
            <v>0</v>
          </cell>
        </row>
        <row r="877">
          <cell r="A877" t="str">
            <v>24-2721</v>
          </cell>
          <cell r="B877" t="str">
            <v>SPAREPARTS (LIGHT
VEHICLES)</v>
          </cell>
          <cell r="C877" t="str">
            <v>PGSO</v>
          </cell>
          <cell r="D877" t="str">
            <v>No</v>
          </cell>
          <cell r="E877" t="str">
            <v>Shopping 52.1(a) - Unforeseen Contingency</v>
          </cell>
          <cell r="F877">
            <v>45440</v>
          </cell>
          <cell r="G877">
            <v>45442</v>
          </cell>
          <cell r="H877">
            <v>0</v>
          </cell>
          <cell r="I877" t="str">
            <v>N/A</v>
          </cell>
          <cell r="J877">
            <v>45461</v>
          </cell>
          <cell r="K877">
            <v>45461</v>
          </cell>
          <cell r="L877">
            <v>0</v>
          </cell>
          <cell r="M877" t="str">
            <v>N/A</v>
          </cell>
          <cell r="N877" t="str">
            <v>N/A</v>
          </cell>
          <cell r="O877">
            <v>45464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 t="e">
            <v>#N/A</v>
          </cell>
          <cell r="Y877">
            <v>0</v>
          </cell>
          <cell r="Z877">
            <v>0</v>
          </cell>
          <cell r="AA877">
            <v>31650</v>
          </cell>
          <cell r="AB877">
            <v>0</v>
          </cell>
          <cell r="AC877">
            <v>31650</v>
          </cell>
          <cell r="AD877">
            <v>29630</v>
          </cell>
          <cell r="AE877">
            <v>0</v>
          </cell>
          <cell r="AF877">
            <v>29630</v>
          </cell>
          <cell r="AG877" t="str">
            <v>ENGR. MICHAEL C. SALARDA
MS. LEONARDA M. LATOR
MS. CARMENCITA VALDEZ
MS. SORAYA P. VERGARA</v>
          </cell>
          <cell r="AH877" t="str">
            <v>N/A</v>
          </cell>
          <cell r="AI877" t="str">
            <v>N/A</v>
          </cell>
          <cell r="AJ877" t="str">
            <v>N/A</v>
          </cell>
          <cell r="AK877" t="str">
            <v>N/A</v>
          </cell>
          <cell r="AL877" t="str">
            <v>N/A</v>
          </cell>
          <cell r="AM877" t="str">
            <v>N/A</v>
          </cell>
          <cell r="AN877">
            <v>0</v>
          </cell>
          <cell r="AO877">
            <v>0</v>
          </cell>
        </row>
        <row r="878">
          <cell r="A878" t="str">
            <v>24-2852</v>
          </cell>
          <cell r="B878" t="str">
            <v>SPAREPARTS (LIGHT
VEHICLES)</v>
          </cell>
          <cell r="C878" t="str">
            <v>PGSO</v>
          </cell>
          <cell r="D878" t="str">
            <v>No</v>
          </cell>
          <cell r="E878" t="str">
            <v>Shopping 52.1(a) - Unforeseen Contingency</v>
          </cell>
          <cell r="F878" t="str">
            <v>N/A</v>
          </cell>
          <cell r="G878">
            <v>45442</v>
          </cell>
          <cell r="H878">
            <v>0</v>
          </cell>
          <cell r="I878" t="str">
            <v>N/A</v>
          </cell>
          <cell r="J878">
            <v>45461</v>
          </cell>
          <cell r="K878">
            <v>45461</v>
          </cell>
          <cell r="L878">
            <v>0</v>
          </cell>
          <cell r="M878" t="str">
            <v>N/A</v>
          </cell>
          <cell r="N878" t="str">
            <v>N/A</v>
          </cell>
          <cell r="O878">
            <v>45464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 t="e">
            <v>#N/A</v>
          </cell>
          <cell r="Y878">
            <v>0</v>
          </cell>
          <cell r="Z878">
            <v>0</v>
          </cell>
          <cell r="AA878">
            <v>9450</v>
          </cell>
          <cell r="AB878">
            <v>0</v>
          </cell>
          <cell r="AC878">
            <v>9450</v>
          </cell>
          <cell r="AD878">
            <v>8500</v>
          </cell>
          <cell r="AE878">
            <v>0</v>
          </cell>
          <cell r="AF878">
            <v>8500</v>
          </cell>
          <cell r="AG878" t="str">
            <v>ENGR. MICHAEL C. SALARDA
MS. LEONARDA M. LATOR
MS. CARMENCITA VALDEZ
MS. SORAYA P. VERGARA</v>
          </cell>
          <cell r="AH878" t="str">
            <v>N/A</v>
          </cell>
          <cell r="AI878" t="str">
            <v>N/A</v>
          </cell>
          <cell r="AJ878" t="str">
            <v>N/A</v>
          </cell>
          <cell r="AK878" t="str">
            <v>N/A</v>
          </cell>
          <cell r="AL878" t="str">
            <v>N/A</v>
          </cell>
          <cell r="AM878" t="str">
            <v>N/A</v>
          </cell>
          <cell r="AN878">
            <v>0</v>
          </cell>
          <cell r="AO878">
            <v>0</v>
          </cell>
        </row>
        <row r="879">
          <cell r="A879" t="str">
            <v>24-2728</v>
          </cell>
          <cell r="B879" t="str">
            <v>SPAREPARTS (MOTOR
CYCLE)</v>
          </cell>
          <cell r="C879" t="str">
            <v>PGSO</v>
          </cell>
          <cell r="D879" t="str">
            <v>No</v>
          </cell>
          <cell r="E879" t="str">
            <v>Shopping 52.1(a) - Unforeseen Contingency</v>
          </cell>
          <cell r="F879">
            <v>45440</v>
          </cell>
          <cell r="G879">
            <v>45442</v>
          </cell>
          <cell r="H879">
            <v>0</v>
          </cell>
          <cell r="I879" t="str">
            <v>N/A</v>
          </cell>
          <cell r="J879">
            <v>45461</v>
          </cell>
          <cell r="K879">
            <v>45461</v>
          </cell>
          <cell r="L879">
            <v>0</v>
          </cell>
          <cell r="M879" t="str">
            <v>N/A</v>
          </cell>
          <cell r="N879" t="str">
            <v>N/A</v>
          </cell>
          <cell r="O879">
            <v>45464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 t="e">
            <v>#N/A</v>
          </cell>
          <cell r="Y879">
            <v>0</v>
          </cell>
          <cell r="Z879">
            <v>0</v>
          </cell>
          <cell r="AA879">
            <v>10150</v>
          </cell>
          <cell r="AB879">
            <v>0</v>
          </cell>
          <cell r="AC879">
            <v>10150</v>
          </cell>
          <cell r="AD879">
            <v>10120</v>
          </cell>
          <cell r="AE879">
            <v>0</v>
          </cell>
          <cell r="AF879">
            <v>10120</v>
          </cell>
          <cell r="AG879" t="str">
            <v>ENGR. MICHAEL C. SALARDA
MS. LEONARDA M. LATOR
MS. CARMENCITA VALDEZ
MS. SORAYA P. VERGARA</v>
          </cell>
          <cell r="AH879" t="str">
            <v>N/A</v>
          </cell>
          <cell r="AI879" t="str">
            <v>N/A</v>
          </cell>
          <cell r="AJ879" t="str">
            <v>N/A</v>
          </cell>
          <cell r="AK879" t="str">
            <v>N/A</v>
          </cell>
          <cell r="AL879" t="str">
            <v>N/A</v>
          </cell>
          <cell r="AM879" t="str">
            <v>N/A</v>
          </cell>
          <cell r="AN879">
            <v>0</v>
          </cell>
          <cell r="AO879">
            <v>0</v>
          </cell>
        </row>
        <row r="880">
          <cell r="A880" t="str">
            <v>24-2574</v>
          </cell>
          <cell r="B880" t="str">
            <v>SPAREPARTS (LIGHT
VEHICLES)</v>
          </cell>
          <cell r="C880" t="str">
            <v>PGSO</v>
          </cell>
          <cell r="D880" t="str">
            <v>No</v>
          </cell>
          <cell r="E880" t="str">
            <v>Shopping 52.1(a) - Unforeseen Contingency</v>
          </cell>
          <cell r="F880">
            <v>45440</v>
          </cell>
          <cell r="G880">
            <v>45442</v>
          </cell>
          <cell r="H880">
            <v>0</v>
          </cell>
          <cell r="I880" t="str">
            <v>N/A</v>
          </cell>
          <cell r="J880">
            <v>45461</v>
          </cell>
          <cell r="K880">
            <v>45461</v>
          </cell>
          <cell r="L880">
            <v>0</v>
          </cell>
          <cell r="M880" t="str">
            <v>N/A</v>
          </cell>
          <cell r="N880" t="str">
            <v>N/A</v>
          </cell>
          <cell r="O880">
            <v>45464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 t="e">
            <v>#N/A</v>
          </cell>
          <cell r="Y880">
            <v>0</v>
          </cell>
          <cell r="Z880">
            <v>0</v>
          </cell>
          <cell r="AA880">
            <v>5500</v>
          </cell>
          <cell r="AB880">
            <v>0</v>
          </cell>
          <cell r="AC880">
            <v>5500</v>
          </cell>
          <cell r="AD880">
            <v>4800</v>
          </cell>
          <cell r="AE880">
            <v>0</v>
          </cell>
          <cell r="AF880">
            <v>4800</v>
          </cell>
          <cell r="AG880" t="str">
            <v>ENGR. MICHAEL C. SALARDA
MS. LEONARDA M. LATOR
MS. CARMENCITA VALDEZ
MS. SORAYA P. VERGARA</v>
          </cell>
          <cell r="AH880" t="str">
            <v>N/A</v>
          </cell>
          <cell r="AI880" t="str">
            <v>N/A</v>
          </cell>
          <cell r="AJ880" t="str">
            <v>N/A</v>
          </cell>
          <cell r="AK880" t="str">
            <v>N/A</v>
          </cell>
          <cell r="AL880" t="str">
            <v>N/A</v>
          </cell>
          <cell r="AM880" t="str">
            <v>N/A</v>
          </cell>
          <cell r="AN880">
            <v>0</v>
          </cell>
          <cell r="AO880">
            <v>0</v>
          </cell>
        </row>
        <row r="881">
          <cell r="A881" t="str">
            <v>24-2732</v>
          </cell>
          <cell r="B881" t="str">
            <v>SPAREPARTS (MOTOR
CYCLE)</v>
          </cell>
          <cell r="C881" t="str">
            <v>PGSO</v>
          </cell>
          <cell r="D881" t="str">
            <v>No</v>
          </cell>
          <cell r="E881" t="str">
            <v>Shopping 52.1(a) - Unforeseen Contingency</v>
          </cell>
          <cell r="F881">
            <v>45440</v>
          </cell>
          <cell r="G881">
            <v>45442</v>
          </cell>
          <cell r="H881">
            <v>0</v>
          </cell>
          <cell r="I881" t="str">
            <v>N/A</v>
          </cell>
          <cell r="J881">
            <v>45461</v>
          </cell>
          <cell r="K881">
            <v>45461</v>
          </cell>
          <cell r="L881">
            <v>0</v>
          </cell>
          <cell r="M881" t="str">
            <v>N/A</v>
          </cell>
          <cell r="N881" t="str">
            <v>N/A</v>
          </cell>
          <cell r="O881">
            <v>45464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 t="e">
            <v>#N/A</v>
          </cell>
          <cell r="Y881">
            <v>0</v>
          </cell>
          <cell r="Z881">
            <v>0</v>
          </cell>
          <cell r="AA881">
            <v>15750</v>
          </cell>
          <cell r="AB881">
            <v>0</v>
          </cell>
          <cell r="AC881">
            <v>15750</v>
          </cell>
          <cell r="AD881">
            <v>15695</v>
          </cell>
          <cell r="AE881">
            <v>0</v>
          </cell>
          <cell r="AF881">
            <v>15695</v>
          </cell>
          <cell r="AG881" t="str">
            <v>ENGR. MICHAEL C. SALARDA
MS. LEONARDA M. LATOR
MS. CARMENCITA VALDEZ
MS. SORAYA P. VERGARA</v>
          </cell>
          <cell r="AH881" t="str">
            <v>N/A</v>
          </cell>
          <cell r="AI881" t="str">
            <v>N/A</v>
          </cell>
          <cell r="AJ881" t="str">
            <v>N/A</v>
          </cell>
          <cell r="AK881" t="str">
            <v>N/A</v>
          </cell>
          <cell r="AL881" t="str">
            <v>N/A</v>
          </cell>
          <cell r="AM881" t="str">
            <v>N/A</v>
          </cell>
          <cell r="AN881">
            <v>0</v>
          </cell>
          <cell r="AO881">
            <v>0</v>
          </cell>
        </row>
        <row r="882">
          <cell r="A882" t="str">
            <v>24-2677</v>
          </cell>
          <cell r="B882" t="str">
            <v>SPAREPARTS (LIGHT</v>
          </cell>
          <cell r="C882" t="str">
            <v>PGSO</v>
          </cell>
          <cell r="D882" t="str">
            <v>No</v>
          </cell>
          <cell r="E882" t="str">
            <v>Shopping 52.1(a) - Unforeseen Contingency</v>
          </cell>
          <cell r="F882">
            <v>45440</v>
          </cell>
          <cell r="G882">
            <v>45442</v>
          </cell>
          <cell r="H882">
            <v>0</v>
          </cell>
          <cell r="I882" t="str">
            <v>N/A</v>
          </cell>
          <cell r="J882">
            <v>45461</v>
          </cell>
          <cell r="K882">
            <v>45461</v>
          </cell>
          <cell r="L882">
            <v>0</v>
          </cell>
          <cell r="M882" t="str">
            <v>N/A</v>
          </cell>
          <cell r="N882" t="str">
            <v>N/A</v>
          </cell>
          <cell r="O882">
            <v>45464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 t="e">
            <v>#N/A</v>
          </cell>
          <cell r="Y882">
            <v>0</v>
          </cell>
          <cell r="Z882">
            <v>0</v>
          </cell>
          <cell r="AA882">
            <v>1300</v>
          </cell>
          <cell r="AB882">
            <v>0</v>
          </cell>
          <cell r="AC882">
            <v>1300</v>
          </cell>
          <cell r="AD882">
            <v>1200</v>
          </cell>
          <cell r="AE882">
            <v>0</v>
          </cell>
          <cell r="AF882">
            <v>1200</v>
          </cell>
          <cell r="AG882" t="str">
            <v>ENGR. MICHAEL C. SALARDA
MS. LEONARDA M. LATOR
MS. CARMENCITA VALDEZ
MS. SORAYA P. VERGARA</v>
          </cell>
          <cell r="AH882" t="str">
            <v>N/A</v>
          </cell>
          <cell r="AI882" t="str">
            <v>N/A</v>
          </cell>
          <cell r="AJ882" t="str">
            <v>N/A</v>
          </cell>
          <cell r="AK882" t="str">
            <v>N/A</v>
          </cell>
          <cell r="AL882" t="str">
            <v>N/A</v>
          </cell>
          <cell r="AM882" t="str">
            <v>N/A</v>
          </cell>
          <cell r="AN882">
            <v>0</v>
          </cell>
          <cell r="AO882">
            <v>0</v>
          </cell>
        </row>
        <row r="883">
          <cell r="A883" t="str">
            <v>24-2674</v>
          </cell>
          <cell r="B883" t="str">
            <v>SPAREPARTS (LIGHT
VEHICLES)</v>
          </cell>
          <cell r="C883" t="str">
            <v>PGSO</v>
          </cell>
          <cell r="D883" t="str">
            <v>No</v>
          </cell>
          <cell r="E883" t="str">
            <v>Shopping 52.1(a) - Unforeseen Contingency</v>
          </cell>
          <cell r="F883">
            <v>45440</v>
          </cell>
          <cell r="G883">
            <v>45442</v>
          </cell>
          <cell r="H883">
            <v>0</v>
          </cell>
          <cell r="I883" t="str">
            <v>N/A</v>
          </cell>
          <cell r="J883">
            <v>45461</v>
          </cell>
          <cell r="K883">
            <v>45461</v>
          </cell>
          <cell r="L883">
            <v>0</v>
          </cell>
          <cell r="M883" t="str">
            <v>N/A</v>
          </cell>
          <cell r="N883" t="str">
            <v>N/A</v>
          </cell>
          <cell r="O883">
            <v>45464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 t="e">
            <v>#N/A</v>
          </cell>
          <cell r="Y883">
            <v>0</v>
          </cell>
          <cell r="Z883">
            <v>0</v>
          </cell>
          <cell r="AA883">
            <v>15700</v>
          </cell>
          <cell r="AB883">
            <v>0</v>
          </cell>
          <cell r="AC883">
            <v>15700</v>
          </cell>
          <cell r="AD883">
            <v>15300</v>
          </cell>
          <cell r="AE883">
            <v>0</v>
          </cell>
          <cell r="AF883">
            <v>15300</v>
          </cell>
          <cell r="AG883" t="str">
            <v>ENGR. MICHAEL C. SALARDA
MS. LEONARDA M. LATOR
MS. CARMENCITA VALDEZ
MS. SORAYA P. VERGARA</v>
          </cell>
          <cell r="AH883" t="str">
            <v>N/A</v>
          </cell>
          <cell r="AI883" t="str">
            <v>N/A</v>
          </cell>
          <cell r="AJ883" t="str">
            <v>N/A</v>
          </cell>
          <cell r="AK883" t="str">
            <v>N/A</v>
          </cell>
          <cell r="AL883" t="str">
            <v>N/A</v>
          </cell>
          <cell r="AM883" t="str">
            <v>N/A</v>
          </cell>
          <cell r="AN883">
            <v>0</v>
          </cell>
          <cell r="AO883">
            <v>0</v>
          </cell>
        </row>
        <row r="884">
          <cell r="A884" t="str">
            <v>24-2851</v>
          </cell>
          <cell r="B884" t="str">
            <v>SPAREPARTS (LIGHT
VEHICLES)</v>
          </cell>
          <cell r="C884" t="str">
            <v>PGSO</v>
          </cell>
          <cell r="D884" t="str">
            <v>No</v>
          </cell>
          <cell r="E884" t="str">
            <v>Shopping 52.1(a) - Unforeseen Contingency</v>
          </cell>
          <cell r="F884" t="str">
            <v>N/A</v>
          </cell>
          <cell r="G884">
            <v>45442</v>
          </cell>
          <cell r="H884">
            <v>0</v>
          </cell>
          <cell r="I884" t="str">
            <v>N/A</v>
          </cell>
          <cell r="J884">
            <v>45461</v>
          </cell>
          <cell r="K884">
            <v>45461</v>
          </cell>
          <cell r="L884">
            <v>0</v>
          </cell>
          <cell r="M884" t="str">
            <v>N/A</v>
          </cell>
          <cell r="N884" t="str">
            <v>N/A</v>
          </cell>
          <cell r="O884">
            <v>45464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 t="e">
            <v>#N/A</v>
          </cell>
          <cell r="Y884">
            <v>0</v>
          </cell>
          <cell r="Z884">
            <v>0</v>
          </cell>
          <cell r="AA884">
            <v>20500</v>
          </cell>
          <cell r="AB884">
            <v>0</v>
          </cell>
          <cell r="AC884">
            <v>20500</v>
          </cell>
          <cell r="AD884">
            <v>19500</v>
          </cell>
          <cell r="AE884">
            <v>0</v>
          </cell>
          <cell r="AF884">
            <v>19500</v>
          </cell>
          <cell r="AG884" t="str">
            <v>ENGR. MICHAEL C. SALARDA
MS. LEONARDA M. LATOR
MS. CARMENCITA VALDEZ
MS. SORAYA P. VERGARA</v>
          </cell>
          <cell r="AH884" t="str">
            <v>N/A</v>
          </cell>
          <cell r="AI884" t="str">
            <v>N/A</v>
          </cell>
          <cell r="AJ884" t="str">
            <v>N/A</v>
          </cell>
          <cell r="AK884" t="str">
            <v>N/A</v>
          </cell>
          <cell r="AL884" t="str">
            <v>N/A</v>
          </cell>
          <cell r="AM884" t="str">
            <v>N/A</v>
          </cell>
          <cell r="AN884">
            <v>0</v>
          </cell>
          <cell r="AO884">
            <v>0</v>
          </cell>
        </row>
        <row r="885">
          <cell r="A885" t="str">
            <v>24-2680</v>
          </cell>
          <cell r="B885" t="str">
            <v>SPAREPARTS (MOTOR</v>
          </cell>
          <cell r="C885" t="str">
            <v>PGSO</v>
          </cell>
          <cell r="D885" t="str">
            <v>No</v>
          </cell>
          <cell r="E885" t="str">
            <v>Shopping 52.1(a) - Unforeseen Contingency</v>
          </cell>
          <cell r="F885">
            <v>45440</v>
          </cell>
          <cell r="G885">
            <v>45442</v>
          </cell>
          <cell r="H885">
            <v>0</v>
          </cell>
          <cell r="I885" t="str">
            <v>N/A</v>
          </cell>
          <cell r="J885">
            <v>45461</v>
          </cell>
          <cell r="K885">
            <v>45461</v>
          </cell>
          <cell r="L885">
            <v>0</v>
          </cell>
          <cell r="M885" t="str">
            <v>N/A</v>
          </cell>
          <cell r="N885" t="str">
            <v>N/A</v>
          </cell>
          <cell r="O885">
            <v>45464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 t="e">
            <v>#N/A</v>
          </cell>
          <cell r="Y885">
            <v>0</v>
          </cell>
          <cell r="Z885">
            <v>0</v>
          </cell>
          <cell r="AA885">
            <v>12740</v>
          </cell>
          <cell r="AB885">
            <v>0</v>
          </cell>
          <cell r="AC885">
            <v>12740</v>
          </cell>
          <cell r="AD885">
            <v>12671</v>
          </cell>
          <cell r="AE885">
            <v>0</v>
          </cell>
          <cell r="AF885">
            <v>12671</v>
          </cell>
          <cell r="AG885" t="str">
            <v>ENGR. MICHAEL C. SALARDA
MS. LEONARDA M. LATOR
MS. CARMENCITA VALDEZ
MS. SORAYA P. VERGARA</v>
          </cell>
          <cell r="AH885" t="str">
            <v>N/A</v>
          </cell>
          <cell r="AI885" t="str">
            <v>N/A</v>
          </cell>
          <cell r="AJ885" t="str">
            <v>N/A</v>
          </cell>
          <cell r="AK885" t="str">
            <v>N/A</v>
          </cell>
          <cell r="AL885" t="str">
            <v>N/A</v>
          </cell>
          <cell r="AM885" t="str">
            <v>N/A</v>
          </cell>
          <cell r="AN885">
            <v>0</v>
          </cell>
          <cell r="AO885">
            <v>0</v>
          </cell>
        </row>
        <row r="886">
          <cell r="A886" t="str">
            <v>24-2673</v>
          </cell>
          <cell r="B886" t="str">
            <v>SPAREPARTS (LIGHT
VEHICLES)</v>
          </cell>
          <cell r="C886" t="str">
            <v>PGSO</v>
          </cell>
          <cell r="D886" t="str">
            <v>No</v>
          </cell>
          <cell r="E886" t="str">
            <v>Shopping 52.1(a) - Unforeseen Contingency</v>
          </cell>
          <cell r="F886">
            <v>45440</v>
          </cell>
          <cell r="G886">
            <v>45442</v>
          </cell>
          <cell r="H886">
            <v>0</v>
          </cell>
          <cell r="I886" t="str">
            <v>N/A</v>
          </cell>
          <cell r="J886">
            <v>45461</v>
          </cell>
          <cell r="K886">
            <v>45461</v>
          </cell>
          <cell r="L886">
            <v>0</v>
          </cell>
          <cell r="M886" t="str">
            <v>N/A</v>
          </cell>
          <cell r="N886" t="str">
            <v>N/A</v>
          </cell>
          <cell r="O886">
            <v>45464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 t="e">
            <v>#N/A</v>
          </cell>
          <cell r="Y886">
            <v>0</v>
          </cell>
          <cell r="Z886">
            <v>0</v>
          </cell>
          <cell r="AA886">
            <v>8250</v>
          </cell>
          <cell r="AB886">
            <v>0</v>
          </cell>
          <cell r="AC886">
            <v>8250</v>
          </cell>
          <cell r="AD886">
            <v>7300</v>
          </cell>
          <cell r="AE886">
            <v>0</v>
          </cell>
          <cell r="AF886">
            <v>7300</v>
          </cell>
          <cell r="AG886" t="str">
            <v>ENGR. MICHAEL C. SALARDA
MS. LEONARDA M. LATOR
MS. CARMENCITA VALDEZ
MS. SORAYA P. VERGARA</v>
          </cell>
          <cell r="AH886" t="str">
            <v>N/A</v>
          </cell>
          <cell r="AI886" t="str">
            <v>N/A</v>
          </cell>
          <cell r="AJ886" t="str">
            <v>N/A</v>
          </cell>
          <cell r="AK886" t="str">
            <v>N/A</v>
          </cell>
          <cell r="AL886" t="str">
            <v>N/A</v>
          </cell>
          <cell r="AM886" t="str">
            <v>N/A</v>
          </cell>
          <cell r="AN886">
            <v>0</v>
          </cell>
          <cell r="AO886">
            <v>0</v>
          </cell>
        </row>
        <row r="887">
          <cell r="A887" t="str">
            <v>24-1267</v>
          </cell>
          <cell r="B887" t="str">
            <v xml:space="preserve">LUMBER </v>
          </cell>
          <cell r="C887" t="str">
            <v>SEF</v>
          </cell>
          <cell r="D887" t="str">
            <v>No</v>
          </cell>
          <cell r="E887" t="str">
            <v>NP-53.9 - Small Value Procurement</v>
          </cell>
          <cell r="F887">
            <v>45370</v>
          </cell>
          <cell r="G887">
            <v>45376</v>
          </cell>
          <cell r="H887">
            <v>0</v>
          </cell>
          <cell r="I887" t="str">
            <v>N/A</v>
          </cell>
          <cell r="J887">
            <v>45461</v>
          </cell>
          <cell r="K887">
            <v>45461</v>
          </cell>
          <cell r="L887">
            <v>0</v>
          </cell>
          <cell r="M887" t="str">
            <v>N/A</v>
          </cell>
          <cell r="N887" t="str">
            <v>N/A</v>
          </cell>
          <cell r="O887">
            <v>45464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 t="e">
            <v>#N/A</v>
          </cell>
          <cell r="Y887">
            <v>0</v>
          </cell>
          <cell r="Z887">
            <v>0</v>
          </cell>
          <cell r="AA887">
            <v>7347.51</v>
          </cell>
          <cell r="AB887">
            <v>0</v>
          </cell>
          <cell r="AC887">
            <v>7347.51</v>
          </cell>
          <cell r="AD887">
            <v>7269.34</v>
          </cell>
          <cell r="AE887">
            <v>0</v>
          </cell>
          <cell r="AF887">
            <v>7269.34</v>
          </cell>
          <cell r="AG887" t="str">
            <v>ENGR. MICHAEL C. SALARDA
MS. LEONARDA M. LATOR
MS. CARMENCITA VALDEZ
MS. SORAYA P. VERGARA</v>
          </cell>
          <cell r="AH887" t="str">
            <v>N/A</v>
          </cell>
          <cell r="AI887" t="str">
            <v>N/A</v>
          </cell>
          <cell r="AJ887" t="str">
            <v>N/A</v>
          </cell>
          <cell r="AK887" t="str">
            <v>N/A</v>
          </cell>
          <cell r="AL887" t="str">
            <v>N/A</v>
          </cell>
          <cell r="AM887" t="str">
            <v>N/A</v>
          </cell>
          <cell r="AN887">
            <v>0</v>
          </cell>
          <cell r="AO887">
            <v>0</v>
          </cell>
        </row>
        <row r="888">
          <cell r="A888" t="str">
            <v>24-1426</v>
          </cell>
          <cell r="B888" t="str">
            <v xml:space="preserve">LUMBER
</v>
          </cell>
          <cell r="C888" t="str">
            <v>PEO</v>
          </cell>
          <cell r="D888" t="str">
            <v>No</v>
          </cell>
          <cell r="E888" t="str">
            <v>NP-53.9 - Small Value Procurement</v>
          </cell>
          <cell r="F888">
            <v>45370</v>
          </cell>
          <cell r="G888">
            <v>45376</v>
          </cell>
          <cell r="H888">
            <v>0</v>
          </cell>
          <cell r="I888" t="str">
            <v>N/A</v>
          </cell>
          <cell r="J888">
            <v>45461</v>
          </cell>
          <cell r="K888">
            <v>45461</v>
          </cell>
          <cell r="L888">
            <v>0</v>
          </cell>
          <cell r="M888" t="str">
            <v>N/A</v>
          </cell>
          <cell r="N888" t="str">
            <v>N/A</v>
          </cell>
          <cell r="O888">
            <v>45464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 t="e">
            <v>#N/A</v>
          </cell>
          <cell r="Y888">
            <v>0</v>
          </cell>
          <cell r="Z888">
            <v>0</v>
          </cell>
          <cell r="AA888">
            <v>43616</v>
          </cell>
          <cell r="AB888">
            <v>0</v>
          </cell>
          <cell r="AC888">
            <v>43616</v>
          </cell>
          <cell r="AD888">
            <v>43152</v>
          </cell>
          <cell r="AE888">
            <v>0</v>
          </cell>
          <cell r="AF888">
            <v>43152</v>
          </cell>
          <cell r="AG888" t="str">
            <v>ENGR. MICHAEL C. SALARDA
MS. LEONARDA M. LATOR
MS. CARMENCITA VALDEZ
MS. SORAYA P. VERGARA</v>
          </cell>
          <cell r="AH888" t="str">
            <v>N/A</v>
          </cell>
          <cell r="AI888" t="str">
            <v>N/A</v>
          </cell>
          <cell r="AJ888" t="str">
            <v>N/A</v>
          </cell>
          <cell r="AK888" t="str">
            <v>N/A</v>
          </cell>
          <cell r="AL888" t="str">
            <v>N/A</v>
          </cell>
          <cell r="AM888" t="str">
            <v>N/A</v>
          </cell>
          <cell r="AN888">
            <v>0</v>
          </cell>
          <cell r="AO888">
            <v>0</v>
          </cell>
        </row>
        <row r="889">
          <cell r="A889" t="str">
            <v>24-1809</v>
          </cell>
          <cell r="B889" t="str">
            <v xml:space="preserve">LUMBER </v>
          </cell>
          <cell r="C889" t="str">
            <v>PEO</v>
          </cell>
          <cell r="D889" t="str">
            <v>No</v>
          </cell>
          <cell r="E889" t="str">
            <v>NP-53.9 - Small Value Procurement</v>
          </cell>
          <cell r="F889">
            <v>45370</v>
          </cell>
          <cell r="G889">
            <v>45376</v>
          </cell>
          <cell r="H889">
            <v>0</v>
          </cell>
          <cell r="I889" t="str">
            <v>N/A</v>
          </cell>
          <cell r="J889">
            <v>45461</v>
          </cell>
          <cell r="K889">
            <v>45461</v>
          </cell>
          <cell r="L889">
            <v>0</v>
          </cell>
          <cell r="M889" t="str">
            <v>N/A</v>
          </cell>
          <cell r="N889" t="str">
            <v>N/A</v>
          </cell>
          <cell r="O889">
            <v>45464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 t="e">
            <v>#N/A</v>
          </cell>
          <cell r="Y889">
            <v>0</v>
          </cell>
          <cell r="Z889">
            <v>0</v>
          </cell>
          <cell r="AA889">
            <v>20601.509999999998</v>
          </cell>
          <cell r="AB889">
            <v>0</v>
          </cell>
          <cell r="AC889">
            <v>20601.509999999998</v>
          </cell>
          <cell r="AD889">
            <v>20382.34</v>
          </cell>
          <cell r="AE889">
            <v>0</v>
          </cell>
          <cell r="AF889">
            <v>20382.34</v>
          </cell>
          <cell r="AG889" t="str">
            <v>ENGR. MICHAEL C. SALARDA
MS. LEONARDA M. LATOR
MS. CARMENCITA VALDEZ
MS. SORAYA P. VERGARA</v>
          </cell>
          <cell r="AH889" t="str">
            <v>N/A</v>
          </cell>
          <cell r="AI889" t="str">
            <v>N/A</v>
          </cell>
          <cell r="AJ889" t="str">
            <v>N/A</v>
          </cell>
          <cell r="AK889" t="str">
            <v>N/A</v>
          </cell>
          <cell r="AL889" t="str">
            <v>N/A</v>
          </cell>
          <cell r="AM889" t="str">
            <v>N/A</v>
          </cell>
          <cell r="AN889">
            <v>0</v>
          </cell>
          <cell r="AO889">
            <v>0</v>
          </cell>
        </row>
        <row r="890">
          <cell r="A890" t="str">
            <v>24-2190</v>
          </cell>
          <cell r="B890" t="str">
            <v xml:space="preserve">LUMBER
</v>
          </cell>
          <cell r="C890" t="str">
            <v>PEO</v>
          </cell>
          <cell r="D890" t="str">
            <v>No</v>
          </cell>
          <cell r="E890" t="str">
            <v>NP-53.9 - Small Value Procurement</v>
          </cell>
          <cell r="F890">
            <v>45384</v>
          </cell>
          <cell r="G890">
            <v>45390</v>
          </cell>
          <cell r="H890">
            <v>0</v>
          </cell>
          <cell r="I890" t="str">
            <v>N/A</v>
          </cell>
          <cell r="J890">
            <v>45461</v>
          </cell>
          <cell r="K890">
            <v>45461</v>
          </cell>
          <cell r="L890">
            <v>0</v>
          </cell>
          <cell r="M890" t="str">
            <v>N/A</v>
          </cell>
          <cell r="N890" t="str">
            <v>N/A</v>
          </cell>
          <cell r="O890">
            <v>45464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 t="e">
            <v>#N/A</v>
          </cell>
          <cell r="Y890">
            <v>0</v>
          </cell>
          <cell r="Z890">
            <v>0</v>
          </cell>
          <cell r="AA890">
            <v>21071.51</v>
          </cell>
          <cell r="AB890">
            <v>0</v>
          </cell>
          <cell r="AC890">
            <v>21071.51</v>
          </cell>
          <cell r="AD890">
            <v>20847.34</v>
          </cell>
          <cell r="AE890">
            <v>0</v>
          </cell>
          <cell r="AF890">
            <v>20847.34</v>
          </cell>
          <cell r="AG890" t="str">
            <v>ENGR. MICHAEL C. SALARDA
MS. LEONARDA M. LATOR
MS. CARMENCITA VALDEZ
MS. SORAYA P. VERGARA</v>
          </cell>
          <cell r="AH890" t="str">
            <v>N/A</v>
          </cell>
          <cell r="AI890" t="str">
            <v>N/A</v>
          </cell>
          <cell r="AJ890" t="str">
            <v>N/A</v>
          </cell>
          <cell r="AK890" t="str">
            <v>N/A</v>
          </cell>
          <cell r="AL890" t="str">
            <v>N/A</v>
          </cell>
          <cell r="AM890" t="str">
            <v>N/A</v>
          </cell>
          <cell r="AN890">
            <v>0</v>
          </cell>
          <cell r="AO890">
            <v>0</v>
          </cell>
        </row>
        <row r="891">
          <cell r="A891" t="str">
            <v>24-1258</v>
          </cell>
          <cell r="B891" t="str">
            <v xml:space="preserve">LUMBER
</v>
          </cell>
          <cell r="C891" t="str">
            <v>PAGRO</v>
          </cell>
          <cell r="D891" t="str">
            <v>No</v>
          </cell>
          <cell r="E891" t="str">
            <v>NP-53.9 - Small Value Procurement</v>
          </cell>
          <cell r="F891">
            <v>45384</v>
          </cell>
          <cell r="G891">
            <v>45390</v>
          </cell>
          <cell r="H891">
            <v>0</v>
          </cell>
          <cell r="I891" t="str">
            <v>N/A</v>
          </cell>
          <cell r="J891">
            <v>45461</v>
          </cell>
          <cell r="K891">
            <v>45461</v>
          </cell>
          <cell r="L891">
            <v>0</v>
          </cell>
          <cell r="M891" t="str">
            <v>N/A</v>
          </cell>
          <cell r="N891" t="str">
            <v>N/A</v>
          </cell>
          <cell r="O891">
            <v>45464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 t="e">
            <v>#N/A</v>
          </cell>
          <cell r="Y891">
            <v>0</v>
          </cell>
          <cell r="Z891">
            <v>0</v>
          </cell>
          <cell r="AA891">
            <v>2256</v>
          </cell>
          <cell r="AB891">
            <v>0</v>
          </cell>
          <cell r="AC891">
            <v>2256</v>
          </cell>
          <cell r="AD891">
            <v>2208</v>
          </cell>
          <cell r="AE891">
            <v>0</v>
          </cell>
          <cell r="AF891">
            <v>2208</v>
          </cell>
          <cell r="AG891" t="str">
            <v>ENGR. MICHAEL C. SALARDA
MS. LEONARDA M. LATOR
MS. CARMENCITA VALDEZ
MS. SORAYA P. VERGARA</v>
          </cell>
          <cell r="AH891" t="str">
            <v>N/A</v>
          </cell>
          <cell r="AI891" t="str">
            <v>N/A</v>
          </cell>
          <cell r="AJ891" t="str">
            <v>N/A</v>
          </cell>
          <cell r="AK891" t="str">
            <v>N/A</v>
          </cell>
          <cell r="AL891" t="str">
            <v>N/A</v>
          </cell>
          <cell r="AM891" t="str">
            <v>N/A</v>
          </cell>
          <cell r="AN891">
            <v>0</v>
          </cell>
          <cell r="AO891">
            <v>0</v>
          </cell>
        </row>
        <row r="892">
          <cell r="A892" t="str">
            <v>24-2393</v>
          </cell>
          <cell r="B892" t="str">
            <v xml:space="preserve">BINDER AND SELF INKING PAD W/ SAMPLE
</v>
          </cell>
          <cell r="C892" t="str">
            <v>PTO</v>
          </cell>
          <cell r="D892" t="str">
            <v>No</v>
          </cell>
          <cell r="E892" t="str">
            <v>NP-53.9 - Small Value Procurement</v>
          </cell>
          <cell r="F892" t="str">
            <v>N/A</v>
          </cell>
          <cell r="G892">
            <v>45404</v>
          </cell>
          <cell r="H892">
            <v>0</v>
          </cell>
          <cell r="I892" t="str">
            <v>N/A</v>
          </cell>
          <cell r="J892">
            <v>45461</v>
          </cell>
          <cell r="K892">
            <v>45461</v>
          </cell>
          <cell r="L892">
            <v>0</v>
          </cell>
          <cell r="M892" t="str">
            <v>N/A</v>
          </cell>
          <cell r="N892" t="str">
            <v>N/A</v>
          </cell>
          <cell r="O892">
            <v>45464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 t="e">
            <v>#N/A</v>
          </cell>
          <cell r="Y892">
            <v>0</v>
          </cell>
          <cell r="Z892">
            <v>0</v>
          </cell>
          <cell r="AA892">
            <v>6090</v>
          </cell>
          <cell r="AB892">
            <v>0</v>
          </cell>
          <cell r="AC892">
            <v>6090</v>
          </cell>
          <cell r="AD892">
            <v>5880</v>
          </cell>
          <cell r="AE892">
            <v>0</v>
          </cell>
          <cell r="AF892">
            <v>5880</v>
          </cell>
          <cell r="AG892" t="str">
            <v>ENGR. MICHAEL C. SALARDA
MS. LEONARDA M. LATOR
MS. CARMENCITA VALDEZ
MS. SORAYA P. VERGARA</v>
          </cell>
          <cell r="AH892" t="str">
            <v>N/A</v>
          </cell>
          <cell r="AI892" t="str">
            <v>N/A</v>
          </cell>
          <cell r="AJ892" t="str">
            <v>N/A</v>
          </cell>
          <cell r="AK892" t="str">
            <v>N/A</v>
          </cell>
          <cell r="AL892" t="str">
            <v>N/A</v>
          </cell>
          <cell r="AM892" t="str">
            <v>N/A</v>
          </cell>
          <cell r="AN892">
            <v>0</v>
          </cell>
          <cell r="AO892">
            <v>0</v>
          </cell>
        </row>
        <row r="893">
          <cell r="A893" t="str">
            <v>24-C1342</v>
          </cell>
          <cell r="B893" t="str">
            <v xml:space="preserve">SPAREPARTS (LIGHT VEHICLES)
</v>
          </cell>
          <cell r="C893" t="str">
            <v>SPO</v>
          </cell>
          <cell r="D893" t="str">
            <v>No</v>
          </cell>
          <cell r="E893" t="str">
            <v>NP-53.9 - Small Value Procurement</v>
          </cell>
          <cell r="F893">
            <v>45421</v>
          </cell>
          <cell r="G893">
            <v>45425</v>
          </cell>
          <cell r="H893">
            <v>0</v>
          </cell>
          <cell r="I893" t="str">
            <v>N/A</v>
          </cell>
          <cell r="J893">
            <v>45461</v>
          </cell>
          <cell r="K893">
            <v>45461</v>
          </cell>
          <cell r="L893">
            <v>0</v>
          </cell>
          <cell r="M893" t="str">
            <v>N/A</v>
          </cell>
          <cell r="N893" t="str">
            <v>N/A</v>
          </cell>
          <cell r="O893">
            <v>45464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389756</v>
          </cell>
          <cell r="AB893">
            <v>0</v>
          </cell>
          <cell r="AC893">
            <v>389756</v>
          </cell>
          <cell r="AD893">
            <v>377675</v>
          </cell>
          <cell r="AE893">
            <v>0</v>
          </cell>
          <cell r="AF893">
            <v>377675</v>
          </cell>
          <cell r="AG893" t="str">
            <v>ENGR. MICHAEL C. SALARDA
MS. LEONARDA M. LATOR
MS. CARMENCITA VALDEZ
MS. SORAYA P. VERGARA</v>
          </cell>
          <cell r="AH893" t="str">
            <v>N/A</v>
          </cell>
          <cell r="AI893" t="str">
            <v>N/A</v>
          </cell>
          <cell r="AJ893" t="str">
            <v>N/A</v>
          </cell>
          <cell r="AK893" t="str">
            <v>N/A</v>
          </cell>
          <cell r="AL893" t="str">
            <v>N/A</v>
          </cell>
          <cell r="AM893" t="str">
            <v>N/A</v>
          </cell>
          <cell r="AN893">
            <v>0</v>
          </cell>
          <cell r="AO893">
            <v>0</v>
          </cell>
        </row>
        <row r="894">
          <cell r="A894" t="str">
            <v>24-2799</v>
          </cell>
          <cell r="B894" t="str">
            <v xml:space="preserve">UTILITY BOX
</v>
          </cell>
          <cell r="C894" t="str">
            <v>PBO</v>
          </cell>
          <cell r="D894" t="str">
            <v>No</v>
          </cell>
          <cell r="E894" t="str">
            <v>NP-53.9 - Small Value Procurement</v>
          </cell>
          <cell r="F894" t="str">
            <v>N/A</v>
          </cell>
          <cell r="G894">
            <v>45442</v>
          </cell>
          <cell r="H894">
            <v>0</v>
          </cell>
          <cell r="I894" t="str">
            <v>N/A</v>
          </cell>
          <cell r="J894">
            <v>45461</v>
          </cell>
          <cell r="K894">
            <v>45461</v>
          </cell>
          <cell r="L894">
            <v>0</v>
          </cell>
          <cell r="M894" t="str">
            <v>N/A</v>
          </cell>
          <cell r="N894" t="str">
            <v>N/A</v>
          </cell>
          <cell r="O894">
            <v>45464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 t="e">
            <v>#N/A</v>
          </cell>
          <cell r="Y894">
            <v>0</v>
          </cell>
          <cell r="Z894">
            <v>0</v>
          </cell>
          <cell r="AA894">
            <v>6000</v>
          </cell>
          <cell r="AB894">
            <v>0</v>
          </cell>
          <cell r="AC894">
            <v>6000</v>
          </cell>
          <cell r="AD894">
            <v>5916</v>
          </cell>
          <cell r="AE894">
            <v>0</v>
          </cell>
          <cell r="AF894">
            <v>5916</v>
          </cell>
          <cell r="AG894" t="str">
            <v>ENGR. MICHAEL C. SALARDA
MS. LEONARDA M. LATOR
MS. CARMENCITA VALDEZ
MS. SORAYA P. VERGARA</v>
          </cell>
          <cell r="AH894" t="str">
            <v>N/A</v>
          </cell>
          <cell r="AI894" t="str">
            <v>N/A</v>
          </cell>
          <cell r="AJ894" t="str">
            <v>N/A</v>
          </cell>
          <cell r="AK894" t="str">
            <v>N/A</v>
          </cell>
          <cell r="AL894" t="str">
            <v>N/A</v>
          </cell>
          <cell r="AM894" t="str">
            <v>N/A</v>
          </cell>
          <cell r="AN894">
            <v>0</v>
          </cell>
          <cell r="AO894">
            <v>0</v>
          </cell>
        </row>
        <row r="895">
          <cell r="A895" t="str">
            <v>24-2036</v>
          </cell>
          <cell r="B895" t="str">
            <v xml:space="preserve">LUMBER
</v>
          </cell>
          <cell r="C895" t="str">
            <v>SEF</v>
          </cell>
          <cell r="D895" t="str">
            <v>No</v>
          </cell>
          <cell r="E895" t="str">
            <v>NP-53.9 - Small Value Procurement</v>
          </cell>
          <cell r="F895">
            <v>45387</v>
          </cell>
          <cell r="G895">
            <v>45397</v>
          </cell>
          <cell r="H895">
            <v>0</v>
          </cell>
          <cell r="I895" t="str">
            <v>N/A</v>
          </cell>
          <cell r="J895">
            <v>45461</v>
          </cell>
          <cell r="K895">
            <v>45461</v>
          </cell>
          <cell r="L895">
            <v>0</v>
          </cell>
          <cell r="M895" t="str">
            <v>N/A</v>
          </cell>
          <cell r="N895" t="str">
            <v>N/A</v>
          </cell>
          <cell r="O895">
            <v>45464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 t="e">
            <v>#N/A</v>
          </cell>
          <cell r="Y895">
            <v>0</v>
          </cell>
          <cell r="Z895">
            <v>0</v>
          </cell>
          <cell r="AA895">
            <v>7347.51</v>
          </cell>
          <cell r="AB895">
            <v>0</v>
          </cell>
          <cell r="AC895">
            <v>7347.51</v>
          </cell>
          <cell r="AD895">
            <v>7269.34</v>
          </cell>
          <cell r="AE895">
            <v>0</v>
          </cell>
          <cell r="AF895">
            <v>7269.34</v>
          </cell>
          <cell r="AG895" t="str">
            <v>ENGR. MICHAEL C. SALARDA
MS. LEONARDA M. LATOR
MS. CARMENCITA VALDEZ
MS. SORAYA P. VERGARA</v>
          </cell>
          <cell r="AH895" t="str">
            <v>N/A</v>
          </cell>
          <cell r="AI895" t="str">
            <v>N/A</v>
          </cell>
          <cell r="AJ895" t="str">
            <v>N/A</v>
          </cell>
          <cell r="AK895" t="str">
            <v>N/A</v>
          </cell>
          <cell r="AL895" t="str">
            <v>N/A</v>
          </cell>
          <cell r="AM895" t="str">
            <v>N/A</v>
          </cell>
          <cell r="AN895">
            <v>0</v>
          </cell>
          <cell r="AO895">
            <v>0</v>
          </cell>
        </row>
        <row r="896">
          <cell r="A896" t="str">
            <v>24-1363</v>
          </cell>
          <cell r="B896" t="str">
            <v xml:space="preserve">LUMBER
</v>
          </cell>
          <cell r="C896" t="str">
            <v>PVGO</v>
          </cell>
          <cell r="D896" t="str">
            <v>No</v>
          </cell>
          <cell r="E896" t="str">
            <v>NP-53.9 - Small Value Procurement</v>
          </cell>
          <cell r="F896" t="str">
            <v>N/A</v>
          </cell>
          <cell r="G896">
            <v>45412</v>
          </cell>
          <cell r="H896">
            <v>0</v>
          </cell>
          <cell r="I896" t="str">
            <v>N/A</v>
          </cell>
          <cell r="J896">
            <v>45461</v>
          </cell>
          <cell r="K896">
            <v>45461</v>
          </cell>
          <cell r="L896">
            <v>0</v>
          </cell>
          <cell r="M896" t="str">
            <v>N/A</v>
          </cell>
          <cell r="N896" t="str">
            <v>N/A</v>
          </cell>
          <cell r="O896">
            <v>45464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4136</v>
          </cell>
          <cell r="AB896">
            <v>0</v>
          </cell>
          <cell r="AC896">
            <v>4136</v>
          </cell>
          <cell r="AD896">
            <v>4092</v>
          </cell>
          <cell r="AE896">
            <v>0</v>
          </cell>
          <cell r="AF896">
            <v>4092</v>
          </cell>
          <cell r="AG896" t="str">
            <v>ENGR. MICHAEL C. SALARDA
MS. LEONARDA M. LATOR
MS. CARMENCITA VALDEZ
MS. SORAYA P. VERGARA</v>
          </cell>
          <cell r="AH896" t="str">
            <v>N/A</v>
          </cell>
          <cell r="AI896" t="str">
            <v>N/A</v>
          </cell>
          <cell r="AJ896" t="str">
            <v>N/A</v>
          </cell>
          <cell r="AK896" t="str">
            <v>N/A</v>
          </cell>
          <cell r="AL896" t="str">
            <v>N/A</v>
          </cell>
          <cell r="AM896" t="str">
            <v>N/A</v>
          </cell>
          <cell r="AN896">
            <v>0</v>
          </cell>
          <cell r="AO896">
            <v>0</v>
          </cell>
        </row>
        <row r="897">
          <cell r="A897" t="str">
            <v>24-C1347</v>
          </cell>
          <cell r="B897" t="str">
            <v xml:space="preserve">LUMBER
</v>
          </cell>
          <cell r="C897" t="str">
            <v>PDRRMO</v>
          </cell>
          <cell r="D897" t="str">
            <v>No</v>
          </cell>
          <cell r="E897" t="str">
            <v>NP-53.9 - Small Value Procurement</v>
          </cell>
          <cell r="F897">
            <v>45421</v>
          </cell>
          <cell r="G897">
            <v>45425</v>
          </cell>
          <cell r="H897">
            <v>0</v>
          </cell>
          <cell r="I897" t="str">
            <v>N/A</v>
          </cell>
          <cell r="J897">
            <v>45461</v>
          </cell>
          <cell r="K897">
            <v>45461</v>
          </cell>
          <cell r="L897">
            <v>0</v>
          </cell>
          <cell r="M897" t="str">
            <v>N/A</v>
          </cell>
          <cell r="N897" t="str">
            <v>N/A</v>
          </cell>
          <cell r="O897">
            <v>45464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21693.08</v>
          </cell>
          <cell r="AB897">
            <v>0</v>
          </cell>
          <cell r="AC897">
            <v>21693.08</v>
          </cell>
          <cell r="AD897">
            <v>21515.58</v>
          </cell>
          <cell r="AE897">
            <v>0</v>
          </cell>
          <cell r="AF897">
            <v>21515.58</v>
          </cell>
          <cell r="AG897" t="str">
            <v>ENGR. MICHAEL C. SALARDA
MS. LEONARDA M. LATOR
MS. CARMENCITA VALDEZ
MS. SORAYA P. VERGARA</v>
          </cell>
          <cell r="AH897" t="str">
            <v>N/A</v>
          </cell>
          <cell r="AI897" t="str">
            <v>N/A</v>
          </cell>
          <cell r="AJ897" t="str">
            <v>N/A</v>
          </cell>
          <cell r="AK897" t="str">
            <v>N/A</v>
          </cell>
          <cell r="AL897" t="str">
            <v>N/A</v>
          </cell>
          <cell r="AM897" t="str">
            <v>N/A</v>
          </cell>
          <cell r="AN897">
            <v>0</v>
          </cell>
          <cell r="AO897">
            <v>0</v>
          </cell>
        </row>
        <row r="898">
          <cell r="A898" t="str">
            <v>24-2408</v>
          </cell>
          <cell r="B898" t="str">
            <v xml:space="preserve">LUMBER
</v>
          </cell>
          <cell r="C898" t="str">
            <v>SEF</v>
          </cell>
          <cell r="D898" t="str">
            <v>No</v>
          </cell>
          <cell r="E898" t="str">
            <v>NP-53.9 - Small Value Procurement</v>
          </cell>
          <cell r="F898">
            <v>45421</v>
          </cell>
          <cell r="G898">
            <v>45425</v>
          </cell>
          <cell r="H898">
            <v>0</v>
          </cell>
          <cell r="I898" t="str">
            <v>N/A</v>
          </cell>
          <cell r="J898">
            <v>45461</v>
          </cell>
          <cell r="K898">
            <v>45461</v>
          </cell>
          <cell r="L898">
            <v>0</v>
          </cell>
          <cell r="M898" t="str">
            <v>N/A</v>
          </cell>
          <cell r="N898" t="str">
            <v>N/A</v>
          </cell>
          <cell r="O898">
            <v>45464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 t="e">
            <v>#N/A</v>
          </cell>
          <cell r="Y898">
            <v>0</v>
          </cell>
          <cell r="Z898">
            <v>0</v>
          </cell>
          <cell r="AA898">
            <v>20082.509999999998</v>
          </cell>
          <cell r="AB898">
            <v>0</v>
          </cell>
          <cell r="AC898">
            <v>20082.509999999998</v>
          </cell>
          <cell r="AD898">
            <v>20011.84</v>
          </cell>
          <cell r="AE898">
            <v>0</v>
          </cell>
          <cell r="AF898">
            <v>20011.84</v>
          </cell>
          <cell r="AG898" t="str">
            <v>ENGR. MICHAEL C. SALARDA
MS. LEONARDA M. LATOR
MS. CARMENCITA VALDEZ
MS. SORAYA P. VERGARA</v>
          </cell>
          <cell r="AH898" t="str">
            <v>N/A</v>
          </cell>
          <cell r="AI898" t="str">
            <v>N/A</v>
          </cell>
          <cell r="AJ898" t="str">
            <v>N/A</v>
          </cell>
          <cell r="AK898" t="str">
            <v>N/A</v>
          </cell>
          <cell r="AL898" t="str">
            <v>N/A</v>
          </cell>
          <cell r="AM898" t="str">
            <v>N/A</v>
          </cell>
          <cell r="AN898">
            <v>0</v>
          </cell>
          <cell r="AO898">
            <v>0</v>
          </cell>
        </row>
        <row r="899">
          <cell r="A899" t="str">
            <v>24-2581</v>
          </cell>
          <cell r="B899" t="str">
            <v xml:space="preserve">LUMBER </v>
          </cell>
          <cell r="C899" t="str">
            <v>PEO</v>
          </cell>
          <cell r="D899" t="str">
            <v>No</v>
          </cell>
          <cell r="E899" t="str">
            <v>NP-53.9 - Small Value Procurement</v>
          </cell>
          <cell r="F899">
            <v>45421</v>
          </cell>
          <cell r="G899">
            <v>45425</v>
          </cell>
          <cell r="H899">
            <v>0</v>
          </cell>
          <cell r="I899" t="str">
            <v>N/A</v>
          </cell>
          <cell r="J899">
            <v>45461</v>
          </cell>
          <cell r="K899">
            <v>45461</v>
          </cell>
          <cell r="L899">
            <v>0</v>
          </cell>
          <cell r="M899" t="str">
            <v>N/A</v>
          </cell>
          <cell r="N899" t="str">
            <v>N/A</v>
          </cell>
          <cell r="O899">
            <v>45464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 t="e">
            <v>#N/A</v>
          </cell>
          <cell r="Y899">
            <v>0</v>
          </cell>
          <cell r="Z899">
            <v>0</v>
          </cell>
          <cell r="AA899">
            <v>2256</v>
          </cell>
          <cell r="AB899">
            <v>0</v>
          </cell>
          <cell r="AC899">
            <v>2256</v>
          </cell>
          <cell r="AD899">
            <v>2232</v>
          </cell>
          <cell r="AE899">
            <v>0</v>
          </cell>
          <cell r="AF899">
            <v>2232</v>
          </cell>
          <cell r="AG899" t="str">
            <v>ENGR. MICHAEL C. SALARDA
MS. LEONARDA M. LATOR
MS. CARMENCITA VALDEZ
MS. SORAYA P. VERGARA</v>
          </cell>
          <cell r="AH899" t="str">
            <v>N/A</v>
          </cell>
          <cell r="AI899" t="str">
            <v>N/A</v>
          </cell>
          <cell r="AJ899" t="str">
            <v>N/A</v>
          </cell>
          <cell r="AK899" t="str">
            <v>N/A</v>
          </cell>
          <cell r="AL899" t="str">
            <v>N/A</v>
          </cell>
          <cell r="AM899" t="str">
            <v>N/A</v>
          </cell>
          <cell r="AN899">
            <v>0</v>
          </cell>
          <cell r="AO899">
            <v>0</v>
          </cell>
        </row>
        <row r="900">
          <cell r="A900" t="str">
            <v>24-2767</v>
          </cell>
          <cell r="B900" t="str">
            <v xml:space="preserve">CLOTH &amp; STREAMERS
</v>
          </cell>
          <cell r="C900" t="str">
            <v>PDRRMO</v>
          </cell>
          <cell r="D900" t="str">
            <v>No</v>
          </cell>
          <cell r="E900" t="str">
            <v>NP-53.9 - Small Value Procurement</v>
          </cell>
          <cell r="F900">
            <v>45440</v>
          </cell>
          <cell r="G900">
            <v>45442</v>
          </cell>
          <cell r="H900">
            <v>0</v>
          </cell>
          <cell r="I900" t="str">
            <v>N/A</v>
          </cell>
          <cell r="J900">
            <v>45461</v>
          </cell>
          <cell r="K900">
            <v>45461</v>
          </cell>
          <cell r="L900">
            <v>0</v>
          </cell>
          <cell r="M900" t="str">
            <v>N/A</v>
          </cell>
          <cell r="N900" t="str">
            <v>N/A</v>
          </cell>
          <cell r="O900">
            <v>45464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8800</v>
          </cell>
          <cell r="AB900">
            <v>0</v>
          </cell>
          <cell r="AC900">
            <v>8800</v>
          </cell>
          <cell r="AD900">
            <v>8800</v>
          </cell>
          <cell r="AE900">
            <v>0</v>
          </cell>
          <cell r="AF900">
            <v>8800</v>
          </cell>
          <cell r="AG900" t="str">
            <v>ENGR. MICHAEL C. SALARDA
MS. LEONARDA M. LATOR
MS. CARMENCITA VALDEZ
MS. SORAYA P. VERGARA</v>
          </cell>
          <cell r="AH900" t="str">
            <v>N/A</v>
          </cell>
          <cell r="AI900" t="str">
            <v>N/A</v>
          </cell>
          <cell r="AJ900" t="str">
            <v>N/A</v>
          </cell>
          <cell r="AK900" t="str">
            <v>N/A</v>
          </cell>
          <cell r="AL900" t="str">
            <v>N/A</v>
          </cell>
          <cell r="AM900" t="str">
            <v>N/A</v>
          </cell>
          <cell r="AN900">
            <v>0</v>
          </cell>
          <cell r="AO900">
            <v>0</v>
          </cell>
        </row>
        <row r="901">
          <cell r="A901" t="str">
            <v>24-2515</v>
          </cell>
          <cell r="B901" t="str">
            <v xml:space="preserve">MEDICAL KIT </v>
          </cell>
          <cell r="C901" t="str">
            <v>SEF</v>
          </cell>
          <cell r="D901" t="str">
            <v>No</v>
          </cell>
          <cell r="E901" t="str">
            <v>NP-53.9 - Small Value Procurement</v>
          </cell>
          <cell r="F901">
            <v>45440</v>
          </cell>
          <cell r="G901">
            <v>45442</v>
          </cell>
          <cell r="H901">
            <v>0</v>
          </cell>
          <cell r="I901" t="str">
            <v>N/A</v>
          </cell>
          <cell r="J901">
            <v>45461</v>
          </cell>
          <cell r="K901">
            <v>45461</v>
          </cell>
          <cell r="L901">
            <v>0</v>
          </cell>
          <cell r="M901" t="str">
            <v>N/A</v>
          </cell>
          <cell r="N901" t="str">
            <v>N/A</v>
          </cell>
          <cell r="O901">
            <v>45464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 t="e">
            <v>#N/A</v>
          </cell>
          <cell r="Y901">
            <v>0</v>
          </cell>
          <cell r="Z901">
            <v>0</v>
          </cell>
          <cell r="AA901">
            <v>1925</v>
          </cell>
          <cell r="AB901">
            <v>0</v>
          </cell>
          <cell r="AC901">
            <v>1925</v>
          </cell>
          <cell r="AD901">
            <v>1920</v>
          </cell>
          <cell r="AE901">
            <v>0</v>
          </cell>
          <cell r="AF901">
            <v>1920</v>
          </cell>
          <cell r="AG901" t="str">
            <v>ENGR. MICHAEL C. SALARDA
MS. LEONARDA M. LATOR
MS. CARMENCITA VALDEZ
MS. SORAYA P. VERGARA</v>
          </cell>
          <cell r="AH901" t="str">
            <v>N/A</v>
          </cell>
          <cell r="AI901" t="str">
            <v>N/A</v>
          </cell>
          <cell r="AJ901" t="str">
            <v>N/A</v>
          </cell>
          <cell r="AK901" t="str">
            <v>N/A</v>
          </cell>
          <cell r="AL901" t="str">
            <v>N/A</v>
          </cell>
          <cell r="AM901" t="str">
            <v>N/A</v>
          </cell>
          <cell r="AN901">
            <v>0</v>
          </cell>
          <cell r="AO901">
            <v>0</v>
          </cell>
        </row>
        <row r="902">
          <cell r="A902" t="str">
            <v>24-3082</v>
          </cell>
          <cell r="B902" t="str">
            <v xml:space="preserve">OIL, PENETRATING </v>
          </cell>
          <cell r="C902" t="str">
            <v>PDRRMO</v>
          </cell>
          <cell r="D902" t="str">
            <v>No</v>
          </cell>
          <cell r="E902" t="str">
            <v>NP-53.9 - Small Value Procurement</v>
          </cell>
          <cell r="F902" t="str">
            <v>N/A</v>
          </cell>
          <cell r="G902">
            <v>45448</v>
          </cell>
          <cell r="H902">
            <v>0</v>
          </cell>
          <cell r="I902" t="str">
            <v>N/A</v>
          </cell>
          <cell r="J902">
            <v>45461</v>
          </cell>
          <cell r="K902">
            <v>45461</v>
          </cell>
          <cell r="L902">
            <v>0</v>
          </cell>
          <cell r="M902" t="str">
            <v>N/A</v>
          </cell>
          <cell r="N902" t="str">
            <v>N/A</v>
          </cell>
          <cell r="O902">
            <v>45464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 t="e">
            <v>#N/A</v>
          </cell>
          <cell r="Y902">
            <v>0</v>
          </cell>
          <cell r="Z902">
            <v>0</v>
          </cell>
          <cell r="AA902">
            <v>3750</v>
          </cell>
          <cell r="AB902">
            <v>0</v>
          </cell>
          <cell r="AC902">
            <v>3750</v>
          </cell>
          <cell r="AD902">
            <v>3720</v>
          </cell>
          <cell r="AE902">
            <v>0</v>
          </cell>
          <cell r="AF902">
            <v>3720</v>
          </cell>
          <cell r="AG902" t="str">
            <v>ENGR. MICHAEL C. SALARDA
MS. LEONARDA M. LATOR
MS. CARMENCITA VALDEZ
MS. SORAYA P. VERGARA</v>
          </cell>
          <cell r="AH902" t="str">
            <v>N/A</v>
          </cell>
          <cell r="AI902" t="str">
            <v>N/A</v>
          </cell>
          <cell r="AJ902" t="str">
            <v>N/A</v>
          </cell>
          <cell r="AK902" t="str">
            <v>N/A</v>
          </cell>
          <cell r="AL902" t="str">
            <v>N/A</v>
          </cell>
          <cell r="AM902" t="str">
            <v>N/A</v>
          </cell>
          <cell r="AN902">
            <v>0</v>
          </cell>
          <cell r="AO902">
            <v>0</v>
          </cell>
        </row>
        <row r="903">
          <cell r="A903" t="str">
            <v>24-3215</v>
          </cell>
          <cell r="B903" t="str">
            <v xml:space="preserve">FOOD/CATERING SERVICES FOR </v>
          </cell>
          <cell r="C903" t="str">
            <v>PGO</v>
          </cell>
          <cell r="D903" t="str">
            <v>No</v>
          </cell>
          <cell r="E903" t="str">
            <v>NP-53.9 - Small Value Procurement</v>
          </cell>
          <cell r="F903" t="str">
            <v>N/A</v>
          </cell>
          <cell r="G903">
            <v>45448</v>
          </cell>
          <cell r="H903">
            <v>0</v>
          </cell>
          <cell r="I903" t="str">
            <v>N/A</v>
          </cell>
          <cell r="J903">
            <v>45461</v>
          </cell>
          <cell r="K903">
            <v>45461</v>
          </cell>
          <cell r="L903">
            <v>0</v>
          </cell>
          <cell r="M903" t="str">
            <v>N/A</v>
          </cell>
          <cell r="N903" t="str">
            <v>N/A</v>
          </cell>
          <cell r="O903">
            <v>45464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 t="e">
            <v>#N/A</v>
          </cell>
          <cell r="Y903">
            <v>0</v>
          </cell>
          <cell r="Z903">
            <v>0</v>
          </cell>
          <cell r="AA903">
            <v>80500</v>
          </cell>
          <cell r="AB903">
            <v>0</v>
          </cell>
          <cell r="AC903">
            <v>80500</v>
          </cell>
          <cell r="AD903">
            <v>80237.5</v>
          </cell>
          <cell r="AE903">
            <v>0</v>
          </cell>
          <cell r="AF903">
            <v>80237.5</v>
          </cell>
          <cell r="AG903" t="str">
            <v>ENGR. MICHAEL C. SALARDA
MS. LEONARDA M. LATOR
MS. CARMENCITA VALDEZ
MS. SORAYA P. VERGARA</v>
          </cell>
          <cell r="AH903" t="str">
            <v>N/A</v>
          </cell>
          <cell r="AI903" t="str">
            <v>N/A</v>
          </cell>
          <cell r="AJ903" t="str">
            <v>N/A</v>
          </cell>
          <cell r="AK903" t="str">
            <v>N/A</v>
          </cell>
          <cell r="AL903" t="str">
            <v>N/A</v>
          </cell>
          <cell r="AM903" t="str">
            <v>N/A</v>
          </cell>
          <cell r="AN903">
            <v>0</v>
          </cell>
          <cell r="AO903">
            <v>0</v>
          </cell>
        </row>
        <row r="904">
          <cell r="A904" t="str">
            <v>24-2919</v>
          </cell>
          <cell r="B904" t="str">
            <v>FOOD/CATERING SERVICES</v>
          </cell>
          <cell r="C904" t="str">
            <v>PGO</v>
          </cell>
          <cell r="D904" t="str">
            <v>No</v>
          </cell>
          <cell r="E904" t="str">
            <v>NP-53.9 - Small Value Procurement</v>
          </cell>
          <cell r="F904" t="str">
            <v>N/A</v>
          </cell>
          <cell r="G904">
            <v>45448</v>
          </cell>
          <cell r="H904">
            <v>0</v>
          </cell>
          <cell r="I904" t="str">
            <v>N/A</v>
          </cell>
          <cell r="J904">
            <v>45461</v>
          </cell>
          <cell r="K904">
            <v>45461</v>
          </cell>
          <cell r="L904">
            <v>0</v>
          </cell>
          <cell r="M904" t="str">
            <v>N/A</v>
          </cell>
          <cell r="N904" t="str">
            <v>N/A</v>
          </cell>
          <cell r="O904">
            <v>45464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 t="e">
            <v>#N/A</v>
          </cell>
          <cell r="Y904">
            <v>0</v>
          </cell>
          <cell r="Z904">
            <v>0</v>
          </cell>
          <cell r="AA904">
            <v>4500</v>
          </cell>
          <cell r="AB904">
            <v>0</v>
          </cell>
          <cell r="AC904">
            <v>4500</v>
          </cell>
          <cell r="AD904">
            <v>4485</v>
          </cell>
          <cell r="AE904">
            <v>0</v>
          </cell>
          <cell r="AF904">
            <v>4485</v>
          </cell>
          <cell r="AG904" t="str">
            <v>ENGR. MICHAEL C. SALARDA
MS. LEONARDA M. LATOR
MS. CARMENCITA VALDEZ
MS. SORAYA P. VERGARA</v>
          </cell>
          <cell r="AH904" t="str">
            <v>N/A</v>
          </cell>
          <cell r="AI904" t="str">
            <v>N/A</v>
          </cell>
          <cell r="AJ904" t="str">
            <v>N/A</v>
          </cell>
          <cell r="AK904" t="str">
            <v>N/A</v>
          </cell>
          <cell r="AL904" t="str">
            <v>N/A</v>
          </cell>
          <cell r="AM904" t="str">
            <v>N/A</v>
          </cell>
          <cell r="AN904">
            <v>0</v>
          </cell>
          <cell r="AO904">
            <v>0</v>
          </cell>
        </row>
        <row r="905">
          <cell r="A905" t="str">
            <v>24-2991</v>
          </cell>
          <cell r="B905" t="str">
            <v xml:space="preserve">MEDICAL KIT
</v>
          </cell>
          <cell r="C905" t="str">
            <v>PDRRMO</v>
          </cell>
          <cell r="D905" t="str">
            <v>No</v>
          </cell>
          <cell r="E905" t="str">
            <v>NP-53.9 - Small Value Procurement</v>
          </cell>
          <cell r="F905">
            <v>45446</v>
          </cell>
          <cell r="G905">
            <v>45448</v>
          </cell>
          <cell r="H905">
            <v>0</v>
          </cell>
          <cell r="I905" t="str">
            <v>N/A</v>
          </cell>
          <cell r="J905">
            <v>45461</v>
          </cell>
          <cell r="K905">
            <v>45461</v>
          </cell>
          <cell r="L905">
            <v>0</v>
          </cell>
          <cell r="M905" t="str">
            <v>N/A</v>
          </cell>
          <cell r="N905" t="str">
            <v>N/A</v>
          </cell>
          <cell r="O905">
            <v>45464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 t="e">
            <v>#N/A</v>
          </cell>
          <cell r="Y905">
            <v>0</v>
          </cell>
          <cell r="Z905">
            <v>0</v>
          </cell>
          <cell r="AA905">
            <v>1925</v>
          </cell>
          <cell r="AB905">
            <v>0</v>
          </cell>
          <cell r="AC905">
            <v>1925</v>
          </cell>
          <cell r="AD905">
            <v>1920</v>
          </cell>
          <cell r="AE905">
            <v>0</v>
          </cell>
          <cell r="AF905">
            <v>1920</v>
          </cell>
          <cell r="AG905" t="str">
            <v>ENGR. MICHAEL C. SALARDA
MS. LEONARDA M. LATOR
MS. CARMENCITA VALDEZ
MS. SORAYA P. VERGARA</v>
          </cell>
          <cell r="AH905" t="str">
            <v>N/A</v>
          </cell>
          <cell r="AI905" t="str">
            <v>N/A</v>
          </cell>
          <cell r="AJ905" t="str">
            <v>N/A</v>
          </cell>
          <cell r="AK905" t="str">
            <v>N/A</v>
          </cell>
          <cell r="AL905" t="str">
            <v>N/A</v>
          </cell>
          <cell r="AM905" t="str">
            <v>N/A</v>
          </cell>
          <cell r="AN905">
            <v>0</v>
          </cell>
          <cell r="AO905">
            <v>0</v>
          </cell>
        </row>
        <row r="906">
          <cell r="A906" t="str">
            <v>24-3073</v>
          </cell>
          <cell r="B906" t="str">
            <v xml:space="preserve">CONSTRUCTION MATERIALS </v>
          </cell>
          <cell r="C906" t="str">
            <v>PDRRMO</v>
          </cell>
          <cell r="D906" t="str">
            <v>No</v>
          </cell>
          <cell r="E906" t="str">
            <v>NP-53.9 - Small Value Procurement</v>
          </cell>
          <cell r="F906">
            <v>45446</v>
          </cell>
          <cell r="G906">
            <v>45448</v>
          </cell>
          <cell r="H906">
            <v>0</v>
          </cell>
          <cell r="I906" t="str">
            <v>N/A</v>
          </cell>
          <cell r="J906">
            <v>45461</v>
          </cell>
          <cell r="K906">
            <v>45461</v>
          </cell>
          <cell r="L906">
            <v>0</v>
          </cell>
          <cell r="M906" t="str">
            <v>N/A</v>
          </cell>
          <cell r="N906" t="str">
            <v>N/A</v>
          </cell>
          <cell r="O906">
            <v>45464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 t="e">
            <v>#N/A</v>
          </cell>
          <cell r="Y906">
            <v>0</v>
          </cell>
          <cell r="Z906">
            <v>0</v>
          </cell>
          <cell r="AA906">
            <v>173317</v>
          </cell>
          <cell r="AB906">
            <v>0</v>
          </cell>
          <cell r="AC906">
            <v>173317</v>
          </cell>
          <cell r="AD906">
            <v>173312</v>
          </cell>
          <cell r="AE906">
            <v>0</v>
          </cell>
          <cell r="AF906">
            <v>173312</v>
          </cell>
          <cell r="AG906" t="str">
            <v>ENGR. MICHAEL C. SALARDA
MS. LEONARDA M. LATOR
MS. CARMENCITA VALDEZ
MS. SORAYA P. VERGARA</v>
          </cell>
          <cell r="AH906" t="str">
            <v>N/A</v>
          </cell>
          <cell r="AI906" t="str">
            <v>N/A</v>
          </cell>
          <cell r="AJ906" t="str">
            <v>N/A</v>
          </cell>
          <cell r="AK906" t="str">
            <v>N/A</v>
          </cell>
          <cell r="AL906" t="str">
            <v>N/A</v>
          </cell>
          <cell r="AM906" t="str">
            <v>N/A</v>
          </cell>
          <cell r="AN906">
            <v>0</v>
          </cell>
          <cell r="AO906">
            <v>0</v>
          </cell>
        </row>
        <row r="907">
          <cell r="A907" t="str">
            <v>24-C1408</v>
          </cell>
          <cell r="B907" t="str">
            <v xml:space="preserve">MACHINE MAINTENANCE SUPPLIES
</v>
          </cell>
          <cell r="C907" t="str">
            <v>PDRRMO</v>
          </cell>
          <cell r="D907" t="str">
            <v>No</v>
          </cell>
          <cell r="E907" t="str">
            <v>NP-53.9 - Small Value Procurement</v>
          </cell>
          <cell r="F907" t="str">
            <v>N/A</v>
          </cell>
          <cell r="G907">
            <v>45448</v>
          </cell>
          <cell r="H907">
            <v>0</v>
          </cell>
          <cell r="I907" t="str">
            <v>N/A</v>
          </cell>
          <cell r="J907">
            <v>45461</v>
          </cell>
          <cell r="K907">
            <v>45461</v>
          </cell>
          <cell r="L907">
            <v>0</v>
          </cell>
          <cell r="M907" t="str">
            <v>N/A</v>
          </cell>
          <cell r="N907" t="str">
            <v>N/A</v>
          </cell>
          <cell r="O907">
            <v>45464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17323.8</v>
          </cell>
          <cell r="AB907">
            <v>0</v>
          </cell>
          <cell r="AC907">
            <v>17323.8</v>
          </cell>
          <cell r="AD907">
            <v>17261</v>
          </cell>
          <cell r="AE907">
            <v>0</v>
          </cell>
          <cell r="AF907">
            <v>17261</v>
          </cell>
          <cell r="AG907" t="str">
            <v>ENGR. MICHAEL C. SALARDA
MS. LEONARDA M. LATOR
MS. CARMENCITA VALDEZ
MS. SORAYA P. VERGARA</v>
          </cell>
          <cell r="AH907" t="str">
            <v>N/A</v>
          </cell>
          <cell r="AI907" t="str">
            <v>N/A</v>
          </cell>
          <cell r="AJ907" t="str">
            <v>N/A</v>
          </cell>
          <cell r="AK907" t="str">
            <v>N/A</v>
          </cell>
          <cell r="AL907" t="str">
            <v>N/A</v>
          </cell>
          <cell r="AM907" t="str">
            <v>N/A</v>
          </cell>
          <cell r="AN907">
            <v>0</v>
          </cell>
          <cell r="AO907">
            <v>0</v>
          </cell>
        </row>
        <row r="908">
          <cell r="A908" t="str">
            <v>24-C1362</v>
          </cell>
          <cell r="B908" t="str">
            <v xml:space="preserve">MEDICAL SUPPLIES
</v>
          </cell>
          <cell r="C908" t="str">
            <v>PDRRMO</v>
          </cell>
          <cell r="D908" t="str">
            <v>No</v>
          </cell>
          <cell r="E908" t="str">
            <v>NP-53.9 - Small Value Procurement</v>
          </cell>
          <cell r="F908">
            <v>45446</v>
          </cell>
          <cell r="G908">
            <v>45448</v>
          </cell>
          <cell r="H908">
            <v>0</v>
          </cell>
          <cell r="I908" t="str">
            <v>N/A</v>
          </cell>
          <cell r="J908">
            <v>45461</v>
          </cell>
          <cell r="K908">
            <v>45461</v>
          </cell>
          <cell r="L908">
            <v>0</v>
          </cell>
          <cell r="M908" t="str">
            <v>N/A</v>
          </cell>
          <cell r="N908" t="str">
            <v>N/A</v>
          </cell>
          <cell r="O908">
            <v>45464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287715</v>
          </cell>
          <cell r="AB908">
            <v>0</v>
          </cell>
          <cell r="AC908">
            <v>287715</v>
          </cell>
          <cell r="AD908">
            <v>118400</v>
          </cell>
          <cell r="AE908">
            <v>0</v>
          </cell>
          <cell r="AF908">
            <v>118400</v>
          </cell>
          <cell r="AG908" t="str">
            <v>ENGR. MICHAEL C. SALARDA
MS. LEONARDA M. LATOR
MS. CARMENCITA VALDEZ
MS. SORAYA P. VERGARA</v>
          </cell>
          <cell r="AH908" t="str">
            <v>N/A</v>
          </cell>
          <cell r="AI908" t="str">
            <v>N/A</v>
          </cell>
          <cell r="AJ908" t="str">
            <v>N/A</v>
          </cell>
          <cell r="AK908" t="str">
            <v>N/A</v>
          </cell>
          <cell r="AL908" t="str">
            <v>N/A</v>
          </cell>
          <cell r="AM908" t="str">
            <v>N/A</v>
          </cell>
          <cell r="AN908">
            <v>0</v>
          </cell>
          <cell r="AO908">
            <v>0</v>
          </cell>
        </row>
        <row r="909">
          <cell r="A909" t="str">
            <v>24-2806</v>
          </cell>
          <cell r="B909" t="str">
            <v xml:space="preserve">SPAREPARTS (LIGHT VEHICLES)
</v>
          </cell>
          <cell r="C909" t="str">
            <v>PDRRMO</v>
          </cell>
          <cell r="D909" t="str">
            <v>No</v>
          </cell>
          <cell r="E909" t="str">
            <v>NP-53.9 - Small Value Procurement</v>
          </cell>
          <cell r="F909">
            <v>45446</v>
          </cell>
          <cell r="G909">
            <v>45448</v>
          </cell>
          <cell r="H909">
            <v>0</v>
          </cell>
          <cell r="I909" t="str">
            <v>N/A</v>
          </cell>
          <cell r="J909">
            <v>45461</v>
          </cell>
          <cell r="K909">
            <v>45461</v>
          </cell>
          <cell r="L909">
            <v>0</v>
          </cell>
          <cell r="M909" t="str">
            <v>N/A</v>
          </cell>
          <cell r="N909" t="str">
            <v>N/A</v>
          </cell>
          <cell r="O909">
            <v>45464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 t="e">
            <v>#N/A</v>
          </cell>
          <cell r="Y909">
            <v>0</v>
          </cell>
          <cell r="Z909">
            <v>0</v>
          </cell>
          <cell r="AA909">
            <v>141295</v>
          </cell>
          <cell r="AB909">
            <v>0</v>
          </cell>
          <cell r="AC909">
            <v>141295</v>
          </cell>
          <cell r="AD909">
            <v>110500</v>
          </cell>
          <cell r="AE909">
            <v>0</v>
          </cell>
          <cell r="AF909">
            <v>110500</v>
          </cell>
          <cell r="AG909" t="str">
            <v>ENGR. MICHAEL C. SALARDA
MS. LEONARDA M. LATOR
MS. CARMENCITA VALDEZ
MS. SORAYA P. VERGARA</v>
          </cell>
          <cell r="AH909" t="str">
            <v>N/A</v>
          </cell>
          <cell r="AI909" t="str">
            <v>N/A</v>
          </cell>
          <cell r="AJ909" t="str">
            <v>N/A</v>
          </cell>
          <cell r="AK909" t="str">
            <v>N/A</v>
          </cell>
          <cell r="AL909" t="str">
            <v>N/A</v>
          </cell>
          <cell r="AM909" t="str">
            <v>N/A</v>
          </cell>
          <cell r="AN909">
            <v>0</v>
          </cell>
          <cell r="AO909">
            <v>0</v>
          </cell>
        </row>
        <row r="910">
          <cell r="A910" t="str">
            <v>24-1165</v>
          </cell>
          <cell r="B910" t="str">
            <v xml:space="preserve">SPAREPARTS (LIGHT VEHICLES)
</v>
          </cell>
          <cell r="C910" t="str">
            <v>PGO</v>
          </cell>
          <cell r="D910" t="str">
            <v>No</v>
          </cell>
          <cell r="E910" t="str">
            <v>NP-53.9 - Small Value Procurement</v>
          </cell>
          <cell r="F910" t="str">
            <v>N/A</v>
          </cell>
          <cell r="G910">
            <v>45448</v>
          </cell>
          <cell r="H910">
            <v>0</v>
          </cell>
          <cell r="I910" t="str">
            <v>N/A</v>
          </cell>
          <cell r="J910">
            <v>45461</v>
          </cell>
          <cell r="K910">
            <v>45461</v>
          </cell>
          <cell r="L910">
            <v>0</v>
          </cell>
          <cell r="M910" t="str">
            <v>N/A</v>
          </cell>
          <cell r="N910" t="str">
            <v>N/A</v>
          </cell>
          <cell r="O910">
            <v>45464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 t="e">
            <v>#N/A</v>
          </cell>
          <cell r="Y910">
            <v>0</v>
          </cell>
          <cell r="Z910">
            <v>0</v>
          </cell>
          <cell r="AA910">
            <v>73776</v>
          </cell>
          <cell r="AB910">
            <v>0</v>
          </cell>
          <cell r="AC910">
            <v>73776</v>
          </cell>
          <cell r="AD910">
            <v>66000</v>
          </cell>
          <cell r="AE910">
            <v>0</v>
          </cell>
          <cell r="AF910">
            <v>66000</v>
          </cell>
          <cell r="AG910" t="str">
            <v>ENGR. MICHAEL C. SALARDA
MS. LEONARDA M. LATOR
MS. CARMENCITA VALDEZ
MS. SORAYA P. VERGARA</v>
          </cell>
          <cell r="AH910" t="str">
            <v>N/A</v>
          </cell>
          <cell r="AI910" t="str">
            <v>N/A</v>
          </cell>
          <cell r="AJ910" t="str">
            <v>N/A</v>
          </cell>
          <cell r="AK910" t="str">
            <v>N/A</v>
          </cell>
          <cell r="AL910" t="str">
            <v>N/A</v>
          </cell>
          <cell r="AM910" t="str">
            <v>N/A</v>
          </cell>
          <cell r="AN910">
            <v>0</v>
          </cell>
          <cell r="AO910">
            <v>0</v>
          </cell>
        </row>
        <row r="911">
          <cell r="A911" t="str">
            <v>24-3595</v>
          </cell>
          <cell r="B911" t="str">
            <v xml:space="preserve">PLAQUE
</v>
          </cell>
          <cell r="C911" t="str">
            <v>PGO</v>
          </cell>
          <cell r="D911" t="str">
            <v>No</v>
          </cell>
          <cell r="E911" t="str">
            <v>NP-53.9 - Small Value Procurement</v>
          </cell>
          <cell r="F911" t="str">
            <v>N/A</v>
          </cell>
          <cell r="G911">
            <v>45461</v>
          </cell>
          <cell r="H911">
            <v>0</v>
          </cell>
          <cell r="I911" t="str">
            <v>N/A</v>
          </cell>
          <cell r="J911">
            <v>45461</v>
          </cell>
          <cell r="K911">
            <v>45461</v>
          </cell>
          <cell r="L911">
            <v>0</v>
          </cell>
          <cell r="M911" t="str">
            <v>N/A</v>
          </cell>
          <cell r="N911" t="str">
            <v>N/A</v>
          </cell>
          <cell r="O911">
            <v>45464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 t="e">
            <v>#N/A</v>
          </cell>
          <cell r="Y911">
            <v>0</v>
          </cell>
          <cell r="Z911">
            <v>0</v>
          </cell>
          <cell r="AA911">
            <v>3000</v>
          </cell>
          <cell r="AB911">
            <v>0</v>
          </cell>
          <cell r="AC911">
            <v>3000</v>
          </cell>
          <cell r="AD911">
            <v>2996</v>
          </cell>
          <cell r="AE911">
            <v>0</v>
          </cell>
          <cell r="AF911">
            <v>2996</v>
          </cell>
          <cell r="AG911" t="str">
            <v>ENGR. MICHAEL C. SALARDA
MS. LEONARDA M. LATOR
MS. CARMENCITA VALDEZ
MS. SORAYA P. VERGARA</v>
          </cell>
          <cell r="AH911" t="str">
            <v>N/A</v>
          </cell>
          <cell r="AI911" t="str">
            <v>N/A</v>
          </cell>
          <cell r="AJ911" t="str">
            <v>N/A</v>
          </cell>
          <cell r="AK911" t="str">
            <v>N/A</v>
          </cell>
          <cell r="AL911" t="str">
            <v>N/A</v>
          </cell>
          <cell r="AM911" t="str">
            <v>N/A</v>
          </cell>
          <cell r="AN911">
            <v>0</v>
          </cell>
          <cell r="AO911">
            <v>0</v>
          </cell>
        </row>
        <row r="912">
          <cell r="A912" t="str">
            <v>24-3108</v>
          </cell>
          <cell r="B912" t="str">
            <v>ACCOUNTABLE FORMS</v>
          </cell>
          <cell r="C912" t="str">
            <v>PTO</v>
          </cell>
          <cell r="D912" t="str">
            <v>No</v>
          </cell>
          <cell r="E912" t="str">
            <v>NP-53.5 Agency-to-Agency</v>
          </cell>
          <cell r="F912" t="str">
            <v>N/A</v>
          </cell>
          <cell r="G912">
            <v>45448</v>
          </cell>
          <cell r="H912">
            <v>0</v>
          </cell>
          <cell r="I912" t="str">
            <v>N/A</v>
          </cell>
          <cell r="J912">
            <v>45468</v>
          </cell>
          <cell r="K912">
            <v>45468</v>
          </cell>
          <cell r="L912">
            <v>0</v>
          </cell>
          <cell r="M912" t="str">
            <v>N/A</v>
          </cell>
          <cell r="N912" t="str">
            <v>N/A</v>
          </cell>
          <cell r="O912">
            <v>45469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 t="e">
            <v>#N/A</v>
          </cell>
          <cell r="Y912">
            <v>0</v>
          </cell>
          <cell r="Z912">
            <v>0</v>
          </cell>
          <cell r="AA912">
            <v>562500</v>
          </cell>
          <cell r="AB912">
            <v>0</v>
          </cell>
          <cell r="AC912">
            <v>562500</v>
          </cell>
          <cell r="AD912">
            <v>355472</v>
          </cell>
          <cell r="AE912">
            <v>0</v>
          </cell>
          <cell r="AF912">
            <v>355472</v>
          </cell>
          <cell r="AG912" t="str">
            <v>ENGR. MICHAEL C. SALARDA
MS. LEONARDA M. LATOR
MS. CARMENCITA VALDEZ
MS. SORAYA P. VERGARA</v>
          </cell>
          <cell r="AH912" t="str">
            <v>N/A</v>
          </cell>
          <cell r="AI912" t="str">
            <v>N/A</v>
          </cell>
          <cell r="AJ912" t="str">
            <v>N/A</v>
          </cell>
          <cell r="AK912" t="str">
            <v>N/A</v>
          </cell>
          <cell r="AL912" t="str">
            <v>N/A</v>
          </cell>
          <cell r="AM912" t="str">
            <v>N/A</v>
          </cell>
          <cell r="AN912">
            <v>0</v>
          </cell>
          <cell r="AO912">
            <v>0</v>
          </cell>
        </row>
        <row r="913">
          <cell r="A913" t="str">
            <v>24-2878</v>
          </cell>
          <cell r="B913" t="str">
            <v xml:space="preserve">SPAREPARTS (LIGHT VEHICLES)
</v>
          </cell>
          <cell r="C913" t="str">
            <v>SPO</v>
          </cell>
          <cell r="D913" t="str">
            <v>No</v>
          </cell>
          <cell r="E913" t="str">
            <v>Shopping 52.1(a) - Unforeseen Contingency</v>
          </cell>
          <cell r="F913" t="str">
            <v>N/A</v>
          </cell>
          <cell r="G913">
            <v>45463</v>
          </cell>
          <cell r="H913">
            <v>0</v>
          </cell>
          <cell r="I913" t="str">
            <v>N/A</v>
          </cell>
          <cell r="J913">
            <v>45468</v>
          </cell>
          <cell r="K913">
            <v>45468</v>
          </cell>
          <cell r="L913">
            <v>0</v>
          </cell>
          <cell r="M913" t="str">
            <v>N/A</v>
          </cell>
          <cell r="N913" t="str">
            <v>N/A</v>
          </cell>
          <cell r="O913">
            <v>45469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 t="e">
            <v>#N/A</v>
          </cell>
          <cell r="Y913">
            <v>0</v>
          </cell>
          <cell r="Z913">
            <v>0</v>
          </cell>
          <cell r="AA913">
            <v>5800</v>
          </cell>
          <cell r="AB913">
            <v>0</v>
          </cell>
          <cell r="AC913">
            <v>5800</v>
          </cell>
          <cell r="AD913">
            <v>5800</v>
          </cell>
          <cell r="AE913">
            <v>0</v>
          </cell>
          <cell r="AF913">
            <v>5800</v>
          </cell>
          <cell r="AG913" t="str">
            <v>ENGR. MICHAEL C. SALARDA
MS. LEONARDA M. LATOR
MS. CARMENCITA VALDEZ
MS. SORAYA P. VERGARA</v>
          </cell>
          <cell r="AH913" t="str">
            <v>N/A</v>
          </cell>
          <cell r="AI913" t="str">
            <v>N/A</v>
          </cell>
          <cell r="AJ913" t="str">
            <v>N/A</v>
          </cell>
          <cell r="AK913" t="str">
            <v>N/A</v>
          </cell>
          <cell r="AL913" t="str">
            <v>N/A</v>
          </cell>
          <cell r="AM913" t="str">
            <v>N/A</v>
          </cell>
          <cell r="AN913">
            <v>0</v>
          </cell>
          <cell r="AO913">
            <v>0</v>
          </cell>
        </row>
        <row r="914">
          <cell r="A914" t="str">
            <v>24-C1361</v>
          </cell>
          <cell r="B914" t="str">
            <v xml:space="preserve">JOB ORDER: REIMBURSEMENT </v>
          </cell>
          <cell r="C914" t="str">
            <v>SPO</v>
          </cell>
          <cell r="D914" t="str">
            <v>No</v>
          </cell>
          <cell r="E914" t="str">
            <v>Shopping 52.1(a) - Unforeseen Contingency</v>
          </cell>
          <cell r="F914">
            <v>45461</v>
          </cell>
          <cell r="G914">
            <v>45463</v>
          </cell>
          <cell r="H914">
            <v>0</v>
          </cell>
          <cell r="I914" t="str">
            <v>N/A</v>
          </cell>
          <cell r="J914">
            <v>45468</v>
          </cell>
          <cell r="K914">
            <v>45468</v>
          </cell>
          <cell r="L914">
            <v>0</v>
          </cell>
          <cell r="M914" t="str">
            <v>N/A</v>
          </cell>
          <cell r="N914" t="str">
            <v>N/A</v>
          </cell>
          <cell r="O914">
            <v>45469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8900</v>
          </cell>
          <cell r="AB914">
            <v>0</v>
          </cell>
          <cell r="AC914">
            <v>8900</v>
          </cell>
          <cell r="AD914">
            <v>8900</v>
          </cell>
          <cell r="AE914">
            <v>0</v>
          </cell>
          <cell r="AF914">
            <v>8900</v>
          </cell>
          <cell r="AG914" t="str">
            <v>ENGR. MICHAEL C. SALARDA
MS. LEONARDA M. LATOR
MS. CARMENCITA VALDEZ
MS. SORAYA P. VERGARA</v>
          </cell>
          <cell r="AH914" t="str">
            <v>N/A</v>
          </cell>
          <cell r="AI914" t="str">
            <v>N/A</v>
          </cell>
          <cell r="AJ914" t="str">
            <v>N/A</v>
          </cell>
          <cell r="AK914" t="str">
            <v>N/A</v>
          </cell>
          <cell r="AL914" t="str">
            <v>N/A</v>
          </cell>
          <cell r="AM914" t="str">
            <v>N/A</v>
          </cell>
          <cell r="AN914">
            <v>0</v>
          </cell>
          <cell r="AO914">
            <v>0</v>
          </cell>
        </row>
        <row r="915">
          <cell r="A915" t="str">
            <v>24-3057</v>
          </cell>
          <cell r="B915" t="str">
            <v xml:space="preserve">SPAREPARTS (MOTOR CYCLE)
</v>
          </cell>
          <cell r="C915" t="str">
            <v>PGSO</v>
          </cell>
          <cell r="D915" t="str">
            <v>No</v>
          </cell>
          <cell r="E915" t="str">
            <v>Shopping 52.1(a) - Unforeseen Contingency</v>
          </cell>
          <cell r="F915" t="str">
            <v>N/A</v>
          </cell>
          <cell r="G915">
            <v>45463</v>
          </cell>
          <cell r="H915">
            <v>0</v>
          </cell>
          <cell r="I915" t="str">
            <v>N/A</v>
          </cell>
          <cell r="J915">
            <v>45468</v>
          </cell>
          <cell r="K915">
            <v>45468</v>
          </cell>
          <cell r="L915">
            <v>0</v>
          </cell>
          <cell r="M915" t="str">
            <v>N/A</v>
          </cell>
          <cell r="N915" t="str">
            <v>N/A</v>
          </cell>
          <cell r="O915">
            <v>45469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 t="e">
            <v>#N/A</v>
          </cell>
          <cell r="Y915">
            <v>0</v>
          </cell>
          <cell r="Z915">
            <v>0</v>
          </cell>
          <cell r="AA915">
            <v>4000</v>
          </cell>
          <cell r="AB915">
            <v>0</v>
          </cell>
          <cell r="AC915">
            <v>4000</v>
          </cell>
          <cell r="AD915">
            <v>4000</v>
          </cell>
          <cell r="AE915">
            <v>0</v>
          </cell>
          <cell r="AF915">
            <v>4000</v>
          </cell>
          <cell r="AG915" t="str">
            <v>ENGR. MICHAEL C. SALARDA
MS. LEONARDA M. LATOR
MS. CARMENCITA VALDEZ
MS. SORAYA P. VERGARA</v>
          </cell>
          <cell r="AH915" t="str">
            <v>N/A</v>
          </cell>
          <cell r="AI915" t="str">
            <v>N/A</v>
          </cell>
          <cell r="AJ915" t="str">
            <v>N/A</v>
          </cell>
          <cell r="AK915" t="str">
            <v>N/A</v>
          </cell>
          <cell r="AL915" t="str">
            <v>N/A</v>
          </cell>
          <cell r="AM915" t="str">
            <v>N/A</v>
          </cell>
          <cell r="AN915">
            <v>0</v>
          </cell>
          <cell r="AO915">
            <v>0</v>
          </cell>
        </row>
        <row r="916">
          <cell r="A916" t="str">
            <v>24-3562</v>
          </cell>
          <cell r="B916" t="str">
            <v xml:space="preserve">SPAREPARTS (LIGHT VEHICLES)
</v>
          </cell>
          <cell r="C916" t="str">
            <v>PGSO</v>
          </cell>
          <cell r="D916" t="str">
            <v>No</v>
          </cell>
          <cell r="E916" t="str">
            <v>Shopping 52.1(a) - Unforeseen Contingency</v>
          </cell>
          <cell r="F916" t="str">
            <v>N/A</v>
          </cell>
          <cell r="G916">
            <v>45463</v>
          </cell>
          <cell r="H916">
            <v>0</v>
          </cell>
          <cell r="I916" t="str">
            <v>N/A</v>
          </cell>
          <cell r="J916">
            <v>45468</v>
          </cell>
          <cell r="K916">
            <v>45468</v>
          </cell>
          <cell r="L916">
            <v>0</v>
          </cell>
          <cell r="M916" t="str">
            <v>N/A</v>
          </cell>
          <cell r="N916" t="str">
            <v>N/A</v>
          </cell>
          <cell r="O916">
            <v>45469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 t="e">
            <v>#N/A</v>
          </cell>
          <cell r="Y916">
            <v>0</v>
          </cell>
          <cell r="Z916">
            <v>0</v>
          </cell>
          <cell r="AA916">
            <v>26050</v>
          </cell>
          <cell r="AB916">
            <v>0</v>
          </cell>
          <cell r="AC916">
            <v>26050</v>
          </cell>
          <cell r="AD916">
            <v>26050</v>
          </cell>
          <cell r="AE916">
            <v>0</v>
          </cell>
          <cell r="AF916">
            <v>26050</v>
          </cell>
          <cell r="AG916" t="str">
            <v>ENGR. MICHAEL C. SALARDA
MS. LEONARDA M. LATOR
MS. CARMENCITA VALDEZ
MS. SORAYA P. VERGARA</v>
          </cell>
          <cell r="AH916" t="str">
            <v>N/A</v>
          </cell>
          <cell r="AI916" t="str">
            <v>N/A</v>
          </cell>
          <cell r="AJ916" t="str">
            <v>N/A</v>
          </cell>
          <cell r="AK916" t="str">
            <v>N/A</v>
          </cell>
          <cell r="AL916" t="str">
            <v>N/A</v>
          </cell>
          <cell r="AM916" t="str">
            <v>N/A</v>
          </cell>
          <cell r="AN916">
            <v>0</v>
          </cell>
          <cell r="AO916">
            <v>0</v>
          </cell>
        </row>
        <row r="917">
          <cell r="A917" t="str">
            <v>24-2884</v>
          </cell>
          <cell r="B917" t="str">
            <v xml:space="preserve">SPAREPARTS (LIGHT VEHICLES)
</v>
          </cell>
          <cell r="C917" t="str">
            <v>PGSO</v>
          </cell>
          <cell r="D917" t="str">
            <v>No</v>
          </cell>
          <cell r="E917" t="str">
            <v>Shopping 52.1(a) - Unforeseen Contingency</v>
          </cell>
          <cell r="F917" t="str">
            <v>N/A</v>
          </cell>
          <cell r="G917">
            <v>45457</v>
          </cell>
          <cell r="H917">
            <v>0</v>
          </cell>
          <cell r="I917" t="str">
            <v>N/A</v>
          </cell>
          <cell r="J917">
            <v>45468</v>
          </cell>
          <cell r="K917">
            <v>45468</v>
          </cell>
          <cell r="L917">
            <v>0</v>
          </cell>
          <cell r="M917" t="str">
            <v>N/A</v>
          </cell>
          <cell r="N917" t="str">
            <v>N/A</v>
          </cell>
          <cell r="O917">
            <v>45469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 t="e">
            <v>#N/A</v>
          </cell>
          <cell r="Y917">
            <v>0</v>
          </cell>
          <cell r="Z917">
            <v>0</v>
          </cell>
          <cell r="AA917">
            <v>8570</v>
          </cell>
          <cell r="AB917">
            <v>0</v>
          </cell>
          <cell r="AC917">
            <v>8570</v>
          </cell>
          <cell r="AD917">
            <v>8500</v>
          </cell>
          <cell r="AE917">
            <v>0</v>
          </cell>
          <cell r="AF917">
            <v>8500</v>
          </cell>
          <cell r="AG917" t="str">
            <v>ENGR. MICHAEL C. SALARDA
MS. LEONARDA M. LATOR
MS. CARMENCITA VALDEZ
MS. SORAYA P. VERGARA</v>
          </cell>
          <cell r="AH917" t="str">
            <v>N/A</v>
          </cell>
          <cell r="AI917" t="str">
            <v>N/A</v>
          </cell>
          <cell r="AJ917" t="str">
            <v>N/A</v>
          </cell>
          <cell r="AK917" t="str">
            <v>N/A</v>
          </cell>
          <cell r="AL917" t="str">
            <v>N/A</v>
          </cell>
          <cell r="AM917" t="str">
            <v>N/A</v>
          </cell>
          <cell r="AN917">
            <v>0</v>
          </cell>
          <cell r="AO917">
            <v>0</v>
          </cell>
        </row>
        <row r="918">
          <cell r="A918" t="str">
            <v>24-2793</v>
          </cell>
          <cell r="B918" t="str">
            <v xml:space="preserve">SPAREPARTS (HEAVY EQUIPT)
</v>
          </cell>
          <cell r="C918" t="str">
            <v>PGSO</v>
          </cell>
          <cell r="D918" t="str">
            <v>No</v>
          </cell>
          <cell r="E918" t="str">
            <v>Shopping 52.1(a) - Unforeseen Contingency</v>
          </cell>
          <cell r="F918" t="str">
            <v>N/A</v>
          </cell>
          <cell r="G918">
            <v>45457</v>
          </cell>
          <cell r="H918">
            <v>0</v>
          </cell>
          <cell r="I918" t="str">
            <v>N/A</v>
          </cell>
          <cell r="J918">
            <v>45468</v>
          </cell>
          <cell r="K918">
            <v>45468</v>
          </cell>
          <cell r="L918">
            <v>0</v>
          </cell>
          <cell r="M918" t="str">
            <v>N/A</v>
          </cell>
          <cell r="N918" t="str">
            <v>N/A</v>
          </cell>
          <cell r="O918">
            <v>45469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 t="e">
            <v>#N/A</v>
          </cell>
          <cell r="Y918">
            <v>0</v>
          </cell>
          <cell r="Z918">
            <v>0</v>
          </cell>
          <cell r="AA918">
            <v>52000</v>
          </cell>
          <cell r="AB918">
            <v>0</v>
          </cell>
          <cell r="AC918">
            <v>52000</v>
          </cell>
          <cell r="AD918">
            <v>49850</v>
          </cell>
          <cell r="AE918">
            <v>0</v>
          </cell>
          <cell r="AF918">
            <v>49850</v>
          </cell>
          <cell r="AG918" t="str">
            <v>ENGR. MICHAEL C. SALARDA
MS. LEONARDA M. LATOR
MS. CARMENCITA VALDEZ
MS. SORAYA P. VERGARA</v>
          </cell>
          <cell r="AH918" t="str">
            <v>N/A</v>
          </cell>
          <cell r="AI918" t="str">
            <v>N/A</v>
          </cell>
          <cell r="AJ918" t="str">
            <v>N/A</v>
          </cell>
          <cell r="AK918" t="str">
            <v>N/A</v>
          </cell>
          <cell r="AL918" t="str">
            <v>N/A</v>
          </cell>
          <cell r="AM918" t="str">
            <v>N/A</v>
          </cell>
          <cell r="AN918">
            <v>0</v>
          </cell>
          <cell r="AO918">
            <v>0</v>
          </cell>
        </row>
        <row r="919">
          <cell r="A919" t="str">
            <v>24-2842</v>
          </cell>
          <cell r="B919" t="str">
            <v xml:space="preserve">SPAREPARTS (LIGHT VEHICLES)
</v>
          </cell>
          <cell r="C919" t="str">
            <v>PGSO</v>
          </cell>
          <cell r="D919" t="str">
            <v>No</v>
          </cell>
          <cell r="E919" t="str">
            <v>Shopping 52.1(a) - Unforeseen Contingency</v>
          </cell>
          <cell r="F919" t="str">
            <v>N/A</v>
          </cell>
          <cell r="G919">
            <v>45457</v>
          </cell>
          <cell r="H919">
            <v>0</v>
          </cell>
          <cell r="I919" t="str">
            <v>N/A</v>
          </cell>
          <cell r="J919">
            <v>45468</v>
          </cell>
          <cell r="K919">
            <v>45468</v>
          </cell>
          <cell r="L919">
            <v>0</v>
          </cell>
          <cell r="M919" t="str">
            <v>N/A</v>
          </cell>
          <cell r="N919" t="str">
            <v>N/A</v>
          </cell>
          <cell r="O919">
            <v>45469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 t="e">
            <v>#N/A</v>
          </cell>
          <cell r="Y919">
            <v>0</v>
          </cell>
          <cell r="Z919">
            <v>0</v>
          </cell>
          <cell r="AA919">
            <v>9750</v>
          </cell>
          <cell r="AB919">
            <v>0</v>
          </cell>
          <cell r="AC919">
            <v>9750</v>
          </cell>
          <cell r="AD919">
            <v>9700</v>
          </cell>
          <cell r="AE919">
            <v>0</v>
          </cell>
          <cell r="AF919">
            <v>9700</v>
          </cell>
          <cell r="AG919" t="str">
            <v>ENGR. MICHAEL C. SALARDA
MS. LEONARDA M. LATOR
MS. CARMENCITA VALDEZ
MS. SORAYA P. VERGARA</v>
          </cell>
          <cell r="AH919" t="str">
            <v>N/A</v>
          </cell>
          <cell r="AI919" t="str">
            <v>N/A</v>
          </cell>
          <cell r="AJ919" t="str">
            <v>N/A</v>
          </cell>
          <cell r="AK919" t="str">
            <v>N/A</v>
          </cell>
          <cell r="AL919" t="str">
            <v>N/A</v>
          </cell>
          <cell r="AM919" t="str">
            <v>N/A</v>
          </cell>
          <cell r="AN919">
            <v>0</v>
          </cell>
          <cell r="AO919">
            <v>0</v>
          </cell>
        </row>
        <row r="920">
          <cell r="A920" t="str">
            <v>24-2843</v>
          </cell>
          <cell r="B920" t="str">
            <v xml:space="preserve">SPAREPARTS (LIGHT VEHICLES)
</v>
          </cell>
          <cell r="C920" t="str">
            <v>PGSO</v>
          </cell>
          <cell r="D920" t="str">
            <v>No</v>
          </cell>
          <cell r="E920" t="str">
            <v>Shopping 52.1(a) - Unforeseen Contingency</v>
          </cell>
          <cell r="F920" t="str">
            <v>N/A</v>
          </cell>
          <cell r="G920">
            <v>45457</v>
          </cell>
          <cell r="H920">
            <v>0</v>
          </cell>
          <cell r="I920" t="str">
            <v>N/A</v>
          </cell>
          <cell r="J920">
            <v>45468</v>
          </cell>
          <cell r="K920">
            <v>45468</v>
          </cell>
          <cell r="L920">
            <v>0</v>
          </cell>
          <cell r="M920" t="str">
            <v>N/A</v>
          </cell>
          <cell r="N920" t="str">
            <v>N/A</v>
          </cell>
          <cell r="O920">
            <v>45469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 t="e">
            <v>#N/A</v>
          </cell>
          <cell r="Y920">
            <v>0</v>
          </cell>
          <cell r="Z920">
            <v>0</v>
          </cell>
          <cell r="AA920">
            <v>22000</v>
          </cell>
          <cell r="AB920">
            <v>0</v>
          </cell>
          <cell r="AC920">
            <v>22000</v>
          </cell>
          <cell r="AD920">
            <v>21800</v>
          </cell>
          <cell r="AE920">
            <v>0</v>
          </cell>
          <cell r="AF920">
            <v>21800</v>
          </cell>
          <cell r="AG920" t="str">
            <v>ENGR. MICHAEL C. SALARDA
MS. LEONARDA M. LATOR
MS. CARMENCITA VALDEZ
MS. SORAYA P. VERGARA</v>
          </cell>
          <cell r="AH920" t="str">
            <v>N/A</v>
          </cell>
          <cell r="AI920" t="str">
            <v>N/A</v>
          </cell>
          <cell r="AJ920" t="str">
            <v>N/A</v>
          </cell>
          <cell r="AK920" t="str">
            <v>N/A</v>
          </cell>
          <cell r="AL920" t="str">
            <v>N/A</v>
          </cell>
          <cell r="AM920" t="str">
            <v>N/A</v>
          </cell>
          <cell r="AN920">
            <v>0</v>
          </cell>
          <cell r="AO920">
            <v>0</v>
          </cell>
        </row>
        <row r="921">
          <cell r="A921" t="str">
            <v>24-2813</v>
          </cell>
          <cell r="B921" t="str">
            <v xml:space="preserve">SPAREPARTS (LIGHT VEHICLES)
</v>
          </cell>
          <cell r="C921" t="str">
            <v>PGSO</v>
          </cell>
          <cell r="D921" t="str">
            <v>No</v>
          </cell>
          <cell r="E921" t="str">
            <v>Shopping 52.1(a) - Unforeseen Contingency</v>
          </cell>
          <cell r="F921" t="str">
            <v>N/A</v>
          </cell>
          <cell r="G921">
            <v>45457</v>
          </cell>
          <cell r="H921">
            <v>0</v>
          </cell>
          <cell r="I921" t="str">
            <v>N/A</v>
          </cell>
          <cell r="J921">
            <v>45468</v>
          </cell>
          <cell r="K921">
            <v>45468</v>
          </cell>
          <cell r="L921">
            <v>0</v>
          </cell>
          <cell r="M921" t="str">
            <v>N/A</v>
          </cell>
          <cell r="N921" t="str">
            <v>N/A</v>
          </cell>
          <cell r="O921">
            <v>45469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 t="e">
            <v>#N/A</v>
          </cell>
          <cell r="Y921">
            <v>0</v>
          </cell>
          <cell r="Z921">
            <v>0</v>
          </cell>
          <cell r="AA921">
            <v>22000</v>
          </cell>
          <cell r="AB921">
            <v>0</v>
          </cell>
          <cell r="AC921">
            <v>22000</v>
          </cell>
          <cell r="AD921">
            <v>22000</v>
          </cell>
          <cell r="AE921">
            <v>0</v>
          </cell>
          <cell r="AF921">
            <v>22000</v>
          </cell>
          <cell r="AG921" t="str">
            <v>ENGR. MICHAEL C. SALARDA
MS. LEONARDA M. LATOR
MS. CARMENCITA VALDEZ
MS. SORAYA P. VERGARA</v>
          </cell>
          <cell r="AH921" t="str">
            <v>N/A</v>
          </cell>
          <cell r="AI921" t="str">
            <v>N/A</v>
          </cell>
          <cell r="AJ921" t="str">
            <v>N/A</v>
          </cell>
          <cell r="AK921" t="str">
            <v>N/A</v>
          </cell>
          <cell r="AL921" t="str">
            <v>N/A</v>
          </cell>
          <cell r="AM921" t="str">
            <v>N/A</v>
          </cell>
          <cell r="AN921">
            <v>0</v>
          </cell>
          <cell r="AO921">
            <v>0</v>
          </cell>
        </row>
        <row r="922">
          <cell r="A922" t="str">
            <v>24-2917</v>
          </cell>
          <cell r="B922" t="str">
            <v xml:space="preserve">SPAREPARTS (LIGHT VEHICLES)
</v>
          </cell>
          <cell r="C922" t="str">
            <v>PGSO</v>
          </cell>
          <cell r="D922" t="str">
            <v>No</v>
          </cell>
          <cell r="E922" t="str">
            <v>Shopping 52.1(a) - Unforeseen Contingency</v>
          </cell>
          <cell r="F922" t="str">
            <v>N/A</v>
          </cell>
          <cell r="G922">
            <v>45457</v>
          </cell>
          <cell r="H922">
            <v>0</v>
          </cell>
          <cell r="I922" t="str">
            <v>N/A</v>
          </cell>
          <cell r="J922">
            <v>45468</v>
          </cell>
          <cell r="K922">
            <v>45468</v>
          </cell>
          <cell r="L922">
            <v>0</v>
          </cell>
          <cell r="M922" t="str">
            <v>N/A</v>
          </cell>
          <cell r="N922" t="str">
            <v>N/A</v>
          </cell>
          <cell r="O922">
            <v>45469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 t="e">
            <v>#N/A</v>
          </cell>
          <cell r="Y922">
            <v>0</v>
          </cell>
          <cell r="Z922">
            <v>0</v>
          </cell>
          <cell r="AA922">
            <v>29500</v>
          </cell>
          <cell r="AB922">
            <v>0</v>
          </cell>
          <cell r="AC922">
            <v>29500</v>
          </cell>
          <cell r="AD922">
            <v>29400</v>
          </cell>
          <cell r="AE922">
            <v>0</v>
          </cell>
          <cell r="AF922">
            <v>29400</v>
          </cell>
          <cell r="AG922" t="str">
            <v>ENGR. MICHAEL C. SALARDA
MS. LEONARDA M. LATOR
MS. CARMENCITA VALDEZ
MS. SORAYA P. VERGARA</v>
          </cell>
          <cell r="AH922" t="str">
            <v>N/A</v>
          </cell>
          <cell r="AI922" t="str">
            <v>N/A</v>
          </cell>
          <cell r="AJ922" t="str">
            <v>N/A</v>
          </cell>
          <cell r="AK922" t="str">
            <v>N/A</v>
          </cell>
          <cell r="AL922" t="str">
            <v>N/A</v>
          </cell>
          <cell r="AM922" t="str">
            <v>N/A</v>
          </cell>
          <cell r="AN922">
            <v>0</v>
          </cell>
          <cell r="AO922">
            <v>0</v>
          </cell>
        </row>
        <row r="923">
          <cell r="A923" t="str">
            <v>24-2726</v>
          </cell>
          <cell r="B923" t="str">
            <v xml:space="preserve">SPAREPARTS (LIGHT VEHICLES)
</v>
          </cell>
          <cell r="C923" t="str">
            <v>PGSO</v>
          </cell>
          <cell r="D923" t="str">
            <v>No</v>
          </cell>
          <cell r="E923" t="str">
            <v>Shopping 52.1(a) - Unforeseen Contingency</v>
          </cell>
          <cell r="F923">
            <v>45440</v>
          </cell>
          <cell r="G923">
            <v>45442</v>
          </cell>
          <cell r="H923">
            <v>0</v>
          </cell>
          <cell r="I923" t="str">
            <v>N/A</v>
          </cell>
          <cell r="J923">
            <v>45468</v>
          </cell>
          <cell r="K923">
            <v>45468</v>
          </cell>
          <cell r="L923">
            <v>0</v>
          </cell>
          <cell r="M923" t="str">
            <v>N/A</v>
          </cell>
          <cell r="N923" t="str">
            <v>N/A</v>
          </cell>
          <cell r="O923">
            <v>45469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 t="e">
            <v>#N/A</v>
          </cell>
          <cell r="Y923">
            <v>0</v>
          </cell>
          <cell r="Z923">
            <v>0</v>
          </cell>
          <cell r="AA923">
            <v>2450</v>
          </cell>
          <cell r="AB923">
            <v>0</v>
          </cell>
          <cell r="AC923">
            <v>2450</v>
          </cell>
          <cell r="AD923">
            <v>2300</v>
          </cell>
          <cell r="AE923">
            <v>0</v>
          </cell>
          <cell r="AF923">
            <v>2300</v>
          </cell>
          <cell r="AG923" t="str">
            <v>ENGR. MICHAEL C. SALARDA
MS. LEONARDA M. LATOR
MS. CARMENCITA VALDEZ
MS. SORAYA P. VERGARA</v>
          </cell>
          <cell r="AH923" t="str">
            <v>N/A</v>
          </cell>
          <cell r="AI923" t="str">
            <v>N/A</v>
          </cell>
          <cell r="AJ923" t="str">
            <v>N/A</v>
          </cell>
          <cell r="AK923" t="str">
            <v>N/A</v>
          </cell>
          <cell r="AL923" t="str">
            <v>N/A</v>
          </cell>
          <cell r="AM923" t="str">
            <v>N/A</v>
          </cell>
          <cell r="AN923">
            <v>0</v>
          </cell>
          <cell r="AO923">
            <v>0</v>
          </cell>
        </row>
        <row r="924">
          <cell r="A924" t="str">
            <v>24-2513</v>
          </cell>
          <cell r="B924" t="str">
            <v xml:space="preserve">CIRCUIT BOARD
</v>
          </cell>
          <cell r="C924" t="str">
            <v>PGSO</v>
          </cell>
          <cell r="D924" t="str">
            <v>No</v>
          </cell>
          <cell r="E924" t="str">
            <v>NP-53.9 - Small Value Procurement</v>
          </cell>
          <cell r="F924" t="str">
            <v>N/A</v>
          </cell>
          <cell r="G924">
            <v>45415</v>
          </cell>
          <cell r="H924">
            <v>0</v>
          </cell>
          <cell r="I924" t="str">
            <v>N/A</v>
          </cell>
          <cell r="J924">
            <v>45468</v>
          </cell>
          <cell r="K924">
            <v>45468</v>
          </cell>
          <cell r="L924">
            <v>0</v>
          </cell>
          <cell r="M924" t="str">
            <v>N/A</v>
          </cell>
          <cell r="N924" t="str">
            <v>N/A</v>
          </cell>
          <cell r="O924">
            <v>45469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 t="e">
            <v>#N/A</v>
          </cell>
          <cell r="Y924">
            <v>0</v>
          </cell>
          <cell r="Z924">
            <v>0</v>
          </cell>
          <cell r="AA924">
            <v>57566.74</v>
          </cell>
          <cell r="AB924">
            <v>0</v>
          </cell>
          <cell r="AC924">
            <v>57566.74</v>
          </cell>
          <cell r="AD924">
            <v>53000</v>
          </cell>
          <cell r="AE924">
            <v>0</v>
          </cell>
          <cell r="AF924">
            <v>53000</v>
          </cell>
          <cell r="AG924" t="str">
            <v>ENGR. MICHAEL C. SALARDA
MS. LEONARDA M. LATOR
MS. CARMENCITA VALDEZ
MS. SORAYA P. VERGARA</v>
          </cell>
          <cell r="AH924" t="str">
            <v>N/A</v>
          </cell>
          <cell r="AI924" t="str">
            <v>N/A</v>
          </cell>
          <cell r="AJ924" t="str">
            <v>N/A</v>
          </cell>
          <cell r="AK924" t="str">
            <v>N/A</v>
          </cell>
          <cell r="AL924" t="str">
            <v>N/A</v>
          </cell>
          <cell r="AM924" t="str">
            <v>N/A</v>
          </cell>
          <cell r="AN924">
            <v>0</v>
          </cell>
          <cell r="AO924">
            <v>0</v>
          </cell>
        </row>
        <row r="925">
          <cell r="A925" t="str">
            <v>24-2632</v>
          </cell>
          <cell r="B925" t="str">
            <v xml:space="preserve">ELECTRONIC MULTI- PURPOSE ULTRASONIC PEST REPELLER
</v>
          </cell>
          <cell r="C925" t="str">
            <v>SPO</v>
          </cell>
          <cell r="D925" t="str">
            <v>No</v>
          </cell>
          <cell r="E925" t="str">
            <v>NP-53.9 - Small Value Procurement</v>
          </cell>
          <cell r="F925" t="str">
            <v>N/A</v>
          </cell>
          <cell r="G925">
            <v>45429</v>
          </cell>
          <cell r="H925">
            <v>0</v>
          </cell>
          <cell r="I925" t="str">
            <v>N/A</v>
          </cell>
          <cell r="J925">
            <v>45468</v>
          </cell>
          <cell r="K925">
            <v>45468</v>
          </cell>
          <cell r="L925">
            <v>0</v>
          </cell>
          <cell r="M925" t="str">
            <v>N/A</v>
          </cell>
          <cell r="N925" t="str">
            <v>N/A</v>
          </cell>
          <cell r="O925">
            <v>45469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 t="e">
            <v>#N/A</v>
          </cell>
          <cell r="Y925">
            <v>0</v>
          </cell>
          <cell r="Z925">
            <v>0</v>
          </cell>
          <cell r="AA925">
            <v>4000</v>
          </cell>
          <cell r="AB925">
            <v>0</v>
          </cell>
          <cell r="AC925">
            <v>4000</v>
          </cell>
          <cell r="AD925">
            <v>3700</v>
          </cell>
          <cell r="AE925">
            <v>0</v>
          </cell>
          <cell r="AF925">
            <v>3700</v>
          </cell>
          <cell r="AG925" t="str">
            <v>ENGR. MICHAEL C. SALARDA
MS. LEONARDA M. LATOR
MS. CARMENCITA VALDEZ
MS. SORAYA P. VERGARA</v>
          </cell>
          <cell r="AH925" t="str">
            <v>N/A</v>
          </cell>
          <cell r="AI925" t="str">
            <v>N/A</v>
          </cell>
          <cell r="AJ925" t="str">
            <v>N/A</v>
          </cell>
          <cell r="AK925" t="str">
            <v>N/A</v>
          </cell>
          <cell r="AL925" t="str">
            <v>N/A</v>
          </cell>
          <cell r="AM925" t="str">
            <v>N/A</v>
          </cell>
          <cell r="AN925">
            <v>0</v>
          </cell>
          <cell r="AO925">
            <v>0</v>
          </cell>
        </row>
        <row r="926">
          <cell r="A926" t="str">
            <v>24-2587</v>
          </cell>
          <cell r="B926" t="str">
            <v xml:space="preserve">MEDICAL KIT
</v>
          </cell>
          <cell r="C926" t="str">
            <v>PEO</v>
          </cell>
          <cell r="D926" t="str">
            <v>No</v>
          </cell>
          <cell r="E926" t="str">
            <v>NP-53.9 - Small Value Procurement</v>
          </cell>
          <cell r="F926">
            <v>45426</v>
          </cell>
          <cell r="G926">
            <v>45429</v>
          </cell>
          <cell r="H926">
            <v>0</v>
          </cell>
          <cell r="I926" t="str">
            <v>N/A</v>
          </cell>
          <cell r="J926">
            <v>45468</v>
          </cell>
          <cell r="K926">
            <v>45468</v>
          </cell>
          <cell r="L926">
            <v>0</v>
          </cell>
          <cell r="M926" t="str">
            <v>N/A</v>
          </cell>
          <cell r="N926" t="str">
            <v>N/A</v>
          </cell>
          <cell r="O926">
            <v>45469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 t="e">
            <v>#N/A</v>
          </cell>
          <cell r="Y926">
            <v>0</v>
          </cell>
          <cell r="Z926">
            <v>0</v>
          </cell>
          <cell r="AA926">
            <v>1925</v>
          </cell>
          <cell r="AB926">
            <v>0</v>
          </cell>
          <cell r="AC926">
            <v>1925</v>
          </cell>
          <cell r="AD926">
            <v>1920</v>
          </cell>
          <cell r="AE926">
            <v>0</v>
          </cell>
          <cell r="AF926">
            <v>1920</v>
          </cell>
          <cell r="AG926" t="str">
            <v>ENGR. MICHAEL C. SALARDA
MS. LEONARDA M. LATOR
MS. CARMENCITA VALDEZ
MS. SORAYA P. VERGARA</v>
          </cell>
          <cell r="AH926" t="str">
            <v>N/A</v>
          </cell>
          <cell r="AI926" t="str">
            <v>N/A</v>
          </cell>
          <cell r="AJ926" t="str">
            <v>N/A</v>
          </cell>
          <cell r="AK926" t="str">
            <v>N/A</v>
          </cell>
          <cell r="AL926" t="str">
            <v>N/A</v>
          </cell>
          <cell r="AM926" t="str">
            <v>N/A</v>
          </cell>
          <cell r="AN926">
            <v>0</v>
          </cell>
          <cell r="AO926">
            <v>0</v>
          </cell>
        </row>
        <row r="927">
          <cell r="A927" t="str">
            <v>24-C1373</v>
          </cell>
          <cell r="B927" t="str">
            <v>JANITORIAL SUPPLIES</v>
          </cell>
          <cell r="C927" t="str">
            <v>PAGRO</v>
          </cell>
          <cell r="D927" t="str">
            <v>No</v>
          </cell>
          <cell r="E927" t="str">
            <v>NP-53.9 - Small Value Procurement</v>
          </cell>
          <cell r="F927" t="str">
            <v>N/A</v>
          </cell>
          <cell r="G927">
            <v>45448</v>
          </cell>
          <cell r="H927">
            <v>0</v>
          </cell>
          <cell r="I927" t="str">
            <v>N/A</v>
          </cell>
          <cell r="J927">
            <v>45468</v>
          </cell>
          <cell r="K927">
            <v>45468</v>
          </cell>
          <cell r="L927">
            <v>0</v>
          </cell>
          <cell r="M927" t="str">
            <v>N/A</v>
          </cell>
          <cell r="N927" t="str">
            <v>N/A</v>
          </cell>
          <cell r="O927">
            <v>45469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101290</v>
          </cell>
          <cell r="AB927">
            <v>0</v>
          </cell>
          <cell r="AC927">
            <v>101290</v>
          </cell>
          <cell r="AD927">
            <v>100580</v>
          </cell>
          <cell r="AE927">
            <v>0</v>
          </cell>
          <cell r="AF927">
            <v>100580</v>
          </cell>
          <cell r="AG927" t="str">
            <v>ENGR. MICHAEL C. SALARDA
MS. LEONARDA M. LATOR
MS. CARMENCITA VALDEZ
MS. SORAYA P. VERGARA</v>
          </cell>
          <cell r="AH927" t="str">
            <v>N/A</v>
          </cell>
          <cell r="AI927" t="str">
            <v>N/A</v>
          </cell>
          <cell r="AJ927" t="str">
            <v>N/A</v>
          </cell>
          <cell r="AK927" t="str">
            <v>N/A</v>
          </cell>
          <cell r="AL927" t="str">
            <v>N/A</v>
          </cell>
          <cell r="AM927" t="str">
            <v>N/A</v>
          </cell>
          <cell r="AN927">
            <v>0</v>
          </cell>
          <cell r="AO927">
            <v>0</v>
          </cell>
        </row>
        <row r="928">
          <cell r="A928" t="str">
            <v>24-2496</v>
          </cell>
          <cell r="B928" t="str">
            <v xml:space="preserve">MEDICAL KIT
</v>
          </cell>
          <cell r="C928" t="str">
            <v>SEF</v>
          </cell>
          <cell r="D928" t="str">
            <v>No</v>
          </cell>
          <cell r="E928" t="str">
            <v>NP-53.9 - Small Value Procurement</v>
          </cell>
          <cell r="F928">
            <v>45426</v>
          </cell>
          <cell r="G928">
            <v>45429</v>
          </cell>
          <cell r="H928">
            <v>0</v>
          </cell>
          <cell r="I928" t="str">
            <v>N/A</v>
          </cell>
          <cell r="J928">
            <v>45468</v>
          </cell>
          <cell r="K928">
            <v>45468</v>
          </cell>
          <cell r="L928">
            <v>0</v>
          </cell>
          <cell r="M928" t="str">
            <v>N/A</v>
          </cell>
          <cell r="N928" t="str">
            <v>N/A</v>
          </cell>
          <cell r="O928">
            <v>45469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 t="e">
            <v>#N/A</v>
          </cell>
          <cell r="Y928">
            <v>0</v>
          </cell>
          <cell r="Z928">
            <v>0</v>
          </cell>
          <cell r="AA928">
            <v>1925</v>
          </cell>
          <cell r="AB928">
            <v>0</v>
          </cell>
          <cell r="AC928">
            <v>1925</v>
          </cell>
          <cell r="AD928">
            <v>1920</v>
          </cell>
          <cell r="AE928">
            <v>0</v>
          </cell>
          <cell r="AF928">
            <v>1920</v>
          </cell>
          <cell r="AG928" t="str">
            <v>ENGR. MICHAEL C. SALARDA
MS. LEONARDA M. LATOR
MS. CARMENCITA VALDEZ
MS. SORAYA P. VERGARA</v>
          </cell>
          <cell r="AH928" t="str">
            <v>N/A</v>
          </cell>
          <cell r="AI928" t="str">
            <v>N/A</v>
          </cell>
          <cell r="AJ928" t="str">
            <v>N/A</v>
          </cell>
          <cell r="AK928" t="str">
            <v>N/A</v>
          </cell>
          <cell r="AL928" t="str">
            <v>N/A</v>
          </cell>
          <cell r="AM928" t="str">
            <v>N/A</v>
          </cell>
          <cell r="AN928">
            <v>0</v>
          </cell>
          <cell r="AO928">
            <v>0</v>
          </cell>
        </row>
        <row r="929">
          <cell r="A929" t="str">
            <v>24-3676</v>
          </cell>
          <cell r="B929" t="str">
            <v xml:space="preserve">GEAR OIL AND PENETRATING OIL
</v>
          </cell>
          <cell r="C929" t="str">
            <v>PDRRMO</v>
          </cell>
          <cell r="D929" t="str">
            <v>No</v>
          </cell>
          <cell r="E929" t="str">
            <v>NP-53.9 - Small Value Procurement</v>
          </cell>
          <cell r="F929" t="str">
            <v>N/A</v>
          </cell>
          <cell r="G929">
            <v>45457</v>
          </cell>
          <cell r="H929">
            <v>0</v>
          </cell>
          <cell r="I929" t="str">
            <v>N/A</v>
          </cell>
          <cell r="J929">
            <v>45468</v>
          </cell>
          <cell r="K929">
            <v>45468</v>
          </cell>
          <cell r="L929">
            <v>0</v>
          </cell>
          <cell r="M929" t="str">
            <v>N/A</v>
          </cell>
          <cell r="N929" t="str">
            <v>N/A</v>
          </cell>
          <cell r="O929">
            <v>45469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 t="e">
            <v>#N/A</v>
          </cell>
          <cell r="Y929">
            <v>0</v>
          </cell>
          <cell r="Z929">
            <v>0</v>
          </cell>
          <cell r="AA929">
            <v>4961.2</v>
          </cell>
          <cell r="AB929">
            <v>0</v>
          </cell>
          <cell r="AC929">
            <v>4961.2</v>
          </cell>
          <cell r="AD929">
            <v>4950</v>
          </cell>
          <cell r="AE929">
            <v>0</v>
          </cell>
          <cell r="AF929">
            <v>4950</v>
          </cell>
          <cell r="AG929" t="str">
            <v>ENGR. MICHAEL C. SALARDA
MS. LEONARDA M. LATOR
MS. CARMENCITA VALDEZ
MS. SORAYA P. VERGARA</v>
          </cell>
          <cell r="AH929" t="str">
            <v>N/A</v>
          </cell>
          <cell r="AI929" t="str">
            <v>N/A</v>
          </cell>
          <cell r="AJ929" t="str">
            <v>N/A</v>
          </cell>
          <cell r="AK929" t="str">
            <v>N/A</v>
          </cell>
          <cell r="AL929" t="str">
            <v>N/A</v>
          </cell>
          <cell r="AM929" t="str">
            <v>N/A</v>
          </cell>
          <cell r="AN929">
            <v>0</v>
          </cell>
          <cell r="AO929">
            <v>0</v>
          </cell>
        </row>
        <row r="930">
          <cell r="A930" t="str">
            <v>24-2938</v>
          </cell>
          <cell r="B930" t="str">
            <v xml:space="preserve">SPAREPARTS (LIGHT VEHICLES)
</v>
          </cell>
          <cell r="C930" t="str">
            <v>PVGO</v>
          </cell>
          <cell r="D930" t="str">
            <v>No</v>
          </cell>
          <cell r="E930" t="str">
            <v>NP-53.9 - Small Value Procurement</v>
          </cell>
          <cell r="F930" t="str">
            <v>N/A</v>
          </cell>
          <cell r="G930">
            <v>45457</v>
          </cell>
          <cell r="H930">
            <v>0</v>
          </cell>
          <cell r="I930" t="str">
            <v>N/A</v>
          </cell>
          <cell r="J930">
            <v>45468</v>
          </cell>
          <cell r="K930">
            <v>45468</v>
          </cell>
          <cell r="L930">
            <v>0</v>
          </cell>
          <cell r="M930" t="str">
            <v>N/A</v>
          </cell>
          <cell r="N930" t="str">
            <v>N/A</v>
          </cell>
          <cell r="O930">
            <v>45469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 t="e">
            <v>#N/A</v>
          </cell>
          <cell r="Y930">
            <v>0</v>
          </cell>
          <cell r="Z930">
            <v>0</v>
          </cell>
          <cell r="AA930">
            <v>233720</v>
          </cell>
          <cell r="AB930">
            <v>0</v>
          </cell>
          <cell r="AC930">
            <v>233720</v>
          </cell>
          <cell r="AD930">
            <v>143200</v>
          </cell>
          <cell r="AE930">
            <v>0</v>
          </cell>
          <cell r="AF930">
            <v>143200</v>
          </cell>
          <cell r="AG930" t="str">
            <v>ENGR. MICHAEL C. SALARDA
MS. LEONARDA M. LATOR
MS. CARMENCITA VALDEZ
MS. SORAYA P. VERGARA</v>
          </cell>
          <cell r="AH930" t="str">
            <v>N/A</v>
          </cell>
          <cell r="AI930" t="str">
            <v>N/A</v>
          </cell>
          <cell r="AJ930" t="str">
            <v>N/A</v>
          </cell>
          <cell r="AK930" t="str">
            <v>N/A</v>
          </cell>
          <cell r="AL930" t="str">
            <v>N/A</v>
          </cell>
          <cell r="AM930" t="str">
            <v>N/A</v>
          </cell>
          <cell r="AN930">
            <v>0</v>
          </cell>
          <cell r="AO930">
            <v>0</v>
          </cell>
        </row>
        <row r="931">
          <cell r="A931" t="str">
            <v>24-C1161</v>
          </cell>
          <cell r="B931" t="str">
            <v>DRUGS AND MEDICINES</v>
          </cell>
          <cell r="C931" t="str">
            <v>PHO</v>
          </cell>
          <cell r="D931" t="str">
            <v>No</v>
          </cell>
          <cell r="E931" t="str">
            <v>Competitive Bidding</v>
          </cell>
          <cell r="F931">
            <v>45407</v>
          </cell>
          <cell r="G931">
            <v>45411</v>
          </cell>
          <cell r="H931">
            <v>0</v>
          </cell>
          <cell r="I931">
            <v>45421</v>
          </cell>
          <cell r="J931">
            <v>45440</v>
          </cell>
          <cell r="K931">
            <v>45440</v>
          </cell>
          <cell r="L931">
            <v>0</v>
          </cell>
          <cell r="M931">
            <v>45440</v>
          </cell>
          <cell r="N931">
            <v>45457</v>
          </cell>
          <cell r="O931">
            <v>45469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1244516</v>
          </cell>
          <cell r="AB931">
            <v>0</v>
          </cell>
          <cell r="AC931">
            <v>1244516</v>
          </cell>
          <cell r="AD931">
            <v>1029353.4</v>
          </cell>
          <cell r="AE931">
            <v>0</v>
          </cell>
          <cell r="AF931">
            <v>1029353.4</v>
          </cell>
          <cell r="AG931" t="str">
            <v>ENGR. MICHAEL C. SALARDA
MS. LEONARDA M. LATOR
MS. CARMENCITA VALDEZ
MS. SORAYA P. VERGARA</v>
          </cell>
          <cell r="AH931">
            <v>45419</v>
          </cell>
          <cell r="AI931">
            <v>45439</v>
          </cell>
          <cell r="AJ931">
            <v>45439</v>
          </cell>
          <cell r="AK931">
            <v>45439</v>
          </cell>
          <cell r="AL931" t="str">
            <v>N/A</v>
          </cell>
          <cell r="AM931" t="str">
            <v>N/A</v>
          </cell>
          <cell r="AN931">
            <v>0</v>
          </cell>
          <cell r="AO931">
            <v>0</v>
          </cell>
        </row>
        <row r="932">
          <cell r="A932" t="str">
            <v>24-C1335</v>
          </cell>
          <cell r="B932" t="str">
            <v xml:space="preserve">STAINLESS STEEL CYLINDRICAL WATER STORAGE TANK (HORIZONTAL), 20, 000 LTRS CAPACITY, </v>
          </cell>
          <cell r="C932" t="str">
            <v>PEO</v>
          </cell>
          <cell r="D932" t="str">
            <v>No</v>
          </cell>
          <cell r="E932" t="str">
            <v>Competitive Bidding</v>
          </cell>
          <cell r="F932">
            <v>45412</v>
          </cell>
          <cell r="G932">
            <v>45418</v>
          </cell>
          <cell r="H932">
            <v>0</v>
          </cell>
          <cell r="I932">
            <v>45426</v>
          </cell>
          <cell r="J932">
            <v>45440</v>
          </cell>
          <cell r="K932">
            <v>45440</v>
          </cell>
          <cell r="L932">
            <v>0</v>
          </cell>
          <cell r="M932">
            <v>45440</v>
          </cell>
          <cell r="N932">
            <v>45457</v>
          </cell>
          <cell r="O932">
            <v>45469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1119678</v>
          </cell>
          <cell r="AB932">
            <v>0</v>
          </cell>
          <cell r="AC932">
            <v>1119678</v>
          </cell>
          <cell r="AD932">
            <v>993000</v>
          </cell>
          <cell r="AE932">
            <v>0</v>
          </cell>
          <cell r="AF932">
            <v>993000</v>
          </cell>
          <cell r="AG932" t="str">
            <v>ENGR. MICHAEL C. SALARDA
MS. LEONARDA M. LATOR
MS. CARMENCITA VALDEZ
MS. SORAYA P. VERGARA</v>
          </cell>
          <cell r="AH932">
            <v>45421</v>
          </cell>
          <cell r="AI932">
            <v>45439</v>
          </cell>
          <cell r="AJ932">
            <v>45439</v>
          </cell>
          <cell r="AK932">
            <v>45439</v>
          </cell>
          <cell r="AL932" t="str">
            <v>N/A</v>
          </cell>
          <cell r="AM932" t="str">
            <v>N/A</v>
          </cell>
          <cell r="AN932">
            <v>0</v>
          </cell>
          <cell r="AO932">
            <v>0</v>
          </cell>
        </row>
        <row r="933">
          <cell r="A933" t="str">
            <v>24-2559</v>
          </cell>
          <cell r="B933" t="str">
            <v>GLASS</v>
          </cell>
          <cell r="C933" t="str">
            <v>PGSO</v>
          </cell>
          <cell r="D933" t="str">
            <v>No</v>
          </cell>
          <cell r="E933" t="str">
            <v>Competitive Bidding</v>
          </cell>
          <cell r="F933">
            <v>45421</v>
          </cell>
          <cell r="G933">
            <v>45425</v>
          </cell>
          <cell r="H933">
            <v>0</v>
          </cell>
          <cell r="I933" t="str">
            <v>N/A</v>
          </cell>
          <cell r="J933">
            <v>45440</v>
          </cell>
          <cell r="K933">
            <v>45440</v>
          </cell>
          <cell r="L933">
            <v>0</v>
          </cell>
          <cell r="M933">
            <v>45440</v>
          </cell>
          <cell r="N933">
            <v>45457</v>
          </cell>
          <cell r="O933">
            <v>45469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 t="e">
            <v>#N/A</v>
          </cell>
          <cell r="Y933">
            <v>0</v>
          </cell>
          <cell r="Z933">
            <v>0</v>
          </cell>
          <cell r="AA933">
            <v>191698.04</v>
          </cell>
          <cell r="AB933">
            <v>0</v>
          </cell>
          <cell r="AC933">
            <v>191698.04</v>
          </cell>
          <cell r="AD933">
            <v>190800</v>
          </cell>
          <cell r="AE933">
            <v>0</v>
          </cell>
          <cell r="AF933">
            <v>190800</v>
          </cell>
          <cell r="AG933" t="str">
            <v>ENGR. MICHAEL C. SALARDA
MS. LEONARDA M. LATOR
MS. CARMENCITA VALDEZ
MS. SORAYA P. VERGARA</v>
          </cell>
          <cell r="AH933" t="str">
            <v>N/A</v>
          </cell>
          <cell r="AI933">
            <v>45439</v>
          </cell>
          <cell r="AJ933">
            <v>45439</v>
          </cell>
          <cell r="AK933">
            <v>45439</v>
          </cell>
          <cell r="AL933" t="str">
            <v>N/A</v>
          </cell>
          <cell r="AM933" t="str">
            <v>N/A</v>
          </cell>
          <cell r="AN933">
            <v>0</v>
          </cell>
          <cell r="AO933">
            <v>0</v>
          </cell>
        </row>
        <row r="934">
          <cell r="A934" t="str">
            <v>24-2565</v>
          </cell>
          <cell r="B934" t="str">
            <v>MEALS AND SNACKS A</v>
          </cell>
          <cell r="C934" t="str">
            <v>PSWDO</v>
          </cell>
          <cell r="D934" t="str">
            <v>No</v>
          </cell>
          <cell r="E934" t="str">
            <v>Competitive Bidding</v>
          </cell>
          <cell r="F934">
            <v>45421</v>
          </cell>
          <cell r="G934">
            <v>45425</v>
          </cell>
          <cell r="H934">
            <v>0</v>
          </cell>
          <cell r="I934" t="str">
            <v>N/A</v>
          </cell>
          <cell r="J934">
            <v>45454</v>
          </cell>
          <cell r="K934">
            <v>45454</v>
          </cell>
          <cell r="L934">
            <v>0</v>
          </cell>
          <cell r="M934">
            <v>45454</v>
          </cell>
          <cell r="N934">
            <v>45457</v>
          </cell>
          <cell r="O934">
            <v>45469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 t="e">
            <v>#N/A</v>
          </cell>
          <cell r="Y934">
            <v>0</v>
          </cell>
          <cell r="Z934">
            <v>0</v>
          </cell>
          <cell r="AA934">
            <v>2040000</v>
          </cell>
          <cell r="AB934">
            <v>0</v>
          </cell>
          <cell r="AC934">
            <v>2040000</v>
          </cell>
          <cell r="AD934">
            <v>2016000</v>
          </cell>
          <cell r="AE934">
            <v>0</v>
          </cell>
          <cell r="AF934">
            <v>2016000</v>
          </cell>
          <cell r="AG934" t="str">
            <v>ENGR. MICHAEL C. SALARDA
MS. LEONARDA M. LATOR
MS. CARMENCITA VALDEZ
MS. SORAYA P. VERGARA</v>
          </cell>
          <cell r="AH934" t="str">
            <v>N/A</v>
          </cell>
          <cell r="AI934">
            <v>45450</v>
          </cell>
          <cell r="AJ934">
            <v>45450</v>
          </cell>
          <cell r="AK934">
            <v>45450</v>
          </cell>
          <cell r="AL934" t="str">
            <v>N/A</v>
          </cell>
          <cell r="AM934" t="str">
            <v>N/A</v>
          </cell>
          <cell r="AN934">
            <v>0</v>
          </cell>
          <cell r="AO934">
            <v>0</v>
          </cell>
        </row>
        <row r="935">
          <cell r="A935" t="str">
            <v>24-C1268</v>
          </cell>
          <cell r="B935" t="str">
            <v>MEALS AND SNACKS WITH ACCOMMODATION</v>
          </cell>
          <cell r="C935" t="str">
            <v>PGO</v>
          </cell>
          <cell r="D935" t="str">
            <v>No</v>
          </cell>
          <cell r="E935" t="str">
            <v>Competitive Bidding</v>
          </cell>
          <cell r="F935">
            <v>45432</v>
          </cell>
          <cell r="G935">
            <v>45440</v>
          </cell>
          <cell r="H935">
            <v>0</v>
          </cell>
          <cell r="I935" t="str">
            <v>N/A</v>
          </cell>
          <cell r="J935">
            <v>45454</v>
          </cell>
          <cell r="K935">
            <v>45454</v>
          </cell>
          <cell r="L935">
            <v>0</v>
          </cell>
          <cell r="M935">
            <v>45454</v>
          </cell>
          <cell r="N935">
            <v>45462</v>
          </cell>
          <cell r="O935">
            <v>45469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1320000</v>
          </cell>
          <cell r="AB935">
            <v>0</v>
          </cell>
          <cell r="AC935">
            <v>1320000</v>
          </cell>
          <cell r="AD935">
            <v>1320000</v>
          </cell>
          <cell r="AE935">
            <v>0</v>
          </cell>
          <cell r="AF935">
            <v>1320000</v>
          </cell>
          <cell r="AG935" t="str">
            <v>ENGR. MICHAEL C. SALARDA
MS. LEONARDA M. LATOR
MS. CARMENCITA VALDEZ
MS. SORAYA P. VERGARA</v>
          </cell>
          <cell r="AH935" t="str">
            <v>N/A</v>
          </cell>
          <cell r="AI935">
            <v>45450</v>
          </cell>
          <cell r="AJ935">
            <v>45450</v>
          </cell>
          <cell r="AK935">
            <v>45450</v>
          </cell>
          <cell r="AL935" t="str">
            <v>N/A</v>
          </cell>
          <cell r="AM935" t="str">
            <v>N/A</v>
          </cell>
          <cell r="AN935">
            <v>0</v>
          </cell>
          <cell r="AO935">
            <v>0</v>
          </cell>
        </row>
        <row r="936">
          <cell r="A936" t="str">
            <v>24-2586</v>
          </cell>
          <cell r="B936" t="str">
            <v>INSTALLATION OF TRANSFORMER FOR THE IMPROVEMENT OF BAHAY PANGARAP FACILITY</v>
          </cell>
          <cell r="C936" t="str">
            <v>PEO</v>
          </cell>
          <cell r="D936" t="str">
            <v>No</v>
          </cell>
          <cell r="E936" t="str">
            <v>Competitive Bidding</v>
          </cell>
          <cell r="F936">
            <v>45440</v>
          </cell>
          <cell r="G936">
            <v>45446</v>
          </cell>
          <cell r="H936">
            <v>0</v>
          </cell>
          <cell r="I936" t="str">
            <v>N/A</v>
          </cell>
          <cell r="J936">
            <v>45454</v>
          </cell>
          <cell r="K936">
            <v>45454</v>
          </cell>
          <cell r="L936">
            <v>0</v>
          </cell>
          <cell r="M936">
            <v>45454</v>
          </cell>
          <cell r="N936">
            <v>45462</v>
          </cell>
          <cell r="O936">
            <v>45469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 t="e">
            <v>#N/A</v>
          </cell>
          <cell r="Y936">
            <v>0</v>
          </cell>
          <cell r="Z936">
            <v>0</v>
          </cell>
          <cell r="AA936">
            <v>270858</v>
          </cell>
          <cell r="AB936">
            <v>0</v>
          </cell>
          <cell r="AC936">
            <v>270858</v>
          </cell>
          <cell r="AD936">
            <v>230000</v>
          </cell>
          <cell r="AE936">
            <v>0</v>
          </cell>
          <cell r="AF936">
            <v>230000</v>
          </cell>
          <cell r="AG936" t="str">
            <v>ENGR. MICHAEL C. SALARDA
MS. LEONARDA M. LATOR
MS. CARMENCITA VALDEZ
MS. SORAYA P. VERGARA</v>
          </cell>
          <cell r="AH936" t="str">
            <v>N/A</v>
          </cell>
          <cell r="AI936">
            <v>45450</v>
          </cell>
          <cell r="AJ936">
            <v>45450</v>
          </cell>
          <cell r="AK936">
            <v>45450</v>
          </cell>
          <cell r="AL936" t="str">
            <v>N/A</v>
          </cell>
          <cell r="AM936" t="str">
            <v>N/A</v>
          </cell>
          <cell r="AN936">
            <v>0</v>
          </cell>
          <cell r="AO936">
            <v>0</v>
          </cell>
        </row>
        <row r="937">
          <cell r="A937" t="str">
            <v>24-2560</v>
          </cell>
          <cell r="B937" t="str">
            <v>INSTALLATION OF GAS</v>
          </cell>
          <cell r="C937" t="str">
            <v>PGSO</v>
          </cell>
          <cell r="D937" t="str">
            <v>No</v>
          </cell>
          <cell r="E937" t="str">
            <v>Competitive Bidding</v>
          </cell>
          <cell r="F937">
            <v>45440</v>
          </cell>
          <cell r="G937">
            <v>45446</v>
          </cell>
          <cell r="H937">
            <v>0</v>
          </cell>
          <cell r="I937" t="str">
            <v>N/A</v>
          </cell>
          <cell r="J937">
            <v>45454</v>
          </cell>
          <cell r="K937">
            <v>45454</v>
          </cell>
          <cell r="L937">
            <v>0</v>
          </cell>
          <cell r="M937">
            <v>45454</v>
          </cell>
          <cell r="N937">
            <v>45462</v>
          </cell>
          <cell r="O937">
            <v>45469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 t="e">
            <v>#N/A</v>
          </cell>
          <cell r="Y937">
            <v>0</v>
          </cell>
          <cell r="Z937">
            <v>0</v>
          </cell>
          <cell r="AA937">
            <v>532396.25</v>
          </cell>
          <cell r="AB937">
            <v>0</v>
          </cell>
          <cell r="AC937">
            <v>532396.25</v>
          </cell>
          <cell r="AD937">
            <v>520100</v>
          </cell>
          <cell r="AE937">
            <v>0</v>
          </cell>
          <cell r="AF937">
            <v>520100</v>
          </cell>
          <cell r="AG937" t="str">
            <v>ENGR. MICHAEL C. SALARDA
MS. LEONARDA M. LATOR
MS. CARMENCITA VALDEZ
MS. SORAYA P. VERGARA</v>
          </cell>
          <cell r="AH937" t="str">
            <v>N/A</v>
          </cell>
          <cell r="AI937">
            <v>45450</v>
          </cell>
          <cell r="AJ937">
            <v>45450</v>
          </cell>
          <cell r="AK937">
            <v>45450</v>
          </cell>
          <cell r="AL937" t="str">
            <v>N/A</v>
          </cell>
          <cell r="AM937" t="str">
            <v>N/A</v>
          </cell>
          <cell r="AN937">
            <v>0</v>
          </cell>
          <cell r="AO937">
            <v>0</v>
          </cell>
        </row>
        <row r="938">
          <cell r="A938" t="str">
            <v>24-C1272</v>
          </cell>
          <cell r="B938" t="str">
            <v>CONSTRUCTION MATERIALS</v>
          </cell>
          <cell r="C938" t="str">
            <v>PEO</v>
          </cell>
          <cell r="D938" t="str">
            <v>No</v>
          </cell>
          <cell r="E938" t="str">
            <v>Competitive Bidding</v>
          </cell>
          <cell r="F938" t="str">
            <v>N/A</v>
          </cell>
          <cell r="G938">
            <v>45411</v>
          </cell>
          <cell r="H938">
            <v>0</v>
          </cell>
          <cell r="I938">
            <v>45421</v>
          </cell>
          <cell r="J938">
            <v>45440</v>
          </cell>
          <cell r="K938">
            <v>45440</v>
          </cell>
          <cell r="L938">
            <v>0</v>
          </cell>
          <cell r="M938">
            <v>45440</v>
          </cell>
          <cell r="N938">
            <v>45457</v>
          </cell>
          <cell r="O938">
            <v>45469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1195435</v>
          </cell>
          <cell r="AB938">
            <v>0</v>
          </cell>
          <cell r="AC938">
            <v>1195435</v>
          </cell>
          <cell r="AD938">
            <v>675931</v>
          </cell>
          <cell r="AE938">
            <v>0</v>
          </cell>
          <cell r="AF938">
            <v>675931</v>
          </cell>
          <cell r="AG938" t="str">
            <v>ENGR. MICHAEL C. SALARDA
MS. LEONARDA M. LATOR
MS. CARMENCITA VALDEZ
MS. SORAYA P. VERGARA</v>
          </cell>
          <cell r="AH938">
            <v>45419</v>
          </cell>
          <cell r="AI938">
            <v>45439</v>
          </cell>
          <cell r="AJ938">
            <v>45439</v>
          </cell>
          <cell r="AK938">
            <v>45439</v>
          </cell>
          <cell r="AL938" t="str">
            <v>N/A</v>
          </cell>
          <cell r="AM938" t="str">
            <v>N/A</v>
          </cell>
          <cell r="AN938">
            <v>0</v>
          </cell>
          <cell r="AO938">
            <v>0</v>
          </cell>
        </row>
        <row r="939">
          <cell r="A939" t="str">
            <v>24-2407</v>
          </cell>
          <cell r="B939" t="str">
            <v>CONSTRUCTION MATERIALS</v>
          </cell>
          <cell r="C939" t="str">
            <v>PEO</v>
          </cell>
          <cell r="D939" t="str">
            <v>No</v>
          </cell>
          <cell r="E939" t="str">
            <v>Competitive Bidding</v>
          </cell>
          <cell r="F939">
            <v>45421</v>
          </cell>
          <cell r="G939">
            <v>45425</v>
          </cell>
          <cell r="H939">
            <v>0</v>
          </cell>
          <cell r="I939" t="str">
            <v>N/A</v>
          </cell>
          <cell r="J939">
            <v>45440</v>
          </cell>
          <cell r="K939">
            <v>45440</v>
          </cell>
          <cell r="L939">
            <v>0</v>
          </cell>
          <cell r="M939">
            <v>45440</v>
          </cell>
          <cell r="N939">
            <v>45457</v>
          </cell>
          <cell r="O939">
            <v>45469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 t="e">
            <v>#N/A</v>
          </cell>
          <cell r="Y939">
            <v>0</v>
          </cell>
          <cell r="Z939">
            <v>0</v>
          </cell>
          <cell r="AA939">
            <v>757981.85</v>
          </cell>
          <cell r="AB939">
            <v>0</v>
          </cell>
          <cell r="AC939">
            <v>757981.85</v>
          </cell>
          <cell r="AD939">
            <v>756182</v>
          </cell>
          <cell r="AE939">
            <v>0</v>
          </cell>
          <cell r="AF939">
            <v>756182</v>
          </cell>
          <cell r="AG939" t="str">
            <v>ENGR. MICHAEL C. SALARDA
MS. LEONARDA M. LATOR
MS. CARMENCITA VALDEZ
MS. SORAYA P. VERGARA</v>
          </cell>
          <cell r="AH939" t="str">
            <v>N/A</v>
          </cell>
          <cell r="AI939">
            <v>45439</v>
          </cell>
          <cell r="AJ939">
            <v>45439</v>
          </cell>
          <cell r="AK939">
            <v>45439</v>
          </cell>
          <cell r="AL939" t="str">
            <v>N/A</v>
          </cell>
          <cell r="AM939" t="str">
            <v>N/A</v>
          </cell>
          <cell r="AN939">
            <v>0</v>
          </cell>
          <cell r="AO939">
            <v>0</v>
          </cell>
        </row>
        <row r="940">
          <cell r="A940" t="str">
            <v>24-2549</v>
          </cell>
          <cell r="B940" t="str">
            <v>CONSTRUCTION MATERIALS</v>
          </cell>
          <cell r="C940" t="str">
            <v>PEO</v>
          </cell>
          <cell r="D940" t="str">
            <v>No</v>
          </cell>
          <cell r="E940" t="str">
            <v>Competitive Bidding</v>
          </cell>
          <cell r="F940" t="str">
            <v>N/A</v>
          </cell>
          <cell r="G940">
            <v>45432</v>
          </cell>
          <cell r="H940">
            <v>0</v>
          </cell>
          <cell r="I940" t="str">
            <v>N/A</v>
          </cell>
          <cell r="J940">
            <v>45440</v>
          </cell>
          <cell r="K940">
            <v>45440</v>
          </cell>
          <cell r="L940">
            <v>0</v>
          </cell>
          <cell r="M940">
            <v>45440</v>
          </cell>
          <cell r="N940">
            <v>45457</v>
          </cell>
          <cell r="O940">
            <v>45469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 t="e">
            <v>#N/A</v>
          </cell>
          <cell r="Y940">
            <v>0</v>
          </cell>
          <cell r="Z940">
            <v>0</v>
          </cell>
          <cell r="AA940">
            <v>370815</v>
          </cell>
          <cell r="AB940">
            <v>0</v>
          </cell>
          <cell r="AC940">
            <v>370815</v>
          </cell>
          <cell r="AD940">
            <v>370768</v>
          </cell>
          <cell r="AE940">
            <v>0</v>
          </cell>
          <cell r="AF940">
            <v>370768</v>
          </cell>
          <cell r="AG940" t="str">
            <v>ENGR. MICHAEL C. SALARDA
MS. LEONARDA M. LATOR
MS. CARMENCITA VALDEZ
MS. SORAYA P. VERGARA</v>
          </cell>
          <cell r="AH940" t="str">
            <v>N/A</v>
          </cell>
          <cell r="AI940">
            <v>45439</v>
          </cell>
          <cell r="AJ940">
            <v>45439</v>
          </cell>
          <cell r="AK940">
            <v>45439</v>
          </cell>
          <cell r="AL940" t="str">
            <v>N/A</v>
          </cell>
          <cell r="AM940" t="str">
            <v>N/A</v>
          </cell>
          <cell r="AN940">
            <v>0</v>
          </cell>
          <cell r="AO940">
            <v>0</v>
          </cell>
        </row>
        <row r="941">
          <cell r="A941" t="str">
            <v>24-2512</v>
          </cell>
          <cell r="B941" t="str">
            <v>CONSTRUCTION SUPPLIES</v>
          </cell>
          <cell r="C941" t="str">
            <v>PEO</v>
          </cell>
          <cell r="D941" t="str">
            <v>No</v>
          </cell>
          <cell r="E941" t="str">
            <v>Competitive Bidding</v>
          </cell>
          <cell r="F941">
            <v>45440</v>
          </cell>
          <cell r="G941">
            <v>45446</v>
          </cell>
          <cell r="H941">
            <v>0</v>
          </cell>
          <cell r="I941" t="str">
            <v>N/A</v>
          </cell>
          <cell r="J941">
            <v>45440</v>
          </cell>
          <cell r="K941">
            <v>45440</v>
          </cell>
          <cell r="L941">
            <v>0</v>
          </cell>
          <cell r="M941">
            <v>45440</v>
          </cell>
          <cell r="N941">
            <v>45457</v>
          </cell>
          <cell r="O941">
            <v>45469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 t="e">
            <v>#N/A</v>
          </cell>
          <cell r="Y941">
            <v>0</v>
          </cell>
          <cell r="Z941">
            <v>0</v>
          </cell>
          <cell r="AA941">
            <v>262375.71999999997</v>
          </cell>
          <cell r="AB941">
            <v>0</v>
          </cell>
          <cell r="AC941">
            <v>262375.71999999997</v>
          </cell>
          <cell r="AD941">
            <v>231022.5</v>
          </cell>
          <cell r="AE941">
            <v>0</v>
          </cell>
          <cell r="AF941">
            <v>231022.5</v>
          </cell>
          <cell r="AG941" t="str">
            <v>ENGR. MICHAEL C. SALARDA
MS. LEONARDA M. LATOR
MS. CARMENCITA VALDEZ
MS. SORAYA P. VERGARA</v>
          </cell>
          <cell r="AH941" t="str">
            <v>N/A</v>
          </cell>
          <cell r="AI941">
            <v>45439</v>
          </cell>
          <cell r="AJ941">
            <v>45439</v>
          </cell>
          <cell r="AK941">
            <v>45439</v>
          </cell>
          <cell r="AL941" t="str">
            <v>N/A</v>
          </cell>
          <cell r="AM941" t="str">
            <v>N/A</v>
          </cell>
          <cell r="AN941">
            <v>0</v>
          </cell>
          <cell r="AO941">
            <v>0</v>
          </cell>
        </row>
        <row r="942">
          <cell r="A942" t="str">
            <v>24-2847</v>
          </cell>
          <cell r="B942" t="str">
            <v>CONSTRUCTION SUPPLIES</v>
          </cell>
          <cell r="C942" t="str">
            <v>PEO</v>
          </cell>
          <cell r="D942" t="str">
            <v>No</v>
          </cell>
          <cell r="E942" t="str">
            <v>Competitive Bidding</v>
          </cell>
          <cell r="F942">
            <v>45440</v>
          </cell>
          <cell r="G942">
            <v>45446</v>
          </cell>
          <cell r="H942">
            <v>0</v>
          </cell>
          <cell r="I942" t="str">
            <v>N/A</v>
          </cell>
          <cell r="J942">
            <v>45454</v>
          </cell>
          <cell r="K942">
            <v>45454</v>
          </cell>
          <cell r="L942">
            <v>45454</v>
          </cell>
          <cell r="M942">
            <v>45454</v>
          </cell>
          <cell r="N942">
            <v>45457</v>
          </cell>
          <cell r="O942">
            <v>45469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 t="e">
            <v>#N/A</v>
          </cell>
          <cell r="Y942">
            <v>0</v>
          </cell>
          <cell r="Z942">
            <v>0</v>
          </cell>
          <cell r="AA942">
            <v>631681</v>
          </cell>
          <cell r="AB942">
            <v>0</v>
          </cell>
          <cell r="AC942">
            <v>631681</v>
          </cell>
          <cell r="AD942">
            <v>539934</v>
          </cell>
          <cell r="AE942">
            <v>0</v>
          </cell>
          <cell r="AF942">
            <v>539934</v>
          </cell>
          <cell r="AG942" t="str">
            <v>ENGR. MICHAEL C. SALARDA
MS. LEONARDA M. LATOR
MS. CARMENCITA VALDEZ
MS. SORAYA P. VERGARA</v>
          </cell>
          <cell r="AH942" t="str">
            <v>N/A</v>
          </cell>
          <cell r="AI942">
            <v>45450</v>
          </cell>
          <cell r="AJ942">
            <v>45450</v>
          </cell>
          <cell r="AK942">
            <v>45450</v>
          </cell>
          <cell r="AL942" t="str">
            <v>N/A</v>
          </cell>
          <cell r="AM942" t="str">
            <v>N/A</v>
          </cell>
          <cell r="AN942">
            <v>0</v>
          </cell>
          <cell r="AO942">
            <v>0</v>
          </cell>
        </row>
        <row r="943">
          <cell r="A943" t="str">
            <v>24-2989</v>
          </cell>
          <cell r="B943" t="str">
            <v>CONSTRUCTION SUPPLIES</v>
          </cell>
          <cell r="C943" t="str">
            <v>PEO</v>
          </cell>
          <cell r="D943" t="str">
            <v>No</v>
          </cell>
          <cell r="E943" t="str">
            <v>Competitive Bidding</v>
          </cell>
          <cell r="F943">
            <v>45440</v>
          </cell>
          <cell r="G943">
            <v>45446</v>
          </cell>
          <cell r="H943">
            <v>0</v>
          </cell>
          <cell r="I943" t="str">
            <v>N/A</v>
          </cell>
          <cell r="J943">
            <v>45454</v>
          </cell>
          <cell r="K943">
            <v>45454</v>
          </cell>
          <cell r="L943">
            <v>45454</v>
          </cell>
          <cell r="M943">
            <v>45454</v>
          </cell>
          <cell r="N943">
            <v>45457</v>
          </cell>
          <cell r="O943">
            <v>45469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 t="e">
            <v>#N/A</v>
          </cell>
          <cell r="Y943">
            <v>0</v>
          </cell>
          <cell r="Z943">
            <v>0</v>
          </cell>
          <cell r="AA943">
            <v>317776</v>
          </cell>
          <cell r="AB943">
            <v>0</v>
          </cell>
          <cell r="AC943">
            <v>317776</v>
          </cell>
          <cell r="AD943">
            <v>257378</v>
          </cell>
          <cell r="AE943">
            <v>0</v>
          </cell>
          <cell r="AF943">
            <v>257378</v>
          </cell>
          <cell r="AG943" t="str">
            <v>ENGR. MICHAEL C. SALARDA
MS. LEONARDA M. LATOR
MS. CARMENCITA VALDEZ
MS. SORAYA P. VERGARA</v>
          </cell>
          <cell r="AH943" t="str">
            <v>N/A</v>
          </cell>
          <cell r="AI943">
            <v>45450</v>
          </cell>
          <cell r="AJ943">
            <v>45450</v>
          </cell>
          <cell r="AK943">
            <v>45450</v>
          </cell>
          <cell r="AL943" t="str">
            <v>N/A</v>
          </cell>
          <cell r="AM943" t="str">
            <v>N/A</v>
          </cell>
          <cell r="AN943">
            <v>0</v>
          </cell>
          <cell r="AO943">
            <v>0</v>
          </cell>
        </row>
        <row r="944">
          <cell r="A944" t="str">
            <v>24-2493</v>
          </cell>
          <cell r="B944" t="str">
            <v>CONSTRUCTION SUPPLIES</v>
          </cell>
          <cell r="C944" t="str">
            <v>PEO</v>
          </cell>
          <cell r="D944" t="str">
            <v>No</v>
          </cell>
          <cell r="E944" t="str">
            <v>Competitive Bidding</v>
          </cell>
          <cell r="F944">
            <v>45440</v>
          </cell>
          <cell r="G944">
            <v>45446</v>
          </cell>
          <cell r="H944">
            <v>0</v>
          </cell>
          <cell r="I944" t="str">
            <v>N/A</v>
          </cell>
          <cell r="J944">
            <v>45454</v>
          </cell>
          <cell r="K944">
            <v>45454</v>
          </cell>
          <cell r="L944">
            <v>45454</v>
          </cell>
          <cell r="M944">
            <v>45454</v>
          </cell>
          <cell r="N944">
            <v>45457</v>
          </cell>
          <cell r="O944">
            <v>45469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 t="e">
            <v>#N/A</v>
          </cell>
          <cell r="Y944">
            <v>0</v>
          </cell>
          <cell r="Z944">
            <v>0</v>
          </cell>
          <cell r="AA944">
            <v>275019.82</v>
          </cell>
          <cell r="AB944">
            <v>0</v>
          </cell>
          <cell r="AC944">
            <v>275019.82</v>
          </cell>
          <cell r="AD944">
            <v>259141</v>
          </cell>
          <cell r="AE944">
            <v>0</v>
          </cell>
          <cell r="AF944">
            <v>259141</v>
          </cell>
          <cell r="AG944" t="str">
            <v>ENGR. MICHAEL C. SALARDA
MS. LEONARDA M. LATOR
MS. CARMENCITA VALDEZ
MS. SORAYA P. VERGARA</v>
          </cell>
          <cell r="AH944" t="str">
            <v>N/A</v>
          </cell>
          <cell r="AI944">
            <v>45450</v>
          </cell>
          <cell r="AJ944">
            <v>45450</v>
          </cell>
          <cell r="AK944">
            <v>45450</v>
          </cell>
          <cell r="AL944" t="str">
            <v>N/A</v>
          </cell>
          <cell r="AM944" t="str">
            <v>N/A</v>
          </cell>
          <cell r="AN944">
            <v>0</v>
          </cell>
          <cell r="AO944">
            <v>0</v>
          </cell>
        </row>
        <row r="945">
          <cell r="A945" t="str">
            <v>24-3017</v>
          </cell>
          <cell r="B945" t="str">
            <v>CONSTRUCTION SUPPLIES</v>
          </cell>
          <cell r="C945" t="str">
            <v>PEO</v>
          </cell>
          <cell r="D945" t="str">
            <v>No</v>
          </cell>
          <cell r="E945" t="str">
            <v>Competitive Bidding</v>
          </cell>
          <cell r="F945">
            <v>45440</v>
          </cell>
          <cell r="G945">
            <v>45446</v>
          </cell>
          <cell r="H945">
            <v>0</v>
          </cell>
          <cell r="I945" t="str">
            <v>N/A</v>
          </cell>
          <cell r="J945">
            <v>45454</v>
          </cell>
          <cell r="K945">
            <v>45454</v>
          </cell>
          <cell r="L945">
            <v>45454</v>
          </cell>
          <cell r="M945">
            <v>45454</v>
          </cell>
          <cell r="N945">
            <v>45457</v>
          </cell>
          <cell r="O945">
            <v>45469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 t="e">
            <v>#N/A</v>
          </cell>
          <cell r="Y945">
            <v>0</v>
          </cell>
          <cell r="Z945">
            <v>0</v>
          </cell>
          <cell r="AA945">
            <v>675042</v>
          </cell>
          <cell r="AB945">
            <v>0</v>
          </cell>
          <cell r="AC945">
            <v>675042</v>
          </cell>
          <cell r="AD945">
            <v>574974</v>
          </cell>
          <cell r="AE945">
            <v>0</v>
          </cell>
          <cell r="AF945">
            <v>574974</v>
          </cell>
          <cell r="AG945" t="str">
            <v>ENGR. MICHAEL C. SALARDA
MS. LEONARDA M. LATOR
MS. CARMENCITA VALDEZ
MS. SORAYA P. VERGARA</v>
          </cell>
          <cell r="AH945" t="str">
            <v>N/A</v>
          </cell>
          <cell r="AI945">
            <v>45450</v>
          </cell>
          <cell r="AJ945">
            <v>45450</v>
          </cell>
          <cell r="AK945">
            <v>45450</v>
          </cell>
          <cell r="AL945" t="str">
            <v>N/A</v>
          </cell>
          <cell r="AM945" t="str">
            <v>N/A</v>
          </cell>
          <cell r="AN945">
            <v>0</v>
          </cell>
          <cell r="AO945">
            <v>0</v>
          </cell>
        </row>
        <row r="946">
          <cell r="A946" t="str">
            <v>24-2396</v>
          </cell>
          <cell r="B946" t="str">
            <v>COMPLETION OF GYM, STAGE, AGUINALDO NATIONAL LAAK, DAVAO DE ORO</v>
          </cell>
          <cell r="C946" t="str">
            <v>SEF</v>
          </cell>
          <cell r="D946" t="str">
            <v>No</v>
          </cell>
          <cell r="E946" t="str">
            <v>Competitive Bidding</v>
          </cell>
          <cell r="F946">
            <v>45407</v>
          </cell>
          <cell r="G946">
            <v>45432</v>
          </cell>
          <cell r="H946">
            <v>0</v>
          </cell>
          <cell r="I946">
            <v>45440</v>
          </cell>
          <cell r="J946">
            <v>45454</v>
          </cell>
          <cell r="K946">
            <v>45454</v>
          </cell>
          <cell r="L946">
            <v>45454</v>
          </cell>
          <cell r="M946">
            <v>45454</v>
          </cell>
          <cell r="N946">
            <v>45463</v>
          </cell>
          <cell r="O946">
            <v>45469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 t="e">
            <v>#N/A</v>
          </cell>
          <cell r="Y946">
            <v>0</v>
          </cell>
          <cell r="Z946">
            <v>0</v>
          </cell>
          <cell r="AA946">
            <v>1543162.09</v>
          </cell>
          <cell r="AB946">
            <v>0</v>
          </cell>
          <cell r="AC946">
            <v>1543162.09</v>
          </cell>
          <cell r="AD946">
            <v>1493354.44</v>
          </cell>
          <cell r="AE946">
            <v>0</v>
          </cell>
          <cell r="AF946">
            <v>1493354.44</v>
          </cell>
          <cell r="AG946" t="str">
            <v>ENGR. MICHAEL C. SALARDA
MS. LEONARDA M. LATOR
MS. CARMENCITA VALDEZ
MS. SORAYA P. VERGARA</v>
          </cell>
          <cell r="AH946">
            <v>45439</v>
          </cell>
          <cell r="AI946">
            <v>45450</v>
          </cell>
          <cell r="AJ946">
            <v>45450</v>
          </cell>
          <cell r="AK946">
            <v>45450</v>
          </cell>
          <cell r="AL946" t="str">
            <v>N/A</v>
          </cell>
          <cell r="AM946" t="str">
            <v>N/A</v>
          </cell>
          <cell r="AN946">
            <v>0</v>
          </cell>
          <cell r="AO946">
            <v>0</v>
          </cell>
        </row>
        <row r="947">
          <cell r="A947" t="str">
            <v>24-2518</v>
          </cell>
          <cell r="B947" t="str">
            <v>IMPROVEMENT OF DAVAO DE ORO PROVINCIAL HOSPITAL, MONTEVISTA</v>
          </cell>
          <cell r="C947" t="str">
            <v>PEO</v>
          </cell>
          <cell r="D947" t="str">
            <v>No</v>
          </cell>
          <cell r="E947" t="str">
            <v>Competitive Bidding</v>
          </cell>
          <cell r="F947">
            <v>45421</v>
          </cell>
          <cell r="G947">
            <v>45433</v>
          </cell>
          <cell r="H947">
            <v>0</v>
          </cell>
          <cell r="I947" t="str">
            <v>N/A</v>
          </cell>
          <cell r="J947">
            <v>45454</v>
          </cell>
          <cell r="K947">
            <v>45454</v>
          </cell>
          <cell r="L947">
            <v>45454</v>
          </cell>
          <cell r="M947">
            <v>45454</v>
          </cell>
          <cell r="N947">
            <v>45463</v>
          </cell>
          <cell r="O947">
            <v>45469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 t="e">
            <v>#N/A</v>
          </cell>
          <cell r="Y947">
            <v>0</v>
          </cell>
          <cell r="Z947">
            <v>0</v>
          </cell>
          <cell r="AA947">
            <v>272577.49</v>
          </cell>
          <cell r="AB947">
            <v>0</v>
          </cell>
          <cell r="AC947">
            <v>272577.49</v>
          </cell>
          <cell r="AD947">
            <v>270512.28999999998</v>
          </cell>
          <cell r="AE947">
            <v>0</v>
          </cell>
          <cell r="AF947">
            <v>270512.28999999998</v>
          </cell>
          <cell r="AG947" t="str">
            <v>ENGR. MICHAEL C. SALARDA
MS. LEONARDA M. LATOR
MS. CARMENCITA VALDEZ
MS. SORAYA P. VERGARA</v>
          </cell>
          <cell r="AH947" t="str">
            <v>N/A</v>
          </cell>
          <cell r="AI947">
            <v>45450</v>
          </cell>
          <cell r="AJ947">
            <v>45450</v>
          </cell>
          <cell r="AK947">
            <v>45450</v>
          </cell>
          <cell r="AL947" t="str">
            <v>N/A</v>
          </cell>
          <cell r="AM947" t="str">
            <v>N/A</v>
          </cell>
          <cell r="AN947">
            <v>0</v>
          </cell>
          <cell r="AO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S948">
            <v>0</v>
          </cell>
          <cell r="AA948">
            <v>0</v>
          </cell>
          <cell r="AC948">
            <v>0</v>
          </cell>
          <cell r="AD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</row>
        <row r="949">
          <cell r="A949" t="str">
            <v>ONGOING PROCUREMENT ACTIVITIES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 t="str">
            <v/>
          </cell>
          <cell r="I949">
            <v>0</v>
          </cell>
          <cell r="J949">
            <v>0</v>
          </cell>
          <cell r="K949">
            <v>0</v>
          </cell>
          <cell r="L949" t="str">
            <v/>
          </cell>
          <cell r="M949">
            <v>0</v>
          </cell>
          <cell r="N949">
            <v>0</v>
          </cell>
          <cell r="O949">
            <v>0</v>
          </cell>
          <cell r="P949" t="str">
            <v/>
          </cell>
          <cell r="Q949" t="str">
            <v/>
          </cell>
          <cell r="R949" t="str">
            <v/>
          </cell>
          <cell r="S949">
            <v>0</v>
          </cell>
          <cell r="T949">
            <v>0</v>
          </cell>
          <cell r="U949">
            <v>0</v>
          </cell>
          <cell r="V949" t="str">
            <v/>
          </cell>
          <cell r="W949" t="str">
            <v/>
          </cell>
          <cell r="X949">
            <v>0</v>
          </cell>
          <cell r="Y949">
            <v>0</v>
          </cell>
          <cell r="Z949">
            <v>0</v>
          </cell>
          <cell r="AA949" t="str">
            <v/>
          </cell>
          <cell r="AB949">
            <v>0</v>
          </cell>
          <cell r="AC949">
            <v>0</v>
          </cell>
          <cell r="AD949" t="str">
            <v/>
          </cell>
          <cell r="AE949">
            <v>0</v>
          </cell>
          <cell r="AF949">
            <v>0</v>
          </cell>
          <cell r="AG949" t="str">
            <v>-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</row>
        <row r="950">
          <cell r="A950" t="str">
            <v>23-0340</v>
          </cell>
          <cell r="B950" t="str">
            <v>CONSTRUCTION OF SCHOOL FACILITY BUILDING (SCIENCE LABORATORY) AT PANGI NATIONAL HIGH SCHOOL, PANGI, MACO, DAVAO DE ORO</v>
          </cell>
          <cell r="C950" t="str">
            <v>PEO</v>
          </cell>
          <cell r="D950" t="str">
            <v>No</v>
          </cell>
          <cell r="E950" t="str">
            <v>Competitive Bidding</v>
          </cell>
          <cell r="F950">
            <v>45342</v>
          </cell>
          <cell r="G950">
            <v>45453</v>
          </cell>
          <cell r="H950">
            <v>111</v>
          </cell>
          <cell r="I950">
            <v>45461</v>
          </cell>
          <cell r="J950">
            <v>0</v>
          </cell>
          <cell r="K950">
            <v>0</v>
          </cell>
          <cell r="L950" t="str">
            <v/>
          </cell>
          <cell r="M950">
            <v>0</v>
          </cell>
          <cell r="N950">
            <v>0</v>
          </cell>
          <cell r="O950">
            <v>0</v>
          </cell>
          <cell r="P950" t="str">
            <v/>
          </cell>
          <cell r="Q950" t="str">
            <v/>
          </cell>
          <cell r="R950" t="str">
            <v/>
          </cell>
          <cell r="S950">
            <v>0</v>
          </cell>
          <cell r="T950">
            <v>0</v>
          </cell>
          <cell r="U950">
            <v>0</v>
          </cell>
          <cell r="V950" t="str">
            <v/>
          </cell>
          <cell r="W950" t="str">
            <v/>
          </cell>
          <cell r="X950">
            <v>0</v>
          </cell>
          <cell r="Y950">
            <v>0</v>
          </cell>
          <cell r="Z950">
            <v>0</v>
          </cell>
          <cell r="AA950">
            <v>2808471.79</v>
          </cell>
          <cell r="AB950">
            <v>0</v>
          </cell>
          <cell r="AC950">
            <v>2808471.79</v>
          </cell>
          <cell r="AD950">
            <v>0</v>
          </cell>
          <cell r="AE950">
            <v>0</v>
          </cell>
          <cell r="AF950">
            <v>0</v>
          </cell>
          <cell r="AG950" t="str">
            <v>-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 t="str">
            <v>Ongoing Procurement Process</v>
          </cell>
        </row>
        <row r="951">
          <cell r="A951" t="str">
            <v>24-0864</v>
          </cell>
          <cell r="B951" t="str">
            <v>CONSTRUCTION OF ONE(1) STOREY-TWO-CLASSROOMS SCHOOL BUILDING WITH TOILET ATTACHED AT PANANGAN ES, MACO, DAVAO DE ORO</v>
          </cell>
          <cell r="C951" t="str">
            <v>SEF</v>
          </cell>
          <cell r="D951" t="str">
            <v>No</v>
          </cell>
          <cell r="E951" t="str">
            <v>Competitive Bidding</v>
          </cell>
          <cell r="F951">
            <v>45342</v>
          </cell>
          <cell r="G951">
            <v>45453</v>
          </cell>
          <cell r="H951">
            <v>111</v>
          </cell>
          <cell r="I951">
            <v>45461</v>
          </cell>
          <cell r="J951">
            <v>0</v>
          </cell>
          <cell r="K951">
            <v>0</v>
          </cell>
          <cell r="L951" t="str">
            <v/>
          </cell>
          <cell r="M951">
            <v>0</v>
          </cell>
          <cell r="N951">
            <v>0</v>
          </cell>
          <cell r="O951">
            <v>0</v>
          </cell>
          <cell r="P951" t="str">
            <v/>
          </cell>
          <cell r="Q951" t="str">
            <v/>
          </cell>
          <cell r="R951" t="str">
            <v/>
          </cell>
          <cell r="S951">
            <v>0</v>
          </cell>
          <cell r="T951">
            <v>0</v>
          </cell>
          <cell r="U951">
            <v>0</v>
          </cell>
          <cell r="V951" t="str">
            <v/>
          </cell>
          <cell r="W951" t="str">
            <v/>
          </cell>
          <cell r="X951">
            <v>0</v>
          </cell>
          <cell r="Y951">
            <v>0</v>
          </cell>
          <cell r="Z951">
            <v>0</v>
          </cell>
          <cell r="AA951">
            <v>3729122.78</v>
          </cell>
          <cell r="AB951">
            <v>0</v>
          </cell>
          <cell r="AC951">
            <v>3729122.78</v>
          </cell>
          <cell r="AD951">
            <v>0</v>
          </cell>
          <cell r="AE951">
            <v>0</v>
          </cell>
          <cell r="AF951">
            <v>0</v>
          </cell>
          <cell r="AG951" t="str">
            <v>-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</row>
        <row r="952">
          <cell r="A952" t="str">
            <v>24-0891</v>
          </cell>
          <cell r="B952" t="str">
            <v>CONSTRUCTION OF ONE (1) STOREY-TWO (2) CLASSROOMS SCHOOL BUILDING WITH TOILET ATTACHED AT MANURIGAO IS, NEW BATAAN, DAVAO DE ORO</v>
          </cell>
          <cell r="C952" t="str">
            <v>PEO</v>
          </cell>
          <cell r="D952" t="str">
            <v>No</v>
          </cell>
          <cell r="E952" t="str">
            <v>Competitive Bidding</v>
          </cell>
          <cell r="F952">
            <v>45342</v>
          </cell>
          <cell r="G952">
            <v>45439</v>
          </cell>
          <cell r="H952">
            <v>97</v>
          </cell>
          <cell r="I952">
            <v>45454</v>
          </cell>
          <cell r="J952">
            <v>45468</v>
          </cell>
          <cell r="K952">
            <v>45468</v>
          </cell>
          <cell r="L952">
            <v>29</v>
          </cell>
          <cell r="M952">
            <v>45468</v>
          </cell>
          <cell r="N952">
            <v>0</v>
          </cell>
          <cell r="O952">
            <v>0</v>
          </cell>
          <cell r="P952" t="str">
            <v/>
          </cell>
          <cell r="Q952" t="str">
            <v/>
          </cell>
          <cell r="R952" t="str">
            <v/>
          </cell>
          <cell r="S952">
            <v>0</v>
          </cell>
          <cell r="T952">
            <v>0</v>
          </cell>
          <cell r="U952">
            <v>0</v>
          </cell>
          <cell r="V952" t="str">
            <v/>
          </cell>
          <cell r="W952" t="str">
            <v/>
          </cell>
          <cell r="X952">
            <v>0</v>
          </cell>
          <cell r="Y952">
            <v>0</v>
          </cell>
          <cell r="Z952">
            <v>0</v>
          </cell>
          <cell r="AA952">
            <v>3864022.63</v>
          </cell>
          <cell r="AB952">
            <v>0</v>
          </cell>
          <cell r="AC952">
            <v>3864022.63</v>
          </cell>
          <cell r="AD952">
            <v>0</v>
          </cell>
          <cell r="AE952">
            <v>0</v>
          </cell>
          <cell r="AF952">
            <v>0</v>
          </cell>
          <cell r="AG952" t="str">
            <v>-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</row>
        <row r="953">
          <cell r="A953" t="str">
            <v>24-0886</v>
          </cell>
          <cell r="B953" t="str">
            <v>CONSTRUCTION OF ONE (1) STOREY-TWO (2) CLASSROOMS SCHOOL BUILDING WITH TOILET ATTACHED AT PANGI NHS, MACO, DAVAO DE ORO</v>
          </cell>
          <cell r="C953" t="str">
            <v>SEF</v>
          </cell>
          <cell r="D953" t="str">
            <v>No</v>
          </cell>
          <cell r="E953" t="str">
            <v>Competitive Bidding</v>
          </cell>
          <cell r="F953">
            <v>45342</v>
          </cell>
          <cell r="G953">
            <v>45439</v>
          </cell>
          <cell r="H953">
            <v>97</v>
          </cell>
          <cell r="I953">
            <v>45454</v>
          </cell>
          <cell r="J953">
            <v>45468</v>
          </cell>
          <cell r="K953">
            <v>45468</v>
          </cell>
          <cell r="L953">
            <v>29</v>
          </cell>
          <cell r="M953">
            <v>45468</v>
          </cell>
          <cell r="N953">
            <v>0</v>
          </cell>
          <cell r="O953">
            <v>0</v>
          </cell>
          <cell r="P953" t="str">
            <v/>
          </cell>
          <cell r="Q953" t="str">
            <v/>
          </cell>
          <cell r="R953" t="str">
            <v/>
          </cell>
          <cell r="S953">
            <v>0</v>
          </cell>
          <cell r="T953">
            <v>0</v>
          </cell>
          <cell r="U953">
            <v>0</v>
          </cell>
          <cell r="V953" t="str">
            <v/>
          </cell>
          <cell r="W953" t="str">
            <v/>
          </cell>
          <cell r="X953">
            <v>0</v>
          </cell>
          <cell r="Y953">
            <v>0</v>
          </cell>
          <cell r="Z953">
            <v>0</v>
          </cell>
          <cell r="AA953">
            <v>3293744.24</v>
          </cell>
          <cell r="AB953">
            <v>0</v>
          </cell>
          <cell r="AC953">
            <v>3293744.24</v>
          </cell>
          <cell r="AD953">
            <v>0</v>
          </cell>
          <cell r="AE953">
            <v>0</v>
          </cell>
          <cell r="AF953">
            <v>0</v>
          </cell>
          <cell r="AG953" t="str">
            <v>-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</row>
        <row r="954">
          <cell r="A954" t="str">
            <v>24-0339</v>
          </cell>
          <cell r="B954" t="str">
            <v>CONSTRUCTION OF CENTER ISLAND WITH SOLAR LIGHTS AT MAWAB, DAVAO DE ORO</v>
          </cell>
          <cell r="C954" t="str">
            <v>PEO</v>
          </cell>
          <cell r="D954" t="str">
            <v>No</v>
          </cell>
          <cell r="E954" t="str">
            <v>Competitive Bidding</v>
          </cell>
          <cell r="F954">
            <v>45440</v>
          </cell>
          <cell r="G954">
            <v>0</v>
          </cell>
          <cell r="H954" t="str">
            <v/>
          </cell>
          <cell r="I954">
            <v>0</v>
          </cell>
          <cell r="J954">
            <v>0</v>
          </cell>
          <cell r="K954">
            <v>0</v>
          </cell>
          <cell r="L954" t="str">
            <v/>
          </cell>
          <cell r="M954">
            <v>0</v>
          </cell>
          <cell r="N954">
            <v>0</v>
          </cell>
          <cell r="O954">
            <v>0</v>
          </cell>
          <cell r="P954" t="str">
            <v/>
          </cell>
          <cell r="Q954" t="str">
            <v/>
          </cell>
          <cell r="R954" t="str">
            <v/>
          </cell>
          <cell r="S954">
            <v>0</v>
          </cell>
          <cell r="T954">
            <v>0</v>
          </cell>
          <cell r="U954">
            <v>0</v>
          </cell>
          <cell r="V954" t="str">
            <v/>
          </cell>
          <cell r="W954" t="str">
            <v/>
          </cell>
          <cell r="X954">
            <v>0</v>
          </cell>
          <cell r="Y954">
            <v>0</v>
          </cell>
          <cell r="Z954">
            <v>0</v>
          </cell>
          <cell r="AA954">
            <v>2872872.67</v>
          </cell>
          <cell r="AB954">
            <v>0</v>
          </cell>
          <cell r="AC954">
            <v>2872872.67</v>
          </cell>
          <cell r="AD954">
            <v>0</v>
          </cell>
          <cell r="AE954">
            <v>0</v>
          </cell>
          <cell r="AF954">
            <v>0</v>
          </cell>
          <cell r="AG954" t="str">
            <v>-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</row>
        <row r="955">
          <cell r="A955" t="str">
            <v>24-2386</v>
          </cell>
          <cell r="B955" t="str">
            <v>CONSTRUCTION OF MULTI-PURPOSE HALL , CORAZON ES , BRGY. OSMENA , COMPOSTELA , DAVAO DE ORO</v>
          </cell>
          <cell r="C955" t="str">
            <v>SEF</v>
          </cell>
          <cell r="D955" t="str">
            <v>No</v>
          </cell>
          <cell r="E955" t="str">
            <v>Competitive Bidding</v>
          </cell>
          <cell r="F955">
            <v>45407</v>
          </cell>
          <cell r="G955">
            <v>45439</v>
          </cell>
          <cell r="H955">
            <v>0</v>
          </cell>
          <cell r="I955">
            <v>45454</v>
          </cell>
          <cell r="J955">
            <v>45468</v>
          </cell>
          <cell r="K955">
            <v>45468</v>
          </cell>
          <cell r="L955">
            <v>0</v>
          </cell>
          <cell r="M955">
            <v>45468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6096583.2800000003</v>
          </cell>
          <cell r="AB955">
            <v>0</v>
          </cell>
          <cell r="AC955">
            <v>6096583.2800000003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</row>
        <row r="956">
          <cell r="A956" t="str">
            <v>24-2537</v>
          </cell>
          <cell r="B956" t="str">
            <v>CONSTRUCTION OF DOUBLE BARREL  BOX CULVERT CULVERT AT BRGY.
DUMLAN MACO (KKMP), DAVAO DE ORO</v>
          </cell>
          <cell r="C956" t="str">
            <v>PDRRMO</v>
          </cell>
          <cell r="D956" t="str">
            <v>No</v>
          </cell>
          <cell r="E956" t="str">
            <v>Competitive Bidding</v>
          </cell>
          <cell r="F956">
            <v>45421</v>
          </cell>
          <cell r="G956">
            <v>45453</v>
          </cell>
          <cell r="H956">
            <v>0</v>
          </cell>
          <cell r="I956">
            <v>45461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4900246.12</v>
          </cell>
          <cell r="AB956">
            <v>0</v>
          </cell>
          <cell r="AC956">
            <v>4900246.12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</row>
        <row r="957">
          <cell r="A957" t="str">
            <v>24-1333</v>
          </cell>
          <cell r="B957" t="str">
            <v>CONSTRUCTION OF ONE (1) STOREY-TWO (2) CLASSROOMS SCHOOL BUILDING WITH TOILET ATTACHED AT BIASONG ES, PANTUKAN</v>
          </cell>
          <cell r="C957" t="str">
            <v>SEF</v>
          </cell>
          <cell r="D957" t="str">
            <v>No</v>
          </cell>
          <cell r="E957" t="str">
            <v>Competitive Bidding</v>
          </cell>
          <cell r="F957">
            <v>45440</v>
          </cell>
          <cell r="G957">
            <v>45453</v>
          </cell>
          <cell r="H957">
            <v>0</v>
          </cell>
          <cell r="I957">
            <v>45461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3974858.79</v>
          </cell>
          <cell r="AB957">
            <v>0</v>
          </cell>
          <cell r="AC957">
            <v>3974858.79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</row>
        <row r="958">
          <cell r="A958" t="str">
            <v>24-2561</v>
          </cell>
          <cell r="B958" t="str">
            <v>CONSTRUCTION OF BLEACHERS AND STAGE, BRGY. SAOSAO, MAWAB, DAVAO DE ORO (CONSTRUCTION OF 42 IN.M. BLEACHERS)</v>
          </cell>
          <cell r="C958" t="str">
            <v>PEO</v>
          </cell>
          <cell r="D958" t="str">
            <v>No</v>
          </cell>
          <cell r="E958" t="str">
            <v>Competitive Bidding</v>
          </cell>
          <cell r="F958">
            <v>45440</v>
          </cell>
          <cell r="G958">
            <v>45453</v>
          </cell>
          <cell r="H958">
            <v>0</v>
          </cell>
          <cell r="I958">
            <v>45461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2357503.25</v>
          </cell>
          <cell r="AB958">
            <v>0</v>
          </cell>
          <cell r="AC958">
            <v>2357503.25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</row>
        <row r="959">
          <cell r="A959" t="str">
            <v>24-2708</v>
          </cell>
          <cell r="B959" t="str">
            <v>CONSTRUCTION OF BLEACHERS AND STAGE, BRGY. KIDAWA, LAAK, DAVAO DE ORO (CONSTRUCTION OF 1 BAY COVERED COURT WITH STAGE AND 1 BAY BLEACHERS)</v>
          </cell>
          <cell r="C959" t="str">
            <v>PEO</v>
          </cell>
          <cell r="D959" t="str">
            <v>No</v>
          </cell>
          <cell r="E959" t="str">
            <v>Competitive Bidding</v>
          </cell>
          <cell r="F959">
            <v>45440</v>
          </cell>
          <cell r="G959">
            <v>45453</v>
          </cell>
          <cell r="H959">
            <v>0</v>
          </cell>
          <cell r="I959">
            <v>45461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2411434.42</v>
          </cell>
          <cell r="AB959">
            <v>0</v>
          </cell>
          <cell r="AC959">
            <v>2411434.42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</row>
        <row r="960">
          <cell r="A960" t="str">
            <v>24-3002</v>
          </cell>
          <cell r="B960" t="str">
            <v>CONSTRUCTION OF BLEACHER AND CR, ANDILI ELEMENTARY SCHOOL GYM, MAWAB (CONSTRUCTION OF 21 IN.M. BLEACHERS)</v>
          </cell>
          <cell r="C960" t="str">
            <v>PEO</v>
          </cell>
          <cell r="D960" t="str">
            <v>No</v>
          </cell>
          <cell r="E960" t="str">
            <v>Competitive Bidding</v>
          </cell>
          <cell r="F960">
            <v>45440</v>
          </cell>
          <cell r="G960">
            <v>45453</v>
          </cell>
          <cell r="H960">
            <v>0</v>
          </cell>
          <cell r="I960">
            <v>45461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1420177.63</v>
          </cell>
          <cell r="AB960">
            <v>0</v>
          </cell>
          <cell r="AC960">
            <v>1420177.63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</row>
        <row r="961">
          <cell r="A961" t="str">
            <v>24-3001</v>
          </cell>
          <cell r="B961" t="str">
            <v>CONSTRUCTION OF FOOT BRIDGE, PRK. 13, MAINIT, GOLDEN VALLEY, MABINI [CONSTRUCTION OF 35 IN.M. FOOT BRIDGE WITH 8 IN.M. CONCRETE FLOOR SLAB (APPROACH SLAB) BOTH SIDE]</v>
          </cell>
          <cell r="C961" t="str">
            <v>PEO</v>
          </cell>
          <cell r="D961" t="str">
            <v>No</v>
          </cell>
          <cell r="E961" t="str">
            <v>Competitive Bidding</v>
          </cell>
          <cell r="F961">
            <v>45440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3304923.16</v>
          </cell>
          <cell r="AB961">
            <v>0</v>
          </cell>
          <cell r="AC961">
            <v>3304923.16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</row>
        <row r="962">
          <cell r="A962" t="str">
            <v>24-2996</v>
          </cell>
          <cell r="B962" t="str">
            <v>CONSTRUCTION OF STAGE AND BLEACHERS, BRGY. CONCEPTION, LAAK, (CONSTRUCTION OF 1 BAY COVERED COURT WITH STAGE AND 1 BAY BLEACHERS)</v>
          </cell>
          <cell r="C962" t="str">
            <v>PEO</v>
          </cell>
          <cell r="D962" t="str">
            <v>No</v>
          </cell>
          <cell r="E962" t="str">
            <v>Competitive Bidding</v>
          </cell>
          <cell r="F962">
            <v>45440</v>
          </cell>
          <cell r="G962">
            <v>45453</v>
          </cell>
          <cell r="H962">
            <v>0</v>
          </cell>
          <cell r="I962">
            <v>45461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2402829.1</v>
          </cell>
          <cell r="AB962">
            <v>0</v>
          </cell>
          <cell r="AC962">
            <v>2402829.1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</row>
        <row r="963">
          <cell r="A963" t="str">
            <v>24-3025</v>
          </cell>
          <cell r="B963" t="str">
            <v>CONSTRUCTION OF BRGY. HALL, BRGY. INCAYAN, LAAK, [CONSTRUCTION OF 142 IN.M. (1 STOREY) BRGY. HALL)</v>
          </cell>
          <cell r="C963" t="str">
            <v>PEO</v>
          </cell>
          <cell r="D963" t="str">
            <v>No</v>
          </cell>
          <cell r="E963" t="str">
            <v>Competitive Bidding</v>
          </cell>
          <cell r="F963">
            <v>45440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4832890.9400000004</v>
          </cell>
          <cell r="AB963">
            <v>0</v>
          </cell>
          <cell r="AC963">
            <v>4832890.9400000004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</row>
        <row r="964">
          <cell r="A964" t="str">
            <v>24-3022</v>
          </cell>
          <cell r="B964" t="str">
            <v>CONSTRUCTION OF BLEACHERS (GYM), BRGY. NUEVA VISAYAS, MAWAB, (CONSTRUCTION OF 36 IN.M. BLEACHERS)</v>
          </cell>
          <cell r="C964" t="str">
            <v>PEO</v>
          </cell>
          <cell r="D964" t="str">
            <v>No</v>
          </cell>
          <cell r="E964" t="str">
            <v>Competitive Bidding</v>
          </cell>
          <cell r="F964">
            <v>45440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1930060.79</v>
          </cell>
          <cell r="AB964">
            <v>0</v>
          </cell>
          <cell r="AC964">
            <v>1930060.79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</row>
        <row r="965">
          <cell r="A965" t="str">
            <v>24-3024</v>
          </cell>
          <cell r="B965" t="str">
            <v xml:space="preserve">CONSTRUCTION OF FOOT BRIDGE, PRK. 2, MANTUNGA, GOLDEN VALLEY, MABINI [CONSTRUCTION OF 43 IN.M. FOOT BRIDGE WITH 8 IN.M. CONCRETE FLOOR SLAB (APPROACH SLAB) BOTH SIDES] </v>
          </cell>
          <cell r="C965" t="str">
            <v>PEO</v>
          </cell>
          <cell r="D965" t="str">
            <v>No</v>
          </cell>
          <cell r="E965" t="str">
            <v>Competitive Bidding</v>
          </cell>
          <cell r="F965">
            <v>45440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3761348.05</v>
          </cell>
          <cell r="AB965">
            <v>0</v>
          </cell>
          <cell r="AC965">
            <v>3761348.05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</row>
        <row r="966">
          <cell r="A966" t="str">
            <v>24-3023</v>
          </cell>
          <cell r="B966" t="str">
            <v>CONSTRUCTION OF BLEAHERS AND STAGE, BAWANI GYM, MAWAB (CONSTRUCTION OF 1 BAY COVARED COURT WITH STAGE AND 48 IN.M. BLEACHERS</v>
          </cell>
          <cell r="C966" t="str">
            <v>PEO</v>
          </cell>
          <cell r="D966" t="str">
            <v>No</v>
          </cell>
          <cell r="E966" t="str">
            <v>Competitive Bidding</v>
          </cell>
          <cell r="F966">
            <v>45446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3861823.28</v>
          </cell>
          <cell r="AB966">
            <v>0</v>
          </cell>
          <cell r="AC966">
            <v>3861823.28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</row>
        <row r="967">
          <cell r="A967" t="str">
            <v>24-2997</v>
          </cell>
          <cell r="B967" t="str">
            <v>CONSTRUCTION OF MULTIPURPOSE BUILDING (MUSLIM COMMUNITY), BRGY. BANBANON, LAAK [CONSTRUCTION OF FOUR (4) BAYS MULTIPURPOSE BUILDING]</v>
          </cell>
          <cell r="C967" t="str">
            <v>PEO</v>
          </cell>
          <cell r="D967" t="str">
            <v>No</v>
          </cell>
          <cell r="E967" t="str">
            <v>Competitive Bidding</v>
          </cell>
          <cell r="F967">
            <v>45440</v>
          </cell>
          <cell r="G967">
            <v>45453</v>
          </cell>
          <cell r="H967">
            <v>0</v>
          </cell>
          <cell r="I967">
            <v>45461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1586283.43</v>
          </cell>
          <cell r="AB967">
            <v>0</v>
          </cell>
          <cell r="AC967">
            <v>1586283.43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</row>
        <row r="968">
          <cell r="A968" t="str">
            <v>24-2706</v>
          </cell>
          <cell r="B968" t="str">
            <v xml:space="preserve">CONSTRUCTION OF STAGE, BAWANI GYM, MAWAB </v>
          </cell>
          <cell r="C968" t="str">
            <v>PEO</v>
          </cell>
          <cell r="D968" t="str">
            <v>No</v>
          </cell>
          <cell r="E968" t="str">
            <v>Competitive Bidding</v>
          </cell>
          <cell r="F968">
            <v>45440</v>
          </cell>
          <cell r="G968">
            <v>45455</v>
          </cell>
          <cell r="H968">
            <v>0</v>
          </cell>
          <cell r="I968" t="str">
            <v>N/A</v>
          </cell>
          <cell r="J968">
            <v>45468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959629.38</v>
          </cell>
          <cell r="AB968">
            <v>0</v>
          </cell>
          <cell r="AC968">
            <v>959629.38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</row>
        <row r="969">
          <cell r="A969" t="str">
            <v>24-3085</v>
          </cell>
          <cell r="B969" t="str">
            <v>CONSTRUCTION OF RETAINING WALL AT PUROK 2-A, BRGY. PINDASAN, MABINI</v>
          </cell>
          <cell r="C969" t="str">
            <v>PEO</v>
          </cell>
          <cell r="D969" t="str">
            <v>No</v>
          </cell>
          <cell r="E969" t="str">
            <v>Competitive Bidding</v>
          </cell>
          <cell r="F969">
            <v>45454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3758574.21</v>
          </cell>
          <cell r="AB969">
            <v>0</v>
          </cell>
          <cell r="AC969">
            <v>3758574.21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</row>
        <row r="970">
          <cell r="A970" t="str">
            <v>24-3221</v>
          </cell>
          <cell r="B970" t="str">
            <v>REHABILITATION OF NEW-VISAYAS-BANAGBANAG, MONTEVISTA TO MAGADING</v>
          </cell>
          <cell r="C970" t="str">
            <v>PEO</v>
          </cell>
          <cell r="D970" t="str">
            <v>No</v>
          </cell>
          <cell r="E970" t="str">
            <v>Competitive Bidding</v>
          </cell>
          <cell r="F970">
            <v>45454</v>
          </cell>
          <cell r="G970">
            <v>45461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279838000</v>
          </cell>
          <cell r="AB970">
            <v>0</v>
          </cell>
          <cell r="AC970">
            <v>279838000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 t="str">
            <v>Ongoing Procurement Process</v>
          </cell>
        </row>
        <row r="971">
          <cell r="A971" t="str">
            <v>24-3083</v>
          </cell>
          <cell r="B971" t="str">
            <v>CONSTRUCTION OF BARANGAY HEALTH STATION (BHS) AT PUROK 1, BARANGAY MANURIGAO, NEW BATAAN
(CONSTRUCTION OF 75.3SQ.M. BRGY. HEALTH STATION WITH
BIRTHING)</v>
          </cell>
          <cell r="C971" t="str">
            <v>PEO</v>
          </cell>
          <cell r="D971" t="str">
            <v>No</v>
          </cell>
          <cell r="E971" t="str">
            <v>Competitive Bidding</v>
          </cell>
          <cell r="F971">
            <v>45454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2380209.14</v>
          </cell>
          <cell r="AB971">
            <v>0</v>
          </cell>
          <cell r="AC971">
            <v>2380209.14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</row>
        <row r="972">
          <cell r="A972" t="str">
            <v>24-0101
(REBID)</v>
          </cell>
          <cell r="B972" t="str">
            <v>SUPPLY AND DELIVERY OF SHALLOW TUBE WELL PUMP SET 8HP WITH COMPLETE ACCESSORIES</v>
          </cell>
          <cell r="C972" t="str">
            <v>PAGRO</v>
          </cell>
          <cell r="D972" t="str">
            <v>No</v>
          </cell>
          <cell r="E972" t="str">
            <v>Competitive Bidding</v>
          </cell>
          <cell r="F972">
            <v>45384</v>
          </cell>
          <cell r="G972">
            <v>45390</v>
          </cell>
          <cell r="H972">
            <v>0</v>
          </cell>
          <cell r="I972">
            <v>45398</v>
          </cell>
          <cell r="J972">
            <v>45412</v>
          </cell>
          <cell r="K972">
            <v>45412</v>
          </cell>
          <cell r="L972">
            <v>0</v>
          </cell>
          <cell r="M972">
            <v>45412</v>
          </cell>
          <cell r="N972">
            <v>45442</v>
          </cell>
          <cell r="O972">
            <v>45464</v>
          </cell>
          <cell r="P972">
            <v>0</v>
          </cell>
          <cell r="Q972">
            <v>0</v>
          </cell>
          <cell r="R972">
            <v>0</v>
          </cell>
          <cell r="S972">
            <v>45464</v>
          </cell>
          <cell r="T972">
            <v>45464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3893000</v>
          </cell>
          <cell r="AB972">
            <v>0</v>
          </cell>
          <cell r="AC972">
            <v>3893000</v>
          </cell>
          <cell r="AD972">
            <v>3842000</v>
          </cell>
          <cell r="AE972">
            <v>0</v>
          </cell>
          <cell r="AF972">
            <v>3842000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 t="str">
            <v>Ongoing Procurement Process</v>
          </cell>
        </row>
        <row r="973">
          <cell r="A973" t="str">
            <v>24-C1142</v>
          </cell>
          <cell r="B973" t="str">
            <v>SUPPLY AND DELIVERY OF FEEDS</v>
          </cell>
          <cell r="C973" t="str">
            <v>PVO</v>
          </cell>
          <cell r="D973" t="str">
            <v>No</v>
          </cell>
          <cell r="E973" t="str">
            <v>Competitive Bidding</v>
          </cell>
          <cell r="F973">
            <v>45356</v>
          </cell>
          <cell r="G973">
            <v>45432</v>
          </cell>
          <cell r="H973">
            <v>0</v>
          </cell>
          <cell r="I973">
            <v>45440</v>
          </cell>
          <cell r="J973">
            <v>45454</v>
          </cell>
          <cell r="K973">
            <v>45454</v>
          </cell>
          <cell r="L973">
            <v>0</v>
          </cell>
          <cell r="M973">
            <v>45454</v>
          </cell>
          <cell r="N973">
            <v>45462</v>
          </cell>
          <cell r="O973">
            <v>45469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4213637</v>
          </cell>
          <cell r="AB973">
            <v>0</v>
          </cell>
          <cell r="AC973">
            <v>4213637</v>
          </cell>
          <cell r="AD973">
            <v>4206577.7</v>
          </cell>
          <cell r="AE973">
            <v>0</v>
          </cell>
          <cell r="AF973">
            <v>4206577.7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</row>
        <row r="974">
          <cell r="A974" t="str">
            <v>24-C1140</v>
          </cell>
          <cell r="B974" t="str">
            <v>SUPPLY AND DELIVERY OF SPAREPARTS</v>
          </cell>
          <cell r="C974" t="str">
            <v>PEO-MOTORPOOL</v>
          </cell>
          <cell r="D974" t="str">
            <v>No</v>
          </cell>
          <cell r="E974" t="str">
            <v>NP-53.1 Two Failed Biddings</v>
          </cell>
          <cell r="F974">
            <v>45356</v>
          </cell>
          <cell r="G974">
            <v>45422</v>
          </cell>
          <cell r="H974">
            <v>0</v>
          </cell>
          <cell r="I974" t="str">
            <v>N/A</v>
          </cell>
          <cell r="J974">
            <v>45446</v>
          </cell>
          <cell r="K974">
            <v>45446</v>
          </cell>
          <cell r="L974">
            <v>0</v>
          </cell>
          <cell r="M974" t="str">
            <v>N/A</v>
          </cell>
          <cell r="N974" t="str">
            <v>N/A</v>
          </cell>
          <cell r="O974">
            <v>45448</v>
          </cell>
          <cell r="P974">
            <v>0</v>
          </cell>
          <cell r="Q974">
            <v>0</v>
          </cell>
          <cell r="R974">
            <v>0</v>
          </cell>
          <cell r="S974">
            <v>45448</v>
          </cell>
          <cell r="T974">
            <v>45454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1979215</v>
          </cell>
          <cell r="AB974">
            <v>0</v>
          </cell>
          <cell r="AC974">
            <v>1979215</v>
          </cell>
          <cell r="AD974">
            <v>783066</v>
          </cell>
          <cell r="AE974">
            <v>0</v>
          </cell>
          <cell r="AF974">
            <v>783066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</row>
        <row r="975">
          <cell r="A975" t="str">
            <v>24-C1279</v>
          </cell>
          <cell r="B975" t="str">
            <v>SUPPLY AND DELIVERY OF OFFICE EQUIPMENTS</v>
          </cell>
          <cell r="C975" t="str">
            <v>PEO</v>
          </cell>
          <cell r="D975" t="str">
            <v>No</v>
          </cell>
          <cell r="E975" t="str">
            <v>Competitive Bidding</v>
          </cell>
          <cell r="F975">
            <v>45370</v>
          </cell>
          <cell r="G975">
            <v>45404</v>
          </cell>
          <cell r="H975">
            <v>0</v>
          </cell>
          <cell r="I975">
            <v>45412</v>
          </cell>
          <cell r="J975">
            <v>45426</v>
          </cell>
          <cell r="K975">
            <v>45426</v>
          </cell>
          <cell r="L975">
            <v>0</v>
          </cell>
          <cell r="M975">
            <v>45426</v>
          </cell>
          <cell r="N975">
            <v>45433</v>
          </cell>
          <cell r="O975">
            <v>45441</v>
          </cell>
          <cell r="P975">
            <v>0</v>
          </cell>
          <cell r="Q975">
            <v>0</v>
          </cell>
          <cell r="R975">
            <v>0</v>
          </cell>
          <cell r="S975">
            <v>45442</v>
          </cell>
          <cell r="T975">
            <v>45450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4022098.4</v>
          </cell>
          <cell r="AB975">
            <v>0</v>
          </cell>
          <cell r="AC975">
            <v>4022098.4</v>
          </cell>
          <cell r="AD975">
            <v>3973499</v>
          </cell>
          <cell r="AE975">
            <v>0</v>
          </cell>
          <cell r="AF975">
            <v>3973499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</row>
        <row r="976">
          <cell r="A976" t="str">
            <v>23-4950</v>
          </cell>
          <cell r="B976" t="str">
            <v>MEALS AND SNACKS</v>
          </cell>
          <cell r="C976" t="str">
            <v>PDRRMO</v>
          </cell>
          <cell r="D976" t="str">
            <v>No</v>
          </cell>
          <cell r="E976" t="str">
            <v>NP-53.1 Two Failed Biddings</v>
          </cell>
          <cell r="F976" t="str">
            <v>N/A</v>
          </cell>
          <cell r="G976">
            <v>45352</v>
          </cell>
          <cell r="H976">
            <v>0</v>
          </cell>
          <cell r="I976" t="str">
            <v>N/A</v>
          </cell>
          <cell r="J976">
            <v>45370</v>
          </cell>
          <cell r="K976">
            <v>45370</v>
          </cell>
          <cell r="L976">
            <v>0</v>
          </cell>
          <cell r="M976" t="str">
            <v>N/A</v>
          </cell>
          <cell r="N976" t="str">
            <v>N/A</v>
          </cell>
          <cell r="O976">
            <v>45372</v>
          </cell>
          <cell r="P976">
            <v>0</v>
          </cell>
          <cell r="Q976">
            <v>0</v>
          </cell>
          <cell r="R976">
            <v>0</v>
          </cell>
          <cell r="S976">
            <v>45376</v>
          </cell>
          <cell r="T976">
            <v>45386</v>
          </cell>
          <cell r="U976">
            <v>45393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500000</v>
          </cell>
          <cell r="AB976">
            <v>0</v>
          </cell>
          <cell r="AC976">
            <v>500000</v>
          </cell>
          <cell r="AD976">
            <v>500000</v>
          </cell>
          <cell r="AE976">
            <v>0</v>
          </cell>
          <cell r="AF976">
            <v>500000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</row>
        <row r="977">
          <cell r="A977" t="str">
            <v>24-C1194</v>
          </cell>
          <cell r="B977" t="str">
            <v xml:space="preserve">AGRICULTURAL SUPPLIES </v>
          </cell>
          <cell r="C977" t="str">
            <v>PDRRMO</v>
          </cell>
          <cell r="D977" t="str">
            <v>No</v>
          </cell>
          <cell r="E977" t="str">
            <v>NP-53.1 Two Failed Biddings</v>
          </cell>
          <cell r="F977" t="str">
            <v>N/A</v>
          </cell>
          <cell r="G977">
            <v>45404</v>
          </cell>
          <cell r="H977">
            <v>0</v>
          </cell>
          <cell r="I977" t="str">
            <v>N/A</v>
          </cell>
          <cell r="J977">
            <v>45404</v>
          </cell>
          <cell r="K977">
            <v>45404</v>
          </cell>
          <cell r="L977">
            <v>0</v>
          </cell>
          <cell r="M977" t="str">
            <v>N/A</v>
          </cell>
          <cell r="N977" t="str">
            <v>N/A</v>
          </cell>
          <cell r="O977">
            <v>45425</v>
          </cell>
          <cell r="P977">
            <v>0</v>
          </cell>
          <cell r="Q977">
            <v>0</v>
          </cell>
          <cell r="R977">
            <v>0</v>
          </cell>
          <cell r="S977">
            <v>45428</v>
          </cell>
          <cell r="T977">
            <v>45439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674209</v>
          </cell>
          <cell r="AB977">
            <v>0</v>
          </cell>
          <cell r="AC977">
            <v>674209</v>
          </cell>
          <cell r="AD977">
            <v>670587</v>
          </cell>
          <cell r="AE977">
            <v>0</v>
          </cell>
          <cell r="AF977">
            <v>670587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</row>
        <row r="978">
          <cell r="A978" t="str">
            <v>24-1261</v>
          </cell>
          <cell r="B978" t="str">
            <v>PLUMBING SUPPLIES</v>
          </cell>
          <cell r="C978" t="str">
            <v>PGSO</v>
          </cell>
          <cell r="D978" t="str">
            <v>No</v>
          </cell>
          <cell r="E978" t="str">
            <v>NP-53.1 Two Failed Biddings</v>
          </cell>
          <cell r="F978" t="str">
            <v>N/A</v>
          </cell>
          <cell r="G978">
            <v>45404</v>
          </cell>
          <cell r="H978">
            <v>0</v>
          </cell>
          <cell r="I978" t="str">
            <v>N/A</v>
          </cell>
          <cell r="J978">
            <v>45421</v>
          </cell>
          <cell r="K978">
            <v>45421</v>
          </cell>
          <cell r="L978">
            <v>0</v>
          </cell>
          <cell r="M978" t="str">
            <v>N/A</v>
          </cell>
          <cell r="N978" t="str">
            <v>N/A</v>
          </cell>
          <cell r="O978">
            <v>45425</v>
          </cell>
          <cell r="P978">
            <v>0</v>
          </cell>
          <cell r="Q978">
            <v>0</v>
          </cell>
          <cell r="R978">
            <v>0</v>
          </cell>
          <cell r="S978">
            <v>45431</v>
          </cell>
          <cell r="T978">
            <v>45434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307229.5</v>
          </cell>
          <cell r="AB978">
            <v>0</v>
          </cell>
          <cell r="AC978">
            <v>307229.5</v>
          </cell>
          <cell r="AD978">
            <v>306991.95</v>
          </cell>
          <cell r="AE978">
            <v>0</v>
          </cell>
          <cell r="AF978">
            <v>306991.95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</row>
        <row r="979">
          <cell r="A979" t="str">
            <v>24-1127</v>
          </cell>
          <cell r="B979" t="str">
            <v>RICE 50KGS (WELL MILLED RICE) WITH IRON FORTIFIED</v>
          </cell>
          <cell r="C979" t="str">
            <v>PHO</v>
          </cell>
          <cell r="D979" t="str">
            <v>No</v>
          </cell>
          <cell r="E979" t="str">
            <v>NP-53.1 Two Failed Biddings</v>
          </cell>
          <cell r="F979">
            <v>45370</v>
          </cell>
          <cell r="G979">
            <v>45404</v>
          </cell>
          <cell r="H979">
            <v>0</v>
          </cell>
          <cell r="I979" t="str">
            <v>N/A</v>
          </cell>
          <cell r="J979">
            <v>45421</v>
          </cell>
          <cell r="K979">
            <v>45421</v>
          </cell>
          <cell r="L979">
            <v>0</v>
          </cell>
          <cell r="M979" t="str">
            <v>N/A</v>
          </cell>
          <cell r="N979" t="str">
            <v>N/A</v>
          </cell>
          <cell r="O979">
            <v>45425</v>
          </cell>
          <cell r="P979">
            <v>0</v>
          </cell>
          <cell r="Q979">
            <v>0</v>
          </cell>
          <cell r="R979">
            <v>0</v>
          </cell>
          <cell r="S979">
            <v>45428</v>
          </cell>
          <cell r="T979">
            <v>45434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726000</v>
          </cell>
          <cell r="AB979">
            <v>0</v>
          </cell>
          <cell r="AC979">
            <v>726000</v>
          </cell>
          <cell r="AD979">
            <v>654500</v>
          </cell>
          <cell r="AE979">
            <v>0</v>
          </cell>
          <cell r="AF979">
            <v>654500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</row>
        <row r="980">
          <cell r="A980" t="str">
            <v>24-C1065</v>
          </cell>
          <cell r="B980" t="str">
            <v>LUMBER</v>
          </cell>
          <cell r="C980" t="str">
            <v>PVO</v>
          </cell>
          <cell r="D980" t="str">
            <v>No</v>
          </cell>
          <cell r="E980" t="str">
            <v>NP-53.1 Two Failed Biddings</v>
          </cell>
          <cell r="F980">
            <v>45356</v>
          </cell>
          <cell r="G980">
            <v>45404</v>
          </cell>
          <cell r="H980">
            <v>0</v>
          </cell>
          <cell r="I980" t="str">
            <v>N/A</v>
          </cell>
          <cell r="J980">
            <v>45454</v>
          </cell>
          <cell r="K980">
            <v>45454</v>
          </cell>
          <cell r="L980">
            <v>0</v>
          </cell>
          <cell r="M980" t="str">
            <v>N/A</v>
          </cell>
          <cell r="N980" t="str">
            <v>N/A</v>
          </cell>
          <cell r="O980">
            <v>45464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298788.49</v>
          </cell>
          <cell r="AB980">
            <v>0</v>
          </cell>
          <cell r="AC980">
            <v>298788.49</v>
          </cell>
          <cell r="AD980">
            <v>298388.49</v>
          </cell>
          <cell r="AE980">
            <v>0</v>
          </cell>
          <cell r="AF980">
            <v>298388.49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</row>
        <row r="981">
          <cell r="A981" t="str">
            <v>24-C1102</v>
          </cell>
          <cell r="B981" t="str">
            <v>AGRICULTURAL SUPPLIES</v>
          </cell>
          <cell r="C981" t="str">
            <v>PAGRO</v>
          </cell>
          <cell r="D981" t="str">
            <v>No</v>
          </cell>
          <cell r="E981" t="str">
            <v>NP-53.1 Two Failed Biddings</v>
          </cell>
          <cell r="F981">
            <v>45370</v>
          </cell>
          <cell r="G981">
            <v>45404</v>
          </cell>
          <cell r="H981">
            <v>0</v>
          </cell>
          <cell r="I981" t="str">
            <v>N/A</v>
          </cell>
          <cell r="J981">
            <v>45440</v>
          </cell>
          <cell r="K981">
            <v>45440</v>
          </cell>
          <cell r="L981">
            <v>0</v>
          </cell>
          <cell r="M981" t="str">
            <v>N/A</v>
          </cell>
          <cell r="N981" t="str">
            <v>N/A</v>
          </cell>
          <cell r="O981">
            <v>45441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618838</v>
          </cell>
          <cell r="AB981">
            <v>0</v>
          </cell>
          <cell r="AC981">
            <v>618838</v>
          </cell>
          <cell r="AD981">
            <v>616395</v>
          </cell>
          <cell r="AE981">
            <v>0</v>
          </cell>
          <cell r="AF981">
            <v>616395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</row>
        <row r="982">
          <cell r="A982" t="str">
            <v>24-2229</v>
          </cell>
          <cell r="B982" t="str">
            <v>MEALS AND SNACKS WITH ACCOMMODATION</v>
          </cell>
          <cell r="C982" t="str">
            <v>PSWDO</v>
          </cell>
          <cell r="D982" t="str">
            <v>No</v>
          </cell>
          <cell r="E982" t="str">
            <v>NP-53.1 Two Failed Biddings</v>
          </cell>
          <cell r="F982">
            <v>45384</v>
          </cell>
          <cell r="G982">
            <v>45454</v>
          </cell>
          <cell r="H982">
            <v>0</v>
          </cell>
          <cell r="I982" t="str">
            <v>N/A</v>
          </cell>
          <cell r="J982" t="str">
            <v>N/A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862500</v>
          </cell>
          <cell r="AB982">
            <v>0</v>
          </cell>
          <cell r="AC982">
            <v>862500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 t="str">
            <v>Ongoing Procurement Process</v>
          </cell>
        </row>
        <row r="983">
          <cell r="A983" t="str">
            <v>24-C1139</v>
          </cell>
          <cell r="B983" t="str">
            <v>MEALS AND SNACKS WITH VENUE AND ACCOMMODATION</v>
          </cell>
          <cell r="C983" t="str">
            <v>PGO</v>
          </cell>
          <cell r="D983" t="str">
            <v>No</v>
          </cell>
          <cell r="E983" t="str">
            <v>NP-53.1 Two Failed Biddings</v>
          </cell>
          <cell r="F983" t="str">
            <v>N/A</v>
          </cell>
          <cell r="G983">
            <v>45457</v>
          </cell>
          <cell r="H983">
            <v>0</v>
          </cell>
          <cell r="I983" t="str">
            <v>N/A</v>
          </cell>
          <cell r="J983" t="str">
            <v>N/A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1770000</v>
          </cell>
          <cell r="AB983">
            <v>0</v>
          </cell>
          <cell r="AC983">
            <v>1770000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</row>
        <row r="984">
          <cell r="A984" t="str">
            <v>24-C1314</v>
          </cell>
          <cell r="B984" t="str">
            <v>MEALS AND SNACKS WITH ACCOMMODATION</v>
          </cell>
          <cell r="C984" t="str">
            <v>PHO</v>
          </cell>
          <cell r="D984" t="str">
            <v>No</v>
          </cell>
          <cell r="E984" t="str">
            <v>NP-53.1 Two Failed Biddings</v>
          </cell>
          <cell r="F984" t="str">
            <v>N/A</v>
          </cell>
          <cell r="G984">
            <v>45457</v>
          </cell>
          <cell r="H984">
            <v>0</v>
          </cell>
          <cell r="I984" t="str">
            <v>N/A</v>
          </cell>
          <cell r="J984" t="str">
            <v>N/A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172500</v>
          </cell>
          <cell r="AB984">
            <v>0</v>
          </cell>
          <cell r="AC984">
            <v>172500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</row>
        <row r="985">
          <cell r="A985" t="str">
            <v>24-C1123</v>
          </cell>
          <cell r="B985" t="str">
            <v>CONSTRUCTION MATERIALS</v>
          </cell>
          <cell r="C985" t="str">
            <v>PGSO</v>
          </cell>
          <cell r="D985" t="str">
            <v>No</v>
          </cell>
          <cell r="E985" t="str">
            <v>Competitive Bidding</v>
          </cell>
          <cell r="F985">
            <v>45461</v>
          </cell>
          <cell r="G985">
            <v>45467</v>
          </cell>
          <cell r="H985">
            <v>0</v>
          </cell>
          <cell r="I985" t="str">
            <v>N/A</v>
          </cell>
          <cell r="J985" t="str">
            <v>N/A</v>
          </cell>
          <cell r="K985">
            <v>45475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969925.06</v>
          </cell>
          <cell r="AB985">
            <v>0</v>
          </cell>
          <cell r="AC985">
            <v>969925.06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</row>
        <row r="986">
          <cell r="A986" t="str">
            <v>24-0132</v>
          </cell>
          <cell r="B986" t="str">
            <v>MOBILE MULTIMEDIA CONTROLLER</v>
          </cell>
          <cell r="C986" t="str">
            <v>PICTO</v>
          </cell>
          <cell r="D986" t="str">
            <v>No</v>
          </cell>
          <cell r="E986" t="str">
            <v>NP-53.1 Two Failed Biddings</v>
          </cell>
          <cell r="F986" t="str">
            <v>N/A</v>
          </cell>
          <cell r="G986">
            <v>45429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380000</v>
          </cell>
          <cell r="AB986">
            <v>0</v>
          </cell>
          <cell r="AC986">
            <v>380000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</row>
        <row r="987">
          <cell r="A987" t="str">
            <v>24-C1212</v>
          </cell>
          <cell r="B987" t="str">
            <v>MEALS AND SNACKS</v>
          </cell>
          <cell r="C987" t="str">
            <v>PHO</v>
          </cell>
          <cell r="D987" t="str">
            <v>No</v>
          </cell>
          <cell r="E987" t="str">
            <v>NP-53.1 Two Failed Biddings</v>
          </cell>
          <cell r="F987" t="str">
            <v>N/A</v>
          </cell>
          <cell r="G987">
            <v>45457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493880</v>
          </cell>
          <cell r="AB987">
            <v>0</v>
          </cell>
          <cell r="AC987">
            <v>493880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</row>
        <row r="988">
          <cell r="A988" t="str">
            <v>24-1027</v>
          </cell>
          <cell r="B988" t="str">
            <v>INTERNET SUBSCRIPTION B</v>
          </cell>
          <cell r="C988" t="str">
            <v>PICTO</v>
          </cell>
          <cell r="D988" t="str">
            <v>No</v>
          </cell>
          <cell r="E988" t="str">
            <v>Competitive Bidding</v>
          </cell>
          <cell r="F988">
            <v>45390</v>
          </cell>
          <cell r="G988">
            <v>45432</v>
          </cell>
          <cell r="H988">
            <v>0</v>
          </cell>
          <cell r="I988">
            <v>45440</v>
          </cell>
          <cell r="J988">
            <v>45454</v>
          </cell>
          <cell r="K988">
            <v>45454</v>
          </cell>
          <cell r="L988">
            <v>0</v>
          </cell>
          <cell r="M988">
            <v>45454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1137576</v>
          </cell>
          <cell r="AB988">
            <v>0</v>
          </cell>
          <cell r="AC988">
            <v>1137576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</row>
        <row r="989">
          <cell r="A989" t="str">
            <v>24-2499</v>
          </cell>
          <cell r="B989" t="str">
            <v>MEALS AND SNACKS</v>
          </cell>
          <cell r="C989" t="str">
            <v>SEF</v>
          </cell>
          <cell r="D989" t="str">
            <v>No</v>
          </cell>
          <cell r="E989" t="str">
            <v>Competitive Bidding</v>
          </cell>
          <cell r="F989" t="str">
            <v>N/A</v>
          </cell>
          <cell r="G989">
            <v>45455</v>
          </cell>
          <cell r="H989">
            <v>0</v>
          </cell>
          <cell r="I989" t="str">
            <v>N/A</v>
          </cell>
          <cell r="J989">
            <v>45468</v>
          </cell>
          <cell r="K989">
            <v>45468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400000</v>
          </cell>
          <cell r="AB989">
            <v>0</v>
          </cell>
          <cell r="AC989">
            <v>400000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</row>
        <row r="990">
          <cell r="A990" t="str">
            <v>24-2985</v>
          </cell>
          <cell r="B990" t="str">
            <v>CONSTRUCTION MATERIALS</v>
          </cell>
          <cell r="C990" t="str">
            <v>PEO</v>
          </cell>
          <cell r="D990" t="str">
            <v>No</v>
          </cell>
          <cell r="E990" t="str">
            <v>Competitive Bidding</v>
          </cell>
          <cell r="F990">
            <v>45440</v>
          </cell>
          <cell r="G990">
            <v>45446</v>
          </cell>
          <cell r="H990">
            <v>0</v>
          </cell>
          <cell r="I990">
            <v>45454</v>
          </cell>
          <cell r="J990">
            <v>45468</v>
          </cell>
          <cell r="K990">
            <v>45468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5121025.16</v>
          </cell>
          <cell r="AB990">
            <v>0</v>
          </cell>
          <cell r="AC990">
            <v>5121025.16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</row>
        <row r="991">
          <cell r="A991" t="str">
            <v>24-1774</v>
          </cell>
          <cell r="B991" t="str">
            <v>AIRCON, 5.0TR FLOOR MOUNTED SPLIT TYPE WITH INSTALLATION</v>
          </cell>
          <cell r="C991" t="str">
            <v>PAO</v>
          </cell>
          <cell r="D991" t="str">
            <v>No</v>
          </cell>
          <cell r="E991" t="str">
            <v>Competitive Bidding</v>
          </cell>
          <cell r="F991">
            <v>45440</v>
          </cell>
          <cell r="G991">
            <v>45462</v>
          </cell>
          <cell r="H991">
            <v>0</v>
          </cell>
          <cell r="I991" t="str">
            <v>N/A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107168</v>
          </cell>
          <cell r="AB991">
            <v>0</v>
          </cell>
          <cell r="AC991">
            <v>107168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</row>
        <row r="992">
          <cell r="A992" t="str">
            <v>24-C1368</v>
          </cell>
          <cell r="B992" t="str">
            <v>MOTORCYCLE (125 CC)</v>
          </cell>
          <cell r="C992" t="str">
            <v>PDRRMO</v>
          </cell>
          <cell r="D992" t="str">
            <v>No</v>
          </cell>
          <cell r="E992" t="str">
            <v>Competitive Bidding</v>
          </cell>
          <cell r="F992">
            <v>45440</v>
          </cell>
          <cell r="G992">
            <v>45462</v>
          </cell>
          <cell r="H992">
            <v>0</v>
          </cell>
          <cell r="I992" t="str">
            <v>N/A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160000</v>
          </cell>
          <cell r="AB992">
            <v>0</v>
          </cell>
          <cell r="AC992">
            <v>160000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</row>
        <row r="993">
          <cell r="A993" t="str">
            <v>24-C1400</v>
          </cell>
          <cell r="B993" t="str">
            <v>X-RAY MACHINE WITH DIGITAL
RADIOGRAPHY</v>
          </cell>
          <cell r="C993" t="str">
            <v>PEEMO</v>
          </cell>
          <cell r="D993" t="str">
            <v>No</v>
          </cell>
          <cell r="E993" t="str">
            <v>Competitive Bidding</v>
          </cell>
          <cell r="F993">
            <v>45440</v>
          </cell>
          <cell r="G993">
            <v>45446</v>
          </cell>
          <cell r="H993">
            <v>0</v>
          </cell>
          <cell r="I993">
            <v>45454</v>
          </cell>
          <cell r="J993">
            <v>45468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18600000</v>
          </cell>
          <cell r="AB993">
            <v>0</v>
          </cell>
          <cell r="AC993">
            <v>18600000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</row>
        <row r="994">
          <cell r="A994" t="str">
            <v>24-1755</v>
          </cell>
          <cell r="B994" t="str">
            <v>CONTAINER VAN CLASS B, 20 FTR PAINTED, W/ PLY-BOARD FLOORING</v>
          </cell>
          <cell r="C994" t="str">
            <v>PENRO</v>
          </cell>
          <cell r="D994" t="str">
            <v>No</v>
          </cell>
          <cell r="E994" t="str">
            <v>Competitive Bidding</v>
          </cell>
          <cell r="F994" t="str">
            <v>N/A</v>
          </cell>
          <cell r="G994">
            <v>45462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360000</v>
          </cell>
          <cell r="AB994">
            <v>0</v>
          </cell>
          <cell r="AC994">
            <v>360000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</row>
        <row r="995">
          <cell r="A995" t="str">
            <v>24-C1417</v>
          </cell>
          <cell r="B995" t="str">
            <v>MEALS AND SNACKS WITH ACCOMOODARION
NOTE: W/ PREBID</v>
          </cell>
          <cell r="C995" t="str">
            <v>PDRRMO</v>
          </cell>
          <cell r="D995" t="str">
            <v>No</v>
          </cell>
          <cell r="E995" t="str">
            <v>Competitive Bidding</v>
          </cell>
          <cell r="F995">
            <v>45446</v>
          </cell>
          <cell r="G995">
            <v>45461</v>
          </cell>
          <cell r="H995">
            <v>0</v>
          </cell>
          <cell r="I995" t="str">
            <v>N/A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287715</v>
          </cell>
          <cell r="AB995">
            <v>0</v>
          </cell>
          <cell r="AC995">
            <v>287715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</row>
        <row r="996">
          <cell r="A996" t="str">
            <v>24-C1433</v>
          </cell>
          <cell r="B996" t="str">
            <v xml:space="preserve">MEALS AND SNACKS </v>
          </cell>
          <cell r="C996" t="str">
            <v>PDRRMO</v>
          </cell>
          <cell r="D996" t="str">
            <v>No</v>
          </cell>
          <cell r="E996" t="str">
            <v>Competitive Bidding</v>
          </cell>
          <cell r="F996">
            <v>45446</v>
          </cell>
          <cell r="G996">
            <v>45455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990960</v>
          </cell>
          <cell r="AB996">
            <v>0</v>
          </cell>
          <cell r="AC996">
            <v>990960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</row>
        <row r="997">
          <cell r="A997" t="str">
            <v>24-C1364</v>
          </cell>
          <cell r="B997" t="str">
            <v>AGRICULTURAL SUPPLIES</v>
          </cell>
          <cell r="C997" t="str">
            <v>PAGRO</v>
          </cell>
          <cell r="D997" t="str">
            <v>No</v>
          </cell>
          <cell r="E997" t="str">
            <v>Competitive Bidding</v>
          </cell>
          <cell r="F997" t="str">
            <v>N/A</v>
          </cell>
          <cell r="G997">
            <v>45439</v>
          </cell>
          <cell r="H997">
            <v>0</v>
          </cell>
          <cell r="I997">
            <v>45454</v>
          </cell>
          <cell r="J997">
            <v>45468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1156325</v>
          </cell>
          <cell r="AB997">
            <v>0</v>
          </cell>
          <cell r="AC997">
            <v>1156325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</row>
        <row r="998">
          <cell r="A998" t="str">
            <v>24-C1481</v>
          </cell>
          <cell r="B998" t="str">
            <v>DRUGS AND MEDICINES</v>
          </cell>
          <cell r="C998" t="str">
            <v>PDRRMO</v>
          </cell>
          <cell r="D998" t="str">
            <v>No</v>
          </cell>
          <cell r="E998" t="str">
            <v>Competitive Bidding</v>
          </cell>
          <cell r="F998">
            <v>45454</v>
          </cell>
          <cell r="G998">
            <v>45462</v>
          </cell>
          <cell r="H998">
            <v>0</v>
          </cell>
          <cell r="I998" t="str">
            <v>N/A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714902.08</v>
          </cell>
          <cell r="AB998">
            <v>0</v>
          </cell>
          <cell r="AC998">
            <v>714902.08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</row>
        <row r="999">
          <cell r="A999" t="str">
            <v>24-C1393</v>
          </cell>
          <cell r="B999" t="str">
            <v>CONSTRUCTION MATERIALS</v>
          </cell>
          <cell r="C999" t="str">
            <v>PGO</v>
          </cell>
          <cell r="D999" t="str">
            <v>No</v>
          </cell>
          <cell r="E999" t="str">
            <v>Competitive Bidding</v>
          </cell>
          <cell r="F999">
            <v>45454</v>
          </cell>
          <cell r="G999">
            <v>45467</v>
          </cell>
          <cell r="H999">
            <v>0</v>
          </cell>
          <cell r="I999" t="str">
            <v>N/A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880620</v>
          </cell>
          <cell r="AB999">
            <v>0</v>
          </cell>
          <cell r="AC999">
            <v>880620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</row>
        <row r="1000">
          <cell r="A1000" t="str">
            <v>24-3037</v>
          </cell>
          <cell r="B1000" t="str">
            <v>CONSTRUCTION MATERIALS</v>
          </cell>
          <cell r="C1000" t="str">
            <v>PEO</v>
          </cell>
          <cell r="D1000" t="str">
            <v>No</v>
          </cell>
          <cell r="E1000" t="str">
            <v>Competitive Bidding</v>
          </cell>
          <cell r="F1000">
            <v>45454</v>
          </cell>
          <cell r="G1000">
            <v>45462</v>
          </cell>
          <cell r="H1000">
            <v>0</v>
          </cell>
          <cell r="I1000" t="str">
            <v>N/A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452607.32</v>
          </cell>
          <cell r="AB1000">
            <v>0</v>
          </cell>
          <cell r="AC1000">
            <v>452607.32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</row>
        <row r="1001">
          <cell r="A1001" t="str">
            <v>24-3357</v>
          </cell>
          <cell r="B1001" t="str">
            <v>MEALS AND SNACKS WITH ACCOMMODATION</v>
          </cell>
          <cell r="C1001" t="str">
            <v>PLO</v>
          </cell>
          <cell r="D1001" t="str">
            <v>No</v>
          </cell>
          <cell r="E1001" t="str">
            <v>Competitive Bidding</v>
          </cell>
          <cell r="F1001">
            <v>45454</v>
          </cell>
          <cell r="G1001">
            <v>45467</v>
          </cell>
          <cell r="H1001">
            <v>0</v>
          </cell>
          <cell r="I1001">
            <v>45475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3520000</v>
          </cell>
          <cell r="AB1001">
            <v>0</v>
          </cell>
          <cell r="AC1001">
            <v>3520000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</row>
        <row r="1002">
          <cell r="A1002" t="str">
            <v>24-C1465</v>
          </cell>
          <cell r="B1002" t="str">
            <v>MEALS AND SNACKS WITH VENUE</v>
          </cell>
          <cell r="C1002" t="str">
            <v>PHO</v>
          </cell>
          <cell r="D1002" t="str">
            <v>No</v>
          </cell>
          <cell r="E1002" t="str">
            <v>Competitive Bidding</v>
          </cell>
          <cell r="F1002">
            <v>45454</v>
          </cell>
          <cell r="G1002">
            <v>45462</v>
          </cell>
          <cell r="H1002">
            <v>0</v>
          </cell>
          <cell r="I1002">
            <v>45475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588590</v>
          </cell>
          <cell r="AB1002">
            <v>0</v>
          </cell>
          <cell r="AC1002">
            <v>588590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</row>
        <row r="1003">
          <cell r="A1003" t="str">
            <v>24-2604</v>
          </cell>
          <cell r="B1003" t="str">
            <v>MEALS AND SNACKS WITH ACCOMMODATION</v>
          </cell>
          <cell r="C1003" t="str">
            <v>PAO</v>
          </cell>
          <cell r="D1003" t="str">
            <v>No</v>
          </cell>
          <cell r="E1003" t="str">
            <v>Competitive Bidding</v>
          </cell>
          <cell r="F1003" t="str">
            <v>N/A</v>
          </cell>
          <cell r="G1003">
            <v>45455</v>
          </cell>
          <cell r="H1003">
            <v>0</v>
          </cell>
          <cell r="I1003" t="str">
            <v>N/A</v>
          </cell>
          <cell r="J1003">
            <v>45468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560000</v>
          </cell>
          <cell r="AB1003">
            <v>0</v>
          </cell>
          <cell r="AC1003">
            <v>560000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</row>
        <row r="1004">
          <cell r="A1004" t="str">
            <v>24-3279</v>
          </cell>
          <cell r="B1004" t="str">
            <v>LAPTOP (CLERICAL WORK)</v>
          </cell>
          <cell r="C1004" t="str">
            <v>PGO</v>
          </cell>
          <cell r="D1004" t="str">
            <v>No</v>
          </cell>
          <cell r="E1004" t="str">
            <v>Competitive Bidding</v>
          </cell>
          <cell r="F1004" t="str">
            <v>N/A</v>
          </cell>
          <cell r="G1004">
            <v>45462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468000</v>
          </cell>
          <cell r="AB1004">
            <v>0</v>
          </cell>
          <cell r="AC1004">
            <v>468000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</row>
        <row r="1005">
          <cell r="A1005" t="str">
            <v>24-3368</v>
          </cell>
          <cell r="B1005" t="str">
            <v>MEDICAL, DENTAL AND LABORATORY EQUIPMENT</v>
          </cell>
          <cell r="C1005" t="str">
            <v>PHO</v>
          </cell>
          <cell r="D1005" t="str">
            <v>No</v>
          </cell>
          <cell r="E1005" t="str">
            <v>Competitive Bidding</v>
          </cell>
          <cell r="F1005" t="str">
            <v>N/A</v>
          </cell>
          <cell r="G1005">
            <v>45462</v>
          </cell>
          <cell r="H1005">
            <v>0</v>
          </cell>
          <cell r="I1005" t="str">
            <v>N/A</v>
          </cell>
          <cell r="J1005">
            <v>45475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827000</v>
          </cell>
          <cell r="AB1005">
            <v>0</v>
          </cell>
          <cell r="AC1005">
            <v>827000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</row>
        <row r="1006">
          <cell r="A1006" t="str">
            <v>24-C1482</v>
          </cell>
          <cell r="B1006" t="str">
            <v>MEDICAL SUPPLIES</v>
          </cell>
          <cell r="C1006" t="str">
            <v>PDRRMO</v>
          </cell>
          <cell r="D1006" t="str">
            <v>No</v>
          </cell>
          <cell r="E1006" t="str">
            <v>Competitive Bidding</v>
          </cell>
          <cell r="F1006" t="str">
            <v>N/A</v>
          </cell>
          <cell r="G1006">
            <v>45462</v>
          </cell>
          <cell r="H1006">
            <v>0</v>
          </cell>
          <cell r="I1006" t="str">
            <v>N/A</v>
          </cell>
          <cell r="J1006">
            <v>45475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265105</v>
          </cell>
          <cell r="AB1006">
            <v>0</v>
          </cell>
          <cell r="AC1006">
            <v>265105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</row>
        <row r="1007">
          <cell r="A1007" t="str">
            <v>24-C1486</v>
          </cell>
          <cell r="B1007" t="str">
            <v xml:space="preserve">AGRICULTURAL SUPPLIES
</v>
          </cell>
          <cell r="C1007" t="str">
            <v>PDRRMO</v>
          </cell>
          <cell r="D1007" t="str">
            <v>No</v>
          </cell>
          <cell r="E1007" t="str">
            <v>Competitive Bidding</v>
          </cell>
          <cell r="F1007" t="str">
            <v>N/A</v>
          </cell>
          <cell r="G1007">
            <v>45462</v>
          </cell>
          <cell r="H1007">
            <v>0</v>
          </cell>
          <cell r="I1007" t="str">
            <v>N/A</v>
          </cell>
          <cell r="J1007">
            <v>45475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385110</v>
          </cell>
          <cell r="AB1007">
            <v>0</v>
          </cell>
          <cell r="AC1007">
            <v>385110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</row>
        <row r="1008">
          <cell r="A1008" t="str">
            <v>24-3356</v>
          </cell>
          <cell r="B1008" t="str">
            <v>RICE (WELL MILLED) 50KG/SACK</v>
          </cell>
          <cell r="C1008" t="str">
            <v>PDRRMO</v>
          </cell>
          <cell r="D1008" t="str">
            <v>No</v>
          </cell>
          <cell r="E1008" t="str">
            <v>Competitive Bidding</v>
          </cell>
          <cell r="F1008" t="str">
            <v>N/A</v>
          </cell>
          <cell r="G1008">
            <v>45462</v>
          </cell>
          <cell r="H1008">
            <v>0</v>
          </cell>
          <cell r="I1008" t="str">
            <v>N/A</v>
          </cell>
          <cell r="J1008">
            <v>45475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300000</v>
          </cell>
          <cell r="AB1008">
            <v>0</v>
          </cell>
          <cell r="AC1008">
            <v>300000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</row>
        <row r="1009">
          <cell r="A1009" t="str">
            <v>24-C1488</v>
          </cell>
          <cell r="B1009" t="str">
            <v>MEALS AND SNACKS</v>
          </cell>
          <cell r="C1009" t="str">
            <v>PDRRMO</v>
          </cell>
          <cell r="D1009" t="str">
            <v>No</v>
          </cell>
          <cell r="E1009" t="str">
            <v>Competitive Bidding</v>
          </cell>
          <cell r="F1009" t="str">
            <v>N/A</v>
          </cell>
          <cell r="G1009">
            <v>45462</v>
          </cell>
          <cell r="H1009">
            <v>0</v>
          </cell>
          <cell r="I1009" t="str">
            <v>N/A</v>
          </cell>
          <cell r="J1009">
            <v>45475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274580</v>
          </cell>
          <cell r="AB1009">
            <v>0</v>
          </cell>
          <cell r="AC1009">
            <v>274580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</row>
        <row r="1010">
          <cell r="A1010" t="str">
            <v>24-3110</v>
          </cell>
          <cell r="B1010" t="str">
            <v>MEALS AND SNACKS</v>
          </cell>
          <cell r="C1010" t="str">
            <v>PGO</v>
          </cell>
          <cell r="D1010" t="str">
            <v>No</v>
          </cell>
          <cell r="E1010" t="str">
            <v>Competitive Bidding</v>
          </cell>
          <cell r="F1010" t="str">
            <v>N/A</v>
          </cell>
          <cell r="G1010">
            <v>45462</v>
          </cell>
          <cell r="H1010">
            <v>0</v>
          </cell>
          <cell r="I1010" t="str">
            <v>N/A</v>
          </cell>
          <cell r="J1010">
            <v>45475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395000</v>
          </cell>
          <cell r="AB1010">
            <v>0</v>
          </cell>
          <cell r="AC1010">
            <v>395000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</row>
        <row r="1011">
          <cell r="A1011" t="str">
            <v>24-C1402</v>
          </cell>
          <cell r="B1011" t="str">
            <v>MEALS AND SNACKS</v>
          </cell>
          <cell r="C1011" t="str">
            <v>PGO</v>
          </cell>
          <cell r="D1011" t="str">
            <v>No</v>
          </cell>
          <cell r="E1011" t="str">
            <v>Competitive Bidding</v>
          </cell>
          <cell r="F1011" t="str">
            <v>N/A</v>
          </cell>
          <cell r="G1011">
            <v>45462</v>
          </cell>
          <cell r="H1011">
            <v>0</v>
          </cell>
          <cell r="I1011" t="str">
            <v>N/A</v>
          </cell>
          <cell r="J1011">
            <v>45475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690590</v>
          </cell>
          <cell r="AB1011">
            <v>0</v>
          </cell>
          <cell r="AC1011">
            <v>690590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</row>
        <row r="1012">
          <cell r="A1012" t="str">
            <v>24-C1440</v>
          </cell>
          <cell r="B1012" t="str">
            <v>MEALS AND SNACKS WITH VENUE</v>
          </cell>
          <cell r="C1012" t="str">
            <v>PGO</v>
          </cell>
          <cell r="D1012" t="str">
            <v>No</v>
          </cell>
          <cell r="E1012" t="str">
            <v>Competitive Bidding</v>
          </cell>
          <cell r="F1012" t="str">
            <v>N/A</v>
          </cell>
          <cell r="G1012">
            <v>45462</v>
          </cell>
          <cell r="H1012">
            <v>0</v>
          </cell>
          <cell r="I1012" t="str">
            <v>N/A</v>
          </cell>
          <cell r="J1012">
            <v>45475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404700</v>
          </cell>
          <cell r="AB1012">
            <v>0</v>
          </cell>
          <cell r="AC1012">
            <v>404700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</row>
        <row r="1013">
          <cell r="A1013" t="str">
            <v>24-C1512</v>
          </cell>
          <cell r="B1013" t="str">
            <v>MEALS AND SNACKS WITH VENUE</v>
          </cell>
          <cell r="C1013" t="str">
            <v>PAGRO</v>
          </cell>
          <cell r="D1013" t="str">
            <v>No</v>
          </cell>
          <cell r="E1013" t="str">
            <v>Competitive Bidding</v>
          </cell>
          <cell r="F1013" t="str">
            <v>N/A</v>
          </cell>
          <cell r="G1013">
            <v>45462</v>
          </cell>
          <cell r="H1013">
            <v>0</v>
          </cell>
          <cell r="I1013" t="str">
            <v>N/A</v>
          </cell>
          <cell r="J1013">
            <v>45475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501280</v>
          </cell>
          <cell r="AB1013">
            <v>0</v>
          </cell>
          <cell r="AC1013">
            <v>501280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</row>
        <row r="1014">
          <cell r="A1014" t="str">
            <v>24-C1435</v>
          </cell>
          <cell r="B1014" t="str">
            <v>MEALS AND SNACKS WITH VENUE</v>
          </cell>
          <cell r="C1014" t="str">
            <v>PHO</v>
          </cell>
          <cell r="D1014" t="str">
            <v>No</v>
          </cell>
          <cell r="E1014" t="str">
            <v>Competitive Bidding</v>
          </cell>
          <cell r="F1014" t="str">
            <v>N/A</v>
          </cell>
          <cell r="G1014">
            <v>45462</v>
          </cell>
          <cell r="H1014">
            <v>0</v>
          </cell>
          <cell r="I1014" t="str">
            <v>N/A</v>
          </cell>
          <cell r="J1014">
            <v>45475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268400</v>
          </cell>
          <cell r="AB1014">
            <v>0</v>
          </cell>
          <cell r="AC1014">
            <v>268400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</row>
        <row r="1015">
          <cell r="A1015" t="str">
            <v>24-C1437</v>
          </cell>
          <cell r="B1015" t="str">
            <v xml:space="preserve">MEALS AND SNACKS </v>
          </cell>
          <cell r="C1015" t="str">
            <v>PGO</v>
          </cell>
          <cell r="D1015" t="str">
            <v>No</v>
          </cell>
          <cell r="E1015" t="str">
            <v>Competitive Bidding</v>
          </cell>
          <cell r="F1015" t="str">
            <v>N/A</v>
          </cell>
          <cell r="G1015">
            <v>45462</v>
          </cell>
          <cell r="H1015">
            <v>0</v>
          </cell>
          <cell r="I1015" t="str">
            <v>N/A</v>
          </cell>
          <cell r="J1015">
            <v>45475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455850</v>
          </cell>
          <cell r="AB1015">
            <v>0</v>
          </cell>
          <cell r="AC1015">
            <v>455850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</row>
        <row r="1016">
          <cell r="A1016" t="str">
            <v>24-C1390</v>
          </cell>
          <cell r="B1016" t="str">
            <v xml:space="preserve">JANITORIAL SUPPLIES </v>
          </cell>
          <cell r="C1016" t="str">
            <v>PEEMO</v>
          </cell>
          <cell r="D1016" t="str">
            <v>No</v>
          </cell>
          <cell r="E1016" t="str">
            <v>Competitive Bidding</v>
          </cell>
          <cell r="F1016" t="str">
            <v>N/A</v>
          </cell>
          <cell r="G1016">
            <v>45467</v>
          </cell>
          <cell r="H1016">
            <v>0</v>
          </cell>
          <cell r="I1016">
            <v>45475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1524630</v>
          </cell>
          <cell r="AB1016">
            <v>0</v>
          </cell>
          <cell r="AC1016">
            <v>1524630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</row>
        <row r="1017">
          <cell r="A1017" t="str">
            <v>24-C1450</v>
          </cell>
          <cell r="B1017" t="str">
            <v xml:space="preserve">JANITORIAL SUPPLIES </v>
          </cell>
          <cell r="C1017" t="str">
            <v>PDRRMO</v>
          </cell>
          <cell r="D1017" t="str">
            <v>No</v>
          </cell>
          <cell r="E1017" t="str">
            <v>Competitive Bidding</v>
          </cell>
          <cell r="F1017" t="str">
            <v>N/A</v>
          </cell>
          <cell r="G1017">
            <v>45467</v>
          </cell>
          <cell r="H1017">
            <v>0</v>
          </cell>
          <cell r="I1017">
            <v>45475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1044600</v>
          </cell>
          <cell r="AB1017">
            <v>0</v>
          </cell>
          <cell r="AC1017">
            <v>1044600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</row>
        <row r="1018">
          <cell r="A1018" t="str">
            <v>24-C1396</v>
          </cell>
          <cell r="B1018" t="str">
            <v xml:space="preserve">RICE (WELL MILLED) 50KG/SACK </v>
          </cell>
          <cell r="C1018" t="str">
            <v>PEEMO</v>
          </cell>
          <cell r="D1018" t="str">
            <v>No</v>
          </cell>
          <cell r="E1018" t="str">
            <v>Competitive Bidding</v>
          </cell>
          <cell r="F1018" t="str">
            <v>N/A</v>
          </cell>
          <cell r="G1018">
            <v>45467</v>
          </cell>
          <cell r="H1018">
            <v>0</v>
          </cell>
          <cell r="I1018">
            <v>45475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1083000</v>
          </cell>
          <cell r="AB1018">
            <v>0</v>
          </cell>
          <cell r="AC1018">
            <v>1083000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</row>
        <row r="1019">
          <cell r="A1019" t="str">
            <v>24-C1478</v>
          </cell>
          <cell r="B1019" t="str">
            <v xml:space="preserve">MEALS AND SNACKS WITH ACCOMMODATION </v>
          </cell>
          <cell r="C1019" t="str">
            <v>PHO</v>
          </cell>
          <cell r="D1019" t="str">
            <v>No</v>
          </cell>
          <cell r="E1019" t="str">
            <v>Competitive Bidding</v>
          </cell>
          <cell r="F1019" t="str">
            <v>N/A</v>
          </cell>
          <cell r="G1019">
            <v>45467</v>
          </cell>
          <cell r="H1019">
            <v>0</v>
          </cell>
          <cell r="I1019">
            <v>45475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1282500</v>
          </cell>
          <cell r="AB1019">
            <v>0</v>
          </cell>
          <cell r="AC1019">
            <v>1282500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</row>
        <row r="1020">
          <cell r="A1020" t="str">
            <v>24-C1479</v>
          </cell>
          <cell r="B1020" t="str">
            <v xml:space="preserve">MEALS AND SNACKS </v>
          </cell>
          <cell r="C1020" t="str">
            <v>PHO</v>
          </cell>
          <cell r="D1020" t="str">
            <v>No</v>
          </cell>
          <cell r="E1020" t="str">
            <v>Competitive Bidding</v>
          </cell>
          <cell r="F1020" t="str">
            <v>N/A</v>
          </cell>
          <cell r="G1020">
            <v>45467</v>
          </cell>
          <cell r="H1020">
            <v>0</v>
          </cell>
          <cell r="I1020">
            <v>45475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1418400</v>
          </cell>
          <cell r="AB1020">
            <v>0</v>
          </cell>
          <cell r="AC1020">
            <v>1418400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</row>
        <row r="1021">
          <cell r="A1021" t="str">
            <v>24-1824</v>
          </cell>
          <cell r="B1021" t="str">
            <v>JOB ORDER: SUPPLY, LABOR AND INSTALLATION AT RADIO STATION (PHASE 1)</v>
          </cell>
          <cell r="C1021" t="str">
            <v>PAO-
IPRD</v>
          </cell>
          <cell r="D1021" t="str">
            <v>No</v>
          </cell>
          <cell r="E1021" t="str">
            <v>Competitive Bidding</v>
          </cell>
          <cell r="F1021" t="str">
            <v>N/A</v>
          </cell>
          <cell r="G1021">
            <v>45467</v>
          </cell>
          <cell r="H1021">
            <v>0</v>
          </cell>
          <cell r="I1021">
            <v>45475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3655000</v>
          </cell>
          <cell r="AB1021">
            <v>0</v>
          </cell>
          <cell r="AC1021">
            <v>3655000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</row>
        <row r="1022">
          <cell r="A1022" t="str">
            <v>24-C1348</v>
          </cell>
          <cell r="B1022" t="str">
            <v>COLORED PRINTER AND BINDING MACHINE</v>
          </cell>
          <cell r="C1022" t="str">
            <v>PBO</v>
          </cell>
          <cell r="D1022" t="str">
            <v>No</v>
          </cell>
          <cell r="E1022" t="str">
            <v>Competitive Bidding</v>
          </cell>
          <cell r="F1022">
            <v>45461</v>
          </cell>
          <cell r="G1022">
            <v>45467</v>
          </cell>
          <cell r="H1022">
            <v>0</v>
          </cell>
          <cell r="I1022" t="str">
            <v>N/A</v>
          </cell>
          <cell r="J1022">
            <v>45475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291000</v>
          </cell>
          <cell r="AB1022">
            <v>0</v>
          </cell>
          <cell r="AC1022">
            <v>291000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</row>
        <row r="1023">
          <cell r="A1023" t="str">
            <v>24-C1438</v>
          </cell>
          <cell r="B1023" t="str">
            <v xml:space="preserve">FOOD SUPPLIES </v>
          </cell>
          <cell r="C1023" t="str">
            <v>PGO</v>
          </cell>
          <cell r="D1023" t="str">
            <v>No</v>
          </cell>
          <cell r="E1023" t="str">
            <v>Competitive Bidding</v>
          </cell>
          <cell r="F1023">
            <v>45461</v>
          </cell>
          <cell r="G1023">
            <v>45467</v>
          </cell>
          <cell r="H1023">
            <v>0</v>
          </cell>
          <cell r="I1023">
            <v>45475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3047840</v>
          </cell>
          <cell r="AB1023">
            <v>0</v>
          </cell>
          <cell r="AC1023">
            <v>3047840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</row>
        <row r="1024">
          <cell r="A1024" t="str">
            <v>24-2651</v>
          </cell>
          <cell r="B1024" t="str">
            <v xml:space="preserve">FOOD SUPPLIES </v>
          </cell>
          <cell r="C1024" t="str">
            <v>PSWDO</v>
          </cell>
          <cell r="D1024" t="str">
            <v>No</v>
          </cell>
          <cell r="E1024" t="str">
            <v>Competitive Bidding</v>
          </cell>
          <cell r="F1024">
            <v>45461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2903840</v>
          </cell>
          <cell r="AB1024">
            <v>0</v>
          </cell>
          <cell r="AC1024">
            <v>2903840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</row>
        <row r="1025">
          <cell r="A1025" t="str">
            <v>24-3212</v>
          </cell>
          <cell r="B1025" t="str">
            <v>COMPUTER SET WITH COMPLETE ACCESSORIES  AND LAPTOP</v>
          </cell>
          <cell r="C1025" t="str">
            <v>PGO</v>
          </cell>
          <cell r="D1025" t="str">
            <v>No</v>
          </cell>
          <cell r="E1025" t="str">
            <v>Competitive Bidding</v>
          </cell>
          <cell r="F1025">
            <v>45461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123000</v>
          </cell>
          <cell r="AB1025">
            <v>0</v>
          </cell>
          <cell r="AC1025">
            <v>123000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</row>
        <row r="1026">
          <cell r="A1026" t="str">
            <v>24-C1446</v>
          </cell>
          <cell r="B1026" t="str">
            <v>COMPUTER SET WITH COMPLETE ACCESSORIES  AND LAPTOP</v>
          </cell>
          <cell r="C1026" t="str">
            <v>PSWDO</v>
          </cell>
          <cell r="D1026" t="str">
            <v>No</v>
          </cell>
          <cell r="E1026" t="str">
            <v>Competitive Bidding</v>
          </cell>
          <cell r="F1026">
            <v>45461</v>
          </cell>
          <cell r="G1026">
            <v>45467</v>
          </cell>
          <cell r="H1026">
            <v>0</v>
          </cell>
          <cell r="I1026" t="str">
            <v>N/A</v>
          </cell>
          <cell r="J1026">
            <v>45475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162000</v>
          </cell>
          <cell r="AB1026">
            <v>0</v>
          </cell>
          <cell r="AC1026">
            <v>162000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</row>
        <row r="1027">
          <cell r="A1027" t="str">
            <v>24-3282</v>
          </cell>
          <cell r="B1027" t="str">
            <v>LIVE AMMUNITIION FOR 9MM CALIBER</v>
          </cell>
          <cell r="C1027" t="str">
            <v>PGO-PS</v>
          </cell>
          <cell r="D1027" t="str">
            <v>No</v>
          </cell>
          <cell r="E1027" t="str">
            <v>Competitive Bidding</v>
          </cell>
          <cell r="F1027">
            <v>45461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340560</v>
          </cell>
          <cell r="AB1027">
            <v>0</v>
          </cell>
          <cell r="AC1027">
            <v>340560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</row>
        <row r="1028">
          <cell r="A1028" t="str">
            <v>24-C1469</v>
          </cell>
          <cell r="B1028" t="str">
            <v>OFFICE EQUIPMENT</v>
          </cell>
          <cell r="C1028" t="str">
            <v>PAGRO</v>
          </cell>
          <cell r="D1028" t="str">
            <v>No</v>
          </cell>
          <cell r="E1028" t="str">
            <v>Competitive Bidding</v>
          </cell>
          <cell r="F1028">
            <v>45461</v>
          </cell>
          <cell r="G1028">
            <v>45467</v>
          </cell>
          <cell r="H1028">
            <v>0</v>
          </cell>
          <cell r="I1028" t="str">
            <v>N/A</v>
          </cell>
          <cell r="J1028">
            <v>45475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131600</v>
          </cell>
          <cell r="AB1028">
            <v>0</v>
          </cell>
          <cell r="AC1028">
            <v>131600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</row>
        <row r="1029">
          <cell r="A1029" t="str">
            <v>24-3252</v>
          </cell>
          <cell r="B1029" t="str">
            <v>MOBILE KITCHEN FACILITY (BRAND NEW)</v>
          </cell>
          <cell r="C1029" t="str">
            <v>PDRRMO</v>
          </cell>
          <cell r="D1029" t="str">
            <v>No</v>
          </cell>
          <cell r="E1029" t="str">
            <v>Competitive Bidding</v>
          </cell>
          <cell r="F1029">
            <v>45461</v>
          </cell>
          <cell r="G1029">
            <v>45467</v>
          </cell>
          <cell r="H1029">
            <v>0</v>
          </cell>
          <cell r="I1029">
            <v>45475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4482023.84</v>
          </cell>
          <cell r="AB1029">
            <v>0</v>
          </cell>
          <cell r="AC1029">
            <v>4482023.84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</row>
        <row r="1030">
          <cell r="A1030" t="str">
            <v>24-3220</v>
          </cell>
          <cell r="B1030" t="str">
            <v>MINI DUMPTRUCK</v>
          </cell>
          <cell r="C1030" t="str">
            <v>PDRRMO</v>
          </cell>
          <cell r="D1030" t="str">
            <v>No</v>
          </cell>
          <cell r="E1030" t="str">
            <v>Competitive Bidding</v>
          </cell>
          <cell r="F1030">
            <v>45461</v>
          </cell>
          <cell r="G1030">
            <v>45467</v>
          </cell>
          <cell r="H1030">
            <v>0</v>
          </cell>
          <cell r="I1030">
            <v>45475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2000000</v>
          </cell>
          <cell r="AB1030">
            <v>0</v>
          </cell>
          <cell r="AC1030">
            <v>2000000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</row>
        <row r="1031">
          <cell r="A1031" t="str">
            <v>24-3219</v>
          </cell>
          <cell r="B1031" t="str">
            <v>LIVESTOCK VEHICLE
(DUMP TRUCK)</v>
          </cell>
          <cell r="C1031" t="str">
            <v>PDRRMO</v>
          </cell>
          <cell r="D1031" t="str">
            <v>No</v>
          </cell>
          <cell r="E1031" t="str">
            <v>Competitive Bidding</v>
          </cell>
          <cell r="F1031">
            <v>45461</v>
          </cell>
          <cell r="G1031">
            <v>45467</v>
          </cell>
          <cell r="H1031">
            <v>0</v>
          </cell>
          <cell r="I1031">
            <v>45475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3700000</v>
          </cell>
          <cell r="AB1031">
            <v>0</v>
          </cell>
          <cell r="AC1031">
            <v>3700000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</row>
        <row r="1032">
          <cell r="A1032" t="str">
            <v>24-C1413</v>
          </cell>
          <cell r="B1032" t="str">
            <v>RICE (WELL MILLED) 50KG/SACK</v>
          </cell>
          <cell r="C1032" t="str">
            <v>PGO</v>
          </cell>
          <cell r="D1032" t="str">
            <v>No</v>
          </cell>
          <cell r="E1032" t="str">
            <v>Competitive Bidding</v>
          </cell>
          <cell r="F1032">
            <v>45461</v>
          </cell>
          <cell r="G1032">
            <v>45467</v>
          </cell>
          <cell r="H1032">
            <v>0</v>
          </cell>
          <cell r="I1032">
            <v>45475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3006000</v>
          </cell>
          <cell r="AB1032">
            <v>0</v>
          </cell>
          <cell r="AC1032">
            <v>3006000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</row>
        <row r="1033">
          <cell r="A1033" t="str">
            <v>24-C1468</v>
          </cell>
          <cell r="B1033" t="str">
            <v>MEALS AND SNACKS WITH ACCOMMODATION</v>
          </cell>
          <cell r="C1033" t="str">
            <v>PHO</v>
          </cell>
          <cell r="D1033" t="str">
            <v>No</v>
          </cell>
          <cell r="E1033" t="str">
            <v>Competitive Bidding</v>
          </cell>
          <cell r="F1033">
            <v>45468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364800</v>
          </cell>
          <cell r="AB1033">
            <v>0</v>
          </cell>
          <cell r="AC1033">
            <v>364800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</row>
        <row r="1034">
          <cell r="A1034" t="str">
            <v>24-C1473</v>
          </cell>
          <cell r="B1034" t="str">
            <v xml:space="preserve">SPAREPARTS (HEAVY EQUIPMENT) </v>
          </cell>
          <cell r="C1034" t="str">
            <v>PEO</v>
          </cell>
          <cell r="D1034" t="str">
            <v>No</v>
          </cell>
          <cell r="E1034" t="str">
            <v>Competitive Bidding</v>
          </cell>
          <cell r="F1034">
            <v>45468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3676700</v>
          </cell>
          <cell r="AB1034">
            <v>0</v>
          </cell>
          <cell r="AC1034">
            <v>3676700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</row>
        <row r="1035">
          <cell r="A1035" t="str">
            <v>24-C1453</v>
          </cell>
          <cell r="B1035" t="str">
            <v>MEALS AND SNACKS WITH ACCOMMODATION</v>
          </cell>
          <cell r="C1035" t="str">
            <v>PGO</v>
          </cell>
          <cell r="D1035" t="str">
            <v>No</v>
          </cell>
          <cell r="E1035" t="str">
            <v>Competitive Bidding</v>
          </cell>
          <cell r="F1035">
            <v>45468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460000</v>
          </cell>
          <cell r="AB1035">
            <v>0</v>
          </cell>
          <cell r="AC1035">
            <v>460000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</row>
        <row r="1036">
          <cell r="A1036" t="str">
            <v>24-C1487</v>
          </cell>
          <cell r="B1036" t="str">
            <v>LABORATORY SUPPLIES</v>
          </cell>
          <cell r="C1036" t="str">
            <v>PDRRMO</v>
          </cell>
          <cell r="D1036" t="str">
            <v>No</v>
          </cell>
          <cell r="E1036" t="str">
            <v>Competitive Bidding</v>
          </cell>
          <cell r="F1036">
            <v>45468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422941.6</v>
          </cell>
          <cell r="AB1036">
            <v>0</v>
          </cell>
          <cell r="AC1036">
            <v>422941.6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</row>
        <row r="1037">
          <cell r="A1037" t="str">
            <v>24-3339</v>
          </cell>
          <cell r="B1037" t="str">
            <v>OFFICE EQUIPMENT</v>
          </cell>
          <cell r="C1037" t="str">
            <v>PPDO</v>
          </cell>
          <cell r="D1037" t="str">
            <v>No</v>
          </cell>
          <cell r="E1037" t="str">
            <v>Competitive Bidding</v>
          </cell>
          <cell r="F1037">
            <v>45468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215900</v>
          </cell>
          <cell r="AB1037">
            <v>0</v>
          </cell>
          <cell r="AC1037">
            <v>215900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</row>
        <row r="1038">
          <cell r="A1038" t="str">
            <v>24-3789</v>
          </cell>
          <cell r="B1038" t="str">
            <v>RICE (WELL-MILLED) 50KG/SACK</v>
          </cell>
          <cell r="C1038" t="str">
            <v>PGO</v>
          </cell>
          <cell r="D1038" t="str">
            <v>No</v>
          </cell>
          <cell r="E1038" t="str">
            <v>Competitive Bidding</v>
          </cell>
          <cell r="F1038">
            <v>45468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462000</v>
          </cell>
          <cell r="AB1038">
            <v>0</v>
          </cell>
          <cell r="AC1038">
            <v>462000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</row>
        <row r="1039">
          <cell r="A1039" t="str">
            <v>24-C1542</v>
          </cell>
          <cell r="B1039" t="str">
            <v>FUEL, OIL AND LUBRICANTS</v>
          </cell>
          <cell r="C1039" t="str">
            <v>PGSO</v>
          </cell>
          <cell r="D1039" t="str">
            <v>No</v>
          </cell>
          <cell r="E1039" t="str">
            <v>Competitive Bidding</v>
          </cell>
          <cell r="F1039">
            <v>45468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2788919.67</v>
          </cell>
          <cell r="AB1039">
            <v>0</v>
          </cell>
          <cell r="AC1039">
            <v>2788919.67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</row>
        <row r="1040">
          <cell r="A1040" t="str">
            <v>24-1882</v>
          </cell>
          <cell r="B1040" t="str">
            <v>STAINLESS STEEL COFFEE BEAN SORTER</v>
          </cell>
          <cell r="C1040" t="str">
            <v>PAGRO</v>
          </cell>
          <cell r="D1040" t="str">
            <v>No</v>
          </cell>
          <cell r="E1040" t="str">
            <v>Competitive Bidding</v>
          </cell>
          <cell r="F1040">
            <v>45468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291500</v>
          </cell>
          <cell r="AB1040">
            <v>0</v>
          </cell>
          <cell r="AC1040">
            <v>291500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</row>
        <row r="1041">
          <cell r="A1041" t="str">
            <v>24-3703</v>
          </cell>
          <cell r="B1041" t="str">
            <v>CU 5060I INCLINED CUTTER WITH 720 BAR WORKING PRESSURE, 205MM CUTIING OPENING, 1765KN CUTTING FORCE, 19.8 KG WEIGHT, 820 X 342 X 285 MM DIMENSIONS,  47MM ROUND BAR, EN13204</v>
          </cell>
          <cell r="C1041" t="str">
            <v>PDRRMO</v>
          </cell>
          <cell r="D1041" t="str">
            <v>No</v>
          </cell>
          <cell r="E1041" t="str">
            <v>Competitive Bidding</v>
          </cell>
          <cell r="F1041">
            <v>45468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1489000</v>
          </cell>
          <cell r="AB1041">
            <v>0</v>
          </cell>
          <cell r="AC1041">
            <v>1489000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</row>
        <row r="1042">
          <cell r="A1042" t="str">
            <v>24-C1472</v>
          </cell>
          <cell r="B1042" t="str">
            <v>LUBRICANTS</v>
          </cell>
          <cell r="C1042" t="str">
            <v>PEO</v>
          </cell>
          <cell r="D1042" t="str">
            <v>No</v>
          </cell>
          <cell r="E1042" t="str">
            <v>Competitive Bidding</v>
          </cell>
          <cell r="F1042">
            <v>45468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2644808</v>
          </cell>
          <cell r="AB1042">
            <v>0</v>
          </cell>
          <cell r="AC1042">
            <v>2644808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</row>
        <row r="1043">
          <cell r="A1043" t="str">
            <v>24-C1451</v>
          </cell>
          <cell r="B1043" t="str">
            <v>GROCERY SUPPLIES</v>
          </cell>
          <cell r="C1043" t="str">
            <v>PDRRMO</v>
          </cell>
          <cell r="D1043" t="str">
            <v>No</v>
          </cell>
          <cell r="E1043" t="str">
            <v>Competitive Bidding</v>
          </cell>
          <cell r="F1043">
            <v>45468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392436</v>
          </cell>
          <cell r="AB1043">
            <v>0</v>
          </cell>
          <cell r="AC1043">
            <v>392436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</row>
        <row r="1044">
          <cell r="A1044" t="str">
            <v>24-2986</v>
          </cell>
          <cell r="B1044" t="str">
            <v>GEMELINA LUMBER OR EQUIVALENT</v>
          </cell>
          <cell r="C1044" t="str">
            <v>PEO</v>
          </cell>
          <cell r="D1044" t="str">
            <v>No</v>
          </cell>
          <cell r="E1044" t="str">
            <v>Competitive Bidding</v>
          </cell>
          <cell r="F1044">
            <v>45468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859222.98</v>
          </cell>
          <cell r="AB1044">
            <v>0</v>
          </cell>
          <cell r="AC1044">
            <v>859222.98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</row>
        <row r="1045">
          <cell r="A1045" t="str">
            <v>24-C1422</v>
          </cell>
          <cell r="B1045" t="str">
            <v>FLUIDS</v>
          </cell>
          <cell r="C1045" t="str">
            <v>PEEMO</v>
          </cell>
          <cell r="D1045" t="str">
            <v>No</v>
          </cell>
          <cell r="E1045" t="str">
            <v>Competitive Bidding</v>
          </cell>
          <cell r="F1045" t="str">
            <v>N/A</v>
          </cell>
          <cell r="G1045">
            <v>45467</v>
          </cell>
          <cell r="H1045">
            <v>0</v>
          </cell>
          <cell r="I1045" t="str">
            <v>N/A</v>
          </cell>
          <cell r="J1045">
            <v>45475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425620</v>
          </cell>
          <cell r="AB1045">
            <v>0</v>
          </cell>
          <cell r="AC1045">
            <v>425620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</row>
        <row r="1046">
          <cell r="A1046" t="str">
            <v>24-C1387</v>
          </cell>
          <cell r="B1046" t="str">
            <v>LABORATORY SUPPLIES</v>
          </cell>
          <cell r="C1046" t="str">
            <v>PEEMO</v>
          </cell>
          <cell r="D1046" t="str">
            <v>No</v>
          </cell>
          <cell r="E1046" t="str">
            <v>Competitive Bidding</v>
          </cell>
          <cell r="F1046" t="str">
            <v>N/A</v>
          </cell>
          <cell r="G1046">
            <v>45467</v>
          </cell>
          <cell r="H1046">
            <v>0</v>
          </cell>
          <cell r="I1046" t="str">
            <v>N/A</v>
          </cell>
          <cell r="J1046">
            <v>45475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976294</v>
          </cell>
          <cell r="AB1046">
            <v>0</v>
          </cell>
          <cell r="AC1046">
            <v>976294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</row>
        <row r="1047">
          <cell r="A1047" t="str">
            <v>24-C1474</v>
          </cell>
          <cell r="B1047" t="str">
            <v>VEHICLE SPAREPARTS</v>
          </cell>
          <cell r="C1047" t="str">
            <v>PEO</v>
          </cell>
          <cell r="D1047" t="str">
            <v>No</v>
          </cell>
          <cell r="E1047" t="str">
            <v>Competitive Bidding</v>
          </cell>
          <cell r="F1047" t="str">
            <v>N/A</v>
          </cell>
          <cell r="G1047">
            <v>45467</v>
          </cell>
          <cell r="H1047">
            <v>0</v>
          </cell>
          <cell r="I1047" t="str">
            <v>N/A</v>
          </cell>
          <cell r="J1047">
            <v>45475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600600</v>
          </cell>
          <cell r="AB1047">
            <v>0</v>
          </cell>
          <cell r="AC1047">
            <v>600600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</row>
        <row r="1048">
          <cell r="A1048" t="str">
            <v>24-C1530</v>
          </cell>
          <cell r="B1048" t="str">
            <v>SPAREPARTS (LIGHT VEHICLE)</v>
          </cell>
          <cell r="C1048" t="str">
            <v>PGSO</v>
          </cell>
          <cell r="D1048" t="str">
            <v>No</v>
          </cell>
          <cell r="E1048" t="str">
            <v>Competitive Bidding</v>
          </cell>
          <cell r="F1048" t="str">
            <v>N/A</v>
          </cell>
          <cell r="G1048">
            <v>45467</v>
          </cell>
          <cell r="H1048">
            <v>0</v>
          </cell>
          <cell r="I1048" t="str">
            <v>N/A</v>
          </cell>
          <cell r="J1048">
            <v>45475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920686</v>
          </cell>
          <cell r="AB1048">
            <v>0</v>
          </cell>
          <cell r="AC1048">
            <v>920686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</row>
        <row r="1049">
          <cell r="A1049" t="str">
            <v>24-C1527</v>
          </cell>
          <cell r="B1049" t="str">
            <v>SPAREPARTS (HEAVY EQUIPMENT)</v>
          </cell>
          <cell r="C1049" t="str">
            <v>PGSO</v>
          </cell>
          <cell r="D1049" t="str">
            <v>No</v>
          </cell>
          <cell r="E1049" t="str">
            <v>Competitive Bidding</v>
          </cell>
          <cell r="F1049" t="str">
            <v>N/A</v>
          </cell>
          <cell r="G1049">
            <v>45467</v>
          </cell>
          <cell r="H1049">
            <v>0</v>
          </cell>
          <cell r="I1049" t="str">
            <v>N/A</v>
          </cell>
          <cell r="J1049">
            <v>45475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547615</v>
          </cell>
          <cell r="AB1049">
            <v>0</v>
          </cell>
          <cell r="AC1049">
            <v>547615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</row>
        <row r="1050">
          <cell r="A1050" t="str">
            <v>24-C1510</v>
          </cell>
          <cell r="B1050" t="str">
            <v>SPAREPARTS (HEAVY EQUIPMENT)</v>
          </cell>
          <cell r="C1050" t="str">
            <v>PEO</v>
          </cell>
          <cell r="D1050" t="str">
            <v>No</v>
          </cell>
          <cell r="E1050" t="str">
            <v>Competitive Bidding</v>
          </cell>
          <cell r="F1050" t="str">
            <v>N/A</v>
          </cell>
          <cell r="G1050">
            <v>45467</v>
          </cell>
          <cell r="H1050">
            <v>0</v>
          </cell>
          <cell r="I1050" t="str">
            <v>N/A</v>
          </cell>
          <cell r="J1050">
            <v>45475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851481</v>
          </cell>
          <cell r="AB1050">
            <v>0</v>
          </cell>
          <cell r="AC1050">
            <v>851481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</row>
        <row r="1051">
          <cell r="A1051" t="str">
            <v>24-C1492</v>
          </cell>
          <cell r="B1051" t="str">
            <v>DRUGS AND MEDICINES</v>
          </cell>
          <cell r="C1051" t="str">
            <v>PDRRMO</v>
          </cell>
          <cell r="D1051" t="str">
            <v>No</v>
          </cell>
          <cell r="E1051" t="str">
            <v>Competitive Bidding</v>
          </cell>
          <cell r="F1051" t="str">
            <v>N/A</v>
          </cell>
          <cell r="G1051">
            <v>45467</v>
          </cell>
          <cell r="H1051">
            <v>0</v>
          </cell>
          <cell r="I1051">
            <v>45475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1545471.8</v>
          </cell>
          <cell r="AB1051">
            <v>0</v>
          </cell>
          <cell r="AC1051">
            <v>1545471.8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</row>
        <row r="1052">
          <cell r="A1052" t="str">
            <v>24-C1443</v>
          </cell>
          <cell r="B1052" t="str">
            <v>MEALS AND SNACKS WITH ACCOMMODATION</v>
          </cell>
          <cell r="C1052" t="str">
            <v>PSWDO</v>
          </cell>
          <cell r="D1052" t="str">
            <v>No</v>
          </cell>
          <cell r="E1052" t="str">
            <v>Competitive Bidding</v>
          </cell>
          <cell r="F1052" t="str">
            <v>N/A</v>
          </cell>
          <cell r="G1052">
            <v>45467</v>
          </cell>
          <cell r="H1052">
            <v>0</v>
          </cell>
          <cell r="I1052">
            <v>45475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1150000</v>
          </cell>
          <cell r="AB1052">
            <v>0</v>
          </cell>
          <cell r="AC1052">
            <v>1150000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</row>
        <row r="1053">
          <cell r="A1053" t="str">
            <v>24-3207</v>
          </cell>
          <cell r="B1053" t="str">
            <v>MEALS AND SNACKS WITH ACCOMMODATION</v>
          </cell>
          <cell r="C1053" t="str">
            <v>PSWDO</v>
          </cell>
          <cell r="D1053" t="str">
            <v>No</v>
          </cell>
          <cell r="E1053" t="str">
            <v>Competitive Bidding</v>
          </cell>
          <cell r="F1053" t="str">
            <v>N/A</v>
          </cell>
          <cell r="G1053">
            <v>45467</v>
          </cell>
          <cell r="H1053">
            <v>0</v>
          </cell>
          <cell r="I1053">
            <v>45475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1472000</v>
          </cell>
          <cell r="AB1053">
            <v>0</v>
          </cell>
          <cell r="AC1053">
            <v>1472000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</row>
        <row r="1054">
          <cell r="A1054" t="str">
            <v>24-2091</v>
          </cell>
          <cell r="B1054" t="str">
            <v>BRAND NEW DUMP TRUCK; IMPORTED COMPLETE BUILT-UP UNIT; FORWARD CONTROL, LEFT HAND DRIVE, 4X4, 6 WHEELER, AIR CONDITIONED</v>
          </cell>
          <cell r="C1054" t="str">
            <v>PEO</v>
          </cell>
          <cell r="D1054" t="str">
            <v>No</v>
          </cell>
          <cell r="E1054" t="str">
            <v>Competitive Bidding</v>
          </cell>
          <cell r="F1054">
            <v>45387</v>
          </cell>
          <cell r="G1054">
            <v>45404</v>
          </cell>
          <cell r="H1054">
            <v>0</v>
          </cell>
          <cell r="I1054">
            <v>45412</v>
          </cell>
          <cell r="J1054">
            <v>45426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14850000</v>
          </cell>
          <cell r="AB1054">
            <v>0</v>
          </cell>
          <cell r="AC1054">
            <v>14850000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</row>
        <row r="1055">
          <cell r="A1055" t="str">
            <v>24-2133</v>
          </cell>
          <cell r="B1055" t="str">
            <v>LUMBER</v>
          </cell>
          <cell r="C1055" t="str">
            <v>PEO</v>
          </cell>
          <cell r="D1055" t="str">
            <v>No</v>
          </cell>
          <cell r="E1055" t="str">
            <v>NP-53.9 - Small Value Procurement</v>
          </cell>
          <cell r="F1055" t="str">
            <v>N/A</v>
          </cell>
          <cell r="G1055">
            <v>45461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77500</v>
          </cell>
          <cell r="AB1055">
            <v>0</v>
          </cell>
          <cell r="AC1055">
            <v>77500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</row>
        <row r="1056">
          <cell r="A1056" t="str">
            <v>24-2517</v>
          </cell>
          <cell r="B1056" t="str">
            <v>GUITAR AND MICROPHONE</v>
          </cell>
          <cell r="C1056" t="str">
            <v>PGO</v>
          </cell>
          <cell r="D1056" t="str">
            <v>No</v>
          </cell>
          <cell r="E1056" t="str">
            <v>NP-53.9 - Small Value Procurement</v>
          </cell>
          <cell r="F1056" t="str">
            <v>N/A</v>
          </cell>
          <cell r="G1056">
            <v>45422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13850</v>
          </cell>
          <cell r="AB1056">
            <v>0</v>
          </cell>
          <cell r="AC1056">
            <v>13850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</row>
        <row r="1057">
          <cell r="A1057" t="str">
            <v>24-2231</v>
          </cell>
          <cell r="B1057" t="str">
            <v xml:space="preserve">GROUP INSURANCE </v>
          </cell>
          <cell r="C1057" t="str">
            <v>PDRRMO</v>
          </cell>
          <cell r="D1057" t="str">
            <v>No</v>
          </cell>
          <cell r="E1057" t="str">
            <v>NP-53.9 - Small Value Procurement</v>
          </cell>
          <cell r="F1057" t="str">
            <v>N/A</v>
          </cell>
          <cell r="G1057">
            <v>45422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108000</v>
          </cell>
          <cell r="AB1057">
            <v>0</v>
          </cell>
          <cell r="AC1057">
            <v>108000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</row>
        <row r="1058">
          <cell r="A1058" t="str">
            <v>24-2410</v>
          </cell>
          <cell r="B1058" t="str">
            <v>Medical Kit</v>
          </cell>
          <cell r="C1058" t="str">
            <v>SEF</v>
          </cell>
          <cell r="D1058" t="str">
            <v>No</v>
          </cell>
          <cell r="E1058" t="str">
            <v>NP-53.9 - Small Value Procurement</v>
          </cell>
          <cell r="F1058">
            <v>45426</v>
          </cell>
          <cell r="G1058">
            <v>45429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1925</v>
          </cell>
          <cell r="AB1058">
            <v>0</v>
          </cell>
          <cell r="AC1058">
            <v>1925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</row>
        <row r="1059">
          <cell r="A1059" t="str">
            <v>24-2729</v>
          </cell>
          <cell r="B1059" t="str">
            <v>SPAREPARTS(MOTORCYLE)</v>
          </cell>
          <cell r="C1059" t="str">
            <v>PGSO</v>
          </cell>
          <cell r="D1059" t="str">
            <v>No</v>
          </cell>
          <cell r="E1059" t="str">
            <v>Shopping 52.1(a) - Unforeseen Contingency</v>
          </cell>
          <cell r="F1059">
            <v>45440</v>
          </cell>
          <cell r="G1059">
            <v>45442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14420</v>
          </cell>
          <cell r="AB1059">
            <v>0</v>
          </cell>
          <cell r="AC1059">
            <v>14420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</row>
        <row r="1060">
          <cell r="A1060" t="str">
            <v>24-2516</v>
          </cell>
          <cell r="B1060" t="str">
            <v>GEMELINA LUMBER OR EQUIVALENT</v>
          </cell>
          <cell r="C1060" t="str">
            <v>SEF</v>
          </cell>
          <cell r="D1060" t="str">
            <v>No</v>
          </cell>
          <cell r="E1060" t="str">
            <v>NP-53.9 - Small Value Procurement</v>
          </cell>
          <cell r="F1060">
            <v>45440</v>
          </cell>
          <cell r="G1060">
            <v>45442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4136</v>
          </cell>
          <cell r="AB1060">
            <v>0</v>
          </cell>
          <cell r="AC1060">
            <v>4136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</row>
        <row r="1061">
          <cell r="A1061" t="str">
            <v>24-2497</v>
          </cell>
          <cell r="B1061" t="str">
            <v>GEMELINA LUMBER OR EQUIVALENT</v>
          </cell>
          <cell r="C1061" t="str">
            <v>SEF</v>
          </cell>
          <cell r="D1061" t="str">
            <v>No</v>
          </cell>
          <cell r="E1061" t="str">
            <v>NP-53.9 - Small Value Procurement</v>
          </cell>
          <cell r="F1061">
            <v>45440</v>
          </cell>
          <cell r="G1061">
            <v>45442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33472.49</v>
          </cell>
          <cell r="AB1061">
            <v>0</v>
          </cell>
          <cell r="AC1061">
            <v>33472.49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</row>
        <row r="1062">
          <cell r="A1062" t="str">
            <v>24-3018</v>
          </cell>
          <cell r="B1062" t="str">
            <v>GEMELINA LUMBER OR EQUIVALENT</v>
          </cell>
          <cell r="C1062" t="str">
            <v>PDRRMO</v>
          </cell>
          <cell r="D1062" t="str">
            <v>No</v>
          </cell>
          <cell r="E1062" t="str">
            <v>NP-53.9 - Small Value Procurement</v>
          </cell>
          <cell r="F1062">
            <v>45440</v>
          </cell>
          <cell r="G1062">
            <v>45442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135187.51</v>
          </cell>
          <cell r="AB1062">
            <v>0</v>
          </cell>
          <cell r="AC1062">
            <v>135187.51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</row>
        <row r="1063">
          <cell r="A1063" t="str">
            <v>24-2999</v>
          </cell>
          <cell r="B1063" t="str">
            <v>GEMELINA LUMBER OR EQUIVALENT</v>
          </cell>
          <cell r="C1063" t="str">
            <v>PDRRMO</v>
          </cell>
          <cell r="D1063" t="str">
            <v>No</v>
          </cell>
          <cell r="E1063" t="str">
            <v>NP-53.9 - Small Value Procurement</v>
          </cell>
          <cell r="F1063">
            <v>45440</v>
          </cell>
          <cell r="G1063">
            <v>45442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31787.51</v>
          </cell>
          <cell r="AB1063">
            <v>0</v>
          </cell>
          <cell r="AC1063">
            <v>31787.51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</row>
        <row r="1064">
          <cell r="A1064" t="str">
            <v>24-2990</v>
          </cell>
          <cell r="B1064" t="str">
            <v>GEMELINA LUMBER OR EQUIVALENT</v>
          </cell>
          <cell r="C1064" t="str">
            <v>PEO</v>
          </cell>
          <cell r="D1064" t="str">
            <v>No</v>
          </cell>
          <cell r="E1064" t="str">
            <v>NP-53.9 - Small Value Procurement</v>
          </cell>
          <cell r="F1064">
            <v>45440</v>
          </cell>
          <cell r="G1064">
            <v>45442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13222.98</v>
          </cell>
          <cell r="AB1064">
            <v>0</v>
          </cell>
          <cell r="AC1064">
            <v>13222.98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</row>
        <row r="1065">
          <cell r="A1065" t="str">
            <v>24-2849</v>
          </cell>
          <cell r="B1065" t="str">
            <v>GEMELINA LUMBER OR EQUIVALENT</v>
          </cell>
          <cell r="C1065" t="str">
            <v>PEO</v>
          </cell>
          <cell r="D1065" t="str">
            <v>No</v>
          </cell>
          <cell r="E1065" t="str">
            <v>NP-53.9 - Small Value Procurement</v>
          </cell>
          <cell r="F1065">
            <v>45440</v>
          </cell>
          <cell r="G1065">
            <v>45442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135187.51</v>
          </cell>
          <cell r="AB1065">
            <v>0</v>
          </cell>
          <cell r="AC1065">
            <v>135187.51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</row>
        <row r="1066">
          <cell r="A1066" t="str">
            <v>24-2140</v>
          </cell>
          <cell r="B1066" t="str">
            <v>OFFICE SUPPLIES</v>
          </cell>
          <cell r="C1066" t="str">
            <v>PEO</v>
          </cell>
          <cell r="D1066" t="str">
            <v>No</v>
          </cell>
          <cell r="E1066" t="str">
            <v>Shopping 52.1(b) - Regular Office Supplies and Equipment no available in PS</v>
          </cell>
          <cell r="F1066">
            <v>45440</v>
          </cell>
          <cell r="G1066">
            <v>45442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8885</v>
          </cell>
          <cell r="AB1066">
            <v>0</v>
          </cell>
          <cell r="AC1066">
            <v>8885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</row>
        <row r="1067">
          <cell r="A1067" t="str">
            <v>24-2451</v>
          </cell>
          <cell r="B1067" t="str">
            <v>BLENDER (HEAVY DUTY)</v>
          </cell>
          <cell r="C1067" t="str">
            <v>PAGRO</v>
          </cell>
          <cell r="D1067" t="str">
            <v>No</v>
          </cell>
          <cell r="E1067" t="str">
            <v>NP-53.9 - Small Value Procurement</v>
          </cell>
          <cell r="F1067" t="str">
            <v>N/A</v>
          </cell>
          <cell r="G1067">
            <v>45442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15000</v>
          </cell>
          <cell r="AB1067">
            <v>0</v>
          </cell>
          <cell r="AC1067">
            <v>15000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</row>
        <row r="1068">
          <cell r="A1068" t="str">
            <v>24-2731</v>
          </cell>
          <cell r="B1068" t="str">
            <v>UTILITY PLASTIC BOX (20 L)</v>
          </cell>
          <cell r="C1068" t="str">
            <v>PACCO</v>
          </cell>
          <cell r="D1068" t="str">
            <v>No</v>
          </cell>
          <cell r="E1068" t="str">
            <v>NP-53.9 - Small Value Procurement</v>
          </cell>
          <cell r="F1068" t="str">
            <v>N/A</v>
          </cell>
          <cell r="G1068">
            <v>45442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82500</v>
          </cell>
          <cell r="AB1068">
            <v>0</v>
          </cell>
          <cell r="AC1068">
            <v>82500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</row>
        <row r="1069">
          <cell r="A1069" t="str">
            <v>24-2741</v>
          </cell>
          <cell r="B1069" t="str">
            <v>PRINTING</v>
          </cell>
          <cell r="C1069" t="str">
            <v>PAO-ADMIN</v>
          </cell>
          <cell r="D1069" t="str">
            <v>No</v>
          </cell>
          <cell r="E1069" t="str">
            <v>NP-53.9 - Small Value Procurement</v>
          </cell>
          <cell r="F1069" t="str">
            <v>N/A</v>
          </cell>
          <cell r="G1069">
            <v>45457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120000</v>
          </cell>
          <cell r="AB1069">
            <v>0</v>
          </cell>
          <cell r="AC1069">
            <v>120000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</row>
        <row r="1070">
          <cell r="A1070" t="str">
            <v>24-2859</v>
          </cell>
          <cell r="B1070" t="str">
            <v>WATER DISPENSER</v>
          </cell>
          <cell r="C1070" t="str">
            <v>PGSO</v>
          </cell>
          <cell r="D1070" t="str">
            <v>No</v>
          </cell>
          <cell r="E1070" t="str">
            <v>NP-53.9 - Small Value Procurement</v>
          </cell>
          <cell r="F1070" t="str">
            <v>N/A</v>
          </cell>
          <cell r="G1070">
            <v>45442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60000</v>
          </cell>
          <cell r="AB1070">
            <v>0</v>
          </cell>
          <cell r="AC1070">
            <v>60000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</row>
        <row r="1071">
          <cell r="A1071" t="str">
            <v>24-2978</v>
          </cell>
          <cell r="B1071" t="str">
            <v>COMPUTER SUPPLIES/SPAREPARTS</v>
          </cell>
          <cell r="C1071" t="str">
            <v>PSWDO</v>
          </cell>
          <cell r="D1071" t="str">
            <v>No</v>
          </cell>
          <cell r="E1071" t="str">
            <v>NP-53.9 - Small Value Procurement</v>
          </cell>
          <cell r="F1071" t="str">
            <v>N/A</v>
          </cell>
          <cell r="G1071">
            <v>45442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5436</v>
          </cell>
          <cell r="AB1071">
            <v>0</v>
          </cell>
          <cell r="AC1071">
            <v>5436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</row>
        <row r="1072">
          <cell r="A1072" t="str">
            <v>24-2630</v>
          </cell>
          <cell r="B1072" t="str">
            <v>LAPTOP (CLERICAL WORK)</v>
          </cell>
          <cell r="C1072" t="str">
            <v>PSWDO</v>
          </cell>
          <cell r="D1072" t="str">
            <v>No</v>
          </cell>
          <cell r="E1072" t="str">
            <v>NP-53.9 - Small Value Procurement</v>
          </cell>
          <cell r="F1072" t="str">
            <v>N/A</v>
          </cell>
          <cell r="G1072">
            <v>45457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39000</v>
          </cell>
          <cell r="AB1072">
            <v>0</v>
          </cell>
          <cell r="AC1072">
            <v>39000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</row>
        <row r="1073">
          <cell r="A1073" t="str">
            <v>24-2963</v>
          </cell>
          <cell r="B1073" t="str">
            <v>MEALS AND SNACKS</v>
          </cell>
          <cell r="C1073" t="str">
            <v>VGO</v>
          </cell>
          <cell r="D1073" t="str">
            <v>No</v>
          </cell>
          <cell r="E1073" t="str">
            <v>NP-53.9 - Small Value Procurement</v>
          </cell>
          <cell r="F1073" t="str">
            <v>N/A</v>
          </cell>
          <cell r="G1073">
            <v>45448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99960</v>
          </cell>
          <cell r="AB1073">
            <v>0</v>
          </cell>
          <cell r="AC1073">
            <v>99960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</row>
        <row r="1074">
          <cell r="A1074" t="str">
            <v>24-3076</v>
          </cell>
          <cell r="B1074" t="str">
            <v>GEMELINA LUMBER OR EQUIVALENT</v>
          </cell>
          <cell r="C1074" t="str">
            <v>PEO</v>
          </cell>
          <cell r="D1074" t="str">
            <v>No</v>
          </cell>
          <cell r="E1074" t="str">
            <v>NP-53.9 - Small Value Procurement</v>
          </cell>
          <cell r="F1074">
            <v>45454</v>
          </cell>
          <cell r="G1074">
            <v>45457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24972.98</v>
          </cell>
          <cell r="AB1074">
            <v>0</v>
          </cell>
          <cell r="AC1074">
            <v>24972.98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</row>
        <row r="1075">
          <cell r="A1075" t="str">
            <v>24-3043</v>
          </cell>
          <cell r="B1075" t="str">
            <v>GEMELINA LUMBER OR EQUIVALENT</v>
          </cell>
          <cell r="C1075" t="str">
            <v>PEO</v>
          </cell>
          <cell r="D1075" t="str">
            <v>No</v>
          </cell>
          <cell r="E1075" t="str">
            <v>NP-53.9 - Small Value Procurement</v>
          </cell>
          <cell r="F1075">
            <v>45454</v>
          </cell>
          <cell r="G1075">
            <v>45457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55852</v>
          </cell>
          <cell r="AB1075">
            <v>0</v>
          </cell>
          <cell r="AC1075">
            <v>55852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</row>
        <row r="1076">
          <cell r="A1076" t="str">
            <v>24-3672</v>
          </cell>
          <cell r="B1076" t="str">
            <v>MEDICAL KIT</v>
          </cell>
          <cell r="C1076" t="str">
            <v>PEO</v>
          </cell>
          <cell r="D1076" t="str">
            <v>No</v>
          </cell>
          <cell r="E1076" t="str">
            <v>NP-53.9 - Small Value Procurement</v>
          </cell>
          <cell r="F1076">
            <v>45454</v>
          </cell>
          <cell r="G1076">
            <v>45457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1925</v>
          </cell>
          <cell r="AB1076">
            <v>0</v>
          </cell>
          <cell r="AC1076">
            <v>1925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</row>
        <row r="1077">
          <cell r="A1077" t="str">
            <v>24-3077</v>
          </cell>
          <cell r="B1077" t="str">
            <v>MEDICAL KIT</v>
          </cell>
          <cell r="C1077" t="str">
            <v>PEO</v>
          </cell>
          <cell r="D1077" t="str">
            <v>No</v>
          </cell>
          <cell r="E1077" t="str">
            <v>NP-53.9 - Small Value Procurement</v>
          </cell>
          <cell r="F1077">
            <v>45454</v>
          </cell>
          <cell r="G1077">
            <v>45457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1925</v>
          </cell>
          <cell r="AB1077">
            <v>0</v>
          </cell>
          <cell r="AC1077">
            <v>1925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</row>
        <row r="1078">
          <cell r="A1078" t="str">
            <v>24-3046</v>
          </cell>
          <cell r="B1078" t="str">
            <v>MEDICAL KIT</v>
          </cell>
          <cell r="C1078" t="str">
            <v>PEO</v>
          </cell>
          <cell r="D1078" t="str">
            <v>No</v>
          </cell>
          <cell r="E1078" t="str">
            <v>NP-53.9 - Small Value Procurement</v>
          </cell>
          <cell r="F1078">
            <v>45454</v>
          </cell>
          <cell r="G1078">
            <v>45457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1925</v>
          </cell>
          <cell r="AB1078">
            <v>0</v>
          </cell>
          <cell r="AC1078">
            <v>1925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</row>
        <row r="1079">
          <cell r="A1079" t="str">
            <v>24-2880</v>
          </cell>
          <cell r="B1079" t="str">
            <v>OFFICE CHAIR</v>
          </cell>
          <cell r="C1079" t="str">
            <v>PICTO</v>
          </cell>
          <cell r="D1079" t="str">
            <v>No</v>
          </cell>
          <cell r="E1079" t="str">
            <v>NP-53.9 - Small Value Procurement</v>
          </cell>
          <cell r="F1079">
            <v>45454</v>
          </cell>
          <cell r="G1079">
            <v>45457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108800</v>
          </cell>
          <cell r="AB1079">
            <v>0</v>
          </cell>
          <cell r="AC1079">
            <v>108800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</row>
        <row r="1080">
          <cell r="A1080" t="str">
            <v>24-C1377</v>
          </cell>
          <cell r="B1080" t="str">
            <v>COMMUNICATION EQUIPMENT</v>
          </cell>
          <cell r="C1080" t="str">
            <v>PICTO</v>
          </cell>
          <cell r="D1080" t="str">
            <v>No</v>
          </cell>
          <cell r="E1080" t="str">
            <v>NP-53.9 - Small Value Procurement</v>
          </cell>
          <cell r="F1080">
            <v>45454</v>
          </cell>
          <cell r="G1080">
            <v>45457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191040</v>
          </cell>
          <cell r="AB1080">
            <v>0</v>
          </cell>
          <cell r="AC1080">
            <v>191040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</row>
        <row r="1081">
          <cell r="A1081" t="str">
            <v>24-C1381</v>
          </cell>
          <cell r="B1081" t="str">
            <v>COMPUTER SUPPLIES</v>
          </cell>
          <cell r="C1081" t="str">
            <v>PICTO</v>
          </cell>
          <cell r="D1081" t="str">
            <v>No</v>
          </cell>
          <cell r="E1081" t="str">
            <v>NP-53.9 - Small Value Procurement</v>
          </cell>
          <cell r="F1081">
            <v>45454</v>
          </cell>
          <cell r="G1081">
            <v>45457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81996</v>
          </cell>
          <cell r="AB1081">
            <v>0</v>
          </cell>
          <cell r="AC1081">
            <v>81996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</row>
        <row r="1082">
          <cell r="A1082" t="str">
            <v>24-2557</v>
          </cell>
          <cell r="B1082" t="str">
            <v>CONSTRUCTION MATERIALS</v>
          </cell>
          <cell r="C1082" t="str">
            <v>PDRRMO</v>
          </cell>
          <cell r="D1082" t="str">
            <v>No</v>
          </cell>
          <cell r="E1082" t="str">
            <v>NP-53.9 - Small Value Procurement</v>
          </cell>
          <cell r="F1082">
            <v>45454</v>
          </cell>
          <cell r="G1082">
            <v>45457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1961</v>
          </cell>
          <cell r="AB1082">
            <v>0</v>
          </cell>
          <cell r="AC1082">
            <v>1961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</row>
        <row r="1083">
          <cell r="A1083" t="str">
            <v>24-2994</v>
          </cell>
          <cell r="B1083" t="str">
            <v>COCO LUMBER OR EQUIVALENT</v>
          </cell>
          <cell r="C1083" t="str">
            <v>PDRRMO</v>
          </cell>
          <cell r="D1083" t="str">
            <v>No</v>
          </cell>
          <cell r="E1083" t="str">
            <v>NP-53.9 - Small Value Procurement</v>
          </cell>
          <cell r="F1083">
            <v>45454</v>
          </cell>
          <cell r="G1083">
            <v>45457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1152</v>
          </cell>
          <cell r="AB1083">
            <v>0</v>
          </cell>
          <cell r="AC1083">
            <v>1152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</row>
        <row r="1084">
          <cell r="A1084" t="str">
            <v>24-2563</v>
          </cell>
          <cell r="B1084" t="str">
            <v>AIRCON WINDOWS TYPE 2.0 hp</v>
          </cell>
          <cell r="C1084" t="str">
            <v>PENRO</v>
          </cell>
          <cell r="D1084" t="str">
            <v>No</v>
          </cell>
          <cell r="E1084" t="str">
            <v>NP-53.9 - Small Value Procurement</v>
          </cell>
          <cell r="F1084">
            <v>45454</v>
          </cell>
          <cell r="G1084">
            <v>45457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99000</v>
          </cell>
          <cell r="AB1084">
            <v>0</v>
          </cell>
          <cell r="AC1084">
            <v>99000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</row>
        <row r="1085">
          <cell r="A1085" t="str">
            <v>24-2863</v>
          </cell>
          <cell r="B1085" t="str">
            <v>OFFICE SUPPLIES</v>
          </cell>
          <cell r="C1085" t="str">
            <v>PTO</v>
          </cell>
          <cell r="D1085">
            <v>0</v>
          </cell>
          <cell r="E1085" t="str">
            <v>Shopping 52.1(b) - Regular Office Supplies and Equipment no available in PS</v>
          </cell>
          <cell r="F1085">
            <v>45454</v>
          </cell>
          <cell r="G1085">
            <v>45457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14090</v>
          </cell>
          <cell r="AB1085">
            <v>0</v>
          </cell>
          <cell r="AC1085">
            <v>14090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</row>
        <row r="1086">
          <cell r="A1086" t="str">
            <v>24-3065</v>
          </cell>
          <cell r="B1086" t="str">
            <v>CASING, SELF INKING STAMP</v>
          </cell>
          <cell r="C1086" t="str">
            <v>PAO-ADMIN</v>
          </cell>
          <cell r="D1086">
            <v>0</v>
          </cell>
          <cell r="E1086" t="str">
            <v>NP-53.9 - Small Value Procurement</v>
          </cell>
          <cell r="F1086">
            <v>45454</v>
          </cell>
          <cell r="G1086">
            <v>45457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682</v>
          </cell>
          <cell r="AB1086">
            <v>0</v>
          </cell>
          <cell r="AC1086">
            <v>682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</row>
        <row r="1087">
          <cell r="A1087" t="str">
            <v>24-2993</v>
          </cell>
          <cell r="B1087" t="str">
            <v>CONSTRUCTION MATERIALS</v>
          </cell>
          <cell r="C1087" t="str">
            <v>PEO</v>
          </cell>
          <cell r="D1087">
            <v>0</v>
          </cell>
          <cell r="E1087" t="str">
            <v>NP-53.9 - Small Value Procurement</v>
          </cell>
          <cell r="F1087">
            <v>45454</v>
          </cell>
          <cell r="G1087">
            <v>45457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1961</v>
          </cell>
          <cell r="AB1087">
            <v>0</v>
          </cell>
          <cell r="AC1087">
            <v>1961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</row>
        <row r="1088">
          <cell r="A1088" t="str">
            <v>24-3669</v>
          </cell>
          <cell r="B1088" t="str">
            <v>GEMELINA LUMBER OR EQUIVALENT</v>
          </cell>
          <cell r="C1088" t="str">
            <v>PEO</v>
          </cell>
          <cell r="D1088">
            <v>0</v>
          </cell>
          <cell r="E1088" t="str">
            <v>NP-53.9 - Small Value Procurement</v>
          </cell>
          <cell r="F1088">
            <v>45454</v>
          </cell>
          <cell r="G1088">
            <v>45457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2256</v>
          </cell>
          <cell r="AB1088">
            <v>0</v>
          </cell>
          <cell r="AC1088">
            <v>2256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</row>
        <row r="1089">
          <cell r="A1089" t="str">
            <v>24-C1526</v>
          </cell>
          <cell r="B1089" t="str">
            <v>CONSTRUCTION MATERIALS</v>
          </cell>
          <cell r="C1089" t="str">
            <v>PEO</v>
          </cell>
          <cell r="D1089">
            <v>0</v>
          </cell>
          <cell r="E1089" t="str">
            <v>NP-53.9 - Small Value Procurement</v>
          </cell>
          <cell r="F1089">
            <v>45454</v>
          </cell>
          <cell r="G1089">
            <v>45457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147219</v>
          </cell>
          <cell r="AB1089">
            <v>0</v>
          </cell>
          <cell r="AC1089">
            <v>147219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</row>
        <row r="1090">
          <cell r="A1090" t="str">
            <v>24-3111</v>
          </cell>
          <cell r="B1090" t="str">
            <v>OIL AND LUBRICANTS</v>
          </cell>
          <cell r="C1090" t="str">
            <v>PEO</v>
          </cell>
          <cell r="D1090">
            <v>0</v>
          </cell>
          <cell r="E1090" t="str">
            <v>NP-53.9 - Small Value Procurement</v>
          </cell>
          <cell r="F1090">
            <v>45454</v>
          </cell>
          <cell r="G1090">
            <v>45457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38056</v>
          </cell>
          <cell r="AB1090">
            <v>0</v>
          </cell>
          <cell r="AC1090">
            <v>38056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</row>
        <row r="1091">
          <cell r="A1091" t="str">
            <v>24-3021</v>
          </cell>
          <cell r="B1091" t="str">
            <v>SPAREPARTS (LIGHT VEHICLE)</v>
          </cell>
          <cell r="C1091" t="str">
            <v>PGO</v>
          </cell>
          <cell r="D1091">
            <v>0</v>
          </cell>
          <cell r="E1091" t="str">
            <v>Shopping 52.1(a) - Unforeseen Contingency</v>
          </cell>
          <cell r="F1091">
            <v>45454</v>
          </cell>
          <cell r="G1091">
            <v>45471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66200</v>
          </cell>
          <cell r="AB1091">
            <v>0</v>
          </cell>
          <cell r="AC1091">
            <v>66200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</row>
        <row r="1092">
          <cell r="A1092" t="str">
            <v>24-3371</v>
          </cell>
          <cell r="B1092" t="str">
            <v>MEALS AND SNACKS</v>
          </cell>
          <cell r="C1092" t="str">
            <v>PLO</v>
          </cell>
          <cell r="D1092">
            <v>0</v>
          </cell>
          <cell r="E1092" t="str">
            <v>NP-53.9 - Small Value Procurement</v>
          </cell>
          <cell r="F1092">
            <v>45457</v>
          </cell>
          <cell r="G1092">
            <v>45460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10200</v>
          </cell>
          <cell r="AB1092">
            <v>0</v>
          </cell>
          <cell r="AC1092">
            <v>10200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</row>
        <row r="1093">
          <cell r="A1093" t="str">
            <v>24-C1392</v>
          </cell>
          <cell r="B1093" t="str">
            <v>HEMATOLOGY ANALYZER</v>
          </cell>
          <cell r="C1093" t="str">
            <v>PEEMO</v>
          </cell>
          <cell r="D1093">
            <v>0</v>
          </cell>
          <cell r="E1093" t="str">
            <v>Direct Contracting</v>
          </cell>
          <cell r="F1093" t="str">
            <v>N/A</v>
          </cell>
          <cell r="G1093">
            <v>45457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1976000</v>
          </cell>
          <cell r="AB1093">
            <v>0</v>
          </cell>
          <cell r="AC1093">
            <v>1976000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</row>
        <row r="1094">
          <cell r="A1094" t="str">
            <v>24-2977</v>
          </cell>
          <cell r="B1094" t="str">
            <v>MEALS AND SNACKS WITH ACCOMMODATION</v>
          </cell>
          <cell r="C1094" t="str">
            <v>PGO</v>
          </cell>
          <cell r="D1094">
            <v>0</v>
          </cell>
          <cell r="E1094" t="str">
            <v>NP-53.9 - Small Value Procurement</v>
          </cell>
          <cell r="F1094" t="str">
            <v>N/A</v>
          </cell>
          <cell r="G1094">
            <v>45457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299000</v>
          </cell>
          <cell r="AB1094">
            <v>0</v>
          </cell>
          <cell r="AC1094">
            <v>299000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</row>
        <row r="1095">
          <cell r="A1095" t="str">
            <v>24-2742</v>
          </cell>
          <cell r="B1095" t="str">
            <v>MEALS AND SNACKS WITH ACCOMMODATION</v>
          </cell>
          <cell r="C1095" t="str">
            <v>PAO-ADMIN</v>
          </cell>
          <cell r="D1095">
            <v>0</v>
          </cell>
          <cell r="E1095" t="str">
            <v>NP-53.9 - Small Value Procurement</v>
          </cell>
          <cell r="F1095" t="str">
            <v>N/A</v>
          </cell>
          <cell r="G1095">
            <v>45457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43700</v>
          </cell>
          <cell r="AB1095">
            <v>0</v>
          </cell>
          <cell r="AC1095">
            <v>43700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</row>
        <row r="1096">
          <cell r="A1096" t="str">
            <v>24-2960</v>
          </cell>
          <cell r="B1096" t="str">
            <v>MASSAGE THERAPHY KIT B</v>
          </cell>
          <cell r="C1096" t="str">
            <v>PAO-ADMIN</v>
          </cell>
          <cell r="D1096">
            <v>0</v>
          </cell>
          <cell r="E1096" t="str">
            <v>NP-53.9 - Small Value Procurement</v>
          </cell>
          <cell r="F1096" t="str">
            <v>N/A</v>
          </cell>
          <cell r="G1096">
            <v>45457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15000</v>
          </cell>
          <cell r="AB1096">
            <v>0</v>
          </cell>
          <cell r="AC1096">
            <v>15000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</row>
        <row r="1097">
          <cell r="A1097" t="str">
            <v>24-C1458</v>
          </cell>
          <cell r="B1097" t="str">
            <v>COMPLETE  14-14-14  FERTILIZER (50KG/BAG)</v>
          </cell>
          <cell r="C1097" t="str">
            <v>PENRO</v>
          </cell>
          <cell r="D1097">
            <v>0</v>
          </cell>
          <cell r="E1097" t="str">
            <v>NP-53.9 - Small Value Procurement</v>
          </cell>
          <cell r="F1097" t="str">
            <v>N/A</v>
          </cell>
          <cell r="G1097">
            <v>45457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20000</v>
          </cell>
          <cell r="AB1097">
            <v>0</v>
          </cell>
          <cell r="AC1097">
            <v>20000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</row>
        <row r="1098">
          <cell r="A1098" t="str">
            <v>24-C1460</v>
          </cell>
          <cell r="B1098" t="str">
            <v>AGRICULTURAL SUPPLIES</v>
          </cell>
          <cell r="C1098" t="str">
            <v>PENRO</v>
          </cell>
          <cell r="D1098">
            <v>0</v>
          </cell>
          <cell r="E1098" t="str">
            <v>NP-53.9 - Small Value Procurement</v>
          </cell>
          <cell r="F1098" t="str">
            <v>N/A</v>
          </cell>
          <cell r="G1098">
            <v>45457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434950</v>
          </cell>
          <cell r="AB1098">
            <v>0</v>
          </cell>
          <cell r="AC1098">
            <v>434950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</row>
        <row r="1099">
          <cell r="A1099" t="str">
            <v>24-2461</v>
          </cell>
          <cell r="B1099" t="str">
            <v>AQUARIUM (24x12x12 INCHES)</v>
          </cell>
          <cell r="C1099" t="str">
            <v>PAGRO</v>
          </cell>
          <cell r="D1099">
            <v>0</v>
          </cell>
          <cell r="E1099" t="str">
            <v>NP-53.9 - Small Value Procurement</v>
          </cell>
          <cell r="F1099" t="str">
            <v>N/A</v>
          </cell>
          <cell r="G1099">
            <v>45457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11550</v>
          </cell>
          <cell r="AB1099">
            <v>0</v>
          </cell>
          <cell r="AC1099">
            <v>11550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</row>
        <row r="1100">
          <cell r="A1100" t="str">
            <v>24-C1471</v>
          </cell>
          <cell r="B1100" t="str">
            <v>LABORATORY INSTRUMENT</v>
          </cell>
          <cell r="C1100" t="str">
            <v>PAGRO</v>
          </cell>
          <cell r="D1100">
            <v>0</v>
          </cell>
          <cell r="E1100" t="str">
            <v>NP-53.9 - Small Value Procurement</v>
          </cell>
          <cell r="F1100" t="str">
            <v>N/A</v>
          </cell>
          <cell r="G1100">
            <v>45457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40590</v>
          </cell>
          <cell r="AB1100">
            <v>0</v>
          </cell>
          <cell r="AC1100">
            <v>40590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</row>
        <row r="1101">
          <cell r="A1101" t="str">
            <v>24-C1406</v>
          </cell>
          <cell r="B1101" t="str">
            <v>CONSTRUCTION SUPPLIES</v>
          </cell>
          <cell r="C1101" t="str">
            <v>PDRRMO</v>
          </cell>
          <cell r="D1101">
            <v>0</v>
          </cell>
          <cell r="E1101" t="str">
            <v>NP-53.9 - Small Value Procurement</v>
          </cell>
          <cell r="F1101" t="str">
            <v>N/A</v>
          </cell>
          <cell r="G1101">
            <v>45457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15070</v>
          </cell>
          <cell r="AB1101">
            <v>0</v>
          </cell>
          <cell r="AC1101">
            <v>15070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</row>
        <row r="1102">
          <cell r="A1102" t="str">
            <v>24-3638</v>
          </cell>
          <cell r="B1102" t="str">
            <v>DRAFTED DURIAN</v>
          </cell>
          <cell r="C1102" t="str">
            <v>PDRRMO</v>
          </cell>
          <cell r="D1102">
            <v>0</v>
          </cell>
          <cell r="E1102" t="str">
            <v>NP-53.9 - Small Value Procurement</v>
          </cell>
          <cell r="F1102" t="str">
            <v>N/A</v>
          </cell>
          <cell r="G1102">
            <v>45457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132000</v>
          </cell>
          <cell r="AB1102">
            <v>0</v>
          </cell>
          <cell r="AC1102">
            <v>132000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</row>
        <row r="1103">
          <cell r="A1103" t="str">
            <v>24-C1511</v>
          </cell>
          <cell r="B1103" t="str">
            <v>SPAREPARTS (FARM MACHINERIES)</v>
          </cell>
          <cell r="C1103" t="str">
            <v>PAGRO</v>
          </cell>
          <cell r="D1103">
            <v>0</v>
          </cell>
          <cell r="E1103" t="str">
            <v>NP-53.9 - Small Value Procurement</v>
          </cell>
          <cell r="F1103" t="str">
            <v>N/A</v>
          </cell>
          <cell r="G1103">
            <v>45457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32352</v>
          </cell>
          <cell r="AB1103">
            <v>0</v>
          </cell>
          <cell r="AC1103">
            <v>32352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</row>
        <row r="1104">
          <cell r="A1104" t="str">
            <v>24-C1370</v>
          </cell>
          <cell r="B1104" t="str">
            <v>MEALS AND SNACKS</v>
          </cell>
          <cell r="C1104" t="str">
            <v>PBO</v>
          </cell>
          <cell r="D1104">
            <v>0</v>
          </cell>
          <cell r="E1104" t="str">
            <v>NP-53.9 - Small Value Procurement</v>
          </cell>
          <cell r="F1104" t="str">
            <v>N/A</v>
          </cell>
          <cell r="G1104">
            <v>45457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53105</v>
          </cell>
          <cell r="AB1104">
            <v>0</v>
          </cell>
          <cell r="AC1104">
            <v>53105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</row>
        <row r="1105">
          <cell r="A1105" t="str">
            <v>24-3156</v>
          </cell>
          <cell r="B1105" t="str">
            <v>CABINET MOBILE (BI-STEEL ) 3 DRAWERS</v>
          </cell>
          <cell r="C1105" t="str">
            <v>PAO-ADMIN</v>
          </cell>
          <cell r="D1105">
            <v>0</v>
          </cell>
          <cell r="E1105" t="str">
            <v>NP-53.9 - Small Value Procurement</v>
          </cell>
          <cell r="F1105" t="str">
            <v>N/A</v>
          </cell>
          <cell r="G1105">
            <v>45457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9900</v>
          </cell>
          <cell r="AB1105">
            <v>0</v>
          </cell>
          <cell r="AC1105">
            <v>9900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</row>
        <row r="1106">
          <cell r="A1106" t="str">
            <v>24-3445</v>
          </cell>
          <cell r="B1106" t="str">
            <v>MINERAL WATER (5 GAL.)</v>
          </cell>
          <cell r="C1106" t="str">
            <v>PAO-ADMIN</v>
          </cell>
          <cell r="D1106">
            <v>0</v>
          </cell>
          <cell r="E1106" t="str">
            <v>NP-53.9 - Small Value Procurement</v>
          </cell>
          <cell r="F1106" t="str">
            <v>N/A</v>
          </cell>
          <cell r="G1106">
            <v>45457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2665</v>
          </cell>
          <cell r="AB1106">
            <v>0</v>
          </cell>
          <cell r="AC1106">
            <v>2665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</row>
        <row r="1107">
          <cell r="A1107" t="str">
            <v>24-3358</v>
          </cell>
          <cell r="B1107" t="str">
            <v>MINERAL WATER (5 GAL.)</v>
          </cell>
          <cell r="C1107" t="str">
            <v>PDRRMO</v>
          </cell>
          <cell r="D1107">
            <v>0</v>
          </cell>
          <cell r="E1107" t="str">
            <v>NP-53.9 - Small Value Procurement</v>
          </cell>
          <cell r="F1107" t="str">
            <v>N/A</v>
          </cell>
          <cell r="G1107">
            <v>45457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36244</v>
          </cell>
          <cell r="AB1107">
            <v>0</v>
          </cell>
          <cell r="AC1107">
            <v>36244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</row>
        <row r="1108">
          <cell r="A1108" t="str">
            <v>24-3094</v>
          </cell>
          <cell r="B1108" t="str">
            <v xml:space="preserve">FOOD SUPPLIES </v>
          </cell>
          <cell r="C1108" t="str">
            <v>VGO</v>
          </cell>
          <cell r="D1108">
            <v>0</v>
          </cell>
          <cell r="E1108" t="str">
            <v>NP-53.9 - Small Value Procurement</v>
          </cell>
          <cell r="F1108" t="str">
            <v>N/A</v>
          </cell>
          <cell r="G1108">
            <v>45457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50032</v>
          </cell>
          <cell r="AB1108">
            <v>0</v>
          </cell>
          <cell r="AC1108">
            <v>50032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</row>
        <row r="1109">
          <cell r="A1109" t="str">
            <v>24-3134</v>
          </cell>
          <cell r="B1109" t="str">
            <v>FUJI DRUM  FOR S2520</v>
          </cell>
          <cell r="C1109" t="str">
            <v>PHRMDO</v>
          </cell>
          <cell r="D1109">
            <v>0</v>
          </cell>
          <cell r="E1109" t="str">
            <v>NP-53.9 - Small Value Procurement</v>
          </cell>
          <cell r="F1109" t="str">
            <v>N/A</v>
          </cell>
          <cell r="G1109">
            <v>45457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15000</v>
          </cell>
          <cell r="AB1109">
            <v>0</v>
          </cell>
          <cell r="AC1109">
            <v>15000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</row>
        <row r="1110">
          <cell r="A1110" t="str">
            <v>24-3133</v>
          </cell>
          <cell r="B1110" t="str">
            <v>PRINTER HEAD FOR LQ 2190</v>
          </cell>
          <cell r="C1110" t="str">
            <v>PHRMDO</v>
          </cell>
          <cell r="D1110">
            <v>0</v>
          </cell>
          <cell r="E1110" t="str">
            <v>NP-53.9 - Small Value Procurement</v>
          </cell>
          <cell r="F1110" t="str">
            <v>N/A</v>
          </cell>
          <cell r="G1110">
            <v>45457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24000</v>
          </cell>
          <cell r="AB1110">
            <v>0</v>
          </cell>
          <cell r="AC1110">
            <v>24000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</row>
        <row r="1111">
          <cell r="A1111" t="str">
            <v>24-3243</v>
          </cell>
          <cell r="B1111" t="str">
            <v>MINERAL WATER (5 GAL.)</v>
          </cell>
          <cell r="C1111" t="str">
            <v>PGO</v>
          </cell>
          <cell r="D1111">
            <v>0</v>
          </cell>
          <cell r="E1111" t="str">
            <v>NP-53.9 - Small Value Procurement</v>
          </cell>
          <cell r="F1111" t="str">
            <v>N/A</v>
          </cell>
          <cell r="G1111">
            <v>45457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13940</v>
          </cell>
          <cell r="AB1111">
            <v>0</v>
          </cell>
          <cell r="AC1111">
            <v>13940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</row>
        <row r="1112">
          <cell r="A1112" t="str">
            <v>24-3317</v>
          </cell>
          <cell r="B1112" t="str">
            <v>PAPER BAG 14X8</v>
          </cell>
          <cell r="C1112" t="str">
            <v>PGO</v>
          </cell>
          <cell r="D1112">
            <v>0</v>
          </cell>
          <cell r="E1112" t="str">
            <v>NP-53.9 - Small Value Procurement</v>
          </cell>
          <cell r="F1112" t="str">
            <v>N/A</v>
          </cell>
          <cell r="G1112">
            <v>45457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2625</v>
          </cell>
          <cell r="AB1112">
            <v>0</v>
          </cell>
          <cell r="AC1112">
            <v>2625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</row>
        <row r="1113">
          <cell r="A1113" t="str">
            <v>24-2647</v>
          </cell>
          <cell r="B1113" t="str">
            <v xml:space="preserve">JANITORIAL SUPPLIES/HOUSEKEEPING </v>
          </cell>
          <cell r="C1113" t="str">
            <v>PGO</v>
          </cell>
          <cell r="D1113">
            <v>0</v>
          </cell>
          <cell r="E1113" t="str">
            <v>NP-53.9 - Small Value Procurement</v>
          </cell>
          <cell r="F1113" t="str">
            <v>N/A</v>
          </cell>
          <cell r="G1113">
            <v>45457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25950</v>
          </cell>
          <cell r="AB1113">
            <v>0</v>
          </cell>
          <cell r="AC1113">
            <v>25950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</row>
        <row r="1114">
          <cell r="A1114" t="str">
            <v>24-3456</v>
          </cell>
          <cell r="B1114" t="str">
            <v>GPS, COMPUTER</v>
          </cell>
          <cell r="C1114" t="str">
            <v>PENRO</v>
          </cell>
          <cell r="D1114">
            <v>0</v>
          </cell>
          <cell r="E1114" t="str">
            <v>NP-53.9 - Small Value Procurement</v>
          </cell>
          <cell r="F1114" t="str">
            <v>N/A</v>
          </cell>
          <cell r="G1114">
            <v>45457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40000</v>
          </cell>
          <cell r="AB1114">
            <v>0</v>
          </cell>
          <cell r="AC1114">
            <v>40000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</row>
        <row r="1115">
          <cell r="A1115" t="str">
            <v>24-C1404</v>
          </cell>
          <cell r="B1115" t="str">
            <v>OFFICE EQUIPMENT</v>
          </cell>
          <cell r="C1115" t="str">
            <v>PDRRMO</v>
          </cell>
          <cell r="D1115">
            <v>0</v>
          </cell>
          <cell r="E1115" t="str">
            <v>NP-53.9 - Small Value Procurement</v>
          </cell>
          <cell r="F1115" t="str">
            <v>N/A</v>
          </cell>
          <cell r="G1115">
            <v>45457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67420</v>
          </cell>
          <cell r="AB1115">
            <v>0</v>
          </cell>
          <cell r="AC1115">
            <v>67420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</row>
        <row r="1116">
          <cell r="A1116" t="str">
            <v>24-3671</v>
          </cell>
          <cell r="B1116" t="str">
            <v>RICE WELL MILLED (50 KG/SACK)</v>
          </cell>
          <cell r="C1116" t="str">
            <v>PDRRMO</v>
          </cell>
          <cell r="D1116">
            <v>0</v>
          </cell>
          <cell r="E1116" t="str">
            <v>NP-53.9 - Small Value Procurement</v>
          </cell>
          <cell r="F1116" t="str">
            <v>N/A</v>
          </cell>
          <cell r="G1116">
            <v>45457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90000</v>
          </cell>
          <cell r="AB1116">
            <v>0</v>
          </cell>
          <cell r="AC1116">
            <v>90000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</row>
        <row r="1117">
          <cell r="A1117" t="str">
            <v>24-C1403</v>
          </cell>
          <cell r="B1117" t="str">
            <v>AGRICULTURAL SUPPLIES</v>
          </cell>
          <cell r="C1117" t="str">
            <v>PENRO</v>
          </cell>
          <cell r="D1117">
            <v>0</v>
          </cell>
          <cell r="E1117" t="str">
            <v>NP-53.9 - Small Value Procurement</v>
          </cell>
          <cell r="F1117" t="str">
            <v>N/A</v>
          </cell>
          <cell r="G1117">
            <v>45457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66580</v>
          </cell>
          <cell r="AB1117">
            <v>0</v>
          </cell>
          <cell r="AC1117">
            <v>66580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</row>
        <row r="1118">
          <cell r="A1118" t="str">
            <v>24-C1523</v>
          </cell>
          <cell r="B1118" t="str">
            <v>RUBBING ALCOHOL (70% ISOPROPHYL)</v>
          </cell>
          <cell r="C1118" t="str">
            <v>PENRO</v>
          </cell>
          <cell r="D1118">
            <v>0</v>
          </cell>
          <cell r="E1118" t="str">
            <v>NP-53.9 - Small Value Procurement</v>
          </cell>
          <cell r="F1118" t="str">
            <v>N/A</v>
          </cell>
          <cell r="G1118">
            <v>45457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2533</v>
          </cell>
          <cell r="AB1118">
            <v>0</v>
          </cell>
          <cell r="AC1118">
            <v>2533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</row>
        <row r="1119">
          <cell r="A1119" t="str">
            <v>24-3455</v>
          </cell>
          <cell r="B1119" t="str">
            <v>FULL FACED HELMET  (HEAVY DUTY</v>
          </cell>
          <cell r="C1119" t="str">
            <v>PENRO</v>
          </cell>
          <cell r="D1119">
            <v>0</v>
          </cell>
          <cell r="E1119" t="str">
            <v>NP-53.9 - Small Value Procurement</v>
          </cell>
          <cell r="F1119" t="str">
            <v>N/A</v>
          </cell>
          <cell r="G1119">
            <v>45457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22110</v>
          </cell>
          <cell r="AB1119">
            <v>0</v>
          </cell>
          <cell r="AC1119">
            <v>22110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</row>
        <row r="1120">
          <cell r="A1120" t="str">
            <v>24-3308</v>
          </cell>
          <cell r="B1120" t="str">
            <v>FLASH DRIVE (32GB)</v>
          </cell>
          <cell r="C1120" t="str">
            <v>PIAO</v>
          </cell>
          <cell r="D1120">
            <v>0</v>
          </cell>
          <cell r="E1120" t="str">
            <v>NP-53.9 - Small Value Procurement</v>
          </cell>
          <cell r="F1120" t="str">
            <v>N/A</v>
          </cell>
          <cell r="G1120">
            <v>45457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3245</v>
          </cell>
          <cell r="AB1120">
            <v>0</v>
          </cell>
          <cell r="AC1120">
            <v>3245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</row>
        <row r="1121">
          <cell r="A1121" t="str">
            <v>24-3310</v>
          </cell>
          <cell r="B1121" t="str">
            <v xml:space="preserve">JANITORIAL SUPPLIES/HOUSEKEEPING </v>
          </cell>
          <cell r="C1121" t="str">
            <v>PIAO</v>
          </cell>
          <cell r="D1121">
            <v>0</v>
          </cell>
          <cell r="E1121" t="str">
            <v>NP-53.9 - Small Value Procurement</v>
          </cell>
          <cell r="F1121" t="str">
            <v>N/A</v>
          </cell>
          <cell r="G1121">
            <v>45457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8988</v>
          </cell>
          <cell r="AB1121">
            <v>0</v>
          </cell>
          <cell r="AC1121">
            <v>8988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</row>
        <row r="1122">
          <cell r="A1122" t="str">
            <v>24-3195</v>
          </cell>
          <cell r="B1122" t="str">
            <v>CALLING CARD (COLORED) AS PER SAMPLE</v>
          </cell>
          <cell r="C1122" t="str">
            <v>PAO-ADMIN</v>
          </cell>
          <cell r="D1122">
            <v>0</v>
          </cell>
          <cell r="E1122" t="str">
            <v>NP-53.9 - Small Value Procurement</v>
          </cell>
          <cell r="F1122" t="str">
            <v>N/A</v>
          </cell>
          <cell r="G1122">
            <v>45457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1400</v>
          </cell>
          <cell r="AB1122">
            <v>0</v>
          </cell>
          <cell r="AC1122">
            <v>1400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</row>
        <row r="1123">
          <cell r="A1123" t="str">
            <v>24-C1431</v>
          </cell>
          <cell r="B1123" t="str">
            <v>TARPAULIN-AS PER SAMPLE</v>
          </cell>
          <cell r="C1123" t="str">
            <v>PHRMDO</v>
          </cell>
          <cell r="D1123">
            <v>0</v>
          </cell>
          <cell r="E1123" t="str">
            <v>NP-53.9 - Small Value Procurement</v>
          </cell>
          <cell r="F1123" t="str">
            <v>N/A</v>
          </cell>
          <cell r="G1123">
            <v>45457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4256</v>
          </cell>
          <cell r="AB1123">
            <v>0</v>
          </cell>
          <cell r="AC1123">
            <v>4256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</row>
        <row r="1124">
          <cell r="A1124" t="str">
            <v>24-2976</v>
          </cell>
          <cell r="B1124" t="str">
            <v>PLAQUE/TROPHIES/MEDALS</v>
          </cell>
          <cell r="C1124" t="str">
            <v>PGO</v>
          </cell>
          <cell r="D1124">
            <v>0</v>
          </cell>
          <cell r="E1124" t="str">
            <v>NP-53.9 - Small Value Procurement</v>
          </cell>
          <cell r="F1124" t="str">
            <v>N/A</v>
          </cell>
          <cell r="G1124">
            <v>45457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72160</v>
          </cell>
          <cell r="AB1124">
            <v>0</v>
          </cell>
          <cell r="AC1124">
            <v>72160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</row>
        <row r="1125">
          <cell r="A1125" t="str">
            <v>24-2975</v>
          </cell>
          <cell r="B1125" t="str">
            <v>POLO SHIRT  (AS PER DESIGN)</v>
          </cell>
          <cell r="C1125" t="str">
            <v>PGO</v>
          </cell>
          <cell r="D1125">
            <v>0</v>
          </cell>
          <cell r="E1125" t="str">
            <v>NP-53.9 - Small Value Procurement</v>
          </cell>
          <cell r="F1125" t="str">
            <v>N/A</v>
          </cell>
          <cell r="G1125">
            <v>45457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25000</v>
          </cell>
          <cell r="AB1125">
            <v>0</v>
          </cell>
          <cell r="AC1125">
            <v>25000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</row>
        <row r="1126">
          <cell r="A1126" t="str">
            <v>24-C1497</v>
          </cell>
          <cell r="B1126" t="str">
            <v xml:space="preserve">JANITORIAL SUPPLIES/HOUSEKEEPING </v>
          </cell>
          <cell r="C1126" t="str">
            <v>PAGRO</v>
          </cell>
          <cell r="D1126">
            <v>0</v>
          </cell>
          <cell r="E1126" t="str">
            <v>NP-53.9 - Small Value Procurement</v>
          </cell>
          <cell r="F1126" t="str">
            <v>N/A</v>
          </cell>
          <cell r="G1126">
            <v>45457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54055</v>
          </cell>
          <cell r="AB1126">
            <v>0</v>
          </cell>
          <cell r="AC1126">
            <v>54055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</row>
        <row r="1127">
          <cell r="A1127" t="str">
            <v>24-3556</v>
          </cell>
          <cell r="B1127" t="str">
            <v>FULL FACED HELMET  WITH BUILT-IN GOGGLES (HEAVY DUTY</v>
          </cell>
          <cell r="C1127" t="str">
            <v>PAGRO</v>
          </cell>
          <cell r="D1127">
            <v>0</v>
          </cell>
          <cell r="E1127" t="str">
            <v>NP-53.9 - Small Value Procurement</v>
          </cell>
          <cell r="F1127" t="str">
            <v>N/A</v>
          </cell>
          <cell r="G1127">
            <v>45457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11000</v>
          </cell>
          <cell r="AB1127">
            <v>0</v>
          </cell>
          <cell r="AC1127">
            <v>11000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</row>
        <row r="1128">
          <cell r="A1128" t="str">
            <v>24-C1502</v>
          </cell>
          <cell r="B1128" t="str">
            <v>OFFICE EQUIPMENT</v>
          </cell>
          <cell r="C1128" t="str">
            <v>PAGRO</v>
          </cell>
          <cell r="D1128">
            <v>0</v>
          </cell>
          <cell r="E1128" t="str">
            <v>NP-53.9 - Small Value Procurement</v>
          </cell>
          <cell r="F1128" t="str">
            <v>N/A</v>
          </cell>
          <cell r="G1128">
            <v>45457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82550</v>
          </cell>
          <cell r="AB1128">
            <v>0</v>
          </cell>
          <cell r="AC1128">
            <v>82550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</row>
        <row r="1129">
          <cell r="A1129" t="str">
            <v>24-C1496</v>
          </cell>
          <cell r="B1129" t="str">
            <v>OFFICE EQUIPMENT</v>
          </cell>
          <cell r="C1129" t="str">
            <v>PAGRO</v>
          </cell>
          <cell r="D1129">
            <v>0</v>
          </cell>
          <cell r="E1129" t="str">
            <v>NP-53.9 - Small Value Procurement</v>
          </cell>
          <cell r="F1129" t="str">
            <v>N/A</v>
          </cell>
          <cell r="G1129">
            <v>45457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26343</v>
          </cell>
          <cell r="AB1129">
            <v>0</v>
          </cell>
          <cell r="AC1129">
            <v>26343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</row>
        <row r="1130">
          <cell r="A1130" t="str">
            <v>24-2788</v>
          </cell>
          <cell r="B1130" t="str">
            <v>DIGITAL CAMERA-AS PER DESIGN</v>
          </cell>
          <cell r="C1130" t="str">
            <v>PAGRO</v>
          </cell>
          <cell r="D1130">
            <v>0</v>
          </cell>
          <cell r="E1130" t="str">
            <v>NP-53.9 - Small Value Procurement</v>
          </cell>
          <cell r="F1130" t="str">
            <v>N/A</v>
          </cell>
          <cell r="G1130">
            <v>45457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40000</v>
          </cell>
          <cell r="AB1130">
            <v>0</v>
          </cell>
          <cell r="AC1130">
            <v>40000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</row>
        <row r="1131">
          <cell r="A1131" t="str">
            <v>24-C1439</v>
          </cell>
          <cell r="B1131" t="str">
            <v>OFFICE EQUIPMENT</v>
          </cell>
          <cell r="C1131" t="str">
            <v>PAGRO</v>
          </cell>
          <cell r="D1131">
            <v>0</v>
          </cell>
          <cell r="E1131" t="str">
            <v>NP-53.9 - Small Value Procurement</v>
          </cell>
          <cell r="F1131" t="str">
            <v>N/A</v>
          </cell>
          <cell r="G1131">
            <v>45457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48146.7</v>
          </cell>
          <cell r="AB1131">
            <v>0</v>
          </cell>
          <cell r="AC1131">
            <v>48146.7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</row>
        <row r="1132">
          <cell r="A1132" t="str">
            <v>24-2688</v>
          </cell>
          <cell r="B1132" t="str">
            <v>MINERAL WATER , 5 GAL</v>
          </cell>
          <cell r="C1132" t="str">
            <v>PGO</v>
          </cell>
          <cell r="D1132">
            <v>0</v>
          </cell>
          <cell r="E1132" t="str">
            <v>NP-53.9 - Small Value Procurement</v>
          </cell>
          <cell r="F1132" t="str">
            <v>N/A</v>
          </cell>
          <cell r="G1132">
            <v>45457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1640</v>
          </cell>
          <cell r="AB1132">
            <v>0</v>
          </cell>
          <cell r="AC1132">
            <v>1640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</row>
        <row r="1133">
          <cell r="A1133" t="str">
            <v>24-3186</v>
          </cell>
          <cell r="B1133" t="str">
            <v>COMPUTER SUPPLIES</v>
          </cell>
          <cell r="C1133" t="str">
            <v>PGO</v>
          </cell>
          <cell r="D1133">
            <v>0</v>
          </cell>
          <cell r="E1133" t="str">
            <v>NP-53.9 - Small Value Procurement</v>
          </cell>
          <cell r="F1133" t="str">
            <v>N/A</v>
          </cell>
          <cell r="G1133">
            <v>45457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15481</v>
          </cell>
          <cell r="AB1133">
            <v>0</v>
          </cell>
          <cell r="AC1133">
            <v>15481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</row>
        <row r="1134">
          <cell r="A1134" t="str">
            <v>24-3281</v>
          </cell>
          <cell r="B1134" t="str">
            <v>DOGFOOD ADULT  20 KG/SACK</v>
          </cell>
          <cell r="C1134" t="str">
            <v>PGO</v>
          </cell>
          <cell r="D1134">
            <v>0</v>
          </cell>
          <cell r="E1134" t="str">
            <v>NP-53.9 - Small Value Procurement</v>
          </cell>
          <cell r="F1134" t="str">
            <v>N/A</v>
          </cell>
          <cell r="G1134">
            <v>45457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73260</v>
          </cell>
          <cell r="AB1134">
            <v>0</v>
          </cell>
          <cell r="AC1134">
            <v>73260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</row>
        <row r="1135">
          <cell r="A1135" t="str">
            <v>24-3280</v>
          </cell>
          <cell r="B1135" t="str">
            <v>FUEL, OIL, AND LUBRICANTS</v>
          </cell>
          <cell r="C1135" t="str">
            <v>PGO</v>
          </cell>
          <cell r="D1135">
            <v>0</v>
          </cell>
          <cell r="E1135" t="str">
            <v>NP-53.9 - Small Value Procurement</v>
          </cell>
          <cell r="F1135" t="str">
            <v>N/A</v>
          </cell>
          <cell r="G1135">
            <v>45457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37050</v>
          </cell>
          <cell r="AB1135">
            <v>0</v>
          </cell>
          <cell r="AC1135">
            <v>37050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</row>
        <row r="1136">
          <cell r="A1136" t="str">
            <v>24-3078</v>
          </cell>
          <cell r="B1136" t="str">
            <v>TARPAULIN - AS PER DESIGN</v>
          </cell>
          <cell r="C1136" t="str">
            <v>PEO</v>
          </cell>
          <cell r="D1136">
            <v>0</v>
          </cell>
          <cell r="E1136" t="str">
            <v>NP-53.9 - Small Value Procurement</v>
          </cell>
          <cell r="F1136" t="str">
            <v>N/A</v>
          </cell>
          <cell r="G1136">
            <v>45457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1792</v>
          </cell>
          <cell r="AB1136">
            <v>0</v>
          </cell>
          <cell r="AC1136">
            <v>1792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</row>
        <row r="1137">
          <cell r="A1137" t="str">
            <v>24-3063</v>
          </cell>
          <cell r="B1137" t="str">
            <v>SPAREPARTS (MOTORCYCLE)</v>
          </cell>
          <cell r="C1137" t="str">
            <v>PGSO</v>
          </cell>
          <cell r="D1137">
            <v>0</v>
          </cell>
          <cell r="E1137" t="str">
            <v>Shopping 52.1(a) - Unforeseen Contingency</v>
          </cell>
          <cell r="F1137" t="str">
            <v>N/A</v>
          </cell>
          <cell r="G1137">
            <v>45457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8115</v>
          </cell>
          <cell r="AB1137">
            <v>0</v>
          </cell>
          <cell r="AC1137">
            <v>8115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</row>
        <row r="1138">
          <cell r="A1138" t="str">
            <v>24-2812</v>
          </cell>
          <cell r="B1138" t="str">
            <v>HANDLE BAR (HONDA XR 150)</v>
          </cell>
          <cell r="C1138" t="str">
            <v>PGSO</v>
          </cell>
          <cell r="D1138">
            <v>0</v>
          </cell>
          <cell r="E1138" t="str">
            <v>Shopping 52.1(a) - Unforeseen Contingency</v>
          </cell>
          <cell r="F1138" t="str">
            <v>N/A</v>
          </cell>
          <cell r="G1138">
            <v>45457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2800</v>
          </cell>
          <cell r="AB1138">
            <v>0</v>
          </cell>
          <cell r="AC1138">
            <v>2800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</row>
        <row r="1139">
          <cell r="A1139" t="str">
            <v>24-2844</v>
          </cell>
          <cell r="B1139" t="str">
            <v>SPAREPARTS (MOTORCYCLE)</v>
          </cell>
          <cell r="C1139" t="str">
            <v>PGSO</v>
          </cell>
          <cell r="D1139">
            <v>0</v>
          </cell>
          <cell r="E1139" t="str">
            <v>Shopping 52.1(a) - Unforeseen Contingency</v>
          </cell>
          <cell r="F1139" t="str">
            <v>N/A</v>
          </cell>
          <cell r="G1139">
            <v>45457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3605</v>
          </cell>
          <cell r="AB1139">
            <v>0</v>
          </cell>
          <cell r="AC1139">
            <v>3605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</row>
        <row r="1140">
          <cell r="A1140" t="str">
            <v>24-2810</v>
          </cell>
          <cell r="B1140" t="str">
            <v>SPAREPARTS (LIGHT VEHICLES)</v>
          </cell>
          <cell r="C1140" t="str">
            <v>PGSO</v>
          </cell>
          <cell r="D1140">
            <v>0</v>
          </cell>
          <cell r="E1140" t="str">
            <v>Shopping 52.1(a) - Unforeseen Contingency</v>
          </cell>
          <cell r="F1140" t="str">
            <v>N/A</v>
          </cell>
          <cell r="G1140">
            <v>45457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1150</v>
          </cell>
          <cell r="AB1140">
            <v>0</v>
          </cell>
          <cell r="AC1140">
            <v>1150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</row>
        <row r="1141">
          <cell r="A1141" t="str">
            <v>24-2792</v>
          </cell>
          <cell r="B1141" t="str">
            <v>SPAREPARTS (MOTORCYCLE)</v>
          </cell>
          <cell r="C1141" t="str">
            <v>PGSO</v>
          </cell>
          <cell r="D1141">
            <v>0</v>
          </cell>
          <cell r="E1141" t="str">
            <v>Shopping 52.1(a) - Unforeseen Contingency</v>
          </cell>
          <cell r="F1141" t="str">
            <v>N/A</v>
          </cell>
          <cell r="G1141">
            <v>45457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5860</v>
          </cell>
          <cell r="AB1141">
            <v>0</v>
          </cell>
          <cell r="AC1141">
            <v>5860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A1142" t="str">
            <v>24-2809</v>
          </cell>
          <cell r="B1142" t="str">
            <v>SPAREPARTS (MOTORCYCLE)</v>
          </cell>
          <cell r="C1142" t="str">
            <v>PGSO</v>
          </cell>
          <cell r="D1142">
            <v>0</v>
          </cell>
          <cell r="E1142" t="str">
            <v>Shopping 52.1(a) - Unforeseen Contingency</v>
          </cell>
          <cell r="F1142" t="str">
            <v>N/A</v>
          </cell>
          <cell r="G1142">
            <v>45457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19915</v>
          </cell>
          <cell r="AB1142">
            <v>0</v>
          </cell>
          <cell r="AC1142">
            <v>19915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</row>
        <row r="1143">
          <cell r="A1143" t="str">
            <v>24-2811</v>
          </cell>
          <cell r="B1143" t="str">
            <v>PLUMBING SUPPLIES</v>
          </cell>
          <cell r="C1143" t="str">
            <v>PGSO</v>
          </cell>
          <cell r="D1143">
            <v>0</v>
          </cell>
          <cell r="E1143" t="str">
            <v>Shopping 52.1(a) - Unforeseen Contingency</v>
          </cell>
          <cell r="F1143" t="str">
            <v>N/A</v>
          </cell>
          <cell r="G1143">
            <v>45457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16860</v>
          </cell>
          <cell r="AB1143">
            <v>0</v>
          </cell>
          <cell r="AC1143">
            <v>16860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</row>
        <row r="1144">
          <cell r="A1144" t="str">
            <v>24-2807</v>
          </cell>
          <cell r="B1144" t="str">
            <v>OFFICE SUPPLIES</v>
          </cell>
          <cell r="C1144" t="str">
            <v>PHRMDO</v>
          </cell>
          <cell r="D1144">
            <v>0</v>
          </cell>
          <cell r="E1144" t="str">
            <v>Shopping 52.1(b) - Regular Office Supplies and Equipment no available in PS</v>
          </cell>
          <cell r="F1144" t="str">
            <v>N/A</v>
          </cell>
          <cell r="G1144">
            <v>45457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7920</v>
          </cell>
          <cell r="AB1144">
            <v>0</v>
          </cell>
          <cell r="AC1144">
            <v>7920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</row>
        <row r="1145">
          <cell r="A1145" t="str">
            <v>24-C1485</v>
          </cell>
          <cell r="B1145" t="str">
            <v>OFFICE SUPPLIES</v>
          </cell>
          <cell r="C1145" t="str">
            <v>PDRRMO</v>
          </cell>
          <cell r="D1145">
            <v>0</v>
          </cell>
          <cell r="E1145" t="str">
            <v>Shopping 52.1(b) - Regular Office Supplies and Equipment no available in PS</v>
          </cell>
          <cell r="F1145" t="str">
            <v>N/A</v>
          </cell>
          <cell r="G1145">
            <v>45457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5080</v>
          </cell>
          <cell r="AB1145">
            <v>0</v>
          </cell>
          <cell r="AC1145">
            <v>5080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</row>
        <row r="1146">
          <cell r="A1146" t="str">
            <v>24-C1498</v>
          </cell>
          <cell r="B1146" t="str">
            <v>OFFICE SUPPLIES</v>
          </cell>
          <cell r="C1146" t="str">
            <v>PAGRO</v>
          </cell>
          <cell r="D1146">
            <v>0</v>
          </cell>
          <cell r="E1146" t="str">
            <v>Shopping 52.1(b) - Regular Office Supplies and Equipment no available in PS</v>
          </cell>
          <cell r="F1146" t="str">
            <v>N/A</v>
          </cell>
          <cell r="G1146">
            <v>45457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25000</v>
          </cell>
          <cell r="AB1146">
            <v>0</v>
          </cell>
          <cell r="AC1146">
            <v>25000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</row>
        <row r="1147">
          <cell r="A1147" t="str">
            <v>24-3184</v>
          </cell>
          <cell r="B1147" t="str">
            <v>OFFICE SUPPLIES</v>
          </cell>
          <cell r="C1147" t="str">
            <v>PGO</v>
          </cell>
          <cell r="D1147">
            <v>0</v>
          </cell>
          <cell r="E1147" t="str">
            <v>Shopping 52.1(b) - Regular Office Supplies and Equipment no available in PS</v>
          </cell>
          <cell r="F1147" t="str">
            <v>N/A</v>
          </cell>
          <cell r="G1147">
            <v>45457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39532</v>
          </cell>
          <cell r="AB1147">
            <v>0</v>
          </cell>
          <cell r="AC1147">
            <v>39532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</row>
        <row r="1148">
          <cell r="A1148" t="str">
            <v>24-3330</v>
          </cell>
          <cell r="B1148" t="str">
            <v>OFFICE SUPPLIES</v>
          </cell>
          <cell r="C1148" t="str">
            <v>PGO</v>
          </cell>
          <cell r="D1148">
            <v>0</v>
          </cell>
          <cell r="E1148" t="str">
            <v>Shopping 52.1(b) - Regular Office Supplies and Equipment no available in PS</v>
          </cell>
          <cell r="F1148" t="str">
            <v>N/A</v>
          </cell>
          <cell r="G1148">
            <v>45457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3192</v>
          </cell>
          <cell r="AB1148">
            <v>0</v>
          </cell>
          <cell r="AC1148">
            <v>3192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</row>
        <row r="1149">
          <cell r="A1149" t="str">
            <v>24-3174</v>
          </cell>
          <cell r="B1149" t="str">
            <v>OFFICE SUPPLIES</v>
          </cell>
          <cell r="C1149" t="str">
            <v>PGO</v>
          </cell>
          <cell r="D1149">
            <v>0</v>
          </cell>
          <cell r="E1149" t="str">
            <v>Shopping 52.1(b) - Regular Office Supplies and Equipment no available in PS</v>
          </cell>
          <cell r="F1149" t="str">
            <v>N/A</v>
          </cell>
          <cell r="G1149">
            <v>45457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22600</v>
          </cell>
          <cell r="AB1149">
            <v>0</v>
          </cell>
          <cell r="AC1149">
            <v>22600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</row>
        <row r="1150">
          <cell r="A1150" t="str">
            <v>24-3327</v>
          </cell>
          <cell r="B1150" t="str">
            <v>OFFICE SUPPLIES</v>
          </cell>
          <cell r="C1150" t="str">
            <v>PGO</v>
          </cell>
          <cell r="D1150">
            <v>0</v>
          </cell>
          <cell r="E1150" t="str">
            <v>Shopping 52.1(b) - Regular Office Supplies and Equipment no available in PS</v>
          </cell>
          <cell r="F1150" t="str">
            <v>N/A</v>
          </cell>
          <cell r="G1150">
            <v>45457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23307</v>
          </cell>
          <cell r="AB1150">
            <v>0</v>
          </cell>
          <cell r="AC1150">
            <v>23307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</row>
        <row r="1151">
          <cell r="A1151" t="str">
            <v>24-2961</v>
          </cell>
          <cell r="B1151" t="str">
            <v>OFFICE SUPPLIES</v>
          </cell>
          <cell r="C1151" t="str">
            <v>VGO</v>
          </cell>
          <cell r="D1151">
            <v>0</v>
          </cell>
          <cell r="E1151" t="str">
            <v>Shopping 52.1(b) - Regular Office Supplies and Equipment no available in PS</v>
          </cell>
          <cell r="F1151" t="str">
            <v>N/A</v>
          </cell>
          <cell r="G1151">
            <v>45458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170005</v>
          </cell>
          <cell r="AB1151">
            <v>0</v>
          </cell>
          <cell r="AC1151">
            <v>170005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</row>
        <row r="1152">
          <cell r="A1152" t="str">
            <v>24-3275</v>
          </cell>
          <cell r="B1152" t="str">
            <v>REPAIR AND MAINTENANCE - MACHINERY AND EQUIPMENT</v>
          </cell>
          <cell r="C1152" t="str">
            <v>DDOPH-PANTUKAN</v>
          </cell>
          <cell r="D1152">
            <v>0</v>
          </cell>
          <cell r="E1152" t="str">
            <v>Shopping 52.1(a) - Unforeseen Contingency</v>
          </cell>
          <cell r="F1152" t="str">
            <v>N/A</v>
          </cell>
          <cell r="G1152">
            <v>45461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50000</v>
          </cell>
          <cell r="AB1152">
            <v>0</v>
          </cell>
          <cell r="AC1152">
            <v>50000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</row>
        <row r="1153">
          <cell r="A1153" t="str">
            <v>24-3277</v>
          </cell>
          <cell r="B1153" t="str">
            <v>REPAIR AND MAINTENANCE - BUILDING AND OTHER STRUCTURE</v>
          </cell>
          <cell r="C1153" t="str">
            <v>DDOPH-PANTUKAN</v>
          </cell>
          <cell r="D1153">
            <v>0</v>
          </cell>
          <cell r="E1153" t="str">
            <v>Shopping 52.1(a) - Unforeseen Contingency</v>
          </cell>
          <cell r="F1153" t="str">
            <v>N/A</v>
          </cell>
          <cell r="G1153">
            <v>45461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50000</v>
          </cell>
          <cell r="AB1153">
            <v>0</v>
          </cell>
          <cell r="AC1153">
            <v>50000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</row>
        <row r="1154">
          <cell r="A1154" t="str">
            <v>24-3118</v>
          </cell>
          <cell r="B1154" t="str">
            <v>OFFICE SUPPLIES</v>
          </cell>
          <cell r="C1154" t="str">
            <v>PGO</v>
          </cell>
          <cell r="D1154">
            <v>0</v>
          </cell>
          <cell r="E1154" t="str">
            <v>Shopping 52.1(b) - Regular Office Supplies and Equipment no available in PS</v>
          </cell>
          <cell r="F1154" t="str">
            <v>N/A</v>
          </cell>
          <cell r="G1154">
            <v>45461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5327</v>
          </cell>
          <cell r="AB1154">
            <v>0</v>
          </cell>
          <cell r="AC1154">
            <v>5327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</row>
        <row r="1155">
          <cell r="A1155" t="str">
            <v>24-C1429</v>
          </cell>
          <cell r="B1155" t="str">
            <v>OFFICE SUPPLIES</v>
          </cell>
          <cell r="C1155" t="str">
            <v>PHRMDO</v>
          </cell>
          <cell r="D1155">
            <v>0</v>
          </cell>
          <cell r="E1155" t="str">
            <v>Shopping 52.1(b) - Regular Office Supplies and Equipment no available in PS</v>
          </cell>
          <cell r="F1155" t="str">
            <v>N/A</v>
          </cell>
          <cell r="G1155">
            <v>45461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79995</v>
          </cell>
          <cell r="AB1155">
            <v>0</v>
          </cell>
          <cell r="AC1155">
            <v>79995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</row>
        <row r="1156">
          <cell r="A1156" t="str">
            <v>24-C1424</v>
          </cell>
          <cell r="B1156" t="str">
            <v>OFFICE SUPPLIES</v>
          </cell>
          <cell r="C1156" t="str">
            <v>PAO-ADMIN</v>
          </cell>
          <cell r="D1156">
            <v>0</v>
          </cell>
          <cell r="E1156" t="str">
            <v>Shopping 52.1(b) - Regular Office Supplies and Equipment no available in PS</v>
          </cell>
          <cell r="F1156" t="str">
            <v>N/A</v>
          </cell>
          <cell r="G1156">
            <v>45461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166824.5</v>
          </cell>
          <cell r="AB1156">
            <v>0</v>
          </cell>
          <cell r="AC1156">
            <v>166824.5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</row>
        <row r="1157">
          <cell r="A1157" t="str">
            <v>24-C1354</v>
          </cell>
          <cell r="B1157" t="str">
            <v>SPAREPARTS (AIRCONDITION)</v>
          </cell>
          <cell r="C1157" t="str">
            <v>SPO</v>
          </cell>
          <cell r="D1157">
            <v>0</v>
          </cell>
          <cell r="E1157" t="str">
            <v>Direct Contracting</v>
          </cell>
          <cell r="F1157" t="str">
            <v>N/A</v>
          </cell>
          <cell r="G1157">
            <v>45461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141183.29999999999</v>
          </cell>
          <cell r="AB1157">
            <v>0</v>
          </cell>
          <cell r="AC1157">
            <v>141183.29999999999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</row>
        <row r="1158">
          <cell r="A1158" t="str">
            <v>24-3294</v>
          </cell>
          <cell r="B1158" t="str">
            <v>MEALS AND SNACKS</v>
          </cell>
          <cell r="C1158" t="str">
            <v>PGO</v>
          </cell>
          <cell r="D1158">
            <v>0</v>
          </cell>
          <cell r="E1158" t="str">
            <v>NP-53.9 - Small Value Procurement</v>
          </cell>
          <cell r="F1158" t="str">
            <v>N/A</v>
          </cell>
          <cell r="G1158">
            <v>45461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170000</v>
          </cell>
          <cell r="AB1158">
            <v>0</v>
          </cell>
          <cell r="AC1158">
            <v>170000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</row>
        <row r="1159">
          <cell r="A1159" t="str">
            <v>24-3295</v>
          </cell>
          <cell r="B1159" t="str">
            <v>MEALS AND SNACKS</v>
          </cell>
          <cell r="C1159" t="str">
            <v>PGO</v>
          </cell>
          <cell r="D1159">
            <v>0</v>
          </cell>
          <cell r="E1159" t="str">
            <v>NP-53.9 - Small Value Procurement</v>
          </cell>
          <cell r="F1159" t="str">
            <v>N/A</v>
          </cell>
          <cell r="G1159">
            <v>45461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197500</v>
          </cell>
          <cell r="AB1159">
            <v>0</v>
          </cell>
          <cell r="AC1159">
            <v>197500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</row>
        <row r="1160">
          <cell r="A1160" t="str">
            <v>24-3213</v>
          </cell>
          <cell r="B1160" t="str">
            <v>MEALS AND SNACKS</v>
          </cell>
          <cell r="C1160" t="str">
            <v>PGO</v>
          </cell>
          <cell r="D1160">
            <v>0</v>
          </cell>
          <cell r="E1160" t="str">
            <v>NP-53.9 - Small Value Procurement</v>
          </cell>
          <cell r="F1160" t="str">
            <v>N/A</v>
          </cell>
          <cell r="G1160">
            <v>45461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95000</v>
          </cell>
          <cell r="AB1160">
            <v>0</v>
          </cell>
          <cell r="AC1160">
            <v>95000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</row>
        <row r="1161">
          <cell r="A1161" t="str">
            <v>24-3209</v>
          </cell>
          <cell r="B1161" t="str">
            <v>MEALS AND SNACKS</v>
          </cell>
          <cell r="C1161" t="str">
            <v>PGO</v>
          </cell>
          <cell r="D1161">
            <v>0</v>
          </cell>
          <cell r="E1161" t="str">
            <v>NP-53.9 - Small Value Procurement</v>
          </cell>
          <cell r="F1161" t="str">
            <v>N/A</v>
          </cell>
          <cell r="G1161">
            <v>45461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129000</v>
          </cell>
          <cell r="AB1161">
            <v>0</v>
          </cell>
          <cell r="AC1161">
            <v>129000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</row>
        <row r="1162">
          <cell r="A1162" t="str">
            <v>24-C1448</v>
          </cell>
          <cell r="B1162" t="str">
            <v>COMPUTER SUPPLIES</v>
          </cell>
          <cell r="C1162" t="str">
            <v>PSWDO</v>
          </cell>
          <cell r="D1162">
            <v>0</v>
          </cell>
          <cell r="E1162" t="str">
            <v>NP-53.9 - Small Value Procurement</v>
          </cell>
          <cell r="F1162" t="str">
            <v>N/A</v>
          </cell>
          <cell r="G1162">
            <v>45461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18340</v>
          </cell>
          <cell r="AB1162">
            <v>0</v>
          </cell>
          <cell r="AC1162">
            <v>18340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</row>
        <row r="1163">
          <cell r="A1163" t="str">
            <v>24-2645</v>
          </cell>
          <cell r="B1163" t="str">
            <v>RICE (WELL-MILLED) 50KG/SACK</v>
          </cell>
          <cell r="C1163" t="str">
            <v>PGO</v>
          </cell>
          <cell r="D1163">
            <v>0</v>
          </cell>
          <cell r="E1163" t="str">
            <v>NP-53.9 - Small Value Procurement</v>
          </cell>
          <cell r="F1163" t="str">
            <v>N/A</v>
          </cell>
          <cell r="G1163">
            <v>45461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144000</v>
          </cell>
          <cell r="AB1163">
            <v>0</v>
          </cell>
          <cell r="AC1163">
            <v>144000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</row>
        <row r="1164">
          <cell r="A1164" t="str">
            <v>24-3346</v>
          </cell>
          <cell r="B1164" t="str">
            <v>OFFICE EQUIPMENT</v>
          </cell>
          <cell r="C1164" t="str">
            <v>PGO</v>
          </cell>
          <cell r="D1164">
            <v>0</v>
          </cell>
          <cell r="E1164" t="str">
            <v>NP-53.9 - Small Value Procurement</v>
          </cell>
          <cell r="F1164" t="str">
            <v>N/A</v>
          </cell>
          <cell r="G1164">
            <v>45461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14500</v>
          </cell>
          <cell r="AB1164">
            <v>0</v>
          </cell>
          <cell r="AC1164">
            <v>14500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</row>
        <row r="1165">
          <cell r="A1165" t="str">
            <v>24-3597</v>
          </cell>
          <cell r="B1165" t="str">
            <v>ACK-UP DRONE BATTERY</v>
          </cell>
          <cell r="C1165" t="str">
            <v>PGO</v>
          </cell>
          <cell r="D1165">
            <v>0</v>
          </cell>
          <cell r="E1165" t="str">
            <v>NP-53.9 - Small Value Procurement</v>
          </cell>
          <cell r="F1165" t="str">
            <v>N/A</v>
          </cell>
          <cell r="G1165">
            <v>45461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16500</v>
          </cell>
          <cell r="AB1165">
            <v>0</v>
          </cell>
          <cell r="AC1165">
            <v>16500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</row>
        <row r="1166">
          <cell r="A1166" t="str">
            <v>24-3117</v>
          </cell>
          <cell r="B1166" t="str">
            <v>RAIN COAT (PONCHO TYPE)</v>
          </cell>
          <cell r="C1166" t="str">
            <v>PGO</v>
          </cell>
          <cell r="D1166">
            <v>0</v>
          </cell>
          <cell r="E1166" t="str">
            <v>NP-53.9 - Small Value Procurement</v>
          </cell>
          <cell r="F1166" t="str">
            <v>N/A</v>
          </cell>
          <cell r="G1166">
            <v>45461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1200</v>
          </cell>
          <cell r="AB1166">
            <v>0</v>
          </cell>
          <cell r="AC1166">
            <v>1200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</row>
        <row r="1167">
          <cell r="A1167" t="str">
            <v>24-C1504</v>
          </cell>
          <cell r="B1167" t="str">
            <v>COMPUTER SUPPLIES</v>
          </cell>
          <cell r="C1167" t="str">
            <v>PASSO</v>
          </cell>
          <cell r="D1167">
            <v>0</v>
          </cell>
          <cell r="E1167" t="str">
            <v>NP-53.9 - Small Value Procurement</v>
          </cell>
          <cell r="F1167" t="str">
            <v>N/A</v>
          </cell>
          <cell r="G1167">
            <v>45461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125382</v>
          </cell>
          <cell r="AB1167">
            <v>0</v>
          </cell>
          <cell r="AC1167">
            <v>125382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</row>
        <row r="1168">
          <cell r="A1168" t="str">
            <v>24-3328</v>
          </cell>
          <cell r="B1168" t="str">
            <v>PAPER SHREDDER 20 LITERS (HEAVY DUTY)</v>
          </cell>
          <cell r="C1168" t="str">
            <v>PGO</v>
          </cell>
          <cell r="D1168">
            <v>0</v>
          </cell>
          <cell r="E1168" t="str">
            <v>NP-53.9 - Small Value Procurement</v>
          </cell>
          <cell r="F1168" t="str">
            <v>N/A</v>
          </cell>
          <cell r="G1168">
            <v>45461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28000</v>
          </cell>
          <cell r="AB1168">
            <v>0</v>
          </cell>
          <cell r="AC1168">
            <v>28000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</row>
        <row r="1169">
          <cell r="A1169" t="str">
            <v>24-C1515</v>
          </cell>
          <cell r="B1169" t="str">
            <v>MEALS AND SNACKS</v>
          </cell>
          <cell r="C1169" t="str">
            <v>PVO</v>
          </cell>
          <cell r="D1169">
            <v>0</v>
          </cell>
          <cell r="E1169" t="str">
            <v>NP-53.9 - Small Value Procurement</v>
          </cell>
          <cell r="F1169" t="str">
            <v>N/A</v>
          </cell>
          <cell r="G1169">
            <v>45461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46039</v>
          </cell>
          <cell r="AB1169">
            <v>0</v>
          </cell>
          <cell r="AC1169">
            <v>46039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</row>
        <row r="1170">
          <cell r="A1170" t="str">
            <v>24-C1490</v>
          </cell>
          <cell r="B1170" t="str">
            <v>PLUMBING SUPPLIES</v>
          </cell>
          <cell r="C1170" t="str">
            <v>PDRRMO</v>
          </cell>
          <cell r="D1170">
            <v>0</v>
          </cell>
          <cell r="E1170" t="str">
            <v>NP-53.9 - Small Value Procurement</v>
          </cell>
          <cell r="F1170" t="str">
            <v>N/A</v>
          </cell>
          <cell r="G1170">
            <v>45461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22305.599999999999</v>
          </cell>
          <cell r="AB1170">
            <v>0</v>
          </cell>
          <cell r="AC1170">
            <v>22305.599999999999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</row>
        <row r="1171">
          <cell r="A1171" t="str">
            <v>24-3115</v>
          </cell>
          <cell r="B1171" t="str">
            <v>ANIMAL FEEDS</v>
          </cell>
          <cell r="C1171" t="str">
            <v>PGO</v>
          </cell>
          <cell r="D1171">
            <v>0</v>
          </cell>
          <cell r="E1171" t="str">
            <v>NP-53.9 - Small Value Procurement</v>
          </cell>
          <cell r="F1171" t="str">
            <v>N/A</v>
          </cell>
          <cell r="G1171">
            <v>45461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89000</v>
          </cell>
          <cell r="AB1171">
            <v>0</v>
          </cell>
          <cell r="AC1171">
            <v>89000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</row>
        <row r="1172">
          <cell r="A1172" t="str">
            <v>24-C1459</v>
          </cell>
          <cell r="B1172" t="str">
            <v>MEALS AND SNACKS</v>
          </cell>
          <cell r="C1172" t="str">
            <v>PENRO</v>
          </cell>
          <cell r="D1172">
            <v>0</v>
          </cell>
          <cell r="E1172" t="str">
            <v>NP-53.9 - Small Value Procurement</v>
          </cell>
          <cell r="F1172" t="str">
            <v>N/A</v>
          </cell>
          <cell r="G1172">
            <v>45461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44550</v>
          </cell>
          <cell r="AB1172">
            <v>0</v>
          </cell>
          <cell r="AC1172">
            <v>44550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</row>
        <row r="1173">
          <cell r="A1173" t="str">
            <v>24-C1338</v>
          </cell>
          <cell r="B1173" t="str">
            <v>MEALS AND SNACKS</v>
          </cell>
          <cell r="C1173" t="str">
            <v>PGO</v>
          </cell>
          <cell r="D1173">
            <v>0</v>
          </cell>
          <cell r="E1173" t="str">
            <v>NP-53.9 - Small Value Procurement</v>
          </cell>
          <cell r="F1173" t="str">
            <v>N/A</v>
          </cell>
          <cell r="G1173">
            <v>45461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57031</v>
          </cell>
          <cell r="AB1173">
            <v>0</v>
          </cell>
          <cell r="AC1173">
            <v>57031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A1174" t="str">
            <v>24-C1432</v>
          </cell>
          <cell r="B1174" t="str">
            <v>COMPUTER SUPPLIES</v>
          </cell>
          <cell r="C1174" t="str">
            <v>PDRRMO</v>
          </cell>
          <cell r="D1174">
            <v>0</v>
          </cell>
          <cell r="E1174" t="str">
            <v>NP-53.9 - Small Value Procurement</v>
          </cell>
          <cell r="F1174" t="str">
            <v>N/A</v>
          </cell>
          <cell r="G1174">
            <v>45461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61458</v>
          </cell>
          <cell r="AB1174">
            <v>0</v>
          </cell>
          <cell r="AC1174">
            <v>61458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</row>
        <row r="1175">
          <cell r="A1175" t="str">
            <v>24-3630</v>
          </cell>
          <cell r="B1175" t="str">
            <v>MEALS AND SNACKS</v>
          </cell>
          <cell r="C1175" t="str">
            <v>PAO-ADMIN</v>
          </cell>
          <cell r="D1175">
            <v>0</v>
          </cell>
          <cell r="E1175" t="str">
            <v>NP-53.9 - Small Value Procurement</v>
          </cell>
          <cell r="F1175" t="str">
            <v>N/A</v>
          </cell>
          <cell r="G1175">
            <v>45461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51250</v>
          </cell>
          <cell r="AB1175">
            <v>0</v>
          </cell>
          <cell r="AC1175">
            <v>51250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</row>
        <row r="1176">
          <cell r="A1176" t="str">
            <v>24-3639</v>
          </cell>
          <cell r="B1176" t="str">
            <v>OFFICE SUPPLIES</v>
          </cell>
          <cell r="C1176" t="str">
            <v>SPO</v>
          </cell>
          <cell r="D1176">
            <v>0</v>
          </cell>
          <cell r="E1176" t="str">
            <v>Shopping 52.1(b) - Regular Office Supplies and Equipment no available in PS</v>
          </cell>
          <cell r="F1176" t="str">
            <v>N/A</v>
          </cell>
          <cell r="G1176">
            <v>45463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6666</v>
          </cell>
          <cell r="AB1176">
            <v>0</v>
          </cell>
          <cell r="AC1176">
            <v>6666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</row>
        <row r="1177">
          <cell r="A1177" t="str">
            <v>24-C1401</v>
          </cell>
          <cell r="B1177" t="str">
            <v>OFFICE SUPPLIES</v>
          </cell>
          <cell r="C1177" t="str">
            <v>PDRRMO</v>
          </cell>
          <cell r="D1177">
            <v>0</v>
          </cell>
          <cell r="E1177" t="str">
            <v>Shopping 52.1(b) - Regular Office Supplies and Equipment no available in PS</v>
          </cell>
          <cell r="F1177" t="str">
            <v>N/A</v>
          </cell>
          <cell r="G1177">
            <v>45463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12799</v>
          </cell>
          <cell r="AB1177">
            <v>0</v>
          </cell>
          <cell r="AC1177">
            <v>12799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</row>
        <row r="1178">
          <cell r="A1178" t="str">
            <v>24-3536</v>
          </cell>
          <cell r="B1178" t="str">
            <v>OFFICE SUPPLIES</v>
          </cell>
          <cell r="C1178" t="str">
            <v>SEF</v>
          </cell>
          <cell r="D1178">
            <v>0</v>
          </cell>
          <cell r="E1178" t="str">
            <v>Shopping 52.1(b) - Regular Office Supplies and Equipment no available in PS</v>
          </cell>
          <cell r="F1178" t="str">
            <v>N/A</v>
          </cell>
          <cell r="G1178">
            <v>45463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49863.6</v>
          </cell>
          <cell r="AB1178">
            <v>0</v>
          </cell>
          <cell r="AC1178">
            <v>49863.6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</row>
        <row r="1179">
          <cell r="A1179" t="str">
            <v>24-C1388</v>
          </cell>
          <cell r="B1179" t="str">
            <v>MEDICAL SUPPLIES</v>
          </cell>
          <cell r="C1179" t="str">
            <v>PEEMO</v>
          </cell>
          <cell r="D1179">
            <v>0</v>
          </cell>
          <cell r="E1179" t="str">
            <v>Direct Contracting</v>
          </cell>
          <cell r="F1179" t="str">
            <v>N/A</v>
          </cell>
          <cell r="G1179">
            <v>45463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120960</v>
          </cell>
          <cell r="AB1179">
            <v>0</v>
          </cell>
          <cell r="AC1179">
            <v>120960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</row>
        <row r="1180">
          <cell r="A1180" t="str">
            <v>24-C1389</v>
          </cell>
          <cell r="B1180" t="str">
            <v>ELECTROLYTES ANALYZER (SODIUM, POTASSIUM, CHLORIDE, CALCIUM)</v>
          </cell>
          <cell r="C1180" t="str">
            <v>PEEMO</v>
          </cell>
          <cell r="D1180">
            <v>0</v>
          </cell>
          <cell r="E1180" t="str">
            <v>Direct Contracting</v>
          </cell>
          <cell r="F1180" t="str">
            <v>N/A</v>
          </cell>
          <cell r="G1180">
            <v>45463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630375</v>
          </cell>
          <cell r="AB1180">
            <v>0</v>
          </cell>
          <cell r="AC1180">
            <v>630375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</row>
        <row r="1181">
          <cell r="A1181" t="str">
            <v>24-C1415</v>
          </cell>
          <cell r="B1181" t="str">
            <v>LABORATORY SUPPLIES/REAGENT</v>
          </cell>
          <cell r="C1181" t="str">
            <v>PEEMO</v>
          </cell>
          <cell r="D1181">
            <v>0</v>
          </cell>
          <cell r="E1181" t="str">
            <v>Direct Contracting</v>
          </cell>
          <cell r="F1181" t="str">
            <v>N/A</v>
          </cell>
          <cell r="G1181">
            <v>45463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266000</v>
          </cell>
          <cell r="AB1181">
            <v>0</v>
          </cell>
          <cell r="AC1181">
            <v>266000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</row>
        <row r="1182">
          <cell r="A1182" t="str">
            <v>24-C1394</v>
          </cell>
          <cell r="B1182" t="str">
            <v>LABORATORY SUPPLIES/REAGENT</v>
          </cell>
          <cell r="C1182" t="str">
            <v>PEEMO</v>
          </cell>
          <cell r="D1182">
            <v>0</v>
          </cell>
          <cell r="E1182" t="str">
            <v>Direct Contracting</v>
          </cell>
          <cell r="F1182" t="str">
            <v>N/A</v>
          </cell>
          <cell r="G1182">
            <v>45463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571850</v>
          </cell>
          <cell r="AB1182">
            <v>0</v>
          </cell>
          <cell r="AC1182">
            <v>571850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</row>
        <row r="1183">
          <cell r="A1183" t="str">
            <v>24-3651</v>
          </cell>
          <cell r="B1183" t="str">
            <v>SPAREPARTS (HEAVY EQUIPMENT)</v>
          </cell>
          <cell r="C1183" t="str">
            <v>PEO</v>
          </cell>
          <cell r="D1183">
            <v>0</v>
          </cell>
          <cell r="E1183" t="str">
            <v>Direct Contracting</v>
          </cell>
          <cell r="F1183">
            <v>45461</v>
          </cell>
          <cell r="G1183">
            <v>45463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226948.3</v>
          </cell>
          <cell r="AB1183">
            <v>0</v>
          </cell>
          <cell r="AC1183">
            <v>226948.3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</row>
        <row r="1184">
          <cell r="A1184" t="str">
            <v>24-1631</v>
          </cell>
          <cell r="B1184" t="str">
            <v>OFFICE SUPPLIES</v>
          </cell>
          <cell r="C1184" t="str">
            <v>PGO</v>
          </cell>
          <cell r="D1184">
            <v>0</v>
          </cell>
          <cell r="E1184" t="str">
            <v>Direct Contracting</v>
          </cell>
          <cell r="F1184" t="str">
            <v>N/A</v>
          </cell>
          <cell r="G1184">
            <v>45468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9989</v>
          </cell>
          <cell r="AB1184">
            <v>0</v>
          </cell>
          <cell r="AC1184">
            <v>9989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</row>
        <row r="1185">
          <cell r="A1185" t="str">
            <v>24-C1483</v>
          </cell>
          <cell r="B1185" t="str">
            <v>OFFICE SUPPLIES</v>
          </cell>
          <cell r="C1185" t="str">
            <v>PDRRMO</v>
          </cell>
          <cell r="D1185">
            <v>0</v>
          </cell>
          <cell r="E1185" t="str">
            <v>Shopping 52.1(b) - Regular Office Supplies and Equipment no available in PS</v>
          </cell>
          <cell r="F1185" t="str">
            <v>N/A</v>
          </cell>
          <cell r="G1185">
            <v>45468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97911</v>
          </cell>
          <cell r="AB1185">
            <v>0</v>
          </cell>
          <cell r="AC1185">
            <v>97911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</row>
        <row r="1186">
          <cell r="A1186" t="str">
            <v>24-3044</v>
          </cell>
          <cell r="B1186" t="str">
            <v>OFFICE SUPPLIES</v>
          </cell>
          <cell r="C1186" t="str">
            <v>PPDO</v>
          </cell>
          <cell r="D1186">
            <v>0</v>
          </cell>
          <cell r="E1186" t="str">
            <v>Shopping 52.1(b) - Regular Office Supplies and Equipment no available in PS</v>
          </cell>
          <cell r="F1186" t="str">
            <v>N/A</v>
          </cell>
          <cell r="G1186">
            <v>45468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24346</v>
          </cell>
          <cell r="AB1186">
            <v>0</v>
          </cell>
          <cell r="AC1186">
            <v>24346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</row>
        <row r="1187">
          <cell r="A1187" t="str">
            <v>24-C1457</v>
          </cell>
          <cell r="B1187" t="str">
            <v>OFFICE SUPPLIES</v>
          </cell>
          <cell r="C1187" t="str">
            <v>PPDO</v>
          </cell>
          <cell r="D1187">
            <v>0</v>
          </cell>
          <cell r="E1187" t="str">
            <v>Shopping 52.1(b) - Regular Office Supplies and Equipment no available in PS</v>
          </cell>
          <cell r="F1187" t="str">
            <v>N/A</v>
          </cell>
          <cell r="G1187">
            <v>45468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128144</v>
          </cell>
          <cell r="AB1187">
            <v>0</v>
          </cell>
          <cell r="AC1187">
            <v>128144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</row>
        <row r="1188">
          <cell r="A1188" t="str">
            <v>24-3383</v>
          </cell>
          <cell r="B1188" t="str">
            <v>OFFICE SUPPLIES</v>
          </cell>
          <cell r="C1188" t="str">
            <v>PPDO</v>
          </cell>
          <cell r="D1188">
            <v>0</v>
          </cell>
          <cell r="E1188" t="str">
            <v>Shopping 52.1(b) - Regular Office Supplies and Equipment no available in PS</v>
          </cell>
          <cell r="F1188" t="str">
            <v>N/A</v>
          </cell>
          <cell r="G1188">
            <v>45468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15045</v>
          </cell>
          <cell r="AB1188">
            <v>0</v>
          </cell>
          <cell r="AC1188">
            <v>15045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</row>
        <row r="1189">
          <cell r="A1189" t="str">
            <v>24-C1462</v>
          </cell>
          <cell r="B1189" t="str">
            <v>DRUGS AND MEDICINES</v>
          </cell>
          <cell r="C1189" t="str">
            <v>PHO</v>
          </cell>
          <cell r="D1189">
            <v>0</v>
          </cell>
          <cell r="E1189" t="str">
            <v>NP-53.9 - Small Value Procurement</v>
          </cell>
          <cell r="F1189" t="str">
            <v>N/A</v>
          </cell>
          <cell r="G1189">
            <v>45468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161853</v>
          </cell>
          <cell r="AB1189">
            <v>0</v>
          </cell>
          <cell r="AC1189">
            <v>161853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</row>
        <row r="1190">
          <cell r="A1190" t="str">
            <v>24-3444</v>
          </cell>
          <cell r="B1190" t="str">
            <v>MEALS AND SNACKS</v>
          </cell>
          <cell r="C1190" t="str">
            <v>PAO-ADMIN</v>
          </cell>
          <cell r="D1190">
            <v>0</v>
          </cell>
          <cell r="E1190" t="str">
            <v>NP-53.9 - Small Value Procurement</v>
          </cell>
          <cell r="F1190" t="str">
            <v>N/A</v>
          </cell>
          <cell r="G1190">
            <v>45468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104500</v>
          </cell>
          <cell r="AB1190">
            <v>0</v>
          </cell>
          <cell r="AC1190">
            <v>104500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</row>
        <row r="1191">
          <cell r="A1191" t="str">
            <v>24-3203</v>
          </cell>
          <cell r="B1191" t="str">
            <v>MEALS AND SNACKS</v>
          </cell>
          <cell r="C1191" t="str">
            <v>PHO</v>
          </cell>
          <cell r="D1191">
            <v>0</v>
          </cell>
          <cell r="E1191" t="str">
            <v>NP-53.9 - Small Value Procurement</v>
          </cell>
          <cell r="F1191" t="str">
            <v>N/A</v>
          </cell>
          <cell r="G1191">
            <v>45468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105000</v>
          </cell>
          <cell r="AB1191">
            <v>0</v>
          </cell>
          <cell r="AC1191">
            <v>105000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</row>
        <row r="1192">
          <cell r="A1192" t="str">
            <v>24-3206</v>
          </cell>
          <cell r="B1192" t="str">
            <v>MEALS AND SNACKS WITH VENUE</v>
          </cell>
          <cell r="C1192" t="str">
            <v>PGO</v>
          </cell>
          <cell r="D1192">
            <v>0</v>
          </cell>
          <cell r="E1192" t="str">
            <v>NP-53.9 - Small Value Procurement</v>
          </cell>
          <cell r="F1192" t="str">
            <v>N/A</v>
          </cell>
          <cell r="G1192">
            <v>45468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76500</v>
          </cell>
          <cell r="AB1192">
            <v>0</v>
          </cell>
          <cell r="AC1192">
            <v>76500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</row>
        <row r="1193">
          <cell r="A1193" t="str">
            <v>24-3412</v>
          </cell>
          <cell r="B1193" t="str">
            <v>TARPAULIN - AS PER DESIGN</v>
          </cell>
          <cell r="C1193" t="str">
            <v>PAGRO</v>
          </cell>
          <cell r="D1193">
            <v>0</v>
          </cell>
          <cell r="E1193" t="str">
            <v>NP-53.9 - Small Value Procurement</v>
          </cell>
          <cell r="F1193" t="str">
            <v>N/A</v>
          </cell>
          <cell r="G1193">
            <v>45468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4704</v>
          </cell>
          <cell r="AB1193">
            <v>0</v>
          </cell>
          <cell r="AC1193">
            <v>4704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</row>
        <row r="1194">
          <cell r="A1194" t="str">
            <v>24-C1493</v>
          </cell>
          <cell r="B1194" t="str">
            <v>OFFICE DEVICES AND SUPPLIES</v>
          </cell>
          <cell r="C1194" t="str">
            <v>PGO</v>
          </cell>
          <cell r="D1194">
            <v>0</v>
          </cell>
          <cell r="E1194" t="str">
            <v>NP-53.9 - Small Value Procurement</v>
          </cell>
          <cell r="F1194" t="str">
            <v>N/A</v>
          </cell>
          <cell r="G1194">
            <v>45468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21460</v>
          </cell>
          <cell r="AB1194">
            <v>0</v>
          </cell>
          <cell r="AC1194">
            <v>21460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</row>
        <row r="1195">
          <cell r="A1195" t="str">
            <v>24-3183</v>
          </cell>
          <cell r="B1195" t="str">
            <v>PAPER SHREDDER (HEAVY DUTY)</v>
          </cell>
          <cell r="C1195" t="str">
            <v>PGO</v>
          </cell>
          <cell r="D1195">
            <v>0</v>
          </cell>
          <cell r="E1195" t="str">
            <v>NP-53.9 - Small Value Procurement</v>
          </cell>
          <cell r="F1195" t="str">
            <v>N/A</v>
          </cell>
          <cell r="G1195">
            <v>45468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7000</v>
          </cell>
          <cell r="AB1195">
            <v>0</v>
          </cell>
          <cell r="AC1195">
            <v>7000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</row>
        <row r="1196">
          <cell r="A1196" t="str">
            <v>24-3292</v>
          </cell>
          <cell r="B1196" t="str">
            <v>MOBILE TENT TRAPAL COVER</v>
          </cell>
          <cell r="C1196" t="str">
            <v>PGO</v>
          </cell>
          <cell r="D1196">
            <v>0</v>
          </cell>
          <cell r="E1196" t="str">
            <v>NP-53.9 - Small Value Procurement</v>
          </cell>
          <cell r="F1196" t="str">
            <v>N/A</v>
          </cell>
          <cell r="G1196">
            <v>45468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38000</v>
          </cell>
          <cell r="AB1196">
            <v>0</v>
          </cell>
          <cell r="AC1196">
            <v>38000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</row>
        <row r="1197">
          <cell r="A1197" t="str">
            <v>24-C1522</v>
          </cell>
          <cell r="B1197" t="str">
            <v>OFFICE DEVICES</v>
          </cell>
          <cell r="C1197" t="str">
            <v>PENRO</v>
          </cell>
          <cell r="D1197">
            <v>0</v>
          </cell>
          <cell r="E1197" t="str">
            <v>NP-53.9 - Small Value Procurement</v>
          </cell>
          <cell r="F1197" t="str">
            <v>N/A</v>
          </cell>
          <cell r="G1197">
            <v>45468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41235</v>
          </cell>
          <cell r="AB1197">
            <v>0</v>
          </cell>
          <cell r="AC1197">
            <v>41235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</row>
        <row r="1198">
          <cell r="A1198" t="str">
            <v>24-3781</v>
          </cell>
          <cell r="B1198" t="str">
            <v>JANITORIAL SUPPLIES</v>
          </cell>
          <cell r="C1198" t="str">
            <v>PGO</v>
          </cell>
          <cell r="D1198">
            <v>0</v>
          </cell>
          <cell r="E1198" t="str">
            <v>NP-53.9 - Small Value Procurement</v>
          </cell>
          <cell r="F1198" t="str">
            <v>N/A</v>
          </cell>
          <cell r="G1198">
            <v>45468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2121</v>
          </cell>
          <cell r="AB1198">
            <v>0</v>
          </cell>
          <cell r="AC1198">
            <v>2121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</row>
        <row r="1199">
          <cell r="A1199" t="str">
            <v>24-3786</v>
          </cell>
          <cell r="B1199" t="str">
            <v>CORRUGATED G.I. SHEET</v>
          </cell>
          <cell r="C1199" t="str">
            <v>PGO</v>
          </cell>
          <cell r="D1199">
            <v>0</v>
          </cell>
          <cell r="E1199" t="str">
            <v>NP-53.9 - Small Value Procurement</v>
          </cell>
          <cell r="F1199" t="str">
            <v>N/A</v>
          </cell>
          <cell r="G1199">
            <v>45468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297000</v>
          </cell>
          <cell r="AB1199">
            <v>0</v>
          </cell>
          <cell r="AC1199">
            <v>297000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</row>
        <row r="1200">
          <cell r="A1200" t="str">
            <v>24-3787</v>
          </cell>
          <cell r="B1200" t="str">
            <v>ENAMEL PAINT</v>
          </cell>
          <cell r="C1200" t="str">
            <v>PGO</v>
          </cell>
          <cell r="D1200">
            <v>0</v>
          </cell>
          <cell r="E1200" t="str">
            <v>NP-53.9 - Small Value Procurement</v>
          </cell>
          <cell r="F1200" t="str">
            <v>N/A</v>
          </cell>
          <cell r="G1200">
            <v>45468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219200</v>
          </cell>
          <cell r="AB1200">
            <v>0</v>
          </cell>
          <cell r="AC1200">
            <v>219200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</row>
        <row r="1201">
          <cell r="A1201" t="str">
            <v>24-3785</v>
          </cell>
          <cell r="B1201" t="str">
            <v>HDPE PIPES</v>
          </cell>
          <cell r="C1201" t="str">
            <v>PGO</v>
          </cell>
          <cell r="D1201">
            <v>0</v>
          </cell>
          <cell r="E1201" t="str">
            <v>NP-53.9 - Small Value Procurement</v>
          </cell>
          <cell r="F1201" t="str">
            <v>N/A</v>
          </cell>
          <cell r="G1201">
            <v>45468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157120</v>
          </cell>
          <cell r="AB1201">
            <v>0</v>
          </cell>
          <cell r="AC1201">
            <v>157120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</row>
        <row r="1202">
          <cell r="A1202" t="str">
            <v>24-C1507</v>
          </cell>
          <cell r="B1202" t="str">
            <v>OFFICE DEVICES</v>
          </cell>
          <cell r="C1202" t="str">
            <v>PAO-ADMIN</v>
          </cell>
          <cell r="D1202">
            <v>0</v>
          </cell>
          <cell r="E1202" t="str">
            <v>NP-53.9 - Small Value Procurement</v>
          </cell>
          <cell r="F1202" t="str">
            <v>N/A</v>
          </cell>
          <cell r="G1202">
            <v>45468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25192</v>
          </cell>
          <cell r="AB1202">
            <v>0</v>
          </cell>
          <cell r="AC1202">
            <v>25192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</row>
        <row r="1203">
          <cell r="A1203" t="str">
            <v>24-3720</v>
          </cell>
          <cell r="B1203" t="str">
            <v>CANNED GOODS</v>
          </cell>
          <cell r="C1203" t="str">
            <v>PGO</v>
          </cell>
          <cell r="D1203">
            <v>0</v>
          </cell>
          <cell r="E1203" t="str">
            <v>NP-53.9 - Small Value Procurement</v>
          </cell>
          <cell r="F1203" t="str">
            <v>N/A</v>
          </cell>
          <cell r="G1203">
            <v>45468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9240</v>
          </cell>
          <cell r="AB1203">
            <v>0</v>
          </cell>
          <cell r="AC1203">
            <v>9240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</row>
        <row r="1204">
          <cell r="A1204" t="str">
            <v>24-C1480</v>
          </cell>
          <cell r="B1204" t="str">
            <v>STORAGE BOXES AND TARPAULIN STAND</v>
          </cell>
          <cell r="C1204" t="str">
            <v>PHO</v>
          </cell>
          <cell r="D1204">
            <v>0</v>
          </cell>
          <cell r="E1204" t="str">
            <v>NP-53.9 - Small Value Procurement</v>
          </cell>
          <cell r="F1204" t="str">
            <v>N/A</v>
          </cell>
          <cell r="G1204">
            <v>45468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14800</v>
          </cell>
          <cell r="AB1204">
            <v>0</v>
          </cell>
          <cell r="AC1204">
            <v>14800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</row>
        <row r="1205">
          <cell r="A1205" t="str">
            <v>24-3306</v>
          </cell>
          <cell r="B1205" t="str">
            <v>MEALS AND SNACKS</v>
          </cell>
          <cell r="C1205" t="str">
            <v>PIAO</v>
          </cell>
          <cell r="D1205">
            <v>0</v>
          </cell>
          <cell r="E1205" t="str">
            <v>NP-53.9 - Small Value Procurement</v>
          </cell>
          <cell r="F1205" t="str">
            <v>N/A</v>
          </cell>
          <cell r="G1205">
            <v>45468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20400</v>
          </cell>
          <cell r="AB1205">
            <v>0</v>
          </cell>
          <cell r="AC1205">
            <v>20400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</row>
        <row r="1206">
          <cell r="A1206" t="str">
            <v>24-3744</v>
          </cell>
          <cell r="B1206" t="str">
            <v>NITROGEN TANK</v>
          </cell>
          <cell r="C1206" t="str">
            <v>PGSO</v>
          </cell>
          <cell r="D1206">
            <v>0</v>
          </cell>
          <cell r="E1206" t="str">
            <v>NP-53.9 - Small Value Procurement</v>
          </cell>
          <cell r="F1206" t="str">
            <v>N/A</v>
          </cell>
          <cell r="G1206">
            <v>45468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16000</v>
          </cell>
          <cell r="AB1206">
            <v>0</v>
          </cell>
          <cell r="AC1206">
            <v>16000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</row>
        <row r="1207">
          <cell r="A1207" t="str">
            <v>24-3680</v>
          </cell>
          <cell r="B1207" t="str">
            <v>AIRCON MAINTENANCE SUPPLIES</v>
          </cell>
          <cell r="C1207" t="str">
            <v>PGSO</v>
          </cell>
          <cell r="D1207">
            <v>0</v>
          </cell>
          <cell r="E1207" t="str">
            <v>NP-53.9 - Small Value Procurement</v>
          </cell>
          <cell r="F1207" t="str">
            <v>N/A</v>
          </cell>
          <cell r="G1207">
            <v>45468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105096</v>
          </cell>
          <cell r="AB1207">
            <v>0</v>
          </cell>
          <cell r="AC1207">
            <v>105096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</row>
        <row r="1208">
          <cell r="A1208" t="str">
            <v>24-3757</v>
          </cell>
          <cell r="B1208" t="str">
            <v>GARDENING TOOLS AND SUPPLIES</v>
          </cell>
          <cell r="C1208">
            <v>0</v>
          </cell>
          <cell r="D1208">
            <v>0</v>
          </cell>
          <cell r="E1208" t="str">
            <v>NP-53.9 - Small Value Procurement</v>
          </cell>
          <cell r="F1208" t="str">
            <v>N/A</v>
          </cell>
          <cell r="G1208">
            <v>45468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16056</v>
          </cell>
          <cell r="AB1208">
            <v>0</v>
          </cell>
          <cell r="AC1208">
            <v>16056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</row>
        <row r="1209">
          <cell r="A1209" t="str">
            <v>24-3677</v>
          </cell>
          <cell r="B1209" t="str">
            <v>ELECTRICAL SUPPLIES</v>
          </cell>
          <cell r="C1209">
            <v>0</v>
          </cell>
          <cell r="D1209">
            <v>0</v>
          </cell>
          <cell r="E1209" t="str">
            <v>NP-53.9 - Small Value Procurement</v>
          </cell>
          <cell r="F1209" t="str">
            <v>N/A</v>
          </cell>
          <cell r="G1209">
            <v>45468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145905</v>
          </cell>
          <cell r="AB1209">
            <v>0</v>
          </cell>
          <cell r="AC1209">
            <v>145905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</row>
        <row r="1210">
          <cell r="A1210" t="str">
            <v>24-3718</v>
          </cell>
          <cell r="B1210" t="str">
            <v>PORTABLE WELDING MACHINE</v>
          </cell>
          <cell r="C1210" t="str">
            <v>PGSO</v>
          </cell>
          <cell r="D1210">
            <v>0</v>
          </cell>
          <cell r="E1210" t="str">
            <v>NP-53.9 - Small Value Procurement</v>
          </cell>
          <cell r="F1210" t="str">
            <v>N/A</v>
          </cell>
          <cell r="G1210">
            <v>45468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13090</v>
          </cell>
          <cell r="AB1210">
            <v>0</v>
          </cell>
          <cell r="AC1210">
            <v>13090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</row>
        <row r="1211">
          <cell r="A1211" t="str">
            <v>24-C1509</v>
          </cell>
          <cell r="B1211" t="str">
            <v>GAVEL AND PLAQUES</v>
          </cell>
          <cell r="C1211" t="str">
            <v>PAO-ADMIN</v>
          </cell>
          <cell r="D1211">
            <v>0</v>
          </cell>
          <cell r="E1211" t="str">
            <v>NP-53.9 - Small Value Procurement</v>
          </cell>
          <cell r="F1211" t="str">
            <v>N/A</v>
          </cell>
          <cell r="G1211">
            <v>45468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12000</v>
          </cell>
          <cell r="AB1211">
            <v>0</v>
          </cell>
          <cell r="AC1211">
            <v>12000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</row>
        <row r="1212">
          <cell r="A1212" t="str">
            <v>24-3682</v>
          </cell>
          <cell r="B1212" t="str">
            <v>LAPTOP (CLERICAL WORK)</v>
          </cell>
          <cell r="C1212" t="str">
            <v>PGO</v>
          </cell>
          <cell r="D1212">
            <v>0</v>
          </cell>
          <cell r="E1212" t="str">
            <v>NP-53.9 - Small Value Procurement</v>
          </cell>
          <cell r="F1212" t="str">
            <v>N/A</v>
          </cell>
          <cell r="G1212">
            <v>45468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39000</v>
          </cell>
          <cell r="AB1212">
            <v>0</v>
          </cell>
          <cell r="AC1212">
            <v>39000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</row>
        <row r="1213">
          <cell r="A1213" t="str">
            <v>24-C1539</v>
          </cell>
          <cell r="B1213" t="str">
            <v>JANITORIAL SUPPLIES</v>
          </cell>
          <cell r="C1213" t="str">
            <v>PGSO</v>
          </cell>
          <cell r="D1213">
            <v>0</v>
          </cell>
          <cell r="E1213" t="str">
            <v>NP-53.9 - Small Value Procurement</v>
          </cell>
          <cell r="F1213" t="str">
            <v>N/A</v>
          </cell>
          <cell r="G1213">
            <v>45468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93995</v>
          </cell>
          <cell r="AB1213">
            <v>0</v>
          </cell>
          <cell r="AC1213">
            <v>93995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</row>
        <row r="1214">
          <cell r="A1214" t="str">
            <v>24-3755</v>
          </cell>
          <cell r="B1214" t="str">
            <v>GARDENING TOOLS AND SUPPLIES</v>
          </cell>
          <cell r="C1214" t="str">
            <v>PGSO</v>
          </cell>
          <cell r="D1214">
            <v>0</v>
          </cell>
          <cell r="E1214" t="str">
            <v>NP-53.9 - Small Value Procurement</v>
          </cell>
          <cell r="F1214" t="str">
            <v>N/A</v>
          </cell>
          <cell r="G1214">
            <v>45468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38149</v>
          </cell>
          <cell r="AB1214">
            <v>0</v>
          </cell>
          <cell r="AC1214">
            <v>38149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</row>
        <row r="1215">
          <cell r="A1215" t="str">
            <v>24-3803</v>
          </cell>
          <cell r="B1215" t="str">
            <v>T-SHIRT JERSEY</v>
          </cell>
          <cell r="C1215" t="str">
            <v>PGO</v>
          </cell>
          <cell r="D1215">
            <v>0</v>
          </cell>
          <cell r="E1215" t="str">
            <v>NP-53.9 - Small Value Procurement</v>
          </cell>
          <cell r="F1215" t="str">
            <v>N/A</v>
          </cell>
          <cell r="G1215">
            <v>45468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134750</v>
          </cell>
          <cell r="AB1215">
            <v>0</v>
          </cell>
          <cell r="AC1215">
            <v>134750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</row>
        <row r="1216">
          <cell r="A1216" t="str">
            <v>24-3656</v>
          </cell>
          <cell r="B1216" t="str">
            <v>MINERAL WATER</v>
          </cell>
          <cell r="C1216" t="str">
            <v>PGSO</v>
          </cell>
          <cell r="D1216">
            <v>0</v>
          </cell>
          <cell r="E1216" t="str">
            <v>NP-53.9 - Small Value Procurement</v>
          </cell>
          <cell r="F1216" t="str">
            <v>N/A</v>
          </cell>
          <cell r="G1216">
            <v>45468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41000</v>
          </cell>
          <cell r="AB1216">
            <v>0</v>
          </cell>
          <cell r="AC1216">
            <v>41000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</row>
        <row r="1217">
          <cell r="A1217" t="str">
            <v>24-2558</v>
          </cell>
          <cell r="B1217" t="str">
            <v>COCO LUMBER OR EQUIVALENT</v>
          </cell>
          <cell r="C1217" t="str">
            <v>PEO</v>
          </cell>
          <cell r="D1217">
            <v>0</v>
          </cell>
          <cell r="E1217" t="str">
            <v>NP-53.9 - Small Value Procurement</v>
          </cell>
          <cell r="F1217">
            <v>45468</v>
          </cell>
          <cell r="G1217">
            <v>45471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1152</v>
          </cell>
          <cell r="AB1217">
            <v>0</v>
          </cell>
          <cell r="AC1217">
            <v>1152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</row>
        <row r="1218">
          <cell r="A1218" t="str">
            <v>24-C1395</v>
          </cell>
          <cell r="B1218" t="str">
            <v>GROCERY SUPPLIES</v>
          </cell>
          <cell r="C1218" t="str">
            <v>PEEMO</v>
          </cell>
          <cell r="D1218">
            <v>0</v>
          </cell>
          <cell r="E1218" t="str">
            <v>NP-53.9 - Small Value Procurement</v>
          </cell>
          <cell r="F1218">
            <v>45468</v>
          </cell>
          <cell r="G1218">
            <v>45471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23714</v>
          </cell>
          <cell r="AB1218">
            <v>0</v>
          </cell>
          <cell r="AC1218">
            <v>23714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</row>
        <row r="1219">
          <cell r="A1219" t="str">
            <v>24-3141</v>
          </cell>
          <cell r="B1219" t="str">
            <v>ID SHEETS 10S/PACK</v>
          </cell>
          <cell r="C1219" t="str">
            <v>PHRMDO</v>
          </cell>
          <cell r="D1219">
            <v>0</v>
          </cell>
          <cell r="E1219" t="str">
            <v>NP-53.9 - Small Value Procurement</v>
          </cell>
          <cell r="F1219">
            <v>45468</v>
          </cell>
          <cell r="G1219">
            <v>45471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5250</v>
          </cell>
          <cell r="AB1219">
            <v>0</v>
          </cell>
          <cell r="AC1219">
            <v>5250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</row>
        <row r="1220">
          <cell r="A1220" t="str">
            <v>24-3635</v>
          </cell>
          <cell r="B1220" t="str">
            <v>FOOD SUPPLIES</v>
          </cell>
          <cell r="C1220" t="str">
            <v>SPO</v>
          </cell>
          <cell r="D1220">
            <v>0</v>
          </cell>
          <cell r="E1220" t="str">
            <v>NP-53.9 - Small Value Procurement</v>
          </cell>
          <cell r="F1220">
            <v>45468</v>
          </cell>
          <cell r="G1220">
            <v>45471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33775</v>
          </cell>
          <cell r="AB1220">
            <v>0</v>
          </cell>
          <cell r="AC1220">
            <v>33775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</row>
        <row r="1221">
          <cell r="A1221" t="str">
            <v>24-C1418</v>
          </cell>
          <cell r="B1221" t="str">
            <v>MEDICAL SUPPLIES</v>
          </cell>
          <cell r="C1221" t="str">
            <v>PEEMO</v>
          </cell>
          <cell r="D1221">
            <v>0</v>
          </cell>
          <cell r="E1221" t="str">
            <v>NP-53.9 - Small Value Procurement</v>
          </cell>
          <cell r="F1221">
            <v>45468</v>
          </cell>
          <cell r="G1221">
            <v>45471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189695</v>
          </cell>
          <cell r="AB1221">
            <v>0</v>
          </cell>
          <cell r="AC1221">
            <v>189695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</row>
        <row r="1222">
          <cell r="A1222" t="str">
            <v>24-C1513</v>
          </cell>
          <cell r="B1222" t="str">
            <v>SPAREPARTS (HEAVY EQUIPMENT POWERKING</v>
          </cell>
          <cell r="C1222" t="str">
            <v>PEO</v>
          </cell>
          <cell r="D1222">
            <v>0</v>
          </cell>
          <cell r="E1222" t="str">
            <v>Direct Contracting</v>
          </cell>
          <cell r="F1222">
            <v>45468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1306204.54</v>
          </cell>
          <cell r="AB1222">
            <v>0</v>
          </cell>
          <cell r="AC1222">
            <v>1306204.54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</row>
        <row r="1223">
          <cell r="A1223" t="str">
            <v>24-3809</v>
          </cell>
          <cell r="B1223" t="str">
            <v>SPAREPARTS (LIGHT VEHICLES)</v>
          </cell>
          <cell r="C1223" t="str">
            <v>PDRRMO</v>
          </cell>
          <cell r="D1223">
            <v>0</v>
          </cell>
          <cell r="E1223" t="str">
            <v>NP-53.9 - Small Value Procurement</v>
          </cell>
          <cell r="F1223">
            <v>45468</v>
          </cell>
          <cell r="G1223">
            <v>45471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6875</v>
          </cell>
          <cell r="AB1223">
            <v>0</v>
          </cell>
          <cell r="AC1223">
            <v>6875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</row>
        <row r="1224">
          <cell r="A1224" t="str">
            <v>24-C1425</v>
          </cell>
          <cell r="B1224" t="str">
            <v>SPAREPARTS (LIGHT VEHICLES)</v>
          </cell>
          <cell r="C1224" t="str">
            <v>PEEMO</v>
          </cell>
          <cell r="D1224">
            <v>0</v>
          </cell>
          <cell r="E1224" t="str">
            <v>NP-53.9 - Small Value Procurement</v>
          </cell>
          <cell r="F1224">
            <v>45468</v>
          </cell>
          <cell r="G1224">
            <v>45471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251140</v>
          </cell>
          <cell r="AB1224">
            <v>0</v>
          </cell>
          <cell r="AC1224">
            <v>251140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</row>
        <row r="1225">
          <cell r="A1225" t="str">
            <v>24-C1397</v>
          </cell>
          <cell r="B1225" t="str">
            <v>FUEL, OIL, AND LUBRICANTS</v>
          </cell>
          <cell r="C1225" t="str">
            <v>PEEMO</v>
          </cell>
          <cell r="D1225">
            <v>0</v>
          </cell>
          <cell r="E1225" t="str">
            <v>NP-53.9 - Small Value Procurement</v>
          </cell>
          <cell r="F1225">
            <v>45468</v>
          </cell>
          <cell r="G1225">
            <v>45471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103520</v>
          </cell>
          <cell r="AB1225">
            <v>0</v>
          </cell>
          <cell r="AC1225">
            <v>103520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</row>
        <row r="1226">
          <cell r="A1226" t="str">
            <v>24-3631</v>
          </cell>
          <cell r="B1226" t="str">
            <v>MEALS AND SNACKS</v>
          </cell>
          <cell r="C1226" t="str">
            <v>SPO</v>
          </cell>
          <cell r="D1226">
            <v>0</v>
          </cell>
          <cell r="E1226" t="str">
            <v>NP-53.9 - Small Value Procurement</v>
          </cell>
          <cell r="F1226">
            <v>45468</v>
          </cell>
          <cell r="G1226">
            <v>45471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200000</v>
          </cell>
          <cell r="AB1226">
            <v>0</v>
          </cell>
          <cell r="AC1226">
            <v>200000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</row>
        <row r="1227">
          <cell r="A1227" t="str">
            <v>24-C1461</v>
          </cell>
          <cell r="B1227" t="str">
            <v>OFFICE SUPPLIES</v>
          </cell>
          <cell r="C1227" t="str">
            <v>PPDO</v>
          </cell>
          <cell r="D1227">
            <v>0</v>
          </cell>
          <cell r="E1227" t="str">
            <v>Shopping 52.1(b) - Regular Office Supplies and Equipment no available in PS</v>
          </cell>
          <cell r="F1227">
            <v>45468</v>
          </cell>
          <cell r="G1227">
            <v>45471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9526</v>
          </cell>
          <cell r="AB1227">
            <v>0</v>
          </cell>
          <cell r="AC1227">
            <v>9526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</row>
        <row r="1228">
          <cell r="A1228" t="str">
            <v>24-3493</v>
          </cell>
          <cell r="B1228" t="str">
            <v>OFFICE SUPPLIES</v>
          </cell>
          <cell r="C1228" t="str">
            <v>PHO</v>
          </cell>
          <cell r="D1228">
            <v>0</v>
          </cell>
          <cell r="E1228" t="str">
            <v>Shopping 52.1(b) - Regular Office Supplies and Equipment no available in PS</v>
          </cell>
          <cell r="F1228">
            <v>45468</v>
          </cell>
          <cell r="G1228">
            <v>45471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9560</v>
          </cell>
          <cell r="AB1228">
            <v>0</v>
          </cell>
          <cell r="AC1228">
            <v>9560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</row>
        <row r="1229">
          <cell r="A1229" t="str">
            <v>24-C1506</v>
          </cell>
          <cell r="B1229" t="str">
            <v>JANITORIAL SUPPLIES/HOUSEKEEPING</v>
          </cell>
          <cell r="C1229" t="str">
            <v>PAO-ADMIN</v>
          </cell>
          <cell r="D1229">
            <v>0</v>
          </cell>
          <cell r="E1229" t="str">
            <v>NP-53.9 - Small Value Procurement</v>
          </cell>
          <cell r="F1229">
            <v>45468</v>
          </cell>
          <cell r="G1229">
            <v>45471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4513</v>
          </cell>
          <cell r="AB1229">
            <v>0</v>
          </cell>
          <cell r="AC1229">
            <v>4513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</row>
        <row r="1230">
          <cell r="A1230" t="str">
            <v>24-C1518</v>
          </cell>
          <cell r="B1230" t="str">
            <v>OFFICE SUPPLIES</v>
          </cell>
          <cell r="C1230" t="str">
            <v>PICTO</v>
          </cell>
          <cell r="D1230">
            <v>0</v>
          </cell>
          <cell r="E1230" t="str">
            <v>Shopping 52.1(b) - Regular Office Supplies and Equipment no available in PS</v>
          </cell>
          <cell r="F1230">
            <v>45468</v>
          </cell>
          <cell r="G1230">
            <v>45471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12741</v>
          </cell>
          <cell r="AB1230">
            <v>0</v>
          </cell>
          <cell r="AC1230">
            <v>12741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</row>
        <row r="1231">
          <cell r="A1231" t="str">
            <v>24-C1470</v>
          </cell>
          <cell r="B1231" t="str">
            <v>OFFICE SUPPLIES</v>
          </cell>
          <cell r="C1231" t="str">
            <v>PGO</v>
          </cell>
          <cell r="D1231">
            <v>0</v>
          </cell>
          <cell r="E1231" t="str">
            <v>Shopping 52.1(b) - Regular Office Supplies and Equipment no available in PS</v>
          </cell>
          <cell r="F1231">
            <v>45468</v>
          </cell>
          <cell r="G1231">
            <v>45471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29928</v>
          </cell>
          <cell r="AB1231">
            <v>0</v>
          </cell>
          <cell r="AC1231">
            <v>29928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</row>
        <row r="1232">
          <cell r="A1232" t="str">
            <v>24-2460</v>
          </cell>
          <cell r="B1232" t="str">
            <v>CRAYFISH BREEDER (TRIO-2 FEMALE AND 1 MALE)</v>
          </cell>
          <cell r="C1232" t="str">
            <v>PAGRO</v>
          </cell>
          <cell r="D1232">
            <v>0</v>
          </cell>
          <cell r="E1232" t="str">
            <v>NP-53.9 - Small Value Procurement</v>
          </cell>
          <cell r="F1232">
            <v>45468</v>
          </cell>
          <cell r="G1232">
            <v>45471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8250</v>
          </cell>
          <cell r="AB1232">
            <v>0</v>
          </cell>
          <cell r="AC1232">
            <v>8250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</row>
        <row r="1233">
          <cell r="A1233" t="str">
            <v>24-C1467</v>
          </cell>
          <cell r="B1233" t="str">
            <v>OFFICE SUPPLIES</v>
          </cell>
          <cell r="C1233" t="str">
            <v>PHO</v>
          </cell>
          <cell r="D1233">
            <v>0</v>
          </cell>
          <cell r="E1233" t="str">
            <v>Shopping 52.1(b) - Regular Office Supplies and Equipment no available in PS</v>
          </cell>
          <cell r="F1233" t="str">
            <v>N/A</v>
          </cell>
          <cell r="G1233">
            <v>45471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101637</v>
          </cell>
          <cell r="AB1233">
            <v>0</v>
          </cell>
          <cell r="AC1233">
            <v>101637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</row>
        <row r="1234">
          <cell r="A1234" t="str">
            <v>24-2457</v>
          </cell>
          <cell r="B1234" t="str">
            <v>COCO COIR DUST</v>
          </cell>
          <cell r="C1234" t="str">
            <v>PAGRO</v>
          </cell>
          <cell r="D1234">
            <v>0</v>
          </cell>
          <cell r="E1234" t="str">
            <v>NP-53.9 - Small Value Procurement</v>
          </cell>
          <cell r="F1234" t="str">
            <v>N/A</v>
          </cell>
          <cell r="G1234">
            <v>45471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58350</v>
          </cell>
          <cell r="AB1234">
            <v>0</v>
          </cell>
          <cell r="AC1234">
            <v>58350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</row>
        <row r="1305">
          <cell r="AG130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LIVERY."/>
      <sheetName val="Sheet6"/>
      <sheetName val="PO"/>
      <sheetName val="SERVED"/>
      <sheetName val="CHARGES"/>
    </sheetNames>
    <sheetDataSet>
      <sheetData sheetId="0" refreshError="1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</row>
        <row r="2">
          <cell r="A2" t="str">
            <v>&lt;&lt;Name of Agency&gt;&gt;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M2" t="str">
            <v xml:space="preserve"> Procurement Monitoring Report as of month/day/year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</row>
        <row r="3">
          <cell r="A3" t="str">
            <v>COMPLETED PROCUREMENT ACTIVITIES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/>
          </cell>
          <cell r="I3">
            <v>0</v>
          </cell>
          <cell r="J3">
            <v>0</v>
          </cell>
          <cell r="K3">
            <v>0</v>
          </cell>
          <cell r="L3" t="str">
            <v/>
          </cell>
          <cell r="M3">
            <v>0</v>
          </cell>
          <cell r="N3">
            <v>0</v>
          </cell>
          <cell r="O3">
            <v>0</v>
          </cell>
          <cell r="P3" t="str">
            <v/>
          </cell>
          <cell r="Q3" t="str">
            <v/>
          </cell>
          <cell r="R3" t="str">
            <v/>
          </cell>
          <cell r="S3">
            <v>0</v>
          </cell>
          <cell r="T3">
            <v>0</v>
          </cell>
          <cell r="U3">
            <v>0</v>
          </cell>
          <cell r="V3" t="str">
            <v/>
          </cell>
          <cell r="W3" t="str">
            <v/>
          </cell>
          <cell r="X3">
            <v>0</v>
          </cell>
          <cell r="Y3">
            <v>0</v>
          </cell>
          <cell r="Z3">
            <v>0</v>
          </cell>
          <cell r="AA3" t="str">
            <v/>
          </cell>
          <cell r="AB3">
            <v>0</v>
          </cell>
          <cell r="AC3">
            <v>0</v>
          </cell>
          <cell r="AD3" t="str">
            <v/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 t="str">
            <v>Actual Procurement Activities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 t="str">
            <v>ABC (PhP)</v>
          </cell>
          <cell r="AB4">
            <v>0</v>
          </cell>
          <cell r="AC4">
            <v>0</v>
          </cell>
          <cell r="AD4" t="str">
            <v>Contract Cost (PhP)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 t="str">
            <v>Date of Receipt of Invitation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 t="str">
            <v>Code
(PAP)</v>
          </cell>
          <cell r="B5" t="str">
            <v>Procurement Project</v>
          </cell>
          <cell r="C5" t="str">
            <v>PMO/End-User</v>
          </cell>
          <cell r="D5" t="str">
            <v>Is this an Early Procurement Activity?</v>
          </cell>
          <cell r="E5" t="str">
            <v>Mode of Procurement</v>
          </cell>
          <cell r="F5" t="str">
            <v>Pre-Proc Conference</v>
          </cell>
          <cell r="G5" t="str">
            <v>Ads/Post of IB</v>
          </cell>
          <cell r="H5" t="str">
            <v>Ave. No. of Days to Commence Procurement 
(Pre-Proc to Posting of IB) (i.3)</v>
          </cell>
          <cell r="I5" t="str">
            <v>Pre-bid Conf</v>
          </cell>
          <cell r="J5" t="str">
            <v>Eligibility Check</v>
          </cell>
          <cell r="K5" t="str">
            <v>Sub/Open of Bids</v>
          </cell>
          <cell r="L5" t="str">
            <v>Average No. of Days to open bid proposals 
(Posting of IB to Opening of Bids) (i.4)</v>
          </cell>
          <cell r="M5" t="str">
            <v>Bid Evaluation</v>
          </cell>
          <cell r="N5" t="str">
            <v>Post Qual</v>
          </cell>
          <cell r="O5" t="str">
            <v>Date of BAC Resolution Recommending Award</v>
          </cell>
          <cell r="P5" t="str">
            <v xml:space="preserve">Accumulated Days in Evaluation of Bids 
(Opening of Bids to Post Qua) </v>
          </cell>
          <cell r="Q5" t="str">
            <v>Average Number of Days to Recommend Award
(Opening of Bids to Recommend Award) (i.5)</v>
          </cell>
          <cell r="R5" t="str">
            <v xml:space="preserve"> Average Number of Days to Conclude Procurement 
 (IB to BAC Reso) (i.6)</v>
          </cell>
          <cell r="S5" t="str">
            <v>Notice of Award</v>
          </cell>
          <cell r="T5" t="str">
            <v>Contract Signing</v>
          </cell>
          <cell r="U5" t="str">
            <v>Notice to Proceed</v>
          </cell>
          <cell r="V5" t="str">
            <v>Average Number of Days to Issue Notice to Proceed
(NOA to NTP) (i.7)</v>
          </cell>
          <cell r="W5" t="str">
            <v>Average
Days from (Posting of IB to NTP) (i.8)</v>
          </cell>
          <cell r="X5" t="str">
            <v>Delivery/ Completion</v>
          </cell>
          <cell r="Y5" t="str">
            <v>Inspection &amp; Acceptance</v>
          </cell>
          <cell r="Z5" t="str">
            <v>Source of Funds</v>
          </cell>
          <cell r="AA5" t="str">
            <v xml:space="preserve">Total </v>
          </cell>
          <cell r="AB5" t="str">
            <v>MOOE</v>
          </cell>
          <cell r="AC5" t="str">
            <v>CO</v>
          </cell>
          <cell r="AD5" t="str">
            <v>Total2</v>
          </cell>
          <cell r="AE5" t="str">
            <v>MOOE2</v>
          </cell>
          <cell r="AF5" t="str">
            <v>CO3</v>
          </cell>
          <cell r="AG5">
            <v>0</v>
          </cell>
          <cell r="AH5" t="str">
            <v>List of Invited Observers</v>
          </cell>
          <cell r="AI5" t="str">
            <v>Pre-bid Conf4</v>
          </cell>
          <cell r="AJ5" t="str">
            <v>Eligibility Check5</v>
          </cell>
          <cell r="AK5" t="str">
            <v>Sub/ Open of Bids6</v>
          </cell>
          <cell r="AL5" t="str">
            <v>Bid Evaluation7</v>
          </cell>
          <cell r="AM5" t="str">
            <v>Post Qual8</v>
          </cell>
          <cell r="AN5" t="str">
            <v>Delivery/
Completion/
Acceptance
(If applicable)</v>
          </cell>
          <cell r="AO5" t="str">
            <v>Remarks
(Explaining changes from the APP)</v>
          </cell>
        </row>
        <row r="6">
          <cell r="A6" t="str">
            <v>23-C0756</v>
          </cell>
          <cell r="B6" t="str">
            <v>COMPUTER SUPPLIES</v>
          </cell>
          <cell r="C6" t="str">
            <v>PGSO</v>
          </cell>
          <cell r="D6" t="str">
            <v>No</v>
          </cell>
          <cell r="E6" t="str">
            <v>NP-53.1 Two Failed Biddings</v>
          </cell>
          <cell r="F6">
            <v>45237</v>
          </cell>
          <cell r="G6">
            <v>45281</v>
          </cell>
          <cell r="H6">
            <v>44</v>
          </cell>
          <cell r="I6" t="str">
            <v>N/A</v>
          </cell>
          <cell r="J6">
            <v>45314</v>
          </cell>
          <cell r="K6">
            <v>45314</v>
          </cell>
          <cell r="L6">
            <v>33</v>
          </cell>
          <cell r="M6" t="str">
            <v>N/A</v>
          </cell>
          <cell r="N6" t="str">
            <v>N/A</v>
          </cell>
          <cell r="O6">
            <v>45315</v>
          </cell>
          <cell r="P6" t="str">
            <v/>
          </cell>
          <cell r="Q6" t="str">
            <v/>
          </cell>
          <cell r="R6" t="str">
            <v/>
          </cell>
          <cell r="S6">
            <v>45316</v>
          </cell>
          <cell r="T6">
            <v>45329</v>
          </cell>
          <cell r="U6">
            <v>45348</v>
          </cell>
          <cell r="V6" t="str">
            <v/>
          </cell>
          <cell r="W6" t="str">
            <v/>
          </cell>
          <cell r="X6">
            <v>45432</v>
          </cell>
          <cell r="Y6">
            <v>45432</v>
          </cell>
          <cell r="Z6">
            <v>0</v>
          </cell>
          <cell r="AA6">
            <v>369476.76</v>
          </cell>
          <cell r="AB6">
            <v>0</v>
          </cell>
          <cell r="AC6">
            <v>369476.76</v>
          </cell>
          <cell r="AD6">
            <v>361670</v>
          </cell>
          <cell r="AE6">
            <v>0</v>
          </cell>
          <cell r="AF6">
            <v>361670</v>
          </cell>
          <cell r="AG6" t="str">
            <v>C</v>
          </cell>
          <cell r="AH6" t="str">
            <v>ENGR. MICHAEL C. SALARDA
MS. LEONARDA M. LATOR
MS. CARMENCITA VALDEZ
MS. SORAYA P. VERGARA</v>
          </cell>
          <cell r="AI6" t="str">
            <v>N/A</v>
          </cell>
          <cell r="AJ6" t="str">
            <v>N/A</v>
          </cell>
          <cell r="AK6" t="str">
            <v>N/A</v>
          </cell>
          <cell r="AL6" t="str">
            <v>N/A</v>
          </cell>
          <cell r="AM6" t="str">
            <v>N/A</v>
          </cell>
          <cell r="AN6" t="str">
            <v>N/A</v>
          </cell>
          <cell r="AO6" t="str">
            <v>COMPLETED</v>
          </cell>
        </row>
        <row r="7">
          <cell r="A7" t="str">
            <v>23-4647</v>
          </cell>
          <cell r="B7" t="str">
            <v>TANDEM REMOTE WEATHER STATION</v>
          </cell>
          <cell r="C7" t="str">
            <v>PDRRMO</v>
          </cell>
          <cell r="D7" t="str">
            <v>No</v>
          </cell>
          <cell r="E7" t="str">
            <v>Competitive Bidding</v>
          </cell>
          <cell r="F7" t="str">
            <v>N/A</v>
          </cell>
          <cell r="G7">
            <v>45243</v>
          </cell>
          <cell r="H7">
            <v>0</v>
          </cell>
          <cell r="I7">
            <v>45251</v>
          </cell>
          <cell r="J7">
            <v>45265</v>
          </cell>
          <cell r="K7">
            <v>45265</v>
          </cell>
          <cell r="L7">
            <v>0</v>
          </cell>
          <cell r="M7">
            <v>45265</v>
          </cell>
          <cell r="N7">
            <v>45278</v>
          </cell>
          <cell r="O7">
            <v>45302</v>
          </cell>
          <cell r="P7">
            <v>0</v>
          </cell>
          <cell r="Q7">
            <v>0</v>
          </cell>
          <cell r="R7">
            <v>0</v>
          </cell>
          <cell r="S7">
            <v>45303</v>
          </cell>
          <cell r="T7">
            <v>45328</v>
          </cell>
          <cell r="U7">
            <v>45328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1965565.38</v>
          </cell>
          <cell r="AB7">
            <v>0</v>
          </cell>
          <cell r="AC7">
            <v>1965565.38</v>
          </cell>
          <cell r="AD7">
            <v>1899000</v>
          </cell>
          <cell r="AE7">
            <v>0</v>
          </cell>
          <cell r="AF7">
            <v>1899000</v>
          </cell>
          <cell r="AG7" t="str">
            <v>C</v>
          </cell>
          <cell r="AH7" t="str">
            <v>ENGR. MICHAEL C. SALARDA
MS. LEONARDA M. LATOR
MS. CARMENCITA VALDEZ
MS. SORAYA P. VERGARA</v>
          </cell>
          <cell r="AI7">
            <v>45250</v>
          </cell>
          <cell r="AJ7">
            <v>45261</v>
          </cell>
          <cell r="AK7">
            <v>45261</v>
          </cell>
          <cell r="AL7">
            <v>45261</v>
          </cell>
          <cell r="AM7" t="str">
            <v>N/A</v>
          </cell>
          <cell r="AN7" t="str">
            <v>N/A</v>
          </cell>
          <cell r="AO7">
            <v>0</v>
          </cell>
        </row>
        <row r="8">
          <cell r="A8" t="str">
            <v>23-5446</v>
          </cell>
          <cell r="B8" t="str">
            <v>SPAREPARTS</v>
          </cell>
          <cell r="C8" t="str">
            <v>PDRRMO</v>
          </cell>
          <cell r="D8" t="str">
            <v>No</v>
          </cell>
          <cell r="E8" t="str">
            <v>Shopping 52.1(a) - Unforeseen Contingency</v>
          </cell>
          <cell r="F8">
            <v>45265</v>
          </cell>
          <cell r="G8">
            <v>45272</v>
          </cell>
          <cell r="H8">
            <v>0</v>
          </cell>
          <cell r="I8" t="str">
            <v>N/A</v>
          </cell>
          <cell r="J8">
            <v>45300</v>
          </cell>
          <cell r="K8">
            <v>45300</v>
          </cell>
          <cell r="L8">
            <v>0</v>
          </cell>
          <cell r="M8" t="str">
            <v>N/A</v>
          </cell>
          <cell r="N8" t="str">
            <v>N/A</v>
          </cell>
          <cell r="O8">
            <v>45302</v>
          </cell>
          <cell r="P8">
            <v>0</v>
          </cell>
          <cell r="Q8">
            <v>0</v>
          </cell>
          <cell r="R8">
            <v>0</v>
          </cell>
          <cell r="S8" t="str">
            <v>N/A</v>
          </cell>
          <cell r="T8">
            <v>45328</v>
          </cell>
          <cell r="U8">
            <v>45335</v>
          </cell>
          <cell r="V8">
            <v>0</v>
          </cell>
          <cell r="W8">
            <v>0</v>
          </cell>
          <cell r="X8">
            <v>45335</v>
          </cell>
          <cell r="Y8">
            <v>45335</v>
          </cell>
          <cell r="Z8">
            <v>0</v>
          </cell>
          <cell r="AA8">
            <v>38750</v>
          </cell>
          <cell r="AB8">
            <v>0</v>
          </cell>
          <cell r="AC8">
            <v>38750</v>
          </cell>
          <cell r="AD8">
            <v>38750</v>
          </cell>
          <cell r="AE8">
            <v>0</v>
          </cell>
          <cell r="AF8">
            <v>38750</v>
          </cell>
          <cell r="AG8" t="str">
            <v>C</v>
          </cell>
          <cell r="AH8" t="str">
            <v>ENGR. MICHAEL C. SALARDA
MS. LEONARDA M. LATOR
MS. CARMENCITA VALDEZ
MS. SORAYA P. VERGARA</v>
          </cell>
          <cell r="AI8" t="str">
            <v>N/A</v>
          </cell>
          <cell r="AJ8" t="str">
            <v>N/A</v>
          </cell>
          <cell r="AK8" t="str">
            <v>N/A</v>
          </cell>
          <cell r="AL8" t="str">
            <v>N/A</v>
          </cell>
          <cell r="AM8" t="str">
            <v>N/A</v>
          </cell>
          <cell r="AN8" t="str">
            <v>N/A</v>
          </cell>
          <cell r="AO8" t="str">
            <v>COMPLETED</v>
          </cell>
        </row>
        <row r="9">
          <cell r="A9" t="str">
            <v xml:space="preserve"> 23-5452</v>
          </cell>
          <cell r="B9" t="str">
            <v>SPAREPARTS</v>
          </cell>
          <cell r="C9" t="str">
            <v>PGSO</v>
          </cell>
          <cell r="D9" t="str">
            <v>No</v>
          </cell>
          <cell r="E9" t="str">
            <v>Shopping 52.1(a) - Unforeseen Contingency</v>
          </cell>
          <cell r="F9">
            <v>45265</v>
          </cell>
          <cell r="G9">
            <v>45272</v>
          </cell>
          <cell r="H9">
            <v>7</v>
          </cell>
          <cell r="I9" t="str">
            <v>N/A</v>
          </cell>
          <cell r="J9">
            <v>45300</v>
          </cell>
          <cell r="K9">
            <v>45300</v>
          </cell>
          <cell r="L9">
            <v>28</v>
          </cell>
          <cell r="M9" t="str">
            <v>N/A</v>
          </cell>
          <cell r="N9" t="str">
            <v>N/A</v>
          </cell>
          <cell r="O9">
            <v>45302</v>
          </cell>
          <cell r="P9" t="str">
            <v/>
          </cell>
          <cell r="Q9" t="str">
            <v/>
          </cell>
          <cell r="R9" t="str">
            <v/>
          </cell>
          <cell r="S9" t="str">
            <v>N/A</v>
          </cell>
          <cell r="T9">
            <v>0</v>
          </cell>
          <cell r="U9">
            <v>0</v>
          </cell>
          <cell r="V9" t="str">
            <v/>
          </cell>
          <cell r="W9" t="str">
            <v/>
          </cell>
          <cell r="X9">
            <v>0</v>
          </cell>
          <cell r="Y9">
            <v>0</v>
          </cell>
          <cell r="Z9">
            <v>0</v>
          </cell>
          <cell r="AA9">
            <v>92800</v>
          </cell>
          <cell r="AB9">
            <v>0</v>
          </cell>
          <cell r="AC9">
            <v>92800</v>
          </cell>
          <cell r="AD9">
            <v>92800</v>
          </cell>
          <cell r="AE9">
            <v>0</v>
          </cell>
          <cell r="AF9">
            <v>92800</v>
          </cell>
          <cell r="AG9">
            <v>0</v>
          </cell>
          <cell r="AH9" t="str">
            <v>ENGR. MICHAEL C. SALARDA
MS. LEONARDA M. LATOR
MS. CARMENCITA VALDEZ
MS. SORAYA P. VERGARA</v>
          </cell>
          <cell r="AI9" t="str">
            <v>N/A</v>
          </cell>
          <cell r="AJ9" t="str">
            <v>N/A</v>
          </cell>
          <cell r="AK9" t="str">
            <v>N/A</v>
          </cell>
          <cell r="AL9" t="str">
            <v>N/A</v>
          </cell>
          <cell r="AM9" t="str">
            <v>N/A</v>
          </cell>
          <cell r="AN9" t="str">
            <v>N/A</v>
          </cell>
          <cell r="AO9">
            <v>0</v>
          </cell>
        </row>
        <row r="10">
          <cell r="A10" t="str">
            <v>23-3966</v>
          </cell>
          <cell r="B10" t="str">
            <v>1 LOT CONSTRUCTION OF CENTER ISLAND WITH SOLAR LIGHTS AT BRGY. POBLACION, COMPOSTELA (180 In.m. Center Island with 12 units of Solar light</v>
          </cell>
          <cell r="C10" t="str">
            <v>PEO</v>
          </cell>
          <cell r="D10" t="str">
            <v>No</v>
          </cell>
          <cell r="E10" t="str">
            <v>Competitive Bidding</v>
          </cell>
          <cell r="F10">
            <v>45188</v>
          </cell>
          <cell r="G10">
            <v>45215</v>
          </cell>
          <cell r="H10" t="str">
            <v/>
          </cell>
          <cell r="I10">
            <v>45237</v>
          </cell>
          <cell r="J10">
            <v>45245</v>
          </cell>
          <cell r="K10">
            <v>45245</v>
          </cell>
          <cell r="L10" t="str">
            <v/>
          </cell>
          <cell r="M10">
            <v>45245</v>
          </cell>
          <cell r="N10">
            <v>45295</v>
          </cell>
          <cell r="O10">
            <v>45302</v>
          </cell>
          <cell r="P10" t="str">
            <v/>
          </cell>
          <cell r="Q10" t="str">
            <v/>
          </cell>
          <cell r="R10" t="str">
            <v/>
          </cell>
          <cell r="S10">
            <v>45306</v>
          </cell>
          <cell r="T10">
            <v>45309</v>
          </cell>
          <cell r="U10">
            <v>45310</v>
          </cell>
          <cell r="V10" t="str">
            <v/>
          </cell>
          <cell r="W10" t="str">
            <v/>
          </cell>
          <cell r="X10" t="str">
            <v>N/A</v>
          </cell>
          <cell r="Y10" t="str">
            <v>N/A</v>
          </cell>
          <cell r="Z10">
            <v>0</v>
          </cell>
          <cell r="AA10">
            <v>2876333.74</v>
          </cell>
          <cell r="AB10">
            <v>0</v>
          </cell>
          <cell r="AC10">
            <v>2876333.74</v>
          </cell>
          <cell r="AD10">
            <v>2871777.81</v>
          </cell>
          <cell r="AE10">
            <v>0</v>
          </cell>
          <cell r="AF10">
            <v>2871777.81</v>
          </cell>
          <cell r="AG10">
            <v>0</v>
          </cell>
          <cell r="AH10" t="str">
            <v>ENGR. MICHAEL C. SALARDA
MS. LEONARDA M. LATOR
MS. CARMENCITA VALDEZ
MS. SORAYA P. VERGARA</v>
          </cell>
          <cell r="AI10">
            <v>45236</v>
          </cell>
          <cell r="AJ10">
            <v>45240</v>
          </cell>
          <cell r="AK10">
            <v>45240</v>
          </cell>
          <cell r="AL10">
            <v>45240</v>
          </cell>
          <cell r="AM10" t="str">
            <v>N/A</v>
          </cell>
          <cell r="AN10" t="str">
            <v>N/A</v>
          </cell>
          <cell r="AO10" t="str">
            <v>COMPLETED</v>
          </cell>
        </row>
        <row r="11">
          <cell r="A11" t="str">
            <v>23-2001</v>
          </cell>
          <cell r="B11" t="str">
            <v>IMPROVEMENT OF DAVAO DE ORO PROVINCIAL HOSPITAL, PANTUKAN (Completion of Material Recovery Facility)</v>
          </cell>
          <cell r="C11" t="str">
            <v>PEO</v>
          </cell>
          <cell r="D11" t="str">
            <v>No</v>
          </cell>
          <cell r="E11" t="str">
            <v>Competitive Bidding</v>
          </cell>
          <cell r="F11">
            <v>45020</v>
          </cell>
          <cell r="G11">
            <v>45251</v>
          </cell>
          <cell r="H11">
            <v>231</v>
          </cell>
          <cell r="I11">
            <v>45259</v>
          </cell>
          <cell r="J11">
            <v>45272</v>
          </cell>
          <cell r="K11">
            <v>45272</v>
          </cell>
          <cell r="L11">
            <v>21</v>
          </cell>
          <cell r="M11">
            <v>45272</v>
          </cell>
          <cell r="N11">
            <v>45295</v>
          </cell>
          <cell r="O11">
            <v>45302</v>
          </cell>
          <cell r="P11">
            <v>23</v>
          </cell>
          <cell r="Q11" t="str">
            <v/>
          </cell>
          <cell r="R11" t="str">
            <v/>
          </cell>
          <cell r="S11">
            <v>45306</v>
          </cell>
          <cell r="T11">
            <v>45309</v>
          </cell>
          <cell r="U11">
            <v>45310</v>
          </cell>
          <cell r="V11" t="str">
            <v/>
          </cell>
          <cell r="W11" t="str">
            <v/>
          </cell>
          <cell r="X11" t="str">
            <v>N/A</v>
          </cell>
          <cell r="Y11" t="str">
            <v>N/A</v>
          </cell>
          <cell r="Z11">
            <v>0</v>
          </cell>
          <cell r="AA11">
            <v>2299236.0499999998</v>
          </cell>
          <cell r="AB11">
            <v>0</v>
          </cell>
          <cell r="AC11">
            <v>0</v>
          </cell>
          <cell r="AD11">
            <v>2278330.67</v>
          </cell>
          <cell r="AE11">
            <v>0</v>
          </cell>
          <cell r="AF11">
            <v>2278330.67</v>
          </cell>
          <cell r="AG11">
            <v>0</v>
          </cell>
          <cell r="AH11" t="str">
            <v>ENGR. MICHAEL C. SALARDA
MS. LEONARDA M. LATOR
MS. CARMENCITA VALDEZ
MS. SORAYA P. VERGARA</v>
          </cell>
          <cell r="AI11">
            <v>45250</v>
          </cell>
          <cell r="AJ11">
            <v>45637</v>
          </cell>
          <cell r="AK11">
            <v>45637</v>
          </cell>
          <cell r="AL11">
            <v>45637</v>
          </cell>
          <cell r="AM11" t="str">
            <v>N/A</v>
          </cell>
          <cell r="AN11" t="str">
            <v>N/A</v>
          </cell>
          <cell r="AO11" t="str">
            <v>COMPLETED</v>
          </cell>
        </row>
        <row r="12">
          <cell r="A12" t="str">
            <v>24-0075</v>
          </cell>
          <cell r="B12" t="str">
            <v>OFFICE EQUIPMENT</v>
          </cell>
          <cell r="C12" t="str">
            <v>PACCO</v>
          </cell>
          <cell r="D12" t="str">
            <v>No</v>
          </cell>
          <cell r="E12" t="str">
            <v>NP-53.9 - Small Value Procurement</v>
          </cell>
          <cell r="F12" t="str">
            <v>N/A</v>
          </cell>
          <cell r="G12">
            <v>45318</v>
          </cell>
          <cell r="H12" t="str">
            <v/>
          </cell>
          <cell r="I12" t="str">
            <v>N/A</v>
          </cell>
          <cell r="J12">
            <v>45322</v>
          </cell>
          <cell r="K12">
            <v>45322</v>
          </cell>
          <cell r="L12" t="str">
            <v/>
          </cell>
          <cell r="M12" t="str">
            <v>N/A</v>
          </cell>
          <cell r="N12" t="str">
            <v>N/A</v>
          </cell>
          <cell r="O12">
            <v>45328</v>
          </cell>
          <cell r="P12" t="str">
            <v/>
          </cell>
          <cell r="Q12" t="str">
            <v/>
          </cell>
          <cell r="R12" t="str">
            <v/>
          </cell>
          <cell r="S12" t="str">
            <v>N/A</v>
          </cell>
          <cell r="T12">
            <v>45336</v>
          </cell>
          <cell r="U12">
            <v>45341</v>
          </cell>
          <cell r="V12" t="str">
            <v/>
          </cell>
          <cell r="W12" t="str">
            <v/>
          </cell>
          <cell r="X12">
            <v>45357</v>
          </cell>
          <cell r="Y12">
            <v>45357</v>
          </cell>
          <cell r="Z12">
            <v>0</v>
          </cell>
          <cell r="AA12">
            <v>7800</v>
          </cell>
          <cell r="AB12">
            <v>7800</v>
          </cell>
          <cell r="AC12">
            <v>0</v>
          </cell>
          <cell r="AD12">
            <v>7800</v>
          </cell>
          <cell r="AE12">
            <v>7800</v>
          </cell>
          <cell r="AF12">
            <v>0</v>
          </cell>
          <cell r="AG12" t="str">
            <v>M</v>
          </cell>
          <cell r="AH12" t="str">
            <v>ENGR. MICHAEL C. SALARDA
MS. LEONARDA M. LATOR
MS. CARMENCITA VALDEZ
MS. SORAYA P. VERGARA</v>
          </cell>
          <cell r="AI12" t="str">
            <v>N/A</v>
          </cell>
          <cell r="AJ12" t="str">
            <v>N/A</v>
          </cell>
          <cell r="AK12" t="str">
            <v>N/A</v>
          </cell>
          <cell r="AL12" t="str">
            <v>N/A</v>
          </cell>
          <cell r="AM12" t="str">
            <v>N/A</v>
          </cell>
          <cell r="AN12" t="str">
            <v>N/A</v>
          </cell>
          <cell r="AO12" t="str">
            <v>COMPLETED</v>
          </cell>
        </row>
        <row r="13">
          <cell r="A13" t="str">
            <v>24-0001</v>
          </cell>
          <cell r="B13" t="str">
            <v>FOOD/CATERING SERVICES</v>
          </cell>
          <cell r="C13" t="str">
            <v>PGO-BAC</v>
          </cell>
          <cell r="D13" t="str">
            <v>No</v>
          </cell>
          <cell r="E13" t="str">
            <v>NP-53.9 - Small Value Procurement</v>
          </cell>
          <cell r="F13" t="str">
            <v>N/A</v>
          </cell>
          <cell r="G13">
            <v>45318</v>
          </cell>
          <cell r="H13" t="str">
            <v/>
          </cell>
          <cell r="I13" t="str">
            <v>N/A</v>
          </cell>
          <cell r="J13">
            <v>45322</v>
          </cell>
          <cell r="K13">
            <v>45322</v>
          </cell>
          <cell r="L13" t="str">
            <v/>
          </cell>
          <cell r="M13" t="str">
            <v>N/A</v>
          </cell>
          <cell r="N13" t="str">
            <v>N/A</v>
          </cell>
          <cell r="O13">
            <v>45328</v>
          </cell>
          <cell r="P13" t="str">
            <v/>
          </cell>
          <cell r="Q13" t="str">
            <v/>
          </cell>
          <cell r="R13" t="str">
            <v/>
          </cell>
          <cell r="S13">
            <v>45334</v>
          </cell>
          <cell r="T13">
            <v>45335</v>
          </cell>
          <cell r="U13">
            <v>45341</v>
          </cell>
          <cell r="V13" t="str">
            <v/>
          </cell>
          <cell r="W13" t="str">
            <v/>
          </cell>
          <cell r="X13">
            <v>45426</v>
          </cell>
          <cell r="Y13">
            <v>45426</v>
          </cell>
          <cell r="Z13">
            <v>0</v>
          </cell>
          <cell r="AA13">
            <v>74520</v>
          </cell>
          <cell r="AB13">
            <v>74520</v>
          </cell>
          <cell r="AC13">
            <v>0</v>
          </cell>
          <cell r="AD13">
            <v>72900</v>
          </cell>
          <cell r="AE13">
            <v>72900</v>
          </cell>
          <cell r="AF13">
            <v>0</v>
          </cell>
          <cell r="AG13" t="str">
            <v>M</v>
          </cell>
          <cell r="AH13" t="str">
            <v>ENGR. MICHAEL C. SALARDA
MS. LEONARDA M. LATOR
MS. CARMENCITA VALDEZ
MS. SORAYA P. VERGARA</v>
          </cell>
          <cell r="AI13" t="str">
            <v>N/A</v>
          </cell>
          <cell r="AJ13" t="str">
            <v>N/A</v>
          </cell>
          <cell r="AK13" t="str">
            <v>N/A</v>
          </cell>
          <cell r="AL13" t="str">
            <v>N/A</v>
          </cell>
          <cell r="AM13" t="str">
            <v>N/A</v>
          </cell>
          <cell r="AN13" t="str">
            <v>N/A</v>
          </cell>
          <cell r="AO13" t="str">
            <v>COMPLETED</v>
          </cell>
        </row>
        <row r="14">
          <cell r="A14" t="str">
            <v>24-0094</v>
          </cell>
          <cell r="B14" t="str">
            <v>OTHER SUPPLIES</v>
          </cell>
          <cell r="C14" t="str">
            <v>PGO</v>
          </cell>
          <cell r="D14" t="str">
            <v>No</v>
          </cell>
          <cell r="E14" t="str">
            <v>NP-53.9 - Small Value Procurement</v>
          </cell>
          <cell r="F14" t="str">
            <v>N/A</v>
          </cell>
          <cell r="G14">
            <v>45318</v>
          </cell>
          <cell r="H14" t="str">
            <v/>
          </cell>
          <cell r="I14" t="str">
            <v>N/A</v>
          </cell>
          <cell r="J14">
            <v>45322</v>
          </cell>
          <cell r="K14">
            <v>45322</v>
          </cell>
          <cell r="L14" t="str">
            <v/>
          </cell>
          <cell r="M14" t="str">
            <v>N/A</v>
          </cell>
          <cell r="N14" t="str">
            <v>N/A</v>
          </cell>
          <cell r="O14">
            <v>45328</v>
          </cell>
          <cell r="P14" t="str">
            <v/>
          </cell>
          <cell r="Q14" t="str">
            <v/>
          </cell>
          <cell r="R14" t="str">
            <v/>
          </cell>
          <cell r="S14" t="str">
            <v>N/A</v>
          </cell>
          <cell r="T14">
            <v>45335</v>
          </cell>
          <cell r="U14">
            <v>45341</v>
          </cell>
          <cell r="V14" t="str">
            <v/>
          </cell>
          <cell r="W14" t="str">
            <v/>
          </cell>
          <cell r="X14">
            <v>45354</v>
          </cell>
          <cell r="Y14">
            <v>45354</v>
          </cell>
          <cell r="Z14">
            <v>0</v>
          </cell>
          <cell r="AA14">
            <v>6600</v>
          </cell>
          <cell r="AB14">
            <v>6600</v>
          </cell>
          <cell r="AC14">
            <v>0</v>
          </cell>
          <cell r="AD14">
            <v>6600</v>
          </cell>
          <cell r="AE14">
            <v>6600</v>
          </cell>
          <cell r="AF14">
            <v>0</v>
          </cell>
          <cell r="AG14" t="str">
            <v>M</v>
          </cell>
          <cell r="AH14" t="str">
            <v>ENGR. MICHAEL C. SALARDA
MS. LEONARDA M. LATOR
MS. CARMENCITA VALDEZ
MS. SORAYA P. VERGARA</v>
          </cell>
          <cell r="AI14" t="str">
            <v>N/A</v>
          </cell>
          <cell r="AJ14" t="str">
            <v>N/A</v>
          </cell>
          <cell r="AK14" t="str">
            <v>N/A</v>
          </cell>
          <cell r="AL14" t="str">
            <v>N/A</v>
          </cell>
          <cell r="AM14" t="str">
            <v>N/A</v>
          </cell>
          <cell r="AN14" t="str">
            <v>N/A</v>
          </cell>
          <cell r="AO14" t="str">
            <v>COMPLETED</v>
          </cell>
        </row>
        <row r="15">
          <cell r="A15" t="str">
            <v>24-0080</v>
          </cell>
          <cell r="B15" t="str">
            <v>OTHER SUPPLIES</v>
          </cell>
          <cell r="C15" t="str">
            <v>PACCO</v>
          </cell>
          <cell r="D15" t="str">
            <v>No</v>
          </cell>
          <cell r="E15" t="str">
            <v>NP-53.9 - Small Value Procurement</v>
          </cell>
          <cell r="F15" t="str">
            <v>N/A</v>
          </cell>
          <cell r="G15">
            <v>45318</v>
          </cell>
          <cell r="H15" t="str">
            <v/>
          </cell>
          <cell r="I15" t="str">
            <v>N/A</v>
          </cell>
          <cell r="J15">
            <v>45322</v>
          </cell>
          <cell r="K15">
            <v>45322</v>
          </cell>
          <cell r="L15" t="str">
            <v/>
          </cell>
          <cell r="M15" t="str">
            <v>N/A</v>
          </cell>
          <cell r="N15" t="str">
            <v>N/A</v>
          </cell>
          <cell r="O15">
            <v>45328</v>
          </cell>
          <cell r="P15">
            <v>0</v>
          </cell>
          <cell r="Q15">
            <v>0</v>
          </cell>
          <cell r="R15">
            <v>0</v>
          </cell>
          <cell r="S15">
            <v>45334</v>
          </cell>
          <cell r="T15">
            <v>45336</v>
          </cell>
          <cell r="U15">
            <v>45341</v>
          </cell>
          <cell r="V15">
            <v>0</v>
          </cell>
          <cell r="W15">
            <v>0</v>
          </cell>
          <cell r="X15">
            <v>45370</v>
          </cell>
          <cell r="Y15">
            <v>45370</v>
          </cell>
          <cell r="Z15">
            <v>0</v>
          </cell>
          <cell r="AA15">
            <v>109800</v>
          </cell>
          <cell r="AB15">
            <v>109800</v>
          </cell>
          <cell r="AC15">
            <v>0</v>
          </cell>
          <cell r="AD15">
            <v>109800</v>
          </cell>
          <cell r="AE15">
            <v>109800</v>
          </cell>
          <cell r="AF15">
            <v>0</v>
          </cell>
          <cell r="AG15" t="str">
            <v>M</v>
          </cell>
          <cell r="AH15" t="str">
            <v>ENGR. MICHAEL C. SALARDA
MS. LEONARDA M. LATOR
MS. CARMENCITA VALDEZ
MS. SORAYA P. VERGARA</v>
          </cell>
          <cell r="AI15" t="str">
            <v>N/A</v>
          </cell>
          <cell r="AJ15" t="str">
            <v>N/A</v>
          </cell>
          <cell r="AK15" t="str">
            <v>N/A</v>
          </cell>
          <cell r="AL15" t="str">
            <v>N/A</v>
          </cell>
          <cell r="AM15" t="str">
            <v>N/A</v>
          </cell>
          <cell r="AN15" t="str">
            <v>N/A</v>
          </cell>
          <cell r="AO15" t="str">
            <v>COMPLETED</v>
          </cell>
        </row>
        <row r="16">
          <cell r="A16" t="str">
            <v>24-0093</v>
          </cell>
          <cell r="B16" t="str">
            <v>FOOD SUPPLIES</v>
          </cell>
          <cell r="C16" t="str">
            <v>PGO</v>
          </cell>
          <cell r="D16" t="str">
            <v>No</v>
          </cell>
          <cell r="E16" t="str">
            <v>NP-53.9 - Small Value Procurement</v>
          </cell>
          <cell r="F16">
            <v>45314</v>
          </cell>
          <cell r="G16">
            <v>45316</v>
          </cell>
          <cell r="H16">
            <v>0</v>
          </cell>
          <cell r="I16" t="str">
            <v>N/A</v>
          </cell>
          <cell r="J16">
            <v>45322</v>
          </cell>
          <cell r="K16">
            <v>45322</v>
          </cell>
          <cell r="L16" t="str">
            <v/>
          </cell>
          <cell r="M16" t="str">
            <v>N/A</v>
          </cell>
          <cell r="N16" t="str">
            <v>N/A</v>
          </cell>
          <cell r="O16">
            <v>45328</v>
          </cell>
          <cell r="P16">
            <v>0</v>
          </cell>
          <cell r="Q16">
            <v>0</v>
          </cell>
          <cell r="R16">
            <v>0</v>
          </cell>
          <cell r="S16">
            <v>45334</v>
          </cell>
          <cell r="T16">
            <v>45334</v>
          </cell>
          <cell r="U16">
            <v>45337</v>
          </cell>
          <cell r="V16">
            <v>0</v>
          </cell>
          <cell r="W16">
            <v>0</v>
          </cell>
          <cell r="X16">
            <v>45338</v>
          </cell>
          <cell r="Y16">
            <v>45338</v>
          </cell>
          <cell r="Z16">
            <v>0</v>
          </cell>
          <cell r="AA16">
            <v>451825</v>
          </cell>
          <cell r="AB16">
            <v>0</v>
          </cell>
          <cell r="AC16">
            <v>451825</v>
          </cell>
          <cell r="AD16">
            <v>418500</v>
          </cell>
          <cell r="AE16">
            <v>0</v>
          </cell>
          <cell r="AF16">
            <v>418500</v>
          </cell>
          <cell r="AG16" t="str">
            <v>C</v>
          </cell>
          <cell r="AH16" t="str">
            <v>ENGR. MICHAEL C. SALARDA
MS. LEONARDA M. LATOR
MS. CARMENCITA VALDEZ
MS. SORAYA P. VERGARA</v>
          </cell>
          <cell r="AI16" t="str">
            <v>N/A</v>
          </cell>
          <cell r="AJ16" t="str">
            <v>N/A</v>
          </cell>
          <cell r="AK16" t="str">
            <v>N/A</v>
          </cell>
          <cell r="AL16" t="str">
            <v>N/A</v>
          </cell>
          <cell r="AM16" t="str">
            <v>N/A</v>
          </cell>
          <cell r="AN16" t="str">
            <v>N/A</v>
          </cell>
          <cell r="AO16" t="str">
            <v>COMPLETED</v>
          </cell>
        </row>
        <row r="17">
          <cell r="A17" t="str">
            <v>23-C0918</v>
          </cell>
          <cell r="B17" t="str">
            <v>STRETCHER BED FOR THE USE OF DDOPH-MARAGUSAN</v>
          </cell>
          <cell r="C17" t="str">
            <v>PEEMO</v>
          </cell>
          <cell r="D17" t="str">
            <v>No</v>
          </cell>
          <cell r="E17" t="str">
            <v>Competitive Bidding</v>
          </cell>
          <cell r="F17" t="str">
            <v>N/A</v>
          </cell>
          <cell r="G17">
            <v>45299</v>
          </cell>
          <cell r="H17" t="str">
            <v/>
          </cell>
          <cell r="I17" t="str">
            <v>N/A</v>
          </cell>
          <cell r="J17">
            <v>45313</v>
          </cell>
          <cell r="K17">
            <v>45313</v>
          </cell>
          <cell r="L17" t="str">
            <v/>
          </cell>
          <cell r="M17">
            <v>45313</v>
          </cell>
          <cell r="N17">
            <v>45315</v>
          </cell>
          <cell r="O17">
            <v>45328</v>
          </cell>
          <cell r="P17" t="str">
            <v/>
          </cell>
          <cell r="Q17" t="str">
            <v/>
          </cell>
          <cell r="R17" t="str">
            <v/>
          </cell>
          <cell r="S17">
            <v>45330</v>
          </cell>
          <cell r="T17">
            <v>45343</v>
          </cell>
          <cell r="U17">
            <v>45365</v>
          </cell>
          <cell r="V17" t="str">
            <v/>
          </cell>
          <cell r="W17" t="str">
            <v/>
          </cell>
          <cell r="X17">
            <v>45369</v>
          </cell>
          <cell r="Y17">
            <v>45369</v>
          </cell>
          <cell r="Z17">
            <v>0</v>
          </cell>
          <cell r="AA17">
            <v>360000</v>
          </cell>
          <cell r="AB17">
            <v>0</v>
          </cell>
          <cell r="AC17">
            <v>360000</v>
          </cell>
          <cell r="AD17">
            <v>244668</v>
          </cell>
          <cell r="AE17">
            <v>0</v>
          </cell>
          <cell r="AF17">
            <v>244668</v>
          </cell>
          <cell r="AG17" t="str">
            <v>C</v>
          </cell>
          <cell r="AH17" t="str">
            <v>ENGR. MICHAEL C. SALARDA
MS. LEONARDA M. LATOR
MS. CARMENCITA VALDEZ
MS. SORAYA P. VERGARA</v>
          </cell>
          <cell r="AI17" t="str">
            <v>N/A</v>
          </cell>
          <cell r="AJ17">
            <v>45293</v>
          </cell>
          <cell r="AK17">
            <v>45293</v>
          </cell>
          <cell r="AL17">
            <v>45293</v>
          </cell>
          <cell r="AM17" t="str">
            <v>N/A</v>
          </cell>
          <cell r="AN17" t="str">
            <v>N/A</v>
          </cell>
          <cell r="AO17" t="str">
            <v>COMPLETED</v>
          </cell>
        </row>
        <row r="18">
          <cell r="A18" t="str">
            <v>23-3195</v>
          </cell>
          <cell r="B18" t="str">
            <v>IMPROVEMENT OF DAVAO DE ORO PROVINCIAL HOSPITAL, MONTEVISTA (Construction of Emergency Room Extension &amp; Canopy</v>
          </cell>
          <cell r="C18" t="str">
            <v>PEO</v>
          </cell>
          <cell r="D18" t="str">
            <v>No</v>
          </cell>
          <cell r="E18" t="str">
            <v>Competitive Bidding</v>
          </cell>
          <cell r="F18">
            <v>45582</v>
          </cell>
          <cell r="G18">
            <v>45630</v>
          </cell>
          <cell r="H18" t="str">
            <v/>
          </cell>
          <cell r="I18">
            <v>45272</v>
          </cell>
          <cell r="J18">
            <v>45300</v>
          </cell>
          <cell r="K18">
            <v>45300</v>
          </cell>
          <cell r="L18" t="str">
            <v/>
          </cell>
          <cell r="M18">
            <v>45300</v>
          </cell>
          <cell r="N18">
            <v>45317</v>
          </cell>
          <cell r="O18">
            <v>45330</v>
          </cell>
          <cell r="P18">
            <v>0</v>
          </cell>
          <cell r="Q18">
            <v>0</v>
          </cell>
          <cell r="R18">
            <v>0</v>
          </cell>
          <cell r="S18">
            <v>45335</v>
          </cell>
          <cell r="T18">
            <v>45337</v>
          </cell>
          <cell r="U18">
            <v>45341</v>
          </cell>
          <cell r="V18" t="str">
            <v/>
          </cell>
          <cell r="W18" t="str">
            <v/>
          </cell>
          <cell r="X18" t="str">
            <v>N/A</v>
          </cell>
          <cell r="Y18" t="str">
            <v>N/A</v>
          </cell>
          <cell r="Z18">
            <v>0</v>
          </cell>
          <cell r="AA18">
            <v>2876379.83</v>
          </cell>
          <cell r="AB18">
            <v>0</v>
          </cell>
          <cell r="AC18">
            <v>2876379.83</v>
          </cell>
          <cell r="AD18">
            <v>2857143.84</v>
          </cell>
          <cell r="AE18">
            <v>0</v>
          </cell>
          <cell r="AF18">
            <v>2857143.84</v>
          </cell>
          <cell r="AG18" t="e">
            <v>#N/A</v>
          </cell>
          <cell r="AH18" t="str">
            <v>ENGR. MICHAEL C. SALARDA
MS. LEONARDA M. LATOR
MS. CARMENCITA VALDEZ
MS. SORAYA P. VERGARA</v>
          </cell>
          <cell r="AI18">
            <v>45271</v>
          </cell>
          <cell r="AJ18">
            <v>45293</v>
          </cell>
          <cell r="AK18">
            <v>45293</v>
          </cell>
          <cell r="AL18">
            <v>45293</v>
          </cell>
          <cell r="AM18" t="str">
            <v>N/A</v>
          </cell>
          <cell r="AN18" t="str">
            <v>N/A</v>
          </cell>
          <cell r="AO18" t="str">
            <v>COMPLETED</v>
          </cell>
        </row>
        <row r="19">
          <cell r="A19" t="str">
            <v>23-4586</v>
          </cell>
          <cell r="B19" t="str">
            <v>COMPLETION OF MULTI-PURPOSE BUILDING (PGSO)</v>
          </cell>
          <cell r="C19" t="str">
            <v>PEO</v>
          </cell>
          <cell r="D19" t="str">
            <v>No</v>
          </cell>
          <cell r="E19" t="str">
            <v>Competitive Bidding</v>
          </cell>
          <cell r="F19">
            <v>45245</v>
          </cell>
          <cell r="G19">
            <v>45630</v>
          </cell>
          <cell r="H19" t="str">
            <v/>
          </cell>
          <cell r="I19">
            <v>45272</v>
          </cell>
          <cell r="J19">
            <v>45300</v>
          </cell>
          <cell r="K19">
            <v>45300</v>
          </cell>
          <cell r="L19" t="str">
            <v/>
          </cell>
          <cell r="M19">
            <v>45300</v>
          </cell>
          <cell r="N19">
            <v>45317</v>
          </cell>
          <cell r="O19">
            <v>45330</v>
          </cell>
          <cell r="P19" t="str">
            <v/>
          </cell>
          <cell r="Q19" t="str">
            <v/>
          </cell>
          <cell r="R19" t="str">
            <v/>
          </cell>
          <cell r="S19">
            <v>45335</v>
          </cell>
          <cell r="T19">
            <v>45337</v>
          </cell>
          <cell r="U19">
            <v>45341</v>
          </cell>
          <cell r="V19" t="str">
            <v/>
          </cell>
          <cell r="W19" t="str">
            <v/>
          </cell>
          <cell r="X19" t="str">
            <v>N/A</v>
          </cell>
          <cell r="Y19" t="str">
            <v>N/A</v>
          </cell>
          <cell r="Z19">
            <v>0</v>
          </cell>
          <cell r="AA19">
            <v>6428465.3899999997</v>
          </cell>
          <cell r="AB19">
            <v>0</v>
          </cell>
          <cell r="AC19">
            <v>6428465.3899999997</v>
          </cell>
          <cell r="AD19">
            <v>6399080.0700000003</v>
          </cell>
          <cell r="AE19">
            <v>0</v>
          </cell>
          <cell r="AF19">
            <v>6399080.0700000003</v>
          </cell>
          <cell r="AG19" t="e">
            <v>#N/A</v>
          </cell>
          <cell r="AH19" t="str">
            <v>ENGR. MICHAEL C. SALARDA
MS. LEONARDA M. LATOR
MS. CARMENCITA VALDEZ
MS. SORAYA P. VERGARA</v>
          </cell>
          <cell r="AI19">
            <v>45271</v>
          </cell>
          <cell r="AJ19">
            <v>45293</v>
          </cell>
          <cell r="AK19">
            <v>45293</v>
          </cell>
          <cell r="AL19">
            <v>45293</v>
          </cell>
          <cell r="AM19" t="str">
            <v>N/A</v>
          </cell>
          <cell r="AN19" t="str">
            <v>N/A</v>
          </cell>
          <cell r="AO19" t="str">
            <v>COMPLETED</v>
          </cell>
        </row>
        <row r="20">
          <cell r="A20" t="str">
            <v>24-0814</v>
          </cell>
          <cell r="B20" t="str">
            <v>RICE (WELL MILLED - 50KG/SACK)</v>
          </cell>
          <cell r="C20" t="str">
            <v>PDRRMO</v>
          </cell>
          <cell r="D20" t="str">
            <v>No</v>
          </cell>
          <cell r="E20" t="str">
            <v>NP-53.2 Emergency Cases</v>
          </cell>
          <cell r="F20">
            <v>45322</v>
          </cell>
          <cell r="G20">
            <v>45324</v>
          </cell>
          <cell r="H20" t="str">
            <v/>
          </cell>
          <cell r="I20" t="str">
            <v>N/A</v>
          </cell>
          <cell r="J20">
            <v>45328</v>
          </cell>
          <cell r="K20">
            <v>45328</v>
          </cell>
          <cell r="L20" t="str">
            <v/>
          </cell>
          <cell r="M20" t="str">
            <v>N/A</v>
          </cell>
          <cell r="N20" t="str">
            <v>N/A</v>
          </cell>
          <cell r="O20">
            <v>45328</v>
          </cell>
          <cell r="P20" t="str">
            <v/>
          </cell>
          <cell r="Q20" t="str">
            <v/>
          </cell>
          <cell r="R20" t="str">
            <v/>
          </cell>
          <cell r="S20">
            <v>45328</v>
          </cell>
          <cell r="T20">
            <v>45328</v>
          </cell>
          <cell r="U20">
            <v>45328</v>
          </cell>
          <cell r="V20" t="str">
            <v/>
          </cell>
          <cell r="W20" t="str">
            <v/>
          </cell>
          <cell r="X20">
            <v>45330</v>
          </cell>
          <cell r="Y20">
            <v>45330</v>
          </cell>
          <cell r="Z20">
            <v>0</v>
          </cell>
          <cell r="AA20">
            <v>5016000</v>
          </cell>
          <cell r="AB20">
            <v>0</v>
          </cell>
          <cell r="AC20">
            <v>5016000</v>
          </cell>
          <cell r="AD20">
            <v>5016000</v>
          </cell>
          <cell r="AE20">
            <v>0</v>
          </cell>
          <cell r="AF20">
            <v>5016000</v>
          </cell>
          <cell r="AG20" t="str">
            <v>C</v>
          </cell>
          <cell r="AH20" t="str">
            <v>ENGR. MICHAEL C. SALARDA
MS. LEONARDA M. LATOR
MS. CARMENCITA VALDEZ
MS. SORAYA P. VERGARA</v>
          </cell>
          <cell r="AI20" t="str">
            <v>N/A</v>
          </cell>
          <cell r="AJ20" t="str">
            <v>N/A</v>
          </cell>
          <cell r="AK20" t="str">
            <v>N/A</v>
          </cell>
          <cell r="AL20" t="str">
            <v>N/A</v>
          </cell>
          <cell r="AM20" t="str">
            <v>N/A</v>
          </cell>
          <cell r="AN20" t="str">
            <v>N/A</v>
          </cell>
          <cell r="AO20" t="str">
            <v>COMPLETED</v>
          </cell>
        </row>
        <row r="21">
          <cell r="A21" t="str">
            <v>24-0815</v>
          </cell>
          <cell r="B21" t="str">
            <v>RICE (WELL MILLED - 50KG/SACK)</v>
          </cell>
          <cell r="C21" t="str">
            <v>PDRRMO</v>
          </cell>
          <cell r="D21" t="str">
            <v>No</v>
          </cell>
          <cell r="E21" t="str">
            <v>NP-53.2 Emergency Cases</v>
          </cell>
          <cell r="F21" t="str">
            <v>N/A</v>
          </cell>
          <cell r="G21">
            <v>45322</v>
          </cell>
          <cell r="H21">
            <v>0</v>
          </cell>
          <cell r="I21" t="str">
            <v>N/A</v>
          </cell>
          <cell r="J21">
            <v>45322</v>
          </cell>
          <cell r="K21">
            <v>45322</v>
          </cell>
          <cell r="L21">
            <v>0</v>
          </cell>
          <cell r="M21" t="str">
            <v>N/A</v>
          </cell>
          <cell r="N21" t="str">
            <v>N/A</v>
          </cell>
          <cell r="O21">
            <v>45323</v>
          </cell>
          <cell r="P21">
            <v>0</v>
          </cell>
          <cell r="Q21">
            <v>0</v>
          </cell>
          <cell r="R21">
            <v>0</v>
          </cell>
          <cell r="S21">
            <v>45323</v>
          </cell>
          <cell r="T21">
            <v>45323</v>
          </cell>
          <cell r="U21">
            <v>45323</v>
          </cell>
          <cell r="V21">
            <v>0</v>
          </cell>
          <cell r="W21">
            <v>0</v>
          </cell>
          <cell r="X21">
            <v>45326</v>
          </cell>
          <cell r="Y21">
            <v>45326</v>
          </cell>
          <cell r="Z21">
            <v>0</v>
          </cell>
          <cell r="AA21">
            <v>1749000</v>
          </cell>
          <cell r="AB21">
            <v>0</v>
          </cell>
          <cell r="AC21">
            <v>1749000</v>
          </cell>
          <cell r="AD21">
            <v>1749000</v>
          </cell>
          <cell r="AE21">
            <v>0</v>
          </cell>
          <cell r="AF21">
            <v>1749000</v>
          </cell>
          <cell r="AG21" t="str">
            <v>C</v>
          </cell>
          <cell r="AH21" t="str">
            <v>ENGR. MICHAEL C. SALARDA
MS. LEONARDA M. LATOR
MS. CARMENCITA VALDEZ
MS. SORAYA P. VERGARA</v>
          </cell>
          <cell r="AI21" t="str">
            <v>N/A</v>
          </cell>
          <cell r="AJ21" t="str">
            <v>N/A</v>
          </cell>
          <cell r="AK21" t="str">
            <v>N/A</v>
          </cell>
          <cell r="AL21" t="str">
            <v>N/A</v>
          </cell>
          <cell r="AM21" t="str">
            <v>N/A</v>
          </cell>
          <cell r="AN21" t="str">
            <v>N/A</v>
          </cell>
          <cell r="AO21" t="str">
            <v>COMPLETED</v>
          </cell>
        </row>
        <row r="22">
          <cell r="A22" t="str">
            <v>24-0074</v>
          </cell>
          <cell r="B22" t="str">
            <v>JANITORIAL SUPPLIES/HOUSEKEEPING</v>
          </cell>
          <cell r="C22" t="str">
            <v>PACCO</v>
          </cell>
          <cell r="D22" t="str">
            <v>No</v>
          </cell>
          <cell r="E22" t="str">
            <v>NP-53.9 - Small Value Procurement</v>
          </cell>
          <cell r="F22" t="str">
            <v>N/A</v>
          </cell>
          <cell r="G22">
            <v>45318</v>
          </cell>
          <cell r="H22" t="str">
            <v/>
          </cell>
          <cell r="I22" t="str">
            <v>N/A</v>
          </cell>
          <cell r="J22">
            <v>45322</v>
          </cell>
          <cell r="K22">
            <v>45322</v>
          </cell>
          <cell r="L22" t="str">
            <v/>
          </cell>
          <cell r="M22" t="str">
            <v>N/A</v>
          </cell>
          <cell r="N22" t="str">
            <v>N/A</v>
          </cell>
          <cell r="O22">
            <v>45328</v>
          </cell>
          <cell r="P22" t="str">
            <v/>
          </cell>
          <cell r="Q22" t="str">
            <v/>
          </cell>
          <cell r="R22" t="str">
            <v/>
          </cell>
          <cell r="S22">
            <v>45330</v>
          </cell>
          <cell r="T22">
            <v>45336</v>
          </cell>
          <cell r="U22">
            <v>45341</v>
          </cell>
          <cell r="V22" t="str">
            <v/>
          </cell>
          <cell r="W22" t="str">
            <v/>
          </cell>
          <cell r="X22">
            <v>45345</v>
          </cell>
          <cell r="Y22">
            <v>45345</v>
          </cell>
          <cell r="Z22">
            <v>0</v>
          </cell>
          <cell r="AA22">
            <v>16920</v>
          </cell>
          <cell r="AB22">
            <v>16920</v>
          </cell>
          <cell r="AC22">
            <v>0</v>
          </cell>
          <cell r="AD22">
            <v>16450</v>
          </cell>
          <cell r="AE22">
            <v>16450</v>
          </cell>
          <cell r="AF22">
            <v>0</v>
          </cell>
          <cell r="AG22" t="str">
            <v>M</v>
          </cell>
          <cell r="AH22" t="str">
            <v>ENGR. MICHAEL C. SALARDA
MS. LEONARDA M. LATOR
MS. CARMENCITA VALDEZ
MS. SORAYA P. VERGARA</v>
          </cell>
          <cell r="AI22" t="str">
            <v>N/A</v>
          </cell>
          <cell r="AJ22" t="str">
            <v>N/A</v>
          </cell>
          <cell r="AK22" t="str">
            <v>N/A</v>
          </cell>
          <cell r="AL22" t="str">
            <v>N/A</v>
          </cell>
          <cell r="AM22" t="str">
            <v>N/A</v>
          </cell>
          <cell r="AN22" t="str">
            <v>N/A</v>
          </cell>
          <cell r="AO22" t="str">
            <v>COMPLETED</v>
          </cell>
        </row>
        <row r="23">
          <cell r="A23" t="str">
            <v>24-0022</v>
          </cell>
          <cell r="B23" t="str">
            <v>JANITORIAL SUPPLIES/HOUSEKEEPING</v>
          </cell>
          <cell r="C23" t="str">
            <v>PTO</v>
          </cell>
          <cell r="D23" t="str">
            <v>No</v>
          </cell>
          <cell r="E23" t="str">
            <v>NP-53.9 - Small Value Procurement</v>
          </cell>
          <cell r="F23" t="str">
            <v>N/A</v>
          </cell>
          <cell r="G23">
            <v>45318</v>
          </cell>
          <cell r="H23" t="str">
            <v/>
          </cell>
          <cell r="I23" t="str">
            <v>N/A</v>
          </cell>
          <cell r="J23">
            <v>45322</v>
          </cell>
          <cell r="K23">
            <v>45322</v>
          </cell>
          <cell r="L23" t="str">
            <v/>
          </cell>
          <cell r="M23" t="str">
            <v>N/A</v>
          </cell>
          <cell r="N23" t="str">
            <v>N/A</v>
          </cell>
          <cell r="O23">
            <v>45328</v>
          </cell>
          <cell r="P23" t="str">
            <v/>
          </cell>
          <cell r="Q23" t="str">
            <v/>
          </cell>
          <cell r="R23" t="str">
            <v/>
          </cell>
          <cell r="S23">
            <v>45330</v>
          </cell>
          <cell r="T23">
            <v>45341</v>
          </cell>
          <cell r="U23">
            <v>45341</v>
          </cell>
          <cell r="V23" t="str">
            <v/>
          </cell>
          <cell r="W23" t="str">
            <v/>
          </cell>
          <cell r="X23">
            <v>45350</v>
          </cell>
          <cell r="Y23">
            <v>45350</v>
          </cell>
          <cell r="Z23">
            <v>0</v>
          </cell>
          <cell r="AA23">
            <v>27088</v>
          </cell>
          <cell r="AB23">
            <v>27088</v>
          </cell>
          <cell r="AC23">
            <v>0</v>
          </cell>
          <cell r="AD23">
            <v>26508</v>
          </cell>
          <cell r="AE23">
            <v>26508</v>
          </cell>
          <cell r="AF23">
            <v>0</v>
          </cell>
          <cell r="AG23" t="str">
            <v>M</v>
          </cell>
          <cell r="AH23" t="str">
            <v>ENGR. MICHAEL C. SALARDA
MS. LEONARDA M. LATOR
MS. CARMENCITA VALDEZ
MS. SORAYA P. VERGARA</v>
          </cell>
          <cell r="AI23" t="str">
            <v>N/A</v>
          </cell>
          <cell r="AJ23" t="str">
            <v>N/A</v>
          </cell>
          <cell r="AK23" t="str">
            <v>N/A</v>
          </cell>
          <cell r="AL23" t="str">
            <v>N/A</v>
          </cell>
          <cell r="AM23" t="str">
            <v>N/A</v>
          </cell>
          <cell r="AN23" t="str">
            <v>N/A</v>
          </cell>
          <cell r="AO23" t="str">
            <v>COMPLETED</v>
          </cell>
        </row>
        <row r="24">
          <cell r="A24" t="str">
            <v>24-0096</v>
          </cell>
          <cell r="B24" t="str">
            <v>JANITORIAL SUPPLIES/HOUSEKEEPING</v>
          </cell>
          <cell r="C24" t="str">
            <v>PGO</v>
          </cell>
          <cell r="D24" t="str">
            <v>No</v>
          </cell>
          <cell r="E24" t="str">
            <v>NP-53.9 - Small Value Procurement</v>
          </cell>
          <cell r="F24" t="str">
            <v>N/A</v>
          </cell>
          <cell r="G24">
            <v>45318</v>
          </cell>
          <cell r="H24" t="str">
            <v/>
          </cell>
          <cell r="I24" t="str">
            <v>N/A</v>
          </cell>
          <cell r="J24">
            <v>45322</v>
          </cell>
          <cell r="K24">
            <v>45322</v>
          </cell>
          <cell r="L24" t="str">
            <v/>
          </cell>
          <cell r="M24" t="str">
            <v>N/A</v>
          </cell>
          <cell r="N24" t="str">
            <v>N/A</v>
          </cell>
          <cell r="O24">
            <v>45328</v>
          </cell>
          <cell r="P24" t="str">
            <v/>
          </cell>
          <cell r="Q24" t="str">
            <v/>
          </cell>
          <cell r="R24" t="str">
            <v/>
          </cell>
          <cell r="S24">
            <v>45330</v>
          </cell>
          <cell r="T24">
            <v>45335</v>
          </cell>
          <cell r="U24">
            <v>45341</v>
          </cell>
          <cell r="V24" t="str">
            <v/>
          </cell>
          <cell r="W24" t="str">
            <v/>
          </cell>
          <cell r="X24">
            <v>45345</v>
          </cell>
          <cell r="Y24">
            <v>45345</v>
          </cell>
          <cell r="Z24">
            <v>0</v>
          </cell>
          <cell r="AA24">
            <v>3393</v>
          </cell>
          <cell r="AB24">
            <v>3393</v>
          </cell>
          <cell r="AC24">
            <v>0</v>
          </cell>
          <cell r="AD24">
            <v>3291</v>
          </cell>
          <cell r="AE24">
            <v>3291</v>
          </cell>
          <cell r="AF24">
            <v>0</v>
          </cell>
          <cell r="AG24" t="str">
            <v>M</v>
          </cell>
          <cell r="AH24" t="str">
            <v>ENGR. MICHAEL C. SALARDA
MS. LEONARDA M. LATOR
MS. CARMENCITA VALDEZ
MS. SORAYA P. VERGARA</v>
          </cell>
          <cell r="AI24" t="str">
            <v>N/A</v>
          </cell>
          <cell r="AJ24" t="str">
            <v>N/A</v>
          </cell>
          <cell r="AK24" t="str">
            <v>N/A</v>
          </cell>
          <cell r="AL24" t="str">
            <v>N/A</v>
          </cell>
          <cell r="AM24" t="str">
            <v>N/A</v>
          </cell>
          <cell r="AN24" t="str">
            <v>N/A</v>
          </cell>
          <cell r="AO24" t="str">
            <v>COMPLETED</v>
          </cell>
        </row>
        <row r="25">
          <cell r="A25" t="str">
            <v>24-0120</v>
          </cell>
          <cell r="B25" t="str">
            <v>JANITORIAL SUPPLIES/HOUSEKEEPING</v>
          </cell>
          <cell r="C25" t="str">
            <v>COA</v>
          </cell>
          <cell r="D25" t="str">
            <v>No</v>
          </cell>
          <cell r="E25" t="str">
            <v>NP-53.9 - Small Value Procurement</v>
          </cell>
          <cell r="F25" t="str">
            <v>N/A</v>
          </cell>
          <cell r="G25">
            <v>45318</v>
          </cell>
          <cell r="H25" t="str">
            <v/>
          </cell>
          <cell r="I25" t="str">
            <v>N/A</v>
          </cell>
          <cell r="J25">
            <v>45322</v>
          </cell>
          <cell r="K25">
            <v>45322</v>
          </cell>
          <cell r="L25" t="str">
            <v/>
          </cell>
          <cell r="M25" t="str">
            <v>N/A</v>
          </cell>
          <cell r="N25" t="str">
            <v>N/A</v>
          </cell>
          <cell r="O25">
            <v>45328</v>
          </cell>
          <cell r="P25" t="str">
            <v/>
          </cell>
          <cell r="Q25" t="str">
            <v/>
          </cell>
          <cell r="R25" t="str">
            <v/>
          </cell>
          <cell r="S25">
            <v>45335</v>
          </cell>
          <cell r="T25">
            <v>45336</v>
          </cell>
          <cell r="U25">
            <v>45341</v>
          </cell>
          <cell r="V25" t="str">
            <v/>
          </cell>
          <cell r="W25" t="str">
            <v/>
          </cell>
          <cell r="X25">
            <v>45350</v>
          </cell>
          <cell r="Y25">
            <v>45350</v>
          </cell>
          <cell r="Z25">
            <v>0</v>
          </cell>
          <cell r="AA25">
            <v>29538</v>
          </cell>
          <cell r="AB25">
            <v>29538</v>
          </cell>
          <cell r="AC25">
            <v>0</v>
          </cell>
          <cell r="AD25">
            <v>29034</v>
          </cell>
          <cell r="AE25">
            <v>29034</v>
          </cell>
          <cell r="AF25">
            <v>0</v>
          </cell>
          <cell r="AG25" t="str">
            <v>M</v>
          </cell>
          <cell r="AH25" t="str">
            <v>ENGR. MICHAEL C. SALARDA
MS. LEONARDA M. LATOR
MS. CARMENCITA VALDEZ
MS. SORAYA P. VERGARA</v>
          </cell>
          <cell r="AI25" t="str">
            <v>N/A</v>
          </cell>
          <cell r="AJ25" t="str">
            <v>N/A</v>
          </cell>
          <cell r="AK25" t="str">
            <v>N/A</v>
          </cell>
          <cell r="AL25" t="str">
            <v>N/A</v>
          </cell>
          <cell r="AM25" t="str">
            <v>N/A</v>
          </cell>
          <cell r="AN25" t="str">
            <v>N/A</v>
          </cell>
          <cell r="AO25" t="str">
            <v>COMPLETED</v>
          </cell>
        </row>
        <row r="26">
          <cell r="A26" t="str">
            <v>23-C0759</v>
          </cell>
          <cell r="B26" t="str">
            <v>VARIOUS CONSTRUCTION SUPPLY</v>
          </cell>
          <cell r="C26" t="str">
            <v>PGSO</v>
          </cell>
          <cell r="D26" t="str">
            <v>No</v>
          </cell>
          <cell r="E26" t="str">
            <v>Competitive Bidding</v>
          </cell>
          <cell r="F26" t="str">
            <v>N/A</v>
          </cell>
          <cell r="G26">
            <v>45271</v>
          </cell>
          <cell r="H26" t="str">
            <v/>
          </cell>
          <cell r="I26">
            <v>45279</v>
          </cell>
          <cell r="J26">
            <v>45300</v>
          </cell>
          <cell r="K26">
            <v>45300</v>
          </cell>
          <cell r="L26" t="str">
            <v/>
          </cell>
          <cell r="M26">
            <v>45300</v>
          </cell>
          <cell r="N26">
            <v>45310</v>
          </cell>
          <cell r="O26">
            <v>45328</v>
          </cell>
          <cell r="P26" t="str">
            <v/>
          </cell>
          <cell r="Q26" t="str">
            <v/>
          </cell>
          <cell r="R26" t="str">
            <v/>
          </cell>
          <cell r="S26">
            <v>45336</v>
          </cell>
          <cell r="T26">
            <v>45336</v>
          </cell>
          <cell r="U26">
            <v>45345</v>
          </cell>
          <cell r="V26" t="str">
            <v/>
          </cell>
          <cell r="W26" t="str">
            <v/>
          </cell>
          <cell r="X26">
            <v>45469</v>
          </cell>
          <cell r="Y26">
            <v>45469</v>
          </cell>
          <cell r="Z26">
            <v>0</v>
          </cell>
          <cell r="AA26">
            <v>1606988.6</v>
          </cell>
          <cell r="AB26">
            <v>0</v>
          </cell>
          <cell r="AC26">
            <v>1606988.6</v>
          </cell>
          <cell r="AD26">
            <v>1605527</v>
          </cell>
          <cell r="AE26">
            <v>0</v>
          </cell>
          <cell r="AF26">
            <v>1605527</v>
          </cell>
          <cell r="AG26" t="str">
            <v>C</v>
          </cell>
          <cell r="AH26" t="str">
            <v>ENGR. MICHAEL C. SALARDA
MS. LEONARDA M. LATOR
MS. CARMENCITA VALDEZ
MS. SORAYA P. VERGARA</v>
          </cell>
          <cell r="AI26">
            <v>45278</v>
          </cell>
          <cell r="AJ26">
            <v>45293</v>
          </cell>
          <cell r="AK26">
            <v>45293</v>
          </cell>
          <cell r="AL26">
            <v>45293</v>
          </cell>
          <cell r="AM26">
            <v>45293</v>
          </cell>
          <cell r="AN26" t="str">
            <v>N/A</v>
          </cell>
          <cell r="AO26" t="str">
            <v>COMPLETED</v>
          </cell>
        </row>
        <row r="27">
          <cell r="A27" t="str">
            <v>23-4461</v>
          </cell>
          <cell r="B27" t="str">
            <v xml:space="preserve">JOB ORDER (LABOR &amp; MATERIALS) </v>
          </cell>
          <cell r="C27" t="str">
            <v>PDRRMO</v>
          </cell>
          <cell r="D27" t="str">
            <v>No</v>
          </cell>
          <cell r="E27" t="str">
            <v>NP-53.1 Two Failed Biddings</v>
          </cell>
          <cell r="F27" t="str">
            <v>N/A</v>
          </cell>
          <cell r="G27">
            <v>45316</v>
          </cell>
          <cell r="H27" t="str">
            <v/>
          </cell>
          <cell r="I27" t="str">
            <v>N/A</v>
          </cell>
          <cell r="J27">
            <v>45330</v>
          </cell>
          <cell r="K27">
            <v>45330</v>
          </cell>
          <cell r="L27" t="str">
            <v/>
          </cell>
          <cell r="M27" t="str">
            <v>N/A</v>
          </cell>
          <cell r="N27" t="str">
            <v>N/A</v>
          </cell>
          <cell r="O27">
            <v>45330</v>
          </cell>
          <cell r="P27" t="str">
            <v/>
          </cell>
          <cell r="Q27" t="str">
            <v/>
          </cell>
          <cell r="R27" t="str">
            <v/>
          </cell>
          <cell r="S27">
            <v>45337</v>
          </cell>
          <cell r="T27">
            <v>45348</v>
          </cell>
          <cell r="U27">
            <v>45351</v>
          </cell>
          <cell r="V27" t="str">
            <v/>
          </cell>
          <cell r="W27" t="str">
            <v/>
          </cell>
          <cell r="X27">
            <v>45391</v>
          </cell>
          <cell r="Y27">
            <v>45391</v>
          </cell>
          <cell r="Z27">
            <v>0</v>
          </cell>
          <cell r="AA27">
            <v>217926.65</v>
          </cell>
          <cell r="AB27">
            <v>0</v>
          </cell>
          <cell r="AC27">
            <v>217926.65</v>
          </cell>
          <cell r="AD27">
            <v>217925.5</v>
          </cell>
          <cell r="AE27">
            <v>0</v>
          </cell>
          <cell r="AF27">
            <v>217925.5</v>
          </cell>
          <cell r="AG27" t="str">
            <v>C</v>
          </cell>
          <cell r="AH27" t="str">
            <v>ENGR. MICHAEL C. SALARDA
MS. LEONARDA M. LATOR
MS. CARMENCITA VALDEZ
MS. SORAYA P. VERGARA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COMPLETED</v>
          </cell>
        </row>
        <row r="28">
          <cell r="A28" t="str">
            <v>24-C1014</v>
          </cell>
          <cell r="B28" t="str">
            <v>HYGIENE KITS</v>
          </cell>
          <cell r="C28" t="str">
            <v>PDRRMO</v>
          </cell>
          <cell r="D28" t="str">
            <v>No</v>
          </cell>
          <cell r="E28" t="str">
            <v>NP-53.2 Emergency Cases</v>
          </cell>
          <cell r="F28">
            <v>45328</v>
          </cell>
          <cell r="G28">
            <v>45329</v>
          </cell>
          <cell r="H28" t="str">
            <v/>
          </cell>
          <cell r="I28" t="str">
            <v>N/A</v>
          </cell>
          <cell r="J28">
            <v>45330</v>
          </cell>
          <cell r="K28">
            <v>45330</v>
          </cell>
          <cell r="L28" t="str">
            <v/>
          </cell>
          <cell r="M28" t="str">
            <v>N/A</v>
          </cell>
          <cell r="N28" t="str">
            <v>N/A</v>
          </cell>
          <cell r="O28">
            <v>45330</v>
          </cell>
          <cell r="P28" t="str">
            <v/>
          </cell>
          <cell r="Q28" t="str">
            <v/>
          </cell>
          <cell r="R28" t="str">
            <v/>
          </cell>
          <cell r="S28">
            <v>45330</v>
          </cell>
          <cell r="T28">
            <v>45330</v>
          </cell>
          <cell r="U28">
            <v>45330</v>
          </cell>
          <cell r="V28" t="str">
            <v/>
          </cell>
          <cell r="W28" t="str">
            <v/>
          </cell>
          <cell r="X28">
            <v>45332</v>
          </cell>
          <cell r="Y28">
            <v>45332</v>
          </cell>
          <cell r="Z28">
            <v>0</v>
          </cell>
          <cell r="AA28">
            <v>950625</v>
          </cell>
          <cell r="AB28">
            <v>0</v>
          </cell>
          <cell r="AC28">
            <v>950625</v>
          </cell>
          <cell r="AD28">
            <v>929452.5</v>
          </cell>
          <cell r="AE28">
            <v>0</v>
          </cell>
          <cell r="AF28">
            <v>929452.5</v>
          </cell>
          <cell r="AG28" t="str">
            <v>C</v>
          </cell>
          <cell r="AH28" t="str">
            <v>ENGR. MICHAEL C. SALARDA
MS. LEONARDA M. LATOR
MS. CARMENCITA VALDEZ
MS. SORAYA P. VERGARA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COMPLETED</v>
          </cell>
        </row>
        <row r="29">
          <cell r="A29" t="str">
            <v>24-0956</v>
          </cell>
          <cell r="B29" t="str">
            <v>PACKED MEALS</v>
          </cell>
          <cell r="C29" t="str">
            <v>PDRRMO</v>
          </cell>
          <cell r="D29" t="str">
            <v>No</v>
          </cell>
          <cell r="E29" t="str">
            <v>NP-53.2 Emergency Cases</v>
          </cell>
          <cell r="F29" t="str">
            <v>N/A</v>
          </cell>
          <cell r="G29">
            <v>45329</v>
          </cell>
          <cell r="H29" t="str">
            <v/>
          </cell>
          <cell r="I29" t="str">
            <v>N/A</v>
          </cell>
          <cell r="J29">
            <v>45330</v>
          </cell>
          <cell r="K29">
            <v>45330</v>
          </cell>
          <cell r="L29" t="str">
            <v/>
          </cell>
          <cell r="M29" t="str">
            <v>N/A</v>
          </cell>
          <cell r="N29" t="str">
            <v>N/A</v>
          </cell>
          <cell r="O29">
            <v>45330</v>
          </cell>
          <cell r="P29" t="str">
            <v/>
          </cell>
          <cell r="Q29" t="str">
            <v/>
          </cell>
          <cell r="R29" t="str">
            <v/>
          </cell>
          <cell r="S29">
            <v>45330</v>
          </cell>
          <cell r="T29">
            <v>45330</v>
          </cell>
          <cell r="U29">
            <v>45338</v>
          </cell>
          <cell r="V29" t="str">
            <v/>
          </cell>
          <cell r="W29" t="str">
            <v/>
          </cell>
          <cell r="X29">
            <v>0</v>
          </cell>
          <cell r="Y29">
            <v>0</v>
          </cell>
          <cell r="Z29">
            <v>0</v>
          </cell>
          <cell r="AA29">
            <v>595000</v>
          </cell>
          <cell r="AB29">
            <v>0</v>
          </cell>
          <cell r="AC29">
            <v>595000</v>
          </cell>
          <cell r="AD29">
            <v>595000</v>
          </cell>
          <cell r="AE29">
            <v>0</v>
          </cell>
          <cell r="AF29">
            <v>595000</v>
          </cell>
          <cell r="AG29" t="str">
            <v>C</v>
          </cell>
          <cell r="AH29" t="str">
            <v>ENGR. MICHAEL C. SALARDA
MS. LEONARDA M. LATOR
MS. CARMENCITA VALDEZ
MS. SORAYA P. VERGARA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PARTIAL DELIVERY</v>
          </cell>
        </row>
        <row r="30">
          <cell r="A30" t="str">
            <v>24-0667</v>
          </cell>
          <cell r="B30" t="str">
            <v>PACKED MEALS</v>
          </cell>
          <cell r="C30" t="str">
            <v>PDRRMO</v>
          </cell>
          <cell r="D30" t="str">
            <v>No</v>
          </cell>
          <cell r="E30" t="str">
            <v>NP-53.2 Emergency Cases</v>
          </cell>
          <cell r="F30" t="str">
            <v>N/A</v>
          </cell>
          <cell r="G30">
            <v>45322</v>
          </cell>
          <cell r="H30">
            <v>0</v>
          </cell>
          <cell r="I30" t="str">
            <v>N/A</v>
          </cell>
          <cell r="J30">
            <v>45322</v>
          </cell>
          <cell r="K30">
            <v>45322</v>
          </cell>
          <cell r="L30">
            <v>0</v>
          </cell>
          <cell r="M30" t="str">
            <v>N/A</v>
          </cell>
          <cell r="N30" t="str">
            <v>N/A</v>
          </cell>
          <cell r="O30">
            <v>45323</v>
          </cell>
          <cell r="P30">
            <v>0</v>
          </cell>
          <cell r="Q30">
            <v>0</v>
          </cell>
          <cell r="R30">
            <v>0</v>
          </cell>
          <cell r="S30">
            <v>45323</v>
          </cell>
          <cell r="T30">
            <v>45323</v>
          </cell>
          <cell r="U30">
            <v>45323</v>
          </cell>
          <cell r="V30">
            <v>0</v>
          </cell>
          <cell r="W30">
            <v>0</v>
          </cell>
          <cell r="X30">
            <v>45378</v>
          </cell>
          <cell r="Y30">
            <v>45378</v>
          </cell>
          <cell r="Z30">
            <v>0</v>
          </cell>
          <cell r="AA30">
            <v>595000</v>
          </cell>
          <cell r="AB30">
            <v>0</v>
          </cell>
          <cell r="AC30">
            <v>595000</v>
          </cell>
          <cell r="AD30">
            <v>595000</v>
          </cell>
          <cell r="AE30">
            <v>0</v>
          </cell>
          <cell r="AF30">
            <v>595000</v>
          </cell>
          <cell r="AG30" t="str">
            <v>C</v>
          </cell>
          <cell r="AH30" t="str">
            <v>ENGR. MICHAEL C. SALARDA
MS. LEONARDA M. LATOR
MS. CARMENCITA VALDEZ
MS. SORAYA P. VERGARA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COMPLETED</v>
          </cell>
        </row>
        <row r="31">
          <cell r="A31" t="str">
            <v>24-C0967</v>
          </cell>
          <cell r="B31" t="str">
            <v>FOOD SUPPLIES-DRY GOODS</v>
          </cell>
          <cell r="C31" t="str">
            <v>PDRRMO</v>
          </cell>
          <cell r="D31" t="str">
            <v>No</v>
          </cell>
          <cell r="E31" t="str">
            <v>NP-53.2 Emergency Cases</v>
          </cell>
          <cell r="F31" t="str">
            <v>N/A</v>
          </cell>
          <cell r="G31">
            <v>45322</v>
          </cell>
          <cell r="H31">
            <v>0</v>
          </cell>
          <cell r="I31" t="str">
            <v>N/A</v>
          </cell>
          <cell r="J31">
            <v>45322</v>
          </cell>
          <cell r="K31">
            <v>45322</v>
          </cell>
          <cell r="L31">
            <v>0</v>
          </cell>
          <cell r="M31" t="str">
            <v>N/A</v>
          </cell>
          <cell r="N31" t="str">
            <v>N/A</v>
          </cell>
          <cell r="O31">
            <v>45323</v>
          </cell>
          <cell r="P31">
            <v>0</v>
          </cell>
          <cell r="Q31">
            <v>0</v>
          </cell>
          <cell r="R31">
            <v>0</v>
          </cell>
          <cell r="S31">
            <v>45323</v>
          </cell>
          <cell r="T31">
            <v>45323</v>
          </cell>
          <cell r="U31">
            <v>45323</v>
          </cell>
          <cell r="V31">
            <v>0</v>
          </cell>
          <cell r="W31">
            <v>0</v>
          </cell>
          <cell r="X31">
            <v>45325</v>
          </cell>
          <cell r="Y31">
            <v>45325</v>
          </cell>
          <cell r="Z31">
            <v>0</v>
          </cell>
          <cell r="AA31">
            <v>3098368</v>
          </cell>
          <cell r="AB31">
            <v>0</v>
          </cell>
          <cell r="AC31">
            <v>3098368</v>
          </cell>
          <cell r="AD31">
            <v>3070984</v>
          </cell>
          <cell r="AE31">
            <v>0</v>
          </cell>
          <cell r="AF31">
            <v>3070984</v>
          </cell>
          <cell r="AG31" t="str">
            <v>C</v>
          </cell>
          <cell r="AH31" t="str">
            <v>ENGR. MICHAEL C. SALARDA
MS. LEONARDA M. LATOR
MS. CARMENCITA VALDEZ
MS. SORAYA P. VERGARA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COMPLETED</v>
          </cell>
        </row>
        <row r="32">
          <cell r="A32" t="str">
            <v>24-C0966</v>
          </cell>
          <cell r="B32" t="str">
            <v>FOOD SUPPLIES - DRY GOODS</v>
          </cell>
          <cell r="C32" t="str">
            <v>PDRRMO</v>
          </cell>
          <cell r="D32">
            <v>0</v>
          </cell>
          <cell r="E32" t="str">
            <v>NP-53.2 Emergency Cases</v>
          </cell>
          <cell r="F32" t="str">
            <v>N/A</v>
          </cell>
          <cell r="G32">
            <v>45322</v>
          </cell>
          <cell r="H32" t="str">
            <v/>
          </cell>
          <cell r="I32" t="str">
            <v>N/A</v>
          </cell>
          <cell r="J32">
            <v>45323</v>
          </cell>
          <cell r="K32">
            <v>45323</v>
          </cell>
          <cell r="L32" t="str">
            <v/>
          </cell>
          <cell r="M32" t="str">
            <v>N/A</v>
          </cell>
          <cell r="N32" t="str">
            <v>N/A</v>
          </cell>
          <cell r="O32">
            <v>45323</v>
          </cell>
          <cell r="P32" t="str">
            <v/>
          </cell>
          <cell r="Q32" t="str">
            <v/>
          </cell>
          <cell r="R32" t="str">
            <v/>
          </cell>
          <cell r="S32">
            <v>45323</v>
          </cell>
          <cell r="T32">
            <v>45323</v>
          </cell>
          <cell r="U32">
            <v>45323</v>
          </cell>
          <cell r="V32" t="str">
            <v/>
          </cell>
          <cell r="W32" t="str">
            <v/>
          </cell>
          <cell r="X32">
            <v>45325</v>
          </cell>
          <cell r="Y32">
            <v>45325</v>
          </cell>
          <cell r="Z32">
            <v>0</v>
          </cell>
          <cell r="AA32">
            <v>1161888</v>
          </cell>
          <cell r="AB32">
            <v>0</v>
          </cell>
          <cell r="AC32">
            <v>1161888</v>
          </cell>
          <cell r="AD32">
            <v>1151619</v>
          </cell>
          <cell r="AE32">
            <v>0</v>
          </cell>
          <cell r="AF32">
            <v>1151619</v>
          </cell>
          <cell r="AG32" t="str">
            <v>C</v>
          </cell>
          <cell r="AH32" t="str">
            <v>ENGR. MICHAEL C. SALARDA
MS. LEONARDA M. LATOR
MS. CARMENCITA VALDEZ
MS. SORAYA P. VERGARA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COMPLETED</v>
          </cell>
        </row>
        <row r="33">
          <cell r="A33" t="str">
            <v>24-0818</v>
          </cell>
          <cell r="B33" t="str">
            <v>FOOD SUPPLIES</v>
          </cell>
          <cell r="C33" t="str">
            <v>PDRRMO</v>
          </cell>
          <cell r="D33" t="str">
            <v>No</v>
          </cell>
          <cell r="E33" t="str">
            <v>NP-53.2 Emergency Cases</v>
          </cell>
          <cell r="F33">
            <v>45328</v>
          </cell>
          <cell r="G33">
            <v>45329</v>
          </cell>
          <cell r="H33" t="str">
            <v/>
          </cell>
          <cell r="I33" t="str">
            <v>N/A</v>
          </cell>
          <cell r="J33">
            <v>45330</v>
          </cell>
          <cell r="K33">
            <v>45330</v>
          </cell>
          <cell r="L33" t="str">
            <v/>
          </cell>
          <cell r="M33" t="str">
            <v>N/A</v>
          </cell>
          <cell r="N33" t="str">
            <v>N/A</v>
          </cell>
          <cell r="O33">
            <v>45330</v>
          </cell>
          <cell r="P33" t="str">
            <v/>
          </cell>
          <cell r="Q33" t="str">
            <v/>
          </cell>
          <cell r="R33" t="str">
            <v/>
          </cell>
          <cell r="S33">
            <v>45331</v>
          </cell>
          <cell r="T33">
            <v>45334</v>
          </cell>
          <cell r="U33">
            <v>45334</v>
          </cell>
          <cell r="V33" t="str">
            <v/>
          </cell>
          <cell r="W33" t="str">
            <v/>
          </cell>
          <cell r="X33">
            <v>45335</v>
          </cell>
          <cell r="Y33">
            <v>45335</v>
          </cell>
          <cell r="Z33">
            <v>0</v>
          </cell>
          <cell r="AA33">
            <v>415690</v>
          </cell>
          <cell r="AB33">
            <v>0</v>
          </cell>
          <cell r="AC33">
            <v>415690</v>
          </cell>
          <cell r="AD33">
            <v>413670</v>
          </cell>
          <cell r="AE33">
            <v>0</v>
          </cell>
          <cell r="AF33">
            <v>413670</v>
          </cell>
          <cell r="AG33" t="str">
            <v>C</v>
          </cell>
          <cell r="AH33" t="str">
            <v>ENGR. MICHAEL C. SALARDA
MS. LEONARDA M. LATOR
MS. CARMENCITA VALDEZ
MS. SORAYA P. VERGARA</v>
          </cell>
          <cell r="AI33" t="str">
            <v>N/A</v>
          </cell>
          <cell r="AJ33" t="str">
            <v>N/A</v>
          </cell>
          <cell r="AK33" t="str">
            <v>N/A</v>
          </cell>
          <cell r="AL33" t="str">
            <v>N/A</v>
          </cell>
          <cell r="AM33" t="str">
            <v>N/A</v>
          </cell>
          <cell r="AN33" t="str">
            <v>N/A</v>
          </cell>
          <cell r="AO33" t="str">
            <v>COMPLETED</v>
          </cell>
        </row>
        <row r="34">
          <cell r="A34" t="str">
            <v>24-C0950</v>
          </cell>
          <cell r="B34" t="str">
            <v>JANITORIAL SUPPLIES/HOUSEKEEPING</v>
          </cell>
          <cell r="C34" t="str">
            <v>PIAO</v>
          </cell>
          <cell r="D34" t="str">
            <v>No</v>
          </cell>
          <cell r="E34" t="str">
            <v>NP-53.9 - Small Value Procurement</v>
          </cell>
          <cell r="F34" t="str">
            <v>N/A</v>
          </cell>
          <cell r="G34">
            <v>45324</v>
          </cell>
          <cell r="H34" t="str">
            <v/>
          </cell>
          <cell r="I34" t="str">
            <v>N/A</v>
          </cell>
          <cell r="J34">
            <v>45335</v>
          </cell>
          <cell r="K34">
            <v>45335</v>
          </cell>
          <cell r="L34" t="str">
            <v/>
          </cell>
          <cell r="M34" t="str">
            <v>N/A</v>
          </cell>
          <cell r="N34" t="str">
            <v>N/A</v>
          </cell>
          <cell r="O34">
            <v>45336</v>
          </cell>
          <cell r="P34" t="str">
            <v/>
          </cell>
          <cell r="Q34" t="str">
            <v/>
          </cell>
          <cell r="R34" t="str">
            <v/>
          </cell>
          <cell r="S34" t="str">
            <v>N/A</v>
          </cell>
          <cell r="T34">
            <v>45343</v>
          </cell>
          <cell r="U34">
            <v>45344</v>
          </cell>
          <cell r="V34" t="str">
            <v/>
          </cell>
          <cell r="W34" t="str">
            <v/>
          </cell>
          <cell r="X34">
            <v>45349</v>
          </cell>
          <cell r="Y34">
            <v>45349</v>
          </cell>
          <cell r="Z34">
            <v>0</v>
          </cell>
          <cell r="AA34">
            <v>8474</v>
          </cell>
          <cell r="AB34">
            <v>8474</v>
          </cell>
          <cell r="AC34">
            <v>0</v>
          </cell>
          <cell r="AD34">
            <v>8368</v>
          </cell>
          <cell r="AE34">
            <v>8368</v>
          </cell>
          <cell r="AF34">
            <v>0</v>
          </cell>
          <cell r="AG34" t="str">
            <v>M</v>
          </cell>
          <cell r="AH34" t="str">
            <v>ENGR. MICHAEL C. SALARDA
MS. LEONARDA M. LATOR
MS. CARMENCITA VALDEZ
MS. SORAYA P. VERGARA</v>
          </cell>
          <cell r="AI34" t="str">
            <v>N/A</v>
          </cell>
          <cell r="AJ34" t="str">
            <v>N/A</v>
          </cell>
          <cell r="AK34" t="str">
            <v>N/A</v>
          </cell>
          <cell r="AL34" t="str">
            <v>N/A</v>
          </cell>
          <cell r="AM34" t="str">
            <v>N/A</v>
          </cell>
          <cell r="AN34" t="str">
            <v>N/A</v>
          </cell>
          <cell r="AO34" t="str">
            <v>COMPLETED</v>
          </cell>
        </row>
        <row r="35">
          <cell r="A35" t="str">
            <v>24-0125</v>
          </cell>
          <cell r="B35" t="str">
            <v>SPAREPARTS (LIGHT VEHICLES)</v>
          </cell>
          <cell r="C35" t="str">
            <v>COA</v>
          </cell>
          <cell r="D35" t="str">
            <v>No</v>
          </cell>
          <cell r="E35" t="str">
            <v>NP-53.9 - Small Value Procurement</v>
          </cell>
          <cell r="F35" t="str">
            <v>N/A</v>
          </cell>
          <cell r="G35">
            <v>45318</v>
          </cell>
          <cell r="H35" t="str">
            <v/>
          </cell>
          <cell r="I35" t="str">
            <v>N/A</v>
          </cell>
          <cell r="J35">
            <v>45335</v>
          </cell>
          <cell r="K35">
            <v>45335</v>
          </cell>
          <cell r="L35" t="str">
            <v/>
          </cell>
          <cell r="M35" t="str">
            <v>N/A</v>
          </cell>
          <cell r="N35" t="str">
            <v>N/A</v>
          </cell>
          <cell r="O35">
            <v>45336</v>
          </cell>
          <cell r="P35" t="str">
            <v/>
          </cell>
          <cell r="Q35" t="str">
            <v/>
          </cell>
          <cell r="R35" t="str">
            <v/>
          </cell>
          <cell r="S35">
            <v>45338</v>
          </cell>
          <cell r="T35">
            <v>45348</v>
          </cell>
          <cell r="U35">
            <v>45351</v>
          </cell>
          <cell r="V35" t="str">
            <v/>
          </cell>
          <cell r="W35" t="str">
            <v/>
          </cell>
          <cell r="X35">
            <v>45357</v>
          </cell>
          <cell r="Y35">
            <v>45357</v>
          </cell>
          <cell r="Z35">
            <v>0</v>
          </cell>
          <cell r="AA35">
            <v>53400</v>
          </cell>
          <cell r="AB35">
            <v>53400</v>
          </cell>
          <cell r="AC35">
            <v>0</v>
          </cell>
          <cell r="AD35">
            <v>52000</v>
          </cell>
          <cell r="AE35">
            <v>52000</v>
          </cell>
          <cell r="AF35">
            <v>0</v>
          </cell>
          <cell r="AG35" t="str">
            <v>M</v>
          </cell>
          <cell r="AH35" t="str">
            <v>ENGR. MICHAEL C. SALARDA
MS. LEONARDA M. LATOR
MS. CARMENCITA VALDEZ
MS. SORAYA P. VERGARA</v>
          </cell>
          <cell r="AI35" t="str">
            <v>N/A</v>
          </cell>
          <cell r="AJ35" t="str">
            <v>N/A</v>
          </cell>
          <cell r="AK35" t="str">
            <v>N/A</v>
          </cell>
          <cell r="AL35" t="str">
            <v>N/A</v>
          </cell>
          <cell r="AM35" t="str">
            <v>N/A</v>
          </cell>
          <cell r="AN35" t="str">
            <v>N/A</v>
          </cell>
          <cell r="AO35" t="str">
            <v>COMPLETED</v>
          </cell>
        </row>
        <row r="36">
          <cell r="A36" t="str">
            <v>24-0235</v>
          </cell>
          <cell r="B36" t="str">
            <v>COMPUTER SUPPLIES/SPAREPARTS</v>
          </cell>
          <cell r="C36" t="str">
            <v>PACCO</v>
          </cell>
          <cell r="D36" t="str">
            <v>No</v>
          </cell>
          <cell r="E36" t="str">
            <v>NP-53.9 - Small Value Procurement</v>
          </cell>
          <cell r="F36" t="str">
            <v>N/A</v>
          </cell>
          <cell r="G36">
            <v>45324</v>
          </cell>
          <cell r="H36" t="str">
            <v/>
          </cell>
          <cell r="I36" t="str">
            <v>N/A</v>
          </cell>
          <cell r="J36">
            <v>45335</v>
          </cell>
          <cell r="K36">
            <v>45335</v>
          </cell>
          <cell r="L36" t="str">
            <v/>
          </cell>
          <cell r="M36" t="str">
            <v>N/A</v>
          </cell>
          <cell r="N36" t="str">
            <v>N/A</v>
          </cell>
          <cell r="O36">
            <v>45336</v>
          </cell>
          <cell r="P36" t="str">
            <v/>
          </cell>
          <cell r="Q36" t="str">
            <v/>
          </cell>
          <cell r="R36" t="str">
            <v/>
          </cell>
          <cell r="S36">
            <v>45336</v>
          </cell>
          <cell r="T36">
            <v>45343</v>
          </cell>
          <cell r="U36">
            <v>45344</v>
          </cell>
          <cell r="V36" t="str">
            <v/>
          </cell>
          <cell r="W36" t="str">
            <v/>
          </cell>
          <cell r="X36">
            <v>45422</v>
          </cell>
          <cell r="Y36">
            <v>45422</v>
          </cell>
          <cell r="Z36">
            <v>0</v>
          </cell>
          <cell r="AA36">
            <v>81446</v>
          </cell>
          <cell r="AB36">
            <v>81446</v>
          </cell>
          <cell r="AC36">
            <v>0</v>
          </cell>
          <cell r="AD36">
            <v>81134</v>
          </cell>
          <cell r="AE36">
            <v>81134</v>
          </cell>
          <cell r="AF36">
            <v>0</v>
          </cell>
          <cell r="AG36" t="str">
            <v>M</v>
          </cell>
          <cell r="AH36" t="str">
            <v>ENGR. MICHAEL C. SALARDA
MS. LEONARDA M. LATOR
MS. CARMENCITA VALDEZ
MS. SORAYA P. VERGARA</v>
          </cell>
          <cell r="AI36" t="str">
            <v>N/A</v>
          </cell>
          <cell r="AJ36" t="str">
            <v>N/A</v>
          </cell>
          <cell r="AK36" t="str">
            <v>N/A</v>
          </cell>
          <cell r="AL36" t="str">
            <v>N/A</v>
          </cell>
          <cell r="AM36" t="str">
            <v>N/A</v>
          </cell>
          <cell r="AN36" t="str">
            <v>N/A</v>
          </cell>
          <cell r="AO36" t="str">
            <v>COMPLETED</v>
          </cell>
        </row>
        <row r="37">
          <cell r="A37" t="str">
            <v>24-C0952</v>
          </cell>
          <cell r="B37" t="str">
            <v>CONSTRUCTION SUPPLIES</v>
          </cell>
          <cell r="C37" t="str">
            <v>PEO-GA</v>
          </cell>
          <cell r="D37" t="str">
            <v>No</v>
          </cell>
          <cell r="E37" t="str">
            <v>NP-53.9 - Small Value Procurement</v>
          </cell>
          <cell r="F37" t="str">
            <v>N/A</v>
          </cell>
          <cell r="G37">
            <v>45324</v>
          </cell>
          <cell r="H37" t="str">
            <v/>
          </cell>
          <cell r="I37" t="str">
            <v>N/A</v>
          </cell>
          <cell r="J37">
            <v>45335</v>
          </cell>
          <cell r="K37">
            <v>45335</v>
          </cell>
          <cell r="L37" t="str">
            <v/>
          </cell>
          <cell r="M37" t="str">
            <v>N/A</v>
          </cell>
          <cell r="N37" t="str">
            <v>N/A</v>
          </cell>
          <cell r="O37">
            <v>45336</v>
          </cell>
          <cell r="P37" t="str">
            <v/>
          </cell>
          <cell r="Q37" t="str">
            <v/>
          </cell>
          <cell r="R37" t="str">
            <v/>
          </cell>
          <cell r="S37">
            <v>45338</v>
          </cell>
          <cell r="T37">
            <v>45344</v>
          </cell>
          <cell r="U37">
            <v>45348</v>
          </cell>
          <cell r="V37" t="str">
            <v/>
          </cell>
          <cell r="W37" t="str">
            <v/>
          </cell>
          <cell r="X37">
            <v>45351</v>
          </cell>
          <cell r="Y37">
            <v>45351</v>
          </cell>
          <cell r="Z37">
            <v>0</v>
          </cell>
          <cell r="AA37">
            <v>107319</v>
          </cell>
          <cell r="AB37">
            <v>107319</v>
          </cell>
          <cell r="AC37">
            <v>0</v>
          </cell>
          <cell r="AD37">
            <v>104940</v>
          </cell>
          <cell r="AE37">
            <v>104940</v>
          </cell>
          <cell r="AF37">
            <v>0</v>
          </cell>
          <cell r="AG37" t="str">
            <v>M</v>
          </cell>
          <cell r="AH37" t="str">
            <v>ENGR. MICHAEL C. SALARDA
MS. LEONARDA M. LATOR
MS. CARMENCITA VALDEZ
MS. SORAYA P. VERGARA</v>
          </cell>
          <cell r="AI37" t="str">
            <v>N/A</v>
          </cell>
          <cell r="AJ37" t="str">
            <v>N/A</v>
          </cell>
          <cell r="AK37" t="str">
            <v>N/A</v>
          </cell>
          <cell r="AL37" t="str">
            <v>N/A</v>
          </cell>
          <cell r="AM37" t="str">
            <v>N/A</v>
          </cell>
          <cell r="AN37" t="str">
            <v>N/A</v>
          </cell>
          <cell r="AO37" t="str">
            <v>COMPLETED</v>
          </cell>
        </row>
        <row r="38">
          <cell r="A38" t="str">
            <v>24-0081</v>
          </cell>
          <cell r="B38" t="str">
            <v>JANITORIAL SUPPLIES/HOUSEKEEPING</v>
          </cell>
          <cell r="C38" t="str">
            <v>PBO</v>
          </cell>
          <cell r="D38" t="str">
            <v>No</v>
          </cell>
          <cell r="E38" t="str">
            <v>NP-53.9 - Small Value Procurement</v>
          </cell>
          <cell r="F38" t="str">
            <v>N/A</v>
          </cell>
          <cell r="G38">
            <v>45324</v>
          </cell>
          <cell r="H38" t="str">
            <v/>
          </cell>
          <cell r="I38" t="str">
            <v>N/A</v>
          </cell>
          <cell r="J38">
            <v>45335</v>
          </cell>
          <cell r="K38">
            <v>45335</v>
          </cell>
          <cell r="L38" t="str">
            <v/>
          </cell>
          <cell r="M38" t="str">
            <v>N/A</v>
          </cell>
          <cell r="N38" t="str">
            <v>N/A</v>
          </cell>
          <cell r="O38">
            <v>45336</v>
          </cell>
          <cell r="P38" t="str">
            <v/>
          </cell>
          <cell r="Q38" t="str">
            <v/>
          </cell>
          <cell r="R38" t="str">
            <v/>
          </cell>
          <cell r="S38" t="str">
            <v>N/A</v>
          </cell>
          <cell r="T38">
            <v>45343</v>
          </cell>
          <cell r="U38">
            <v>45344</v>
          </cell>
          <cell r="V38" t="str">
            <v/>
          </cell>
          <cell r="W38" t="str">
            <v/>
          </cell>
          <cell r="X38">
            <v>45345</v>
          </cell>
          <cell r="Y38">
            <v>45345</v>
          </cell>
          <cell r="Z38">
            <v>0</v>
          </cell>
          <cell r="AA38">
            <v>5209</v>
          </cell>
          <cell r="AB38">
            <v>5209</v>
          </cell>
          <cell r="AC38">
            <v>0</v>
          </cell>
          <cell r="AD38">
            <v>5050</v>
          </cell>
          <cell r="AE38">
            <v>5050</v>
          </cell>
          <cell r="AF38">
            <v>0</v>
          </cell>
          <cell r="AG38" t="str">
            <v>M</v>
          </cell>
          <cell r="AH38" t="str">
            <v>ENGR. MICHAEL C. SALARDA
MS. LEONARDA M. LATOR
MS. CARMENCITA VALDEZ
MS. SORAYA P. VERGARA</v>
          </cell>
          <cell r="AI38" t="str">
            <v>N/A</v>
          </cell>
          <cell r="AJ38" t="str">
            <v>N/A</v>
          </cell>
          <cell r="AK38" t="str">
            <v>N/A</v>
          </cell>
          <cell r="AL38" t="str">
            <v>N/A</v>
          </cell>
          <cell r="AM38" t="str">
            <v>N/A</v>
          </cell>
          <cell r="AN38" t="str">
            <v>N/A</v>
          </cell>
          <cell r="AO38" t="str">
            <v>COMPLETED</v>
          </cell>
        </row>
        <row r="39">
          <cell r="A39" t="str">
            <v>24-0381</v>
          </cell>
          <cell r="B39" t="str">
            <v>JANITORIAL SUPPLIES/HOUSEKEEPING</v>
          </cell>
          <cell r="C39" t="str">
            <v>PEO-GA</v>
          </cell>
          <cell r="D39" t="str">
            <v>No</v>
          </cell>
          <cell r="E39" t="str">
            <v>NP-53.9 - Small Value Procurement</v>
          </cell>
          <cell r="F39" t="str">
            <v>N/A</v>
          </cell>
          <cell r="G39">
            <v>45324</v>
          </cell>
          <cell r="H39" t="str">
            <v/>
          </cell>
          <cell r="I39" t="str">
            <v>N/A</v>
          </cell>
          <cell r="J39">
            <v>45335</v>
          </cell>
          <cell r="K39">
            <v>45335</v>
          </cell>
          <cell r="L39" t="str">
            <v/>
          </cell>
          <cell r="M39" t="str">
            <v>N/A</v>
          </cell>
          <cell r="N39" t="str">
            <v>N/A</v>
          </cell>
          <cell r="O39">
            <v>45336</v>
          </cell>
          <cell r="P39" t="str">
            <v/>
          </cell>
          <cell r="Q39" t="str">
            <v/>
          </cell>
          <cell r="R39" t="str">
            <v/>
          </cell>
          <cell r="S39" t="str">
            <v>N/A</v>
          </cell>
          <cell r="T39">
            <v>45344</v>
          </cell>
          <cell r="U39">
            <v>45351</v>
          </cell>
          <cell r="V39" t="str">
            <v/>
          </cell>
          <cell r="W39" t="str">
            <v/>
          </cell>
          <cell r="X39">
            <v>45362</v>
          </cell>
          <cell r="Y39">
            <v>45362</v>
          </cell>
          <cell r="Z39">
            <v>0</v>
          </cell>
          <cell r="AA39">
            <v>33458</v>
          </cell>
          <cell r="AB39">
            <v>33458</v>
          </cell>
          <cell r="AC39">
            <v>0</v>
          </cell>
          <cell r="AD39">
            <v>32542</v>
          </cell>
          <cell r="AE39">
            <v>32542</v>
          </cell>
          <cell r="AF39">
            <v>0</v>
          </cell>
          <cell r="AG39" t="str">
            <v>M</v>
          </cell>
          <cell r="AH39" t="str">
            <v>ENGR. MICHAEL C. SALARDA
MS. LEONARDA M. LATOR
MS. CARMENCITA VALDEZ
MS. SORAYA P. VERGARA</v>
          </cell>
          <cell r="AI39" t="str">
            <v>N/A</v>
          </cell>
          <cell r="AJ39" t="str">
            <v>N/A</v>
          </cell>
          <cell r="AK39" t="str">
            <v>N/A</v>
          </cell>
          <cell r="AL39" t="str">
            <v>N/A</v>
          </cell>
          <cell r="AM39" t="str">
            <v>N/A</v>
          </cell>
          <cell r="AN39" t="str">
            <v>N/A</v>
          </cell>
          <cell r="AO39" t="str">
            <v>COMPLETED</v>
          </cell>
        </row>
        <row r="40">
          <cell r="A40" t="str">
            <v>24-0118</v>
          </cell>
          <cell r="B40" t="str">
            <v>FUEL, OIL, AND LUBRICANTS</v>
          </cell>
          <cell r="C40" t="str">
            <v>COA</v>
          </cell>
          <cell r="D40" t="str">
            <v>No</v>
          </cell>
          <cell r="E40" t="str">
            <v>NP-53.9 - Small Value Procurement</v>
          </cell>
          <cell r="F40" t="str">
            <v>N/A</v>
          </cell>
          <cell r="G40">
            <v>45318</v>
          </cell>
          <cell r="H40" t="str">
            <v/>
          </cell>
          <cell r="I40" t="str">
            <v>N/A</v>
          </cell>
          <cell r="J40">
            <v>45335</v>
          </cell>
          <cell r="K40">
            <v>45335</v>
          </cell>
          <cell r="L40" t="str">
            <v/>
          </cell>
          <cell r="M40" t="str">
            <v>N/A</v>
          </cell>
          <cell r="N40" t="str">
            <v>N/A</v>
          </cell>
          <cell r="O40">
            <v>45336</v>
          </cell>
          <cell r="P40" t="str">
            <v/>
          </cell>
          <cell r="Q40" t="str">
            <v/>
          </cell>
          <cell r="R40" t="str">
            <v/>
          </cell>
          <cell r="S40" t="str">
            <v>N/A</v>
          </cell>
          <cell r="T40">
            <v>45348</v>
          </cell>
          <cell r="U40">
            <v>45348</v>
          </cell>
          <cell r="V40" t="str">
            <v/>
          </cell>
          <cell r="W40" t="str">
            <v/>
          </cell>
          <cell r="X40">
            <v>45362</v>
          </cell>
          <cell r="Y40">
            <v>45362</v>
          </cell>
          <cell r="Z40">
            <v>0</v>
          </cell>
          <cell r="AA40">
            <v>29976</v>
          </cell>
          <cell r="AB40">
            <v>29976</v>
          </cell>
          <cell r="AC40">
            <v>0</v>
          </cell>
          <cell r="AD40">
            <v>29880</v>
          </cell>
          <cell r="AE40">
            <v>29880</v>
          </cell>
          <cell r="AF40">
            <v>0</v>
          </cell>
          <cell r="AG40" t="str">
            <v>M</v>
          </cell>
          <cell r="AH40" t="str">
            <v>ENGR. MICHAEL C. SALARDA
MS. LEONARDA M. LATOR
MS. CARMENCITA VALDEZ
MS. SORAYA P. VERGARA</v>
          </cell>
          <cell r="AI40" t="str">
            <v>N/A</v>
          </cell>
          <cell r="AJ40" t="str">
            <v>N/A</v>
          </cell>
          <cell r="AK40" t="str">
            <v>N/A</v>
          </cell>
          <cell r="AL40" t="str">
            <v>N/A</v>
          </cell>
          <cell r="AM40" t="str">
            <v>N/A</v>
          </cell>
          <cell r="AN40" t="str">
            <v>N/A</v>
          </cell>
          <cell r="AO40" t="str">
            <v>COMPLETED</v>
          </cell>
        </row>
        <row r="41">
          <cell r="A41" t="str">
            <v>24-0124</v>
          </cell>
          <cell r="B41" t="str">
            <v>SPAREPARTS (LIGHT VEHICLES)</v>
          </cell>
          <cell r="C41" t="str">
            <v>COA</v>
          </cell>
          <cell r="D41" t="str">
            <v>No</v>
          </cell>
          <cell r="E41" t="str">
            <v>NP-53.9 - Small Value Procurement</v>
          </cell>
          <cell r="F41" t="str">
            <v>N/A</v>
          </cell>
          <cell r="G41">
            <v>45318</v>
          </cell>
          <cell r="H41" t="str">
            <v/>
          </cell>
          <cell r="I41" t="str">
            <v>N/A</v>
          </cell>
          <cell r="J41">
            <v>45335</v>
          </cell>
          <cell r="K41">
            <v>45335</v>
          </cell>
          <cell r="L41" t="str">
            <v/>
          </cell>
          <cell r="M41" t="str">
            <v>N/A</v>
          </cell>
          <cell r="N41" t="str">
            <v>N/A</v>
          </cell>
          <cell r="O41">
            <v>45336</v>
          </cell>
          <cell r="P41" t="str">
            <v/>
          </cell>
          <cell r="Q41" t="str">
            <v/>
          </cell>
          <cell r="R41" t="str">
            <v/>
          </cell>
          <cell r="S41">
            <v>45337</v>
          </cell>
          <cell r="T41">
            <v>45343</v>
          </cell>
          <cell r="U41">
            <v>45344</v>
          </cell>
          <cell r="V41" t="str">
            <v/>
          </cell>
          <cell r="W41" t="str">
            <v/>
          </cell>
          <cell r="X41">
            <v>45348</v>
          </cell>
          <cell r="Y41">
            <v>45348</v>
          </cell>
          <cell r="Z41">
            <v>0</v>
          </cell>
          <cell r="AA41">
            <v>57216</v>
          </cell>
          <cell r="AB41">
            <v>57216</v>
          </cell>
          <cell r="AC41">
            <v>0</v>
          </cell>
          <cell r="AD41">
            <v>57216</v>
          </cell>
          <cell r="AE41">
            <v>57216</v>
          </cell>
          <cell r="AF41">
            <v>0</v>
          </cell>
          <cell r="AG41" t="str">
            <v>M</v>
          </cell>
          <cell r="AH41" t="str">
            <v>ENGR. MICHAEL C. SALARDA
MS. LEONARDA M. LATOR
MS. CARMENCITA VALDEZ
MS. SORAYA P. VERGARA</v>
          </cell>
          <cell r="AI41" t="str">
            <v>N/A</v>
          </cell>
          <cell r="AJ41" t="str">
            <v>N/A</v>
          </cell>
          <cell r="AK41" t="str">
            <v>N/A</v>
          </cell>
          <cell r="AL41" t="str">
            <v>N/A</v>
          </cell>
          <cell r="AM41" t="str">
            <v>N/A</v>
          </cell>
          <cell r="AN41" t="str">
            <v>N/A</v>
          </cell>
          <cell r="AO41" t="str">
            <v>COMPLETED</v>
          </cell>
        </row>
        <row r="42">
          <cell r="A42" t="str">
            <v>24-0123</v>
          </cell>
          <cell r="B42" t="str">
            <v>SPAREPARTS (HEAVY EQUIPMENT)</v>
          </cell>
          <cell r="C42" t="str">
            <v>COA</v>
          </cell>
          <cell r="D42" t="str">
            <v>No</v>
          </cell>
          <cell r="E42" t="str">
            <v>NP-53.9 - Small Value Procurement</v>
          </cell>
          <cell r="F42" t="str">
            <v>N/A</v>
          </cell>
          <cell r="G42">
            <v>45318</v>
          </cell>
          <cell r="H42" t="str">
            <v/>
          </cell>
          <cell r="I42" t="str">
            <v>N/A</v>
          </cell>
          <cell r="J42">
            <v>45335</v>
          </cell>
          <cell r="K42">
            <v>45335</v>
          </cell>
          <cell r="L42" t="str">
            <v/>
          </cell>
          <cell r="M42" t="str">
            <v>N/A</v>
          </cell>
          <cell r="N42" t="str">
            <v>N/A</v>
          </cell>
          <cell r="O42">
            <v>45336</v>
          </cell>
          <cell r="P42" t="str">
            <v/>
          </cell>
          <cell r="Q42" t="str">
            <v/>
          </cell>
          <cell r="R42" t="str">
            <v/>
          </cell>
          <cell r="S42" t="str">
            <v>N/A</v>
          </cell>
          <cell r="T42">
            <v>45342</v>
          </cell>
          <cell r="U42">
            <v>45344</v>
          </cell>
          <cell r="V42" t="str">
            <v/>
          </cell>
          <cell r="W42" t="str">
            <v/>
          </cell>
          <cell r="X42">
            <v>45348</v>
          </cell>
          <cell r="Y42">
            <v>45348</v>
          </cell>
          <cell r="Z42">
            <v>0</v>
          </cell>
          <cell r="AA42">
            <v>27225</v>
          </cell>
          <cell r="AB42">
            <v>27225</v>
          </cell>
          <cell r="AC42">
            <v>0</v>
          </cell>
          <cell r="AD42">
            <v>26910</v>
          </cell>
          <cell r="AE42">
            <v>26910</v>
          </cell>
          <cell r="AF42">
            <v>0</v>
          </cell>
          <cell r="AG42" t="str">
            <v>M</v>
          </cell>
          <cell r="AH42" t="str">
            <v>ENGR. MICHAEL C. SALARDA
MS. LEONARDA M. LATOR
MS. CARMENCITA VALDEZ
MS. SORAYA P. VERGARA</v>
          </cell>
          <cell r="AI42" t="str">
            <v>N/A</v>
          </cell>
          <cell r="AJ42" t="str">
            <v>N/A</v>
          </cell>
          <cell r="AK42" t="str">
            <v>N/A</v>
          </cell>
          <cell r="AL42" t="str">
            <v>N/A</v>
          </cell>
          <cell r="AM42" t="str">
            <v>N/A</v>
          </cell>
          <cell r="AN42" t="str">
            <v>N/A</v>
          </cell>
          <cell r="AO42" t="str">
            <v>COMPLETED</v>
          </cell>
        </row>
        <row r="43">
          <cell r="A43" t="str">
            <v>24-C0931</v>
          </cell>
          <cell r="B43" t="str">
            <v>PRINTERS</v>
          </cell>
          <cell r="C43" t="str">
            <v>PHO</v>
          </cell>
          <cell r="D43" t="str">
            <v>No</v>
          </cell>
          <cell r="E43" t="str">
            <v>NP-53.9 - Small Value Procurement</v>
          </cell>
          <cell r="F43" t="str">
            <v>N/A</v>
          </cell>
          <cell r="G43">
            <v>45318</v>
          </cell>
          <cell r="H43" t="str">
            <v/>
          </cell>
          <cell r="I43" t="str">
            <v>N/A</v>
          </cell>
          <cell r="J43">
            <v>45335</v>
          </cell>
          <cell r="K43">
            <v>45335</v>
          </cell>
          <cell r="L43" t="str">
            <v/>
          </cell>
          <cell r="M43" t="str">
            <v>N/A</v>
          </cell>
          <cell r="N43" t="str">
            <v>N/A</v>
          </cell>
          <cell r="O43">
            <v>45336</v>
          </cell>
          <cell r="P43" t="str">
            <v/>
          </cell>
          <cell r="Q43" t="str">
            <v/>
          </cell>
          <cell r="R43" t="str">
            <v/>
          </cell>
          <cell r="S43">
            <v>45338</v>
          </cell>
          <cell r="T43">
            <v>45344</v>
          </cell>
          <cell r="U43">
            <v>45348</v>
          </cell>
          <cell r="V43" t="str">
            <v/>
          </cell>
          <cell r="W43" t="str">
            <v/>
          </cell>
          <cell r="X43">
            <v>45398</v>
          </cell>
          <cell r="Y43">
            <v>45398</v>
          </cell>
          <cell r="Z43">
            <v>0</v>
          </cell>
          <cell r="AA43">
            <v>58000</v>
          </cell>
          <cell r="AB43">
            <v>0</v>
          </cell>
          <cell r="AC43">
            <v>58000</v>
          </cell>
          <cell r="AD43">
            <v>58000</v>
          </cell>
          <cell r="AE43">
            <v>0</v>
          </cell>
          <cell r="AF43">
            <v>58000</v>
          </cell>
          <cell r="AG43" t="str">
            <v>C</v>
          </cell>
          <cell r="AH43" t="str">
            <v>ENGR. MICHAEL C. SALARDA
MS. LEONARDA M. LATOR
MS. CARMENCITA VALDEZ
MS. SORAYA P. VERGARA</v>
          </cell>
          <cell r="AI43" t="str">
            <v>N/A</v>
          </cell>
          <cell r="AJ43" t="str">
            <v>N/A</v>
          </cell>
          <cell r="AK43" t="str">
            <v>N/A</v>
          </cell>
          <cell r="AL43" t="str">
            <v>N/A</v>
          </cell>
          <cell r="AM43" t="str">
            <v>N/A</v>
          </cell>
          <cell r="AN43" t="str">
            <v>N/A</v>
          </cell>
          <cell r="AO43" t="str">
            <v>COMPLETED</v>
          </cell>
        </row>
        <row r="44">
          <cell r="A44" t="str">
            <v>24-0133</v>
          </cell>
          <cell r="B44" t="str">
            <v>FOOD/CATERING SERVICES</v>
          </cell>
          <cell r="C44" t="str">
            <v>PAO-ADMIN</v>
          </cell>
          <cell r="D44" t="str">
            <v>No</v>
          </cell>
          <cell r="E44" t="str">
            <v>NP-53.9 - Small Value Procurement</v>
          </cell>
          <cell r="F44">
            <v>45314</v>
          </cell>
          <cell r="G44">
            <v>45318</v>
          </cell>
          <cell r="H44" t="str">
            <v/>
          </cell>
          <cell r="I44" t="str">
            <v>N/A</v>
          </cell>
          <cell r="J44">
            <v>45335</v>
          </cell>
          <cell r="K44">
            <v>45335</v>
          </cell>
          <cell r="L44" t="str">
            <v/>
          </cell>
          <cell r="M44" t="str">
            <v>N/A</v>
          </cell>
          <cell r="N44" t="str">
            <v>N/A</v>
          </cell>
          <cell r="O44">
            <v>45336</v>
          </cell>
          <cell r="P44" t="str">
            <v/>
          </cell>
          <cell r="Q44" t="str">
            <v/>
          </cell>
          <cell r="R44" t="str">
            <v/>
          </cell>
          <cell r="S44">
            <v>45338</v>
          </cell>
          <cell r="T44">
            <v>45341</v>
          </cell>
          <cell r="U44">
            <v>45344</v>
          </cell>
          <cell r="V44" t="str">
            <v/>
          </cell>
          <cell r="W44" t="str">
            <v/>
          </cell>
          <cell r="X44">
            <v>45387</v>
          </cell>
          <cell r="Y44">
            <v>45387</v>
          </cell>
          <cell r="Z44">
            <v>0</v>
          </cell>
          <cell r="AA44">
            <v>70000</v>
          </cell>
          <cell r="AB44">
            <v>70000</v>
          </cell>
          <cell r="AC44">
            <v>0</v>
          </cell>
          <cell r="AD44">
            <v>68000</v>
          </cell>
          <cell r="AE44">
            <v>68000</v>
          </cell>
          <cell r="AF44">
            <v>0</v>
          </cell>
          <cell r="AG44" t="str">
            <v>M</v>
          </cell>
          <cell r="AH44" t="str">
            <v>ENGR. MICHAEL C. SALARDA
MS. LEONARDA M. LATOR
MS. CARMENCITA VALDEZ
MS. SORAYA P. VERGARA</v>
          </cell>
          <cell r="AI44" t="str">
            <v>N/A</v>
          </cell>
          <cell r="AJ44" t="str">
            <v>N/A</v>
          </cell>
          <cell r="AK44" t="str">
            <v>N/A</v>
          </cell>
          <cell r="AL44" t="str">
            <v>N/A</v>
          </cell>
          <cell r="AM44" t="str">
            <v>N/A</v>
          </cell>
          <cell r="AN44" t="str">
            <v>N/A</v>
          </cell>
          <cell r="AO44" t="str">
            <v>COMPLETED</v>
          </cell>
        </row>
        <row r="45">
          <cell r="A45" t="str">
            <v>24-0719</v>
          </cell>
          <cell r="B45" t="str">
            <v>SPAREPARTS (LIGHT VEHICLES)</v>
          </cell>
          <cell r="C45" t="str">
            <v>PDRRMO</v>
          </cell>
          <cell r="D45" t="str">
            <v>No</v>
          </cell>
          <cell r="E45" t="str">
            <v>Shopping 52.1(a) - Unforeseen Contingency</v>
          </cell>
          <cell r="F45">
            <v>45322</v>
          </cell>
          <cell r="G45">
            <v>45324</v>
          </cell>
          <cell r="H45" t="str">
            <v/>
          </cell>
          <cell r="I45" t="str">
            <v>N/A</v>
          </cell>
          <cell r="J45">
            <v>45335</v>
          </cell>
          <cell r="K45">
            <v>45335</v>
          </cell>
          <cell r="L45" t="str">
            <v/>
          </cell>
          <cell r="M45" t="str">
            <v>N/A</v>
          </cell>
          <cell r="N45" t="str">
            <v>N/A</v>
          </cell>
          <cell r="O45">
            <v>45336</v>
          </cell>
          <cell r="P45" t="str">
            <v/>
          </cell>
          <cell r="Q45" t="str">
            <v/>
          </cell>
          <cell r="R45" t="str">
            <v/>
          </cell>
          <cell r="S45" t="str">
            <v>N/A</v>
          </cell>
          <cell r="T45">
            <v>45343</v>
          </cell>
          <cell r="U45">
            <v>45344</v>
          </cell>
          <cell r="V45" t="str">
            <v/>
          </cell>
          <cell r="W45" t="str">
            <v/>
          </cell>
          <cell r="X45">
            <v>45344</v>
          </cell>
          <cell r="Y45">
            <v>45344</v>
          </cell>
          <cell r="Z45">
            <v>0</v>
          </cell>
          <cell r="AA45">
            <v>52000</v>
          </cell>
          <cell r="AB45">
            <v>0</v>
          </cell>
          <cell r="AC45">
            <v>52000</v>
          </cell>
          <cell r="AD45">
            <v>52000</v>
          </cell>
          <cell r="AE45">
            <v>0</v>
          </cell>
          <cell r="AF45">
            <v>52000</v>
          </cell>
          <cell r="AG45" t="str">
            <v>C</v>
          </cell>
          <cell r="AH45" t="str">
            <v>ENGR. MICHAEL C. SALARDA
MS. LEONARDA M. LATOR
MS. CARMENCITA VALDEZ
MS. SORAYA P. VERGARA</v>
          </cell>
          <cell r="AI45" t="str">
            <v>N/A</v>
          </cell>
          <cell r="AJ45" t="str">
            <v>N/A</v>
          </cell>
          <cell r="AK45" t="str">
            <v>N/A</v>
          </cell>
          <cell r="AL45" t="str">
            <v>N/A</v>
          </cell>
          <cell r="AM45" t="str">
            <v>N/A</v>
          </cell>
          <cell r="AN45" t="str">
            <v>N/A</v>
          </cell>
          <cell r="AO45" t="str">
            <v>COMPLETED</v>
          </cell>
        </row>
        <row r="46">
          <cell r="A46" t="str">
            <v>23-C0803
LOT 2</v>
          </cell>
          <cell r="B46" t="str">
            <v>MEALS AND SNACKS</v>
          </cell>
          <cell r="C46" t="str">
            <v>PAGRO</v>
          </cell>
          <cell r="D46" t="str">
            <v>No</v>
          </cell>
          <cell r="E46" t="str">
            <v>Competitive Bidding</v>
          </cell>
          <cell r="F46">
            <v>45603</v>
          </cell>
          <cell r="G46">
            <v>45299</v>
          </cell>
          <cell r="H46" t="str">
            <v/>
          </cell>
          <cell r="I46">
            <v>45314</v>
          </cell>
          <cell r="J46">
            <v>45328</v>
          </cell>
          <cell r="K46">
            <v>45328</v>
          </cell>
          <cell r="L46" t="str">
            <v/>
          </cell>
          <cell r="M46">
            <v>45328</v>
          </cell>
          <cell r="N46">
            <v>45334</v>
          </cell>
          <cell r="O46">
            <v>45336</v>
          </cell>
          <cell r="P46" t="str">
            <v/>
          </cell>
          <cell r="Q46" t="str">
            <v/>
          </cell>
          <cell r="R46" t="str">
            <v/>
          </cell>
          <cell r="S46">
            <v>45338</v>
          </cell>
          <cell r="T46">
            <v>0</v>
          </cell>
          <cell r="U46">
            <v>0</v>
          </cell>
          <cell r="V46" t="str">
            <v/>
          </cell>
          <cell r="W46" t="str">
            <v/>
          </cell>
          <cell r="X46">
            <v>0</v>
          </cell>
          <cell r="Y46">
            <v>0</v>
          </cell>
          <cell r="Z46">
            <v>0</v>
          </cell>
          <cell r="AA46">
            <v>663460</v>
          </cell>
          <cell r="AB46">
            <v>0</v>
          </cell>
          <cell r="AC46">
            <v>663460</v>
          </cell>
          <cell r="AD46">
            <v>631095</v>
          </cell>
          <cell r="AE46">
            <v>0</v>
          </cell>
          <cell r="AF46">
            <v>631095</v>
          </cell>
          <cell r="AG46" t="e">
            <v>#N/A</v>
          </cell>
          <cell r="AH46" t="str">
            <v>ENGR. MICHAEL C. SALARDA
MS. LEONARDA M. LATOR
MS. CARMENCITA VALDEZ
MS. SORAYA P. VERGARA</v>
          </cell>
          <cell r="AI46">
            <v>45313</v>
          </cell>
          <cell r="AJ46">
            <v>45324</v>
          </cell>
          <cell r="AK46">
            <v>45324</v>
          </cell>
          <cell r="AL46">
            <v>45324</v>
          </cell>
          <cell r="AM46" t="str">
            <v>N/A</v>
          </cell>
          <cell r="AN46" t="str">
            <v>N/A</v>
          </cell>
          <cell r="AO46">
            <v>0</v>
          </cell>
        </row>
        <row r="47">
          <cell r="A47" t="str">
            <v>24-C0932</v>
          </cell>
          <cell r="B47" t="str">
            <v xml:space="preserve"> CONSTRUCTION MATERIALS</v>
          </cell>
          <cell r="C47" t="str">
            <v>PEO</v>
          </cell>
          <cell r="D47" t="str">
            <v>No</v>
          </cell>
          <cell r="E47" t="str">
            <v>Competitive Bidding</v>
          </cell>
          <cell r="F47" t="str">
            <v>N/A</v>
          </cell>
          <cell r="G47">
            <v>45320</v>
          </cell>
          <cell r="H47" t="str">
            <v/>
          </cell>
          <cell r="I47" t="str">
            <v>N/A</v>
          </cell>
          <cell r="J47">
            <v>45328</v>
          </cell>
          <cell r="K47">
            <v>45328</v>
          </cell>
          <cell r="L47" t="str">
            <v/>
          </cell>
          <cell r="M47">
            <v>45328</v>
          </cell>
          <cell r="N47">
            <v>45334</v>
          </cell>
          <cell r="O47">
            <v>45336</v>
          </cell>
          <cell r="P47" t="str">
            <v/>
          </cell>
          <cell r="Q47" t="str">
            <v/>
          </cell>
          <cell r="R47" t="str">
            <v/>
          </cell>
          <cell r="S47">
            <v>45337</v>
          </cell>
          <cell r="T47">
            <v>45369</v>
          </cell>
          <cell r="U47">
            <v>45372</v>
          </cell>
          <cell r="V47" t="str">
            <v/>
          </cell>
          <cell r="W47" t="str">
            <v/>
          </cell>
          <cell r="X47">
            <v>45393</v>
          </cell>
          <cell r="Y47">
            <v>45393</v>
          </cell>
          <cell r="Z47">
            <v>0</v>
          </cell>
          <cell r="AA47">
            <v>638625.04</v>
          </cell>
          <cell r="AB47">
            <v>0</v>
          </cell>
          <cell r="AC47">
            <v>638625.04</v>
          </cell>
          <cell r="AD47">
            <v>635746.1</v>
          </cell>
          <cell r="AE47">
            <v>0</v>
          </cell>
          <cell r="AF47">
            <v>635746.1</v>
          </cell>
          <cell r="AG47" t="str">
            <v>C</v>
          </cell>
          <cell r="AH47" t="str">
            <v>ENGR. MICHAEL C. SALARDA
MS. LEONARDA M. LATOR
MS. CARMENCITA VALDEZ
MS. SORAYA P. VERGARA</v>
          </cell>
          <cell r="AI47" t="str">
            <v>N/A</v>
          </cell>
          <cell r="AJ47">
            <v>45324</v>
          </cell>
          <cell r="AK47">
            <v>45324</v>
          </cell>
          <cell r="AL47">
            <v>45324</v>
          </cell>
          <cell r="AM47" t="str">
            <v>N/A</v>
          </cell>
          <cell r="AN47" t="str">
            <v>N/A</v>
          </cell>
          <cell r="AO47" t="str">
            <v>COMPLETED</v>
          </cell>
        </row>
        <row r="48">
          <cell r="A48" t="str">
            <v>24-C0951</v>
          </cell>
          <cell r="B48" t="str">
            <v>OFFICE SUPPLIES</v>
          </cell>
          <cell r="C48" t="str">
            <v>PIAO</v>
          </cell>
          <cell r="D48" t="str">
            <v>No</v>
          </cell>
          <cell r="E48" t="str">
            <v>Shopping 52.1(b) - Regular Office Supplies and Equipment no available in PS</v>
          </cell>
          <cell r="F48" t="str">
            <v>N/A</v>
          </cell>
          <cell r="G48">
            <v>45324</v>
          </cell>
          <cell r="H48" t="str">
            <v/>
          </cell>
          <cell r="I48" t="str">
            <v>N/A</v>
          </cell>
          <cell r="J48">
            <v>45335</v>
          </cell>
          <cell r="K48">
            <v>45335</v>
          </cell>
          <cell r="L48" t="str">
            <v/>
          </cell>
          <cell r="M48" t="str">
            <v>N/A</v>
          </cell>
          <cell r="N48" t="str">
            <v>N/A</v>
          </cell>
          <cell r="O48">
            <v>45336</v>
          </cell>
          <cell r="P48" t="str">
            <v/>
          </cell>
          <cell r="Q48" t="str">
            <v/>
          </cell>
          <cell r="R48" t="str">
            <v/>
          </cell>
          <cell r="S48" t="str">
            <v>N/A</v>
          </cell>
          <cell r="T48">
            <v>45343</v>
          </cell>
          <cell r="U48">
            <v>45344</v>
          </cell>
          <cell r="V48" t="str">
            <v/>
          </cell>
          <cell r="W48" t="str">
            <v/>
          </cell>
          <cell r="X48">
            <v>45358</v>
          </cell>
          <cell r="Y48">
            <v>45358</v>
          </cell>
          <cell r="Z48">
            <v>0</v>
          </cell>
          <cell r="AA48">
            <v>18122</v>
          </cell>
          <cell r="AB48">
            <v>18122</v>
          </cell>
          <cell r="AC48">
            <v>0</v>
          </cell>
          <cell r="AD48">
            <v>17857</v>
          </cell>
          <cell r="AE48">
            <v>17857</v>
          </cell>
          <cell r="AF48">
            <v>0</v>
          </cell>
          <cell r="AG48" t="str">
            <v>M</v>
          </cell>
          <cell r="AH48" t="str">
            <v>ENGR. MICHAEL C. SALARDA
MS. LEONARDA M. LATOR
MS. CARMENCITA VALDEZ
MS. SORAYA P. VERGARA</v>
          </cell>
          <cell r="AI48" t="str">
            <v>N/A</v>
          </cell>
          <cell r="AJ48" t="str">
            <v>N/A</v>
          </cell>
          <cell r="AK48" t="str">
            <v>N/A</v>
          </cell>
          <cell r="AL48" t="str">
            <v>N/A</v>
          </cell>
          <cell r="AM48" t="str">
            <v>N/A</v>
          </cell>
          <cell r="AN48" t="str">
            <v>N/A</v>
          </cell>
          <cell r="AO48" t="str">
            <v>COMPLETED</v>
          </cell>
        </row>
        <row r="49">
          <cell r="A49" t="str">
            <v>24-C0972</v>
          </cell>
          <cell r="B49" t="str">
            <v>OFFICE SUPPLIES</v>
          </cell>
          <cell r="C49" t="str">
            <v>PACCO</v>
          </cell>
          <cell r="D49" t="str">
            <v>No</v>
          </cell>
          <cell r="E49" t="str">
            <v>Shopping 52.1(b) - Regular Office Supplies and Equipment no available in PS</v>
          </cell>
          <cell r="F49" t="str">
            <v>N/A</v>
          </cell>
          <cell r="G49">
            <v>45324</v>
          </cell>
          <cell r="H49" t="str">
            <v/>
          </cell>
          <cell r="I49" t="str">
            <v>N/A</v>
          </cell>
          <cell r="J49">
            <v>45335</v>
          </cell>
          <cell r="K49">
            <v>45335</v>
          </cell>
          <cell r="L49" t="str">
            <v/>
          </cell>
          <cell r="M49" t="str">
            <v>N/A</v>
          </cell>
          <cell r="N49" t="str">
            <v>N/A</v>
          </cell>
          <cell r="O49">
            <v>45336</v>
          </cell>
          <cell r="P49" t="str">
            <v/>
          </cell>
          <cell r="Q49" t="str">
            <v/>
          </cell>
          <cell r="R49" t="str">
            <v/>
          </cell>
          <cell r="S49">
            <v>45338</v>
          </cell>
          <cell r="T49">
            <v>45342</v>
          </cell>
          <cell r="U49">
            <v>45344</v>
          </cell>
          <cell r="V49" t="str">
            <v/>
          </cell>
          <cell r="W49" t="str">
            <v/>
          </cell>
          <cell r="X49">
            <v>45351</v>
          </cell>
          <cell r="Y49">
            <v>45351</v>
          </cell>
          <cell r="Z49">
            <v>0</v>
          </cell>
          <cell r="AA49">
            <v>134377</v>
          </cell>
          <cell r="AB49">
            <v>134377</v>
          </cell>
          <cell r="AC49">
            <v>0</v>
          </cell>
          <cell r="AD49">
            <v>130772</v>
          </cell>
          <cell r="AE49">
            <v>130772</v>
          </cell>
          <cell r="AF49">
            <v>0</v>
          </cell>
          <cell r="AG49" t="str">
            <v>M</v>
          </cell>
          <cell r="AH49" t="str">
            <v>ENGR. MICHAEL C. SALARDA
MS. LEONARDA M. LATOR
MS. CARMENCITA VALDEZ
MS. SORAYA P. VERGARA</v>
          </cell>
          <cell r="AI49" t="str">
            <v>N/A</v>
          </cell>
          <cell r="AJ49" t="str">
            <v>N/A</v>
          </cell>
          <cell r="AK49" t="str">
            <v>N/A</v>
          </cell>
          <cell r="AL49" t="str">
            <v>N/A</v>
          </cell>
          <cell r="AM49" t="str">
            <v>N/A</v>
          </cell>
          <cell r="AN49" t="str">
            <v>N/A</v>
          </cell>
          <cell r="AO49" t="str">
            <v>COMPLETED</v>
          </cell>
        </row>
        <row r="50">
          <cell r="A50" t="str">
            <v>24-0013</v>
          </cell>
          <cell r="B50" t="str">
            <v>SUPPLY AND DELIVERY OF ARC MEGA TENT</v>
          </cell>
          <cell r="C50" t="str">
            <v>PGO</v>
          </cell>
          <cell r="D50" t="str">
            <v>No</v>
          </cell>
          <cell r="E50" t="str">
            <v>Competitive Bidding</v>
          </cell>
          <cell r="F50" t="str">
            <v>N/A</v>
          </cell>
          <cell r="G50">
            <v>45315</v>
          </cell>
          <cell r="H50" t="str">
            <v/>
          </cell>
          <cell r="I50">
            <v>45322</v>
          </cell>
          <cell r="J50">
            <v>45335</v>
          </cell>
          <cell r="K50">
            <v>45335</v>
          </cell>
          <cell r="L50" t="str">
            <v/>
          </cell>
          <cell r="M50">
            <v>45335</v>
          </cell>
          <cell r="N50">
            <v>45338</v>
          </cell>
          <cell r="O50">
            <v>45344</v>
          </cell>
          <cell r="P50" t="str">
            <v/>
          </cell>
          <cell r="Q50" t="str">
            <v/>
          </cell>
          <cell r="R50" t="str">
            <v/>
          </cell>
          <cell r="S50">
            <v>45349</v>
          </cell>
          <cell r="T50">
            <v>45352</v>
          </cell>
          <cell r="U50">
            <v>45355</v>
          </cell>
          <cell r="V50" t="str">
            <v/>
          </cell>
          <cell r="W50" t="str">
            <v/>
          </cell>
          <cell r="X50">
            <v>45376</v>
          </cell>
          <cell r="Y50">
            <v>45376</v>
          </cell>
          <cell r="Z50">
            <v>0</v>
          </cell>
          <cell r="AA50">
            <v>5000000</v>
          </cell>
          <cell r="AB50">
            <v>0</v>
          </cell>
          <cell r="AC50">
            <v>5000000</v>
          </cell>
          <cell r="AD50">
            <v>4998500</v>
          </cell>
          <cell r="AE50">
            <v>0</v>
          </cell>
          <cell r="AF50">
            <v>4998500</v>
          </cell>
          <cell r="AG50" t="str">
            <v>C</v>
          </cell>
          <cell r="AH50" t="str">
            <v>ENGR. MICHAEL C. SALARDA
MS. LEONARDA M. LATOR
MS. CARMENCITA VALDEZ
MS. SORAYA P. VERGARA</v>
          </cell>
          <cell r="AI50">
            <v>45316</v>
          </cell>
          <cell r="AJ50">
            <v>45334</v>
          </cell>
          <cell r="AK50">
            <v>45334</v>
          </cell>
          <cell r="AL50">
            <v>45334</v>
          </cell>
          <cell r="AM50" t="str">
            <v>N/A</v>
          </cell>
          <cell r="AN50" t="str">
            <v>N/A</v>
          </cell>
          <cell r="AO50" t="str">
            <v>COMPLETED</v>
          </cell>
        </row>
        <row r="51">
          <cell r="A51" t="str">
            <v>24-0686</v>
          </cell>
          <cell r="B51" t="str">
            <v>SUPPLY AND DELIVERY OF WARNING DEVICES/SIGNAGES</v>
          </cell>
          <cell r="C51" t="str">
            <v>PDRRMO</v>
          </cell>
          <cell r="D51" t="str">
            <v>No</v>
          </cell>
          <cell r="E51" t="str">
            <v>Competitive Bidding</v>
          </cell>
          <cell r="F51" t="str">
            <v>N/A</v>
          </cell>
          <cell r="G51">
            <v>45324</v>
          </cell>
          <cell r="H51" t="str">
            <v/>
          </cell>
          <cell r="I51" t="str">
            <v>N/A</v>
          </cell>
          <cell r="J51">
            <v>45335</v>
          </cell>
          <cell r="K51">
            <v>45335</v>
          </cell>
          <cell r="L51" t="str">
            <v/>
          </cell>
          <cell r="M51">
            <v>45335</v>
          </cell>
          <cell r="N51">
            <v>45338</v>
          </cell>
          <cell r="O51">
            <v>45344</v>
          </cell>
          <cell r="P51" t="str">
            <v/>
          </cell>
          <cell r="Q51" t="str">
            <v/>
          </cell>
          <cell r="R51" t="str">
            <v/>
          </cell>
          <cell r="S51">
            <v>45352</v>
          </cell>
          <cell r="T51">
            <v>45355</v>
          </cell>
          <cell r="U51">
            <v>45357</v>
          </cell>
          <cell r="V51" t="str">
            <v/>
          </cell>
          <cell r="W51" t="str">
            <v/>
          </cell>
          <cell r="X51">
            <v>45449</v>
          </cell>
          <cell r="Y51">
            <v>45449</v>
          </cell>
          <cell r="Z51">
            <v>0</v>
          </cell>
          <cell r="AA51">
            <v>985600</v>
          </cell>
          <cell r="AB51">
            <v>0</v>
          </cell>
          <cell r="AC51">
            <v>985600</v>
          </cell>
          <cell r="AD51">
            <v>776000</v>
          </cell>
          <cell r="AE51">
            <v>0</v>
          </cell>
          <cell r="AF51">
            <v>776000</v>
          </cell>
          <cell r="AG51" t="str">
            <v>C</v>
          </cell>
          <cell r="AH51" t="str">
            <v>ENGR. MICHAEL C. SALARDA
MS. LEONARDA M. LATOR
MS. CARMENCITA VALDEZ
MS. SORAYA P. VERGARA</v>
          </cell>
          <cell r="AI51" t="str">
            <v>N/A</v>
          </cell>
          <cell r="AJ51">
            <v>45334</v>
          </cell>
          <cell r="AK51">
            <v>45334</v>
          </cell>
          <cell r="AL51">
            <v>45334</v>
          </cell>
          <cell r="AM51" t="str">
            <v>N/A</v>
          </cell>
          <cell r="AN51" t="str">
            <v>N/A</v>
          </cell>
          <cell r="AO51" t="str">
            <v>COMPLETED</v>
          </cell>
        </row>
        <row r="52">
          <cell r="A52" t="str">
            <v>24-0071</v>
          </cell>
          <cell r="B52" t="str">
            <v>OFFICE SUPPLIES</v>
          </cell>
          <cell r="C52" t="str">
            <v>PGO</v>
          </cell>
          <cell r="D52" t="str">
            <v>No</v>
          </cell>
          <cell r="E52" t="str">
            <v>Shopping 52.1(b) - Regular Office Supplies and Equipment no available in PS</v>
          </cell>
          <cell r="F52" t="str">
            <v>N/A</v>
          </cell>
          <cell r="G52">
            <v>45331</v>
          </cell>
          <cell r="H52" t="str">
            <v/>
          </cell>
          <cell r="I52" t="str">
            <v>N/A</v>
          </cell>
          <cell r="J52">
            <v>45342</v>
          </cell>
          <cell r="K52">
            <v>45342</v>
          </cell>
          <cell r="L52" t="str">
            <v/>
          </cell>
          <cell r="M52" t="str">
            <v>N/A</v>
          </cell>
          <cell r="N52" t="str">
            <v>N/A</v>
          </cell>
          <cell r="O52">
            <v>45344</v>
          </cell>
          <cell r="P52" t="str">
            <v/>
          </cell>
          <cell r="Q52" t="str">
            <v/>
          </cell>
          <cell r="R52" t="str">
            <v/>
          </cell>
          <cell r="S52">
            <v>45350</v>
          </cell>
          <cell r="T52">
            <v>45352</v>
          </cell>
          <cell r="U52">
            <v>45356</v>
          </cell>
          <cell r="V52" t="str">
            <v/>
          </cell>
          <cell r="W52" t="str">
            <v/>
          </cell>
          <cell r="X52">
            <v>45366</v>
          </cell>
          <cell r="Y52">
            <v>45366</v>
          </cell>
          <cell r="Z52">
            <v>0</v>
          </cell>
          <cell r="AA52">
            <v>149415</v>
          </cell>
          <cell r="AB52">
            <v>149415</v>
          </cell>
          <cell r="AC52">
            <v>0</v>
          </cell>
          <cell r="AD52">
            <v>146985</v>
          </cell>
          <cell r="AE52">
            <v>146985</v>
          </cell>
          <cell r="AF52">
            <v>0</v>
          </cell>
          <cell r="AG52" t="str">
            <v>M</v>
          </cell>
          <cell r="AH52" t="str">
            <v>ENGR. MICHAEL C. SALARDA
MS. LEONARDA M. LATOR
MS. CARMENCITA VALDEZ
MS. SORAYA P. VERGARA</v>
          </cell>
          <cell r="AI52" t="str">
            <v>N/A</v>
          </cell>
          <cell r="AJ52" t="str">
            <v>N/A</v>
          </cell>
          <cell r="AK52" t="str">
            <v>N/A</v>
          </cell>
          <cell r="AL52" t="str">
            <v>N/A</v>
          </cell>
          <cell r="AM52" t="str">
            <v>N/A</v>
          </cell>
          <cell r="AN52" t="str">
            <v>N/A</v>
          </cell>
          <cell r="AO52" t="str">
            <v>COMPLETED</v>
          </cell>
        </row>
        <row r="53">
          <cell r="A53" t="str">
            <v>24-0085</v>
          </cell>
          <cell r="B53" t="str">
            <v>MEMO PADS</v>
          </cell>
          <cell r="C53" t="str">
            <v>PBO</v>
          </cell>
          <cell r="D53" t="str">
            <v>No</v>
          </cell>
          <cell r="E53" t="str">
            <v>Shopping 52.1(b) - Regular Office Supplies and Equipment no available in PS</v>
          </cell>
          <cell r="F53" t="str">
            <v>N/A</v>
          </cell>
          <cell r="G53">
            <v>45324</v>
          </cell>
          <cell r="H53" t="str">
            <v/>
          </cell>
          <cell r="I53" t="str">
            <v>N/A</v>
          </cell>
          <cell r="J53">
            <v>45342</v>
          </cell>
          <cell r="K53">
            <v>45342</v>
          </cell>
          <cell r="L53" t="str">
            <v/>
          </cell>
          <cell r="M53" t="str">
            <v>N/A</v>
          </cell>
          <cell r="N53" t="str">
            <v>N/A</v>
          </cell>
          <cell r="O53">
            <v>45344</v>
          </cell>
          <cell r="P53" t="str">
            <v/>
          </cell>
          <cell r="Q53" t="str">
            <v/>
          </cell>
          <cell r="R53" t="str">
            <v/>
          </cell>
          <cell r="S53" t="str">
            <v>N/A</v>
          </cell>
          <cell r="T53">
            <v>45351</v>
          </cell>
          <cell r="U53">
            <v>45352</v>
          </cell>
          <cell r="V53" t="str">
            <v/>
          </cell>
          <cell r="W53" t="str">
            <v/>
          </cell>
          <cell r="X53">
            <v>0</v>
          </cell>
          <cell r="Y53">
            <v>0</v>
          </cell>
          <cell r="Z53">
            <v>0</v>
          </cell>
          <cell r="AA53">
            <v>5000</v>
          </cell>
          <cell r="AB53">
            <v>5000</v>
          </cell>
          <cell r="AC53">
            <v>0</v>
          </cell>
          <cell r="AD53">
            <v>5000</v>
          </cell>
          <cell r="AE53">
            <v>5000</v>
          </cell>
          <cell r="AF53">
            <v>0</v>
          </cell>
          <cell r="AG53" t="str">
            <v>M</v>
          </cell>
          <cell r="AH53" t="str">
            <v>ENGR. MICHAEL C. SALARDA
MS. LEONARDA M. LATOR
MS. CARMENCITA VALDEZ
MS. SORAYA P. VERGARA</v>
          </cell>
          <cell r="AI53" t="str">
            <v>N/A</v>
          </cell>
          <cell r="AJ53" t="str">
            <v>N/A</v>
          </cell>
          <cell r="AK53" t="str">
            <v>N/A</v>
          </cell>
          <cell r="AL53" t="str">
            <v>N/A</v>
          </cell>
          <cell r="AM53" t="str">
            <v>N/A</v>
          </cell>
          <cell r="AN53" t="str">
            <v>N/A</v>
          </cell>
          <cell r="AO53">
            <v>0</v>
          </cell>
        </row>
        <row r="54">
          <cell r="A54" t="str">
            <v>24-0086</v>
          </cell>
          <cell r="B54" t="str">
            <v>INK</v>
          </cell>
          <cell r="C54" t="str">
            <v>PBO</v>
          </cell>
          <cell r="D54" t="str">
            <v>No</v>
          </cell>
          <cell r="E54" t="str">
            <v>Shopping 52.1(b) - Regular Office Supplies and Equipment no available in PS</v>
          </cell>
          <cell r="F54" t="str">
            <v>N/A</v>
          </cell>
          <cell r="G54">
            <v>45335</v>
          </cell>
          <cell r="H54" t="str">
            <v/>
          </cell>
          <cell r="I54" t="str">
            <v>N/A</v>
          </cell>
          <cell r="J54">
            <v>45342</v>
          </cell>
          <cell r="K54">
            <v>45342</v>
          </cell>
          <cell r="L54" t="str">
            <v/>
          </cell>
          <cell r="M54" t="str">
            <v>N/A</v>
          </cell>
          <cell r="N54" t="str">
            <v>N/A</v>
          </cell>
          <cell r="O54">
            <v>45344</v>
          </cell>
          <cell r="P54" t="str">
            <v/>
          </cell>
          <cell r="Q54" t="str">
            <v/>
          </cell>
          <cell r="R54" t="str">
            <v/>
          </cell>
          <cell r="S54" t="str">
            <v>N/A</v>
          </cell>
          <cell r="T54">
            <v>45351</v>
          </cell>
          <cell r="U54">
            <v>45352</v>
          </cell>
          <cell r="V54" t="str">
            <v/>
          </cell>
          <cell r="W54" t="str">
            <v/>
          </cell>
          <cell r="X54">
            <v>45362</v>
          </cell>
          <cell r="Y54">
            <v>45362</v>
          </cell>
          <cell r="Z54">
            <v>0</v>
          </cell>
          <cell r="AA54">
            <v>7233</v>
          </cell>
          <cell r="AB54">
            <v>7233</v>
          </cell>
          <cell r="AC54">
            <v>0</v>
          </cell>
          <cell r="AD54">
            <v>7140</v>
          </cell>
          <cell r="AE54">
            <v>7140</v>
          </cell>
          <cell r="AF54">
            <v>0</v>
          </cell>
          <cell r="AG54" t="str">
            <v>M</v>
          </cell>
          <cell r="AH54" t="str">
            <v>ENGR. MICHAEL C. SALARDA
MS. LEONARDA M. LATOR
MS. CARMENCITA VALDEZ
MS. SORAYA P. VERGARA</v>
          </cell>
          <cell r="AI54" t="str">
            <v>N/A</v>
          </cell>
          <cell r="AJ54" t="str">
            <v>N/A</v>
          </cell>
          <cell r="AK54" t="str">
            <v>N/A</v>
          </cell>
          <cell r="AL54" t="str">
            <v>N/A</v>
          </cell>
          <cell r="AM54" t="str">
            <v>N/A</v>
          </cell>
          <cell r="AN54" t="str">
            <v>N/A</v>
          </cell>
          <cell r="AO54" t="str">
            <v>COMPLETED</v>
          </cell>
        </row>
        <row r="55">
          <cell r="A55" t="str">
            <v>24-C0939</v>
          </cell>
          <cell r="B55" t="str">
            <v>OFFICE SUPPLIES</v>
          </cell>
          <cell r="C55" t="str">
            <v>PBO</v>
          </cell>
          <cell r="D55" t="str">
            <v>No</v>
          </cell>
          <cell r="E55" t="str">
            <v>Shopping 52.1(b) - Regular Office Supplies and Equipment no available in PS</v>
          </cell>
          <cell r="F55" t="str">
            <v>N/A</v>
          </cell>
          <cell r="G55">
            <v>45331</v>
          </cell>
          <cell r="H55" t="str">
            <v/>
          </cell>
          <cell r="I55" t="str">
            <v>N/A</v>
          </cell>
          <cell r="J55">
            <v>45342</v>
          </cell>
          <cell r="K55">
            <v>45342</v>
          </cell>
          <cell r="L55" t="str">
            <v/>
          </cell>
          <cell r="M55" t="str">
            <v>N/A</v>
          </cell>
          <cell r="N55" t="str">
            <v>N/A</v>
          </cell>
          <cell r="O55">
            <v>45344</v>
          </cell>
          <cell r="P55" t="str">
            <v/>
          </cell>
          <cell r="Q55" t="str">
            <v/>
          </cell>
          <cell r="R55" t="str">
            <v/>
          </cell>
          <cell r="S55">
            <v>45348</v>
          </cell>
          <cell r="T55">
            <v>45351</v>
          </cell>
          <cell r="U55">
            <v>45352</v>
          </cell>
          <cell r="V55" t="str">
            <v/>
          </cell>
          <cell r="W55" t="str">
            <v/>
          </cell>
          <cell r="X55">
            <v>45369</v>
          </cell>
          <cell r="Y55">
            <v>45369</v>
          </cell>
          <cell r="Z55">
            <v>0</v>
          </cell>
          <cell r="AA55">
            <v>64722</v>
          </cell>
          <cell r="AB55">
            <v>64722</v>
          </cell>
          <cell r="AC55">
            <v>0</v>
          </cell>
          <cell r="AD55">
            <v>62181</v>
          </cell>
          <cell r="AE55">
            <v>62181</v>
          </cell>
          <cell r="AF55">
            <v>0</v>
          </cell>
          <cell r="AG55" t="str">
            <v>M</v>
          </cell>
          <cell r="AH55" t="str">
            <v>ENGR. MICHAEL C. SALARDA
MS. LEONARDA M. LATOR
MS. CARMENCITA VALDEZ
MS. SORAYA P. VERGARA</v>
          </cell>
          <cell r="AI55" t="str">
            <v>N/A</v>
          </cell>
          <cell r="AJ55" t="str">
            <v>N/A</v>
          </cell>
          <cell r="AK55" t="str">
            <v>N/A</v>
          </cell>
          <cell r="AL55" t="str">
            <v>N/A</v>
          </cell>
          <cell r="AM55" t="str">
            <v>N/A</v>
          </cell>
          <cell r="AN55" t="str">
            <v>N/A</v>
          </cell>
          <cell r="AO55" t="str">
            <v>COMPLETED</v>
          </cell>
        </row>
        <row r="56">
          <cell r="A56" t="str">
            <v>24-C1000</v>
          </cell>
          <cell r="B56" t="str">
            <v>OFFICE SUPPLIES</v>
          </cell>
          <cell r="C56" t="str">
            <v>PGSO</v>
          </cell>
          <cell r="D56" t="str">
            <v>No</v>
          </cell>
          <cell r="E56" t="str">
            <v>Shopping 52.1(b) - Regular Office Supplies and Equipment no available in PS</v>
          </cell>
          <cell r="F56" t="str">
            <v>N/A</v>
          </cell>
          <cell r="G56">
            <v>45337</v>
          </cell>
          <cell r="H56" t="str">
            <v/>
          </cell>
          <cell r="I56" t="str">
            <v>N/A</v>
          </cell>
          <cell r="J56">
            <v>45342</v>
          </cell>
          <cell r="K56">
            <v>45342</v>
          </cell>
          <cell r="L56" t="str">
            <v/>
          </cell>
          <cell r="M56" t="str">
            <v>N/A</v>
          </cell>
          <cell r="N56" t="str">
            <v>N/A</v>
          </cell>
          <cell r="O56">
            <v>45344</v>
          </cell>
          <cell r="P56" t="str">
            <v/>
          </cell>
          <cell r="Q56" t="str">
            <v/>
          </cell>
          <cell r="R56" t="str">
            <v/>
          </cell>
          <cell r="S56">
            <v>45348</v>
          </cell>
          <cell r="T56">
            <v>45356</v>
          </cell>
          <cell r="U56">
            <v>45357</v>
          </cell>
          <cell r="V56" t="str">
            <v/>
          </cell>
          <cell r="W56" t="str">
            <v/>
          </cell>
          <cell r="X56">
            <v>45364</v>
          </cell>
          <cell r="Y56">
            <v>45364</v>
          </cell>
          <cell r="Z56">
            <v>0</v>
          </cell>
          <cell r="AA56">
            <v>56591</v>
          </cell>
          <cell r="AB56">
            <v>56591</v>
          </cell>
          <cell r="AC56">
            <v>0</v>
          </cell>
          <cell r="AD56">
            <v>55825</v>
          </cell>
          <cell r="AE56">
            <v>55825</v>
          </cell>
          <cell r="AF56">
            <v>0</v>
          </cell>
          <cell r="AG56" t="str">
            <v>M</v>
          </cell>
          <cell r="AH56" t="str">
            <v>ENGR. MICHAEL C. SALARDA
MS. LEONARDA M. LATOR
MS. CARMENCITA VALDEZ
MS. SORAYA P. VERGARA</v>
          </cell>
          <cell r="AI56" t="str">
            <v>N/A</v>
          </cell>
          <cell r="AJ56" t="str">
            <v>N/A</v>
          </cell>
          <cell r="AK56" t="str">
            <v>N/A</v>
          </cell>
          <cell r="AL56" t="str">
            <v>N/A</v>
          </cell>
          <cell r="AM56" t="str">
            <v>N/A</v>
          </cell>
          <cell r="AN56" t="str">
            <v>N/A</v>
          </cell>
          <cell r="AO56" t="str">
            <v>COMPLETED</v>
          </cell>
        </row>
        <row r="57">
          <cell r="A57" t="str">
            <v>24-C0981</v>
          </cell>
          <cell r="B57" t="str">
            <v>FOOD/CATERING SERVICES</v>
          </cell>
          <cell r="C57" t="str">
            <v>PSWDO</v>
          </cell>
          <cell r="D57" t="str">
            <v>No</v>
          </cell>
          <cell r="E57" t="str">
            <v>NP-53.9 - Small Value Procurement</v>
          </cell>
          <cell r="F57" t="str">
            <v>N/A</v>
          </cell>
          <cell r="G57">
            <v>45331</v>
          </cell>
          <cell r="H57" t="str">
            <v/>
          </cell>
          <cell r="I57" t="str">
            <v>N/A</v>
          </cell>
          <cell r="J57">
            <v>45342</v>
          </cell>
          <cell r="K57">
            <v>45342</v>
          </cell>
          <cell r="L57" t="str">
            <v/>
          </cell>
          <cell r="M57" t="str">
            <v>N/A</v>
          </cell>
          <cell r="N57" t="str">
            <v>N/A</v>
          </cell>
          <cell r="O57">
            <v>45344</v>
          </cell>
          <cell r="P57" t="str">
            <v/>
          </cell>
          <cell r="Q57" t="str">
            <v/>
          </cell>
          <cell r="R57" t="str">
            <v/>
          </cell>
          <cell r="S57">
            <v>45351</v>
          </cell>
          <cell r="T57">
            <v>45351</v>
          </cell>
          <cell r="U57">
            <v>45356</v>
          </cell>
          <cell r="V57" t="str">
            <v/>
          </cell>
          <cell r="W57" t="str">
            <v/>
          </cell>
          <cell r="X57">
            <v>45428</v>
          </cell>
          <cell r="Y57">
            <v>45428</v>
          </cell>
          <cell r="Z57">
            <v>0</v>
          </cell>
          <cell r="AA57">
            <v>303740</v>
          </cell>
          <cell r="AB57">
            <v>0</v>
          </cell>
          <cell r="AC57">
            <v>303740</v>
          </cell>
          <cell r="AD57">
            <v>301062</v>
          </cell>
          <cell r="AE57">
            <v>0</v>
          </cell>
          <cell r="AF57">
            <v>301062</v>
          </cell>
          <cell r="AG57" t="str">
            <v>C</v>
          </cell>
          <cell r="AH57" t="str">
            <v>ENGR. MICHAEL C. SALARDA
MS. LEONARDA M. LATOR
MS. CARMENCITA VALDEZ
MS. SORAYA P. VERGARA</v>
          </cell>
          <cell r="AI57" t="str">
            <v>N/A</v>
          </cell>
          <cell r="AJ57" t="str">
            <v>N/A</v>
          </cell>
          <cell r="AK57" t="str">
            <v>N/A</v>
          </cell>
          <cell r="AL57" t="str">
            <v>N/A</v>
          </cell>
          <cell r="AM57" t="str">
            <v>N/A</v>
          </cell>
          <cell r="AN57" t="str">
            <v>N/A</v>
          </cell>
          <cell r="AO57" t="str">
            <v>COMPLETED</v>
          </cell>
        </row>
        <row r="58">
          <cell r="A58" t="str">
            <v>24-0515</v>
          </cell>
          <cell r="B58" t="str">
            <v>FOOD/CATERING SERVICES</v>
          </cell>
          <cell r="C58" t="str">
            <v>PAO-ADMIN</v>
          </cell>
          <cell r="D58" t="str">
            <v>No</v>
          </cell>
          <cell r="E58" t="str">
            <v>NP-53.9 - Small Value Procurement</v>
          </cell>
          <cell r="F58" t="str">
            <v>N/A</v>
          </cell>
          <cell r="G58">
            <v>45331</v>
          </cell>
          <cell r="H58" t="str">
            <v/>
          </cell>
          <cell r="I58" t="str">
            <v>N/A</v>
          </cell>
          <cell r="J58">
            <v>45342</v>
          </cell>
          <cell r="K58">
            <v>45342</v>
          </cell>
          <cell r="L58" t="str">
            <v/>
          </cell>
          <cell r="M58" t="str">
            <v>N/A</v>
          </cell>
          <cell r="N58" t="str">
            <v>N/A</v>
          </cell>
          <cell r="O58">
            <v>45344</v>
          </cell>
          <cell r="P58" t="str">
            <v/>
          </cell>
          <cell r="Q58" t="str">
            <v/>
          </cell>
          <cell r="R58" t="str">
            <v/>
          </cell>
          <cell r="S58">
            <v>45348</v>
          </cell>
          <cell r="T58">
            <v>45352</v>
          </cell>
          <cell r="U58">
            <v>45356</v>
          </cell>
          <cell r="V58" t="str">
            <v/>
          </cell>
          <cell r="W58" t="str">
            <v/>
          </cell>
          <cell r="X58">
            <v>45400</v>
          </cell>
          <cell r="Y58">
            <v>45400</v>
          </cell>
          <cell r="Z58">
            <v>0</v>
          </cell>
          <cell r="AA58">
            <v>149940</v>
          </cell>
          <cell r="AB58">
            <v>149940</v>
          </cell>
          <cell r="AC58">
            <v>0</v>
          </cell>
          <cell r="AD58">
            <v>147792</v>
          </cell>
          <cell r="AE58">
            <v>147792</v>
          </cell>
          <cell r="AF58">
            <v>0</v>
          </cell>
          <cell r="AG58" t="str">
            <v>M</v>
          </cell>
          <cell r="AH58" t="str">
            <v>ENGR. MICHAEL C. SALARDA
MS. LEONARDA M. LATOR
MS. CARMENCITA VALDEZ
MS. SORAYA P. VERGARA</v>
          </cell>
          <cell r="AI58" t="str">
            <v>N/A</v>
          </cell>
          <cell r="AJ58" t="str">
            <v>N/A</v>
          </cell>
          <cell r="AK58" t="str">
            <v>N/A</v>
          </cell>
          <cell r="AL58" t="str">
            <v>N/A</v>
          </cell>
          <cell r="AM58" t="str">
            <v>N/A</v>
          </cell>
          <cell r="AN58" t="str">
            <v>N/A</v>
          </cell>
          <cell r="AO58" t="str">
            <v>COMPLETED</v>
          </cell>
        </row>
        <row r="59">
          <cell r="A59" t="str">
            <v>24-C0961</v>
          </cell>
          <cell r="B59" t="str">
            <v>FOOD/CATERING SERVICES</v>
          </cell>
          <cell r="C59" t="str">
            <v>PAO-ADMIN</v>
          </cell>
          <cell r="D59" t="str">
            <v>No</v>
          </cell>
          <cell r="E59" t="str">
            <v>NP-53.9 - Small Value Procurement</v>
          </cell>
          <cell r="F59" t="str">
            <v>N/A</v>
          </cell>
          <cell r="G59">
            <v>45337</v>
          </cell>
          <cell r="H59" t="str">
            <v/>
          </cell>
          <cell r="I59" t="str">
            <v>N/A</v>
          </cell>
          <cell r="J59">
            <v>45342</v>
          </cell>
          <cell r="K59">
            <v>45342</v>
          </cell>
          <cell r="L59" t="str">
            <v/>
          </cell>
          <cell r="M59" t="str">
            <v>N/A</v>
          </cell>
          <cell r="N59" t="str">
            <v>N/A</v>
          </cell>
          <cell r="O59">
            <v>45344</v>
          </cell>
          <cell r="P59" t="str">
            <v/>
          </cell>
          <cell r="Q59" t="str">
            <v/>
          </cell>
          <cell r="R59" t="str">
            <v/>
          </cell>
          <cell r="S59">
            <v>45348</v>
          </cell>
          <cell r="T59">
            <v>45351</v>
          </cell>
          <cell r="U59">
            <v>45356</v>
          </cell>
          <cell r="V59" t="str">
            <v/>
          </cell>
          <cell r="W59" t="str">
            <v/>
          </cell>
          <cell r="X59">
            <v>45436</v>
          </cell>
          <cell r="Y59">
            <v>45436</v>
          </cell>
          <cell r="Z59">
            <v>0</v>
          </cell>
          <cell r="AA59">
            <v>79970</v>
          </cell>
          <cell r="AB59">
            <v>79970</v>
          </cell>
          <cell r="AC59">
            <v>0</v>
          </cell>
          <cell r="AD59">
            <v>78630</v>
          </cell>
          <cell r="AE59">
            <v>78630</v>
          </cell>
          <cell r="AF59">
            <v>0</v>
          </cell>
          <cell r="AG59" t="str">
            <v>M</v>
          </cell>
          <cell r="AH59" t="str">
            <v>ENGR. MICHAEL C. SALARDA
MS. LEONARDA M. LATOR
MS. CARMENCITA VALDEZ
MS. SORAYA P. VERGARA</v>
          </cell>
          <cell r="AI59" t="str">
            <v>N/A</v>
          </cell>
          <cell r="AJ59" t="str">
            <v>N/A</v>
          </cell>
          <cell r="AK59" t="str">
            <v>N/A</v>
          </cell>
          <cell r="AL59" t="str">
            <v>N/A</v>
          </cell>
          <cell r="AM59" t="str">
            <v>N/A</v>
          </cell>
          <cell r="AN59" t="str">
            <v>N/A</v>
          </cell>
          <cell r="AO59" t="str">
            <v>COMPLETED</v>
          </cell>
        </row>
        <row r="60">
          <cell r="A60" t="str">
            <v>24-0089</v>
          </cell>
          <cell r="B60" t="str">
            <v>PRINTED FORMS</v>
          </cell>
          <cell r="C60" t="str">
            <v>PAO-ADMIN</v>
          </cell>
          <cell r="D60" t="str">
            <v>No</v>
          </cell>
          <cell r="E60" t="str">
            <v>NP-53.9 - Small Value Procurement</v>
          </cell>
          <cell r="F60" t="str">
            <v>N/A</v>
          </cell>
          <cell r="G60">
            <v>45324</v>
          </cell>
          <cell r="H60" t="str">
            <v/>
          </cell>
          <cell r="I60" t="str">
            <v>N/A</v>
          </cell>
          <cell r="J60">
            <v>45342</v>
          </cell>
          <cell r="K60">
            <v>45342</v>
          </cell>
          <cell r="L60" t="str">
            <v/>
          </cell>
          <cell r="M60" t="str">
            <v>N/A</v>
          </cell>
          <cell r="N60" t="str">
            <v>N/A</v>
          </cell>
          <cell r="O60">
            <v>45344</v>
          </cell>
          <cell r="P60" t="str">
            <v/>
          </cell>
          <cell r="Q60" t="str">
            <v/>
          </cell>
          <cell r="R60" t="str">
            <v/>
          </cell>
          <cell r="S60">
            <v>45351</v>
          </cell>
          <cell r="T60">
            <v>45351</v>
          </cell>
          <cell r="U60">
            <v>45352</v>
          </cell>
          <cell r="V60" t="str">
            <v/>
          </cell>
          <cell r="W60" t="str">
            <v/>
          </cell>
          <cell r="X60">
            <v>45411</v>
          </cell>
          <cell r="Y60">
            <v>45411</v>
          </cell>
          <cell r="Z60">
            <v>0</v>
          </cell>
          <cell r="AA60">
            <v>25000</v>
          </cell>
          <cell r="AB60">
            <v>25000</v>
          </cell>
          <cell r="AC60">
            <v>0</v>
          </cell>
          <cell r="AD60">
            <v>25000</v>
          </cell>
          <cell r="AE60">
            <v>25000</v>
          </cell>
          <cell r="AF60">
            <v>0</v>
          </cell>
          <cell r="AG60" t="str">
            <v>M</v>
          </cell>
          <cell r="AH60" t="str">
            <v>ENGR. MICHAEL C. SALARDA
MS. LEONARDA M. LATOR
MS. CARMENCITA VALDEZ
MS. SORAYA P. VERGARA</v>
          </cell>
          <cell r="AI60" t="str">
            <v>N/A</v>
          </cell>
          <cell r="AJ60" t="str">
            <v>N/A</v>
          </cell>
          <cell r="AK60" t="str">
            <v>N/A</v>
          </cell>
          <cell r="AL60" t="str">
            <v>N/A</v>
          </cell>
          <cell r="AM60" t="str">
            <v>N/A</v>
          </cell>
          <cell r="AN60" t="str">
            <v>N/A</v>
          </cell>
          <cell r="AO60" t="str">
            <v>COMPLETED</v>
          </cell>
        </row>
        <row r="61">
          <cell r="A61" t="str">
            <v>24-0461</v>
          </cell>
          <cell r="B61" t="str">
            <v>PRINTING</v>
          </cell>
          <cell r="C61" t="str">
            <v>PEO</v>
          </cell>
          <cell r="D61" t="str">
            <v>No</v>
          </cell>
          <cell r="E61" t="str">
            <v>NP-53.9 - Small Value Procurement</v>
          </cell>
          <cell r="F61">
            <v>45330</v>
          </cell>
          <cell r="G61">
            <v>45335</v>
          </cell>
          <cell r="H61" t="str">
            <v/>
          </cell>
          <cell r="I61" t="str">
            <v>N/A</v>
          </cell>
          <cell r="J61">
            <v>45342</v>
          </cell>
          <cell r="K61">
            <v>45342</v>
          </cell>
          <cell r="L61" t="str">
            <v/>
          </cell>
          <cell r="M61" t="str">
            <v>N/A</v>
          </cell>
          <cell r="N61" t="str">
            <v>N/A</v>
          </cell>
          <cell r="O61">
            <v>45344</v>
          </cell>
          <cell r="P61" t="str">
            <v/>
          </cell>
          <cell r="Q61" t="str">
            <v/>
          </cell>
          <cell r="R61" t="str">
            <v/>
          </cell>
          <cell r="S61" t="str">
            <v>N/A</v>
          </cell>
          <cell r="T61">
            <v>45355</v>
          </cell>
          <cell r="U61">
            <v>45357</v>
          </cell>
          <cell r="V61" t="str">
            <v/>
          </cell>
          <cell r="W61" t="str">
            <v/>
          </cell>
          <cell r="X61">
            <v>0</v>
          </cell>
          <cell r="Y61">
            <v>0</v>
          </cell>
          <cell r="Z61">
            <v>0</v>
          </cell>
          <cell r="AA61">
            <v>1792</v>
          </cell>
          <cell r="AB61">
            <v>0</v>
          </cell>
          <cell r="AC61">
            <v>1792</v>
          </cell>
          <cell r="AD61">
            <v>1792</v>
          </cell>
          <cell r="AE61">
            <v>0</v>
          </cell>
          <cell r="AF61">
            <v>1792</v>
          </cell>
          <cell r="AG61" t="str">
            <v>C</v>
          </cell>
          <cell r="AH61" t="str">
            <v>ENGR. MICHAEL C. SALARDA
MS. LEONARDA M. LATOR
MS. CARMENCITA VALDEZ
MS. SORAYA P. VERGARA</v>
          </cell>
          <cell r="AI61" t="str">
            <v>N/A</v>
          </cell>
          <cell r="AJ61" t="str">
            <v>N/A</v>
          </cell>
          <cell r="AK61" t="str">
            <v>N/A</v>
          </cell>
          <cell r="AL61" t="str">
            <v>N/A</v>
          </cell>
          <cell r="AM61" t="str">
            <v>N/A</v>
          </cell>
          <cell r="AN61" t="str">
            <v>N/A</v>
          </cell>
          <cell r="AO61">
            <v>0</v>
          </cell>
        </row>
        <row r="62">
          <cell r="A62" t="str">
            <v>24-0543</v>
          </cell>
          <cell r="B62" t="str">
            <v>PRINTING</v>
          </cell>
          <cell r="C62" t="str">
            <v>PAO-ADMIN</v>
          </cell>
          <cell r="D62" t="str">
            <v>No</v>
          </cell>
          <cell r="E62" t="str">
            <v>NP-53.9 - Small Value Procurement</v>
          </cell>
          <cell r="F62" t="str">
            <v>N/A</v>
          </cell>
          <cell r="G62">
            <v>45335</v>
          </cell>
          <cell r="H62" t="str">
            <v/>
          </cell>
          <cell r="I62" t="str">
            <v>N/A</v>
          </cell>
          <cell r="J62">
            <v>45342</v>
          </cell>
          <cell r="K62">
            <v>45342</v>
          </cell>
          <cell r="L62" t="str">
            <v/>
          </cell>
          <cell r="M62" t="str">
            <v>N/A</v>
          </cell>
          <cell r="N62" t="str">
            <v>N/A</v>
          </cell>
          <cell r="O62">
            <v>45344</v>
          </cell>
          <cell r="P62" t="str">
            <v/>
          </cell>
          <cell r="Q62" t="str">
            <v/>
          </cell>
          <cell r="R62" t="str">
            <v/>
          </cell>
          <cell r="S62" t="str">
            <v>N/A</v>
          </cell>
          <cell r="T62">
            <v>45351</v>
          </cell>
          <cell r="U62">
            <v>45356</v>
          </cell>
          <cell r="V62" t="str">
            <v/>
          </cell>
          <cell r="W62" t="str">
            <v/>
          </cell>
          <cell r="X62">
            <v>45450</v>
          </cell>
          <cell r="Y62">
            <v>45450</v>
          </cell>
          <cell r="Z62">
            <v>0</v>
          </cell>
          <cell r="AA62">
            <v>9996</v>
          </cell>
          <cell r="AB62">
            <v>9996</v>
          </cell>
          <cell r="AC62">
            <v>0</v>
          </cell>
          <cell r="AD62">
            <v>9996</v>
          </cell>
          <cell r="AE62">
            <v>9996</v>
          </cell>
          <cell r="AF62">
            <v>0</v>
          </cell>
          <cell r="AG62" t="str">
            <v>M</v>
          </cell>
          <cell r="AH62" t="str">
            <v>ENGR. MICHAEL C. SALARDA
MS. LEONARDA M. LATOR
MS. CARMENCITA VALDEZ
MS. SORAYA P. VERGARA</v>
          </cell>
          <cell r="AI62" t="str">
            <v>N/A</v>
          </cell>
          <cell r="AJ62" t="str">
            <v>N/A</v>
          </cell>
          <cell r="AK62" t="str">
            <v>N/A</v>
          </cell>
          <cell r="AL62" t="str">
            <v>N/A</v>
          </cell>
          <cell r="AM62" t="str">
            <v>N/A</v>
          </cell>
          <cell r="AN62" t="str">
            <v>N/A</v>
          </cell>
          <cell r="AO62" t="str">
            <v>COMPLETED</v>
          </cell>
        </row>
        <row r="63">
          <cell r="A63" t="str">
            <v>24-0023</v>
          </cell>
          <cell r="B63" t="str">
            <v>GARMENTS</v>
          </cell>
          <cell r="C63" t="str">
            <v>PTO</v>
          </cell>
          <cell r="D63" t="str">
            <v>No</v>
          </cell>
          <cell r="E63" t="str">
            <v>NP-53.9 - Small Value Procurement</v>
          </cell>
          <cell r="F63" t="str">
            <v>N/A</v>
          </cell>
          <cell r="G63">
            <v>45335</v>
          </cell>
          <cell r="H63" t="str">
            <v/>
          </cell>
          <cell r="I63" t="str">
            <v>N/A</v>
          </cell>
          <cell r="J63">
            <v>45342</v>
          </cell>
          <cell r="K63">
            <v>45342</v>
          </cell>
          <cell r="L63" t="str">
            <v/>
          </cell>
          <cell r="M63" t="str">
            <v>N/A</v>
          </cell>
          <cell r="N63" t="str">
            <v>N/A</v>
          </cell>
          <cell r="O63">
            <v>45344</v>
          </cell>
          <cell r="P63" t="str">
            <v/>
          </cell>
          <cell r="Q63" t="str">
            <v/>
          </cell>
          <cell r="R63" t="str">
            <v/>
          </cell>
          <cell r="S63" t="str">
            <v>N/A</v>
          </cell>
          <cell r="T63">
            <v>45351</v>
          </cell>
          <cell r="U63">
            <v>45352</v>
          </cell>
          <cell r="V63" t="str">
            <v/>
          </cell>
          <cell r="W63" t="str">
            <v/>
          </cell>
          <cell r="X63">
            <v>45383</v>
          </cell>
          <cell r="Y63">
            <v>45383</v>
          </cell>
          <cell r="Z63">
            <v>0</v>
          </cell>
          <cell r="AA63">
            <v>20000</v>
          </cell>
          <cell r="AB63">
            <v>20000</v>
          </cell>
          <cell r="AC63">
            <v>0</v>
          </cell>
          <cell r="AD63">
            <v>20000</v>
          </cell>
          <cell r="AE63">
            <v>20000</v>
          </cell>
          <cell r="AF63">
            <v>0</v>
          </cell>
          <cell r="AG63" t="str">
            <v>M</v>
          </cell>
          <cell r="AH63" t="str">
            <v>ENGR. MICHAEL C. SALARDA
MS. LEONARDA M. LATOR
MS. CARMENCITA VALDEZ
MS. SORAYA P. VERGARA</v>
          </cell>
          <cell r="AI63" t="str">
            <v>N/A</v>
          </cell>
          <cell r="AJ63" t="str">
            <v>N/A</v>
          </cell>
          <cell r="AK63" t="str">
            <v>N/A</v>
          </cell>
          <cell r="AL63" t="str">
            <v>N/A</v>
          </cell>
          <cell r="AM63" t="str">
            <v>N/A</v>
          </cell>
          <cell r="AN63" t="str">
            <v>N/A</v>
          </cell>
          <cell r="AO63" t="str">
            <v>COMPLETED</v>
          </cell>
        </row>
        <row r="64">
          <cell r="A64" t="str">
            <v>24-0039</v>
          </cell>
          <cell r="B64" t="str">
            <v>PRINTING</v>
          </cell>
          <cell r="C64" t="str">
            <v>SEF</v>
          </cell>
          <cell r="D64" t="str">
            <v>No</v>
          </cell>
          <cell r="E64" t="str">
            <v>NP-53.9 - Small Value Procurement</v>
          </cell>
          <cell r="F64">
            <v>45322</v>
          </cell>
          <cell r="G64">
            <v>45324</v>
          </cell>
          <cell r="H64" t="str">
            <v/>
          </cell>
          <cell r="I64" t="str">
            <v>N/A</v>
          </cell>
          <cell r="J64">
            <v>45342</v>
          </cell>
          <cell r="K64">
            <v>45342</v>
          </cell>
          <cell r="L64" t="str">
            <v/>
          </cell>
          <cell r="M64" t="str">
            <v>N/A</v>
          </cell>
          <cell r="N64" t="str">
            <v>N/A</v>
          </cell>
          <cell r="O64">
            <v>45344</v>
          </cell>
          <cell r="P64" t="str">
            <v/>
          </cell>
          <cell r="Q64" t="str">
            <v/>
          </cell>
          <cell r="R64" t="str">
            <v/>
          </cell>
          <cell r="S64" t="str">
            <v>N/A</v>
          </cell>
          <cell r="T64">
            <v>45355</v>
          </cell>
          <cell r="U64">
            <v>45357</v>
          </cell>
          <cell r="V64" t="str">
            <v/>
          </cell>
          <cell r="W64" t="str">
            <v/>
          </cell>
          <cell r="X64">
            <v>45434</v>
          </cell>
          <cell r="Y64">
            <v>45434</v>
          </cell>
          <cell r="Z64">
            <v>0</v>
          </cell>
          <cell r="AA64">
            <v>1792</v>
          </cell>
          <cell r="AB64">
            <v>0</v>
          </cell>
          <cell r="AC64">
            <v>1792</v>
          </cell>
          <cell r="AD64">
            <v>1664</v>
          </cell>
          <cell r="AE64">
            <v>0</v>
          </cell>
          <cell r="AF64">
            <v>1664</v>
          </cell>
          <cell r="AG64" t="str">
            <v>C</v>
          </cell>
          <cell r="AH64" t="str">
            <v>ENGR. MICHAEL C. SALARDA
MS. LEONARDA M. LATOR
MS. CARMENCITA VALDEZ
MS. SORAYA P. VERGARA</v>
          </cell>
          <cell r="AI64" t="str">
            <v>N/A</v>
          </cell>
          <cell r="AJ64" t="str">
            <v>N/A</v>
          </cell>
          <cell r="AK64" t="str">
            <v>N/A</v>
          </cell>
          <cell r="AL64" t="str">
            <v>N/A</v>
          </cell>
          <cell r="AM64" t="str">
            <v>N/A</v>
          </cell>
          <cell r="AN64" t="str">
            <v>N/A</v>
          </cell>
          <cell r="AO64" t="str">
            <v>COMPLETED</v>
          </cell>
        </row>
        <row r="65">
          <cell r="A65" t="str">
            <v>24-0127</v>
          </cell>
          <cell r="B65" t="str">
            <v>PRINTING</v>
          </cell>
          <cell r="C65" t="str">
            <v>SEF</v>
          </cell>
          <cell r="D65" t="str">
            <v>No</v>
          </cell>
          <cell r="E65" t="str">
            <v>NP-53.9 - Small Value Procurement</v>
          </cell>
          <cell r="F65">
            <v>45322</v>
          </cell>
          <cell r="G65">
            <v>45324</v>
          </cell>
          <cell r="H65" t="str">
            <v/>
          </cell>
          <cell r="I65" t="str">
            <v>N/A</v>
          </cell>
          <cell r="J65">
            <v>45342</v>
          </cell>
          <cell r="K65">
            <v>45342</v>
          </cell>
          <cell r="L65" t="str">
            <v/>
          </cell>
          <cell r="M65" t="str">
            <v>N/A</v>
          </cell>
          <cell r="N65" t="str">
            <v>N/A</v>
          </cell>
          <cell r="O65">
            <v>45344</v>
          </cell>
          <cell r="P65" t="str">
            <v/>
          </cell>
          <cell r="Q65" t="str">
            <v/>
          </cell>
          <cell r="R65" t="str">
            <v/>
          </cell>
          <cell r="S65" t="str">
            <v>N/A</v>
          </cell>
          <cell r="T65">
            <v>45355</v>
          </cell>
          <cell r="U65">
            <v>45357</v>
          </cell>
          <cell r="V65" t="str">
            <v/>
          </cell>
          <cell r="W65" t="str">
            <v/>
          </cell>
          <cell r="X65">
            <v>45434</v>
          </cell>
          <cell r="Y65">
            <v>45434</v>
          </cell>
          <cell r="Z65">
            <v>0</v>
          </cell>
          <cell r="AA65">
            <v>1792</v>
          </cell>
          <cell r="AB65">
            <v>0</v>
          </cell>
          <cell r="AC65">
            <v>1792</v>
          </cell>
          <cell r="AD65">
            <v>1664</v>
          </cell>
          <cell r="AE65">
            <v>0</v>
          </cell>
          <cell r="AF65">
            <v>1664</v>
          </cell>
          <cell r="AG65" t="str">
            <v>C</v>
          </cell>
          <cell r="AH65" t="str">
            <v>ENGR. MICHAEL C. SALARDA
MS. LEONARDA M. LATOR
MS. CARMENCITA VALDEZ
MS. SORAYA P. VERGARA</v>
          </cell>
          <cell r="AI65" t="str">
            <v>N/A</v>
          </cell>
          <cell r="AJ65" t="str">
            <v>N/A</v>
          </cell>
          <cell r="AK65" t="str">
            <v>N/A</v>
          </cell>
          <cell r="AL65" t="str">
            <v>N/A</v>
          </cell>
          <cell r="AM65" t="str">
            <v>N/A</v>
          </cell>
          <cell r="AN65" t="str">
            <v>N/A</v>
          </cell>
          <cell r="AO65" t="str">
            <v>COMPLETED</v>
          </cell>
        </row>
        <row r="66">
          <cell r="A66" t="str">
            <v>24-0592</v>
          </cell>
          <cell r="B66" t="str">
            <v>PRINTING</v>
          </cell>
          <cell r="C66" t="str">
            <v>PGO</v>
          </cell>
          <cell r="D66" t="str">
            <v>No</v>
          </cell>
          <cell r="E66" t="str">
            <v>NP-53.9 - Small Value Procurement</v>
          </cell>
          <cell r="F66" t="str">
            <v>N/A</v>
          </cell>
          <cell r="G66">
            <v>45324</v>
          </cell>
          <cell r="H66" t="str">
            <v/>
          </cell>
          <cell r="I66" t="str">
            <v>N/A</v>
          </cell>
          <cell r="J66">
            <v>45342</v>
          </cell>
          <cell r="K66">
            <v>45342</v>
          </cell>
          <cell r="L66" t="str">
            <v/>
          </cell>
          <cell r="M66" t="str">
            <v>N/A</v>
          </cell>
          <cell r="N66" t="str">
            <v>N/A</v>
          </cell>
          <cell r="O66">
            <v>45344</v>
          </cell>
          <cell r="P66" t="str">
            <v/>
          </cell>
          <cell r="Q66" t="str">
            <v/>
          </cell>
          <cell r="R66" t="str">
            <v/>
          </cell>
          <cell r="S66" t="str">
            <v>N/A</v>
          </cell>
          <cell r="T66">
            <v>45350</v>
          </cell>
          <cell r="U66">
            <v>45351</v>
          </cell>
          <cell r="V66" t="str">
            <v/>
          </cell>
          <cell r="W66" t="str">
            <v/>
          </cell>
          <cell r="X66">
            <v>45358</v>
          </cell>
          <cell r="Y66">
            <v>45358</v>
          </cell>
          <cell r="Z66">
            <v>0</v>
          </cell>
          <cell r="AA66">
            <v>40852</v>
          </cell>
          <cell r="AB66">
            <v>0</v>
          </cell>
          <cell r="AC66">
            <v>40852</v>
          </cell>
          <cell r="AD66">
            <v>40852</v>
          </cell>
          <cell r="AE66">
            <v>0</v>
          </cell>
          <cell r="AF66">
            <v>40852</v>
          </cell>
          <cell r="AG66" t="str">
            <v>C</v>
          </cell>
          <cell r="AH66" t="str">
            <v>ENGR. MICHAEL C. SALARDA
MS. LEONARDA M. LATOR
MS. CARMENCITA VALDEZ
MS. SORAYA P. VERGARA</v>
          </cell>
          <cell r="AI66" t="str">
            <v>N/A</v>
          </cell>
          <cell r="AJ66" t="str">
            <v>N/A</v>
          </cell>
          <cell r="AK66" t="str">
            <v>N/A</v>
          </cell>
          <cell r="AL66" t="str">
            <v>N/A</v>
          </cell>
          <cell r="AM66" t="str">
            <v>N/A</v>
          </cell>
          <cell r="AN66" t="str">
            <v>N/A</v>
          </cell>
          <cell r="AO66" t="str">
            <v>COMPLETED</v>
          </cell>
        </row>
        <row r="67">
          <cell r="A67" t="str">
            <v>24-0590</v>
          </cell>
          <cell r="B67" t="str">
            <v>UNIFORM SUPPLIES</v>
          </cell>
          <cell r="C67" t="str">
            <v>PGO</v>
          </cell>
          <cell r="D67" t="str">
            <v>No</v>
          </cell>
          <cell r="E67" t="str">
            <v>NP-53.9 - Small Value Procurement</v>
          </cell>
          <cell r="F67" t="str">
            <v>N/A</v>
          </cell>
          <cell r="G67">
            <v>45331</v>
          </cell>
          <cell r="H67" t="str">
            <v/>
          </cell>
          <cell r="I67" t="str">
            <v>N/A</v>
          </cell>
          <cell r="J67">
            <v>45342</v>
          </cell>
          <cell r="K67">
            <v>45342</v>
          </cell>
          <cell r="L67" t="str">
            <v/>
          </cell>
          <cell r="M67" t="str">
            <v>N/A</v>
          </cell>
          <cell r="N67" t="str">
            <v>N/A</v>
          </cell>
          <cell r="O67">
            <v>45344</v>
          </cell>
          <cell r="P67" t="str">
            <v/>
          </cell>
          <cell r="Q67" t="str">
            <v/>
          </cell>
          <cell r="R67" t="str">
            <v/>
          </cell>
          <cell r="S67" t="str">
            <v>N/A</v>
          </cell>
          <cell r="T67">
            <v>45350</v>
          </cell>
          <cell r="U67">
            <v>45351</v>
          </cell>
          <cell r="V67" t="str">
            <v/>
          </cell>
          <cell r="W67" t="str">
            <v/>
          </cell>
          <cell r="X67">
            <v>45357</v>
          </cell>
          <cell r="Y67">
            <v>45357</v>
          </cell>
          <cell r="Z67">
            <v>0</v>
          </cell>
          <cell r="AA67">
            <v>38250</v>
          </cell>
          <cell r="AB67">
            <v>0</v>
          </cell>
          <cell r="AC67">
            <v>38250</v>
          </cell>
          <cell r="AD67">
            <v>38250</v>
          </cell>
          <cell r="AE67">
            <v>0</v>
          </cell>
          <cell r="AF67">
            <v>38250</v>
          </cell>
          <cell r="AG67" t="str">
            <v>C</v>
          </cell>
          <cell r="AH67" t="str">
            <v>ENGR. MICHAEL C. SALARDA
MS. LEONARDA M. LATOR
MS. CARMENCITA VALDEZ
MS. SORAYA P. VERGARA</v>
          </cell>
          <cell r="AI67" t="str">
            <v>N/A</v>
          </cell>
          <cell r="AJ67" t="str">
            <v>N/A</v>
          </cell>
          <cell r="AK67" t="str">
            <v>N/A</v>
          </cell>
          <cell r="AL67" t="str">
            <v>N/A</v>
          </cell>
          <cell r="AM67" t="str">
            <v>N/A</v>
          </cell>
          <cell r="AN67" t="str">
            <v>N/A</v>
          </cell>
          <cell r="AO67" t="str">
            <v>COMPLETED</v>
          </cell>
        </row>
        <row r="68">
          <cell r="A68" t="str">
            <v>24-0593</v>
          </cell>
          <cell r="B68" t="str">
            <v>ACCESSORIES &amp; DECORATION</v>
          </cell>
          <cell r="C68" t="str">
            <v>PGO</v>
          </cell>
          <cell r="D68" t="str">
            <v>No</v>
          </cell>
          <cell r="E68" t="str">
            <v>NP-53.9 - Small Value Procurement</v>
          </cell>
          <cell r="F68" t="str">
            <v>N/A</v>
          </cell>
          <cell r="G68">
            <v>45331</v>
          </cell>
          <cell r="H68" t="str">
            <v/>
          </cell>
          <cell r="I68" t="str">
            <v>N/A</v>
          </cell>
          <cell r="J68">
            <v>45342</v>
          </cell>
          <cell r="K68">
            <v>45342</v>
          </cell>
          <cell r="L68" t="str">
            <v/>
          </cell>
          <cell r="M68" t="str">
            <v>N/A</v>
          </cell>
          <cell r="N68" t="str">
            <v>N/A</v>
          </cell>
          <cell r="O68">
            <v>45344</v>
          </cell>
          <cell r="P68" t="str">
            <v/>
          </cell>
          <cell r="Q68" t="str">
            <v/>
          </cell>
          <cell r="R68" t="str">
            <v/>
          </cell>
          <cell r="S68" t="str">
            <v>N/A</v>
          </cell>
          <cell r="T68">
            <v>45350</v>
          </cell>
          <cell r="U68">
            <v>45351</v>
          </cell>
          <cell r="V68" t="str">
            <v/>
          </cell>
          <cell r="W68" t="str">
            <v/>
          </cell>
          <cell r="X68">
            <v>45357</v>
          </cell>
          <cell r="Y68">
            <v>45357</v>
          </cell>
          <cell r="Z68">
            <v>0</v>
          </cell>
          <cell r="AA68">
            <v>1500</v>
          </cell>
          <cell r="AB68">
            <v>0</v>
          </cell>
          <cell r="AC68">
            <v>1500</v>
          </cell>
          <cell r="AD68">
            <v>1500</v>
          </cell>
          <cell r="AE68">
            <v>0</v>
          </cell>
          <cell r="AF68">
            <v>1500</v>
          </cell>
          <cell r="AG68" t="str">
            <v>C</v>
          </cell>
          <cell r="AH68" t="str">
            <v>ENGR. MICHAEL C. SALARDA
MS. LEONARDA M. LATOR
MS. CARMENCITA VALDEZ
MS. SORAYA P. VERGARA</v>
          </cell>
          <cell r="AI68" t="str">
            <v>N/A</v>
          </cell>
          <cell r="AJ68" t="str">
            <v>N/A</v>
          </cell>
          <cell r="AK68" t="str">
            <v>N/A</v>
          </cell>
          <cell r="AL68" t="str">
            <v>N/A</v>
          </cell>
          <cell r="AM68" t="str">
            <v>N/A</v>
          </cell>
          <cell r="AN68" t="str">
            <v>N/A</v>
          </cell>
          <cell r="AO68" t="str">
            <v>COMPLETED</v>
          </cell>
        </row>
        <row r="69">
          <cell r="A69" t="str">
            <v>24-C0977</v>
          </cell>
          <cell r="B69" t="str">
            <v>PLAQUE/TROPHIES/MEDAL</v>
          </cell>
          <cell r="C69" t="str">
            <v>PHRMDO</v>
          </cell>
          <cell r="D69" t="str">
            <v>No</v>
          </cell>
          <cell r="E69" t="str">
            <v>NP-53.9 - Small Value Procurement</v>
          </cell>
          <cell r="F69">
            <v>45322</v>
          </cell>
          <cell r="G69">
            <v>45324</v>
          </cell>
          <cell r="H69" t="str">
            <v/>
          </cell>
          <cell r="I69" t="str">
            <v>N/A</v>
          </cell>
          <cell r="J69">
            <v>45342</v>
          </cell>
          <cell r="K69">
            <v>45342</v>
          </cell>
          <cell r="L69" t="str">
            <v/>
          </cell>
          <cell r="M69" t="str">
            <v>N/A</v>
          </cell>
          <cell r="N69" t="str">
            <v>N/A</v>
          </cell>
          <cell r="O69">
            <v>45344</v>
          </cell>
          <cell r="P69" t="str">
            <v/>
          </cell>
          <cell r="Q69" t="str">
            <v/>
          </cell>
          <cell r="R69" t="str">
            <v/>
          </cell>
          <cell r="S69" t="str">
            <v>N/A</v>
          </cell>
          <cell r="T69">
            <v>45350</v>
          </cell>
          <cell r="U69">
            <v>45351</v>
          </cell>
          <cell r="V69" t="str">
            <v/>
          </cell>
          <cell r="W69" t="str">
            <v/>
          </cell>
          <cell r="X69">
            <v>45357</v>
          </cell>
          <cell r="Y69">
            <v>45357</v>
          </cell>
          <cell r="Z69">
            <v>0</v>
          </cell>
          <cell r="AA69">
            <v>38200</v>
          </cell>
          <cell r="AB69">
            <v>38200</v>
          </cell>
          <cell r="AC69">
            <v>0</v>
          </cell>
          <cell r="AD69">
            <v>38200</v>
          </cell>
          <cell r="AE69">
            <v>38200</v>
          </cell>
          <cell r="AF69">
            <v>0</v>
          </cell>
          <cell r="AG69" t="str">
            <v>C</v>
          </cell>
          <cell r="AH69" t="str">
            <v>ENGR. MICHAEL C. SALARDA
MS. LEONARDA M. LATOR
MS. CARMENCITA VALDEZ
MS. SORAYA P. VERGARA</v>
          </cell>
          <cell r="AI69" t="str">
            <v>N/A</v>
          </cell>
          <cell r="AJ69" t="str">
            <v>N/A</v>
          </cell>
          <cell r="AK69" t="str">
            <v>N/A</v>
          </cell>
          <cell r="AL69" t="str">
            <v>N/A</v>
          </cell>
          <cell r="AM69" t="str">
            <v>N/A</v>
          </cell>
          <cell r="AN69" t="str">
            <v>N/A</v>
          </cell>
          <cell r="AO69" t="str">
            <v>COMPLETED</v>
          </cell>
        </row>
        <row r="70">
          <cell r="A70" t="str">
            <v>24-0588</v>
          </cell>
          <cell r="B70" t="str">
            <v>OFFICE SUPPLIES</v>
          </cell>
          <cell r="C70" t="str">
            <v>PHRMDO</v>
          </cell>
          <cell r="D70" t="str">
            <v>No</v>
          </cell>
          <cell r="E70" t="str">
            <v>NP-53.9 - Small Value Procurement</v>
          </cell>
          <cell r="F70" t="str">
            <v>N/A</v>
          </cell>
          <cell r="G70">
            <v>45331</v>
          </cell>
          <cell r="H70" t="str">
            <v/>
          </cell>
          <cell r="I70" t="str">
            <v>N/A</v>
          </cell>
          <cell r="J70">
            <v>45342</v>
          </cell>
          <cell r="K70">
            <v>45342</v>
          </cell>
          <cell r="L70" t="str">
            <v/>
          </cell>
          <cell r="M70" t="str">
            <v>N/A</v>
          </cell>
          <cell r="N70" t="str">
            <v>N/A</v>
          </cell>
          <cell r="O70">
            <v>45344</v>
          </cell>
          <cell r="P70" t="str">
            <v/>
          </cell>
          <cell r="Q70" t="str">
            <v/>
          </cell>
          <cell r="R70" t="str">
            <v/>
          </cell>
          <cell r="S70" t="str">
            <v>N/A</v>
          </cell>
          <cell r="T70">
            <v>45350</v>
          </cell>
          <cell r="U70">
            <v>45351</v>
          </cell>
          <cell r="V70" t="str">
            <v/>
          </cell>
          <cell r="W70" t="str">
            <v/>
          </cell>
          <cell r="X70">
            <v>45357</v>
          </cell>
          <cell r="Y70">
            <v>45357</v>
          </cell>
          <cell r="Z70">
            <v>0</v>
          </cell>
          <cell r="AA70">
            <v>1830</v>
          </cell>
          <cell r="AB70">
            <v>0</v>
          </cell>
          <cell r="AC70">
            <v>1830</v>
          </cell>
          <cell r="AD70">
            <v>1830</v>
          </cell>
          <cell r="AE70">
            <v>0</v>
          </cell>
          <cell r="AF70">
            <v>1830</v>
          </cell>
          <cell r="AG70" t="str">
            <v>C</v>
          </cell>
          <cell r="AH70" t="str">
            <v>ENGR. MICHAEL C. SALARDA
MS. LEONARDA M. LATOR
MS. CARMENCITA VALDEZ
MS. SORAYA P. VERGARA</v>
          </cell>
          <cell r="AI70" t="str">
            <v>N/A</v>
          </cell>
          <cell r="AJ70" t="str">
            <v>N/A</v>
          </cell>
          <cell r="AK70" t="str">
            <v>N/A</v>
          </cell>
          <cell r="AL70" t="str">
            <v>N/A</v>
          </cell>
          <cell r="AM70" t="str">
            <v>N/A</v>
          </cell>
          <cell r="AN70" t="str">
            <v>N/A</v>
          </cell>
          <cell r="AO70" t="str">
            <v>COMPLETED</v>
          </cell>
        </row>
        <row r="71">
          <cell r="A71" t="str">
            <v>24-0486</v>
          </cell>
          <cell r="B71" t="str">
            <v>LUMBER</v>
          </cell>
          <cell r="C71" t="str">
            <v>DDOPH-Montevista</v>
          </cell>
          <cell r="D71" t="str">
            <v>No</v>
          </cell>
          <cell r="E71" t="str">
            <v>NP-53.9 - Small Value Procurement</v>
          </cell>
          <cell r="F71" t="str">
            <v>N/A</v>
          </cell>
          <cell r="G71">
            <v>45324</v>
          </cell>
          <cell r="H71" t="str">
            <v/>
          </cell>
          <cell r="I71" t="str">
            <v>N/A</v>
          </cell>
          <cell r="J71">
            <v>45342</v>
          </cell>
          <cell r="K71">
            <v>45342</v>
          </cell>
          <cell r="L71" t="str">
            <v/>
          </cell>
          <cell r="M71" t="str">
            <v>N/A</v>
          </cell>
          <cell r="N71" t="str">
            <v>N/A</v>
          </cell>
          <cell r="O71">
            <v>45344</v>
          </cell>
          <cell r="P71" t="str">
            <v/>
          </cell>
          <cell r="Q71" t="str">
            <v/>
          </cell>
          <cell r="R71" t="str">
            <v/>
          </cell>
          <cell r="S71" t="str">
            <v>N/A</v>
          </cell>
          <cell r="T71">
            <v>45363</v>
          </cell>
          <cell r="U71">
            <v>45370</v>
          </cell>
          <cell r="V71" t="str">
            <v/>
          </cell>
          <cell r="W71" t="str">
            <v/>
          </cell>
          <cell r="X71">
            <v>45457</v>
          </cell>
          <cell r="Y71">
            <v>45457</v>
          </cell>
          <cell r="Z71">
            <v>0</v>
          </cell>
          <cell r="AA71">
            <v>39229.019999999997</v>
          </cell>
          <cell r="AB71">
            <v>0</v>
          </cell>
          <cell r="AC71">
            <v>39229.019999999997</v>
          </cell>
          <cell r="AD71">
            <v>29213.1</v>
          </cell>
          <cell r="AE71">
            <v>0</v>
          </cell>
          <cell r="AF71">
            <v>29213.1</v>
          </cell>
          <cell r="AG71" t="str">
            <v>C</v>
          </cell>
          <cell r="AH71" t="str">
            <v>ENGR. MICHAEL C. SALARDA
MS. LEONARDA M. LATOR
MS. CARMENCITA VALDEZ
MS. SORAYA P. VERGARA</v>
          </cell>
          <cell r="AI71" t="str">
            <v>N/A</v>
          </cell>
          <cell r="AJ71" t="str">
            <v>N/A</v>
          </cell>
          <cell r="AK71" t="str">
            <v>N/A</v>
          </cell>
          <cell r="AL71" t="str">
            <v>N/A</v>
          </cell>
          <cell r="AM71" t="str">
            <v>N/A</v>
          </cell>
          <cell r="AN71" t="str">
            <v>N/A</v>
          </cell>
          <cell r="AO71" t="str">
            <v>COMPLETED</v>
          </cell>
        </row>
        <row r="72">
          <cell r="A72" t="str">
            <v>23-4391</v>
          </cell>
          <cell r="B72" t="str">
            <v>LUMBER</v>
          </cell>
          <cell r="C72" t="str">
            <v>PGSO</v>
          </cell>
          <cell r="D72" t="str">
            <v>No</v>
          </cell>
          <cell r="E72" t="str">
            <v>NP-53.9 - Small Value Procurement</v>
          </cell>
          <cell r="F72" t="str">
            <v>N/A</v>
          </cell>
          <cell r="G72">
            <v>45324</v>
          </cell>
          <cell r="H72" t="str">
            <v/>
          </cell>
          <cell r="I72" t="str">
            <v>N/A</v>
          </cell>
          <cell r="J72">
            <v>45342</v>
          </cell>
          <cell r="K72">
            <v>45342</v>
          </cell>
          <cell r="L72" t="str">
            <v/>
          </cell>
          <cell r="M72" t="str">
            <v>N/A</v>
          </cell>
          <cell r="N72" t="str">
            <v>N/A</v>
          </cell>
          <cell r="O72">
            <v>45344</v>
          </cell>
          <cell r="P72" t="str">
            <v/>
          </cell>
          <cell r="Q72" t="str">
            <v/>
          </cell>
          <cell r="R72" t="str">
            <v/>
          </cell>
          <cell r="S72" t="str">
            <v>N/A</v>
          </cell>
          <cell r="T72">
            <v>45372</v>
          </cell>
          <cell r="U72">
            <v>45377</v>
          </cell>
          <cell r="V72" t="str">
            <v/>
          </cell>
          <cell r="W72" t="str">
            <v/>
          </cell>
          <cell r="X72">
            <v>45429</v>
          </cell>
          <cell r="Y72">
            <v>45429</v>
          </cell>
          <cell r="Z72">
            <v>0</v>
          </cell>
          <cell r="AA72">
            <v>2240</v>
          </cell>
          <cell r="AB72">
            <v>2240</v>
          </cell>
          <cell r="AC72">
            <v>0</v>
          </cell>
          <cell r="AD72">
            <v>2240</v>
          </cell>
          <cell r="AE72">
            <v>2240</v>
          </cell>
          <cell r="AF72">
            <v>0</v>
          </cell>
          <cell r="AG72" t="str">
            <v>C</v>
          </cell>
          <cell r="AH72" t="str">
            <v>ENGR. MICHAEL C. SALARDA
MS. LEONARDA M. LATOR
MS. CARMENCITA VALDEZ
MS. SORAYA P. VERGARA</v>
          </cell>
          <cell r="AI72" t="str">
            <v>N/A</v>
          </cell>
          <cell r="AJ72" t="str">
            <v>N/A</v>
          </cell>
          <cell r="AK72" t="str">
            <v>N/A</v>
          </cell>
          <cell r="AL72" t="str">
            <v>N/A</v>
          </cell>
          <cell r="AM72" t="str">
            <v>N/A</v>
          </cell>
          <cell r="AN72" t="str">
            <v>N/A</v>
          </cell>
          <cell r="AO72" t="str">
            <v>COMPLETED</v>
          </cell>
        </row>
        <row r="73">
          <cell r="A73" t="str">
            <v>24-C0980</v>
          </cell>
          <cell r="B73" t="str">
            <v>ELECTRICAL SUPPLIES</v>
          </cell>
          <cell r="C73" t="str">
            <v>PHRMDO</v>
          </cell>
          <cell r="D73" t="str">
            <v>No</v>
          </cell>
          <cell r="E73" t="str">
            <v>NP-53.9 - Small Value Procurement</v>
          </cell>
          <cell r="F73" t="str">
            <v>N/A</v>
          </cell>
          <cell r="G73">
            <v>45335</v>
          </cell>
          <cell r="H73" t="str">
            <v/>
          </cell>
          <cell r="I73" t="str">
            <v>N/A</v>
          </cell>
          <cell r="J73">
            <v>45342</v>
          </cell>
          <cell r="K73">
            <v>45342</v>
          </cell>
          <cell r="L73" t="str">
            <v/>
          </cell>
          <cell r="M73" t="str">
            <v>N/A</v>
          </cell>
          <cell r="N73" t="str">
            <v>N/A</v>
          </cell>
          <cell r="O73">
            <v>45344</v>
          </cell>
          <cell r="P73" t="str">
            <v/>
          </cell>
          <cell r="Q73" t="str">
            <v/>
          </cell>
          <cell r="R73" t="str">
            <v/>
          </cell>
          <cell r="S73">
            <v>45348</v>
          </cell>
          <cell r="T73">
            <v>45351</v>
          </cell>
          <cell r="U73">
            <v>45352</v>
          </cell>
          <cell r="V73" t="str">
            <v/>
          </cell>
          <cell r="W73" t="str">
            <v/>
          </cell>
          <cell r="X73">
            <v>45357</v>
          </cell>
          <cell r="Y73">
            <v>45357</v>
          </cell>
          <cell r="Z73">
            <v>0</v>
          </cell>
          <cell r="AA73">
            <v>121224</v>
          </cell>
          <cell r="AB73">
            <v>121224</v>
          </cell>
          <cell r="AC73">
            <v>0</v>
          </cell>
          <cell r="AD73">
            <v>120202.5</v>
          </cell>
          <cell r="AE73">
            <v>120202.5</v>
          </cell>
          <cell r="AF73">
            <v>0</v>
          </cell>
          <cell r="AG73" t="str">
            <v>C</v>
          </cell>
          <cell r="AH73" t="str">
            <v>ENGR. MICHAEL C. SALARDA
MS. LEONARDA M. LATOR
MS. CARMENCITA VALDEZ
MS. SORAYA P. VERGARA</v>
          </cell>
          <cell r="AI73" t="str">
            <v>N/A</v>
          </cell>
          <cell r="AJ73" t="str">
            <v>N/A</v>
          </cell>
          <cell r="AK73" t="str">
            <v>N/A</v>
          </cell>
          <cell r="AL73" t="str">
            <v>N/A</v>
          </cell>
          <cell r="AM73" t="str">
            <v>N/A</v>
          </cell>
          <cell r="AN73" t="str">
            <v>N/A</v>
          </cell>
          <cell r="AO73" t="str">
            <v>COMPLETED</v>
          </cell>
        </row>
        <row r="74">
          <cell r="A74" t="str">
            <v>24-0616</v>
          </cell>
          <cell r="B74" t="str">
            <v>LUMBER</v>
          </cell>
          <cell r="C74" t="str">
            <v>PHRMDO</v>
          </cell>
          <cell r="D74" t="str">
            <v>No</v>
          </cell>
          <cell r="E74" t="str">
            <v>NP-53.9 - Small Value Procurement</v>
          </cell>
          <cell r="F74">
            <v>45322</v>
          </cell>
          <cell r="G74">
            <v>45324</v>
          </cell>
          <cell r="H74" t="str">
            <v/>
          </cell>
          <cell r="I74" t="str">
            <v>N/A</v>
          </cell>
          <cell r="J74">
            <v>45342</v>
          </cell>
          <cell r="K74">
            <v>45342</v>
          </cell>
          <cell r="L74" t="str">
            <v/>
          </cell>
          <cell r="M74" t="str">
            <v>N/A</v>
          </cell>
          <cell r="N74" t="str">
            <v>N/A</v>
          </cell>
          <cell r="O74">
            <v>45344</v>
          </cell>
          <cell r="P74" t="str">
            <v/>
          </cell>
          <cell r="Q74" t="str">
            <v/>
          </cell>
          <cell r="R74" t="str">
            <v/>
          </cell>
          <cell r="S74" t="str">
            <v>N/A</v>
          </cell>
          <cell r="T74">
            <v>45350</v>
          </cell>
          <cell r="U74">
            <v>45350</v>
          </cell>
          <cell r="V74" t="str">
            <v/>
          </cell>
          <cell r="W74" t="str">
            <v/>
          </cell>
          <cell r="X74">
            <v>45352</v>
          </cell>
          <cell r="Y74">
            <v>45352</v>
          </cell>
          <cell r="Z74">
            <v>0</v>
          </cell>
          <cell r="AA74">
            <v>12840</v>
          </cell>
          <cell r="AB74">
            <v>0</v>
          </cell>
          <cell r="AC74">
            <v>12840</v>
          </cell>
          <cell r="AD74">
            <v>12840</v>
          </cell>
          <cell r="AE74">
            <v>0</v>
          </cell>
          <cell r="AF74">
            <v>12840</v>
          </cell>
          <cell r="AG74" t="str">
            <v>C</v>
          </cell>
          <cell r="AH74" t="str">
            <v>ENGR. MICHAEL C. SALARDA
MS. LEONARDA M. LATOR
MS. CARMENCITA VALDEZ
MS. SORAYA P. VERGARA</v>
          </cell>
          <cell r="AI74" t="str">
            <v>N/A</v>
          </cell>
          <cell r="AJ74" t="str">
            <v>N/A</v>
          </cell>
          <cell r="AK74" t="str">
            <v>N/A</v>
          </cell>
          <cell r="AL74" t="str">
            <v>N/A</v>
          </cell>
          <cell r="AM74" t="str">
            <v>N/A</v>
          </cell>
          <cell r="AN74" t="str">
            <v>N/A</v>
          </cell>
          <cell r="AO74" t="str">
            <v>COMPLETED</v>
          </cell>
        </row>
        <row r="75">
          <cell r="A75" t="str">
            <v>24-0680</v>
          </cell>
          <cell r="B75" t="str">
            <v>JANITORIAL SUPPLIES/HOUSEKEEPING</v>
          </cell>
          <cell r="C75" t="str">
            <v>PHRMDO</v>
          </cell>
          <cell r="D75" t="str">
            <v>No</v>
          </cell>
          <cell r="E75" t="str">
            <v>NP-53.9 - Small Value Procurement</v>
          </cell>
          <cell r="F75" t="str">
            <v>N/A</v>
          </cell>
          <cell r="G75">
            <v>45335</v>
          </cell>
          <cell r="H75" t="str">
            <v/>
          </cell>
          <cell r="I75" t="str">
            <v>N/A</v>
          </cell>
          <cell r="J75">
            <v>45342</v>
          </cell>
          <cell r="K75">
            <v>45342</v>
          </cell>
          <cell r="L75" t="str">
            <v/>
          </cell>
          <cell r="M75" t="str">
            <v>N/A</v>
          </cell>
          <cell r="N75" t="str">
            <v>N/A</v>
          </cell>
          <cell r="O75">
            <v>45344</v>
          </cell>
          <cell r="P75" t="str">
            <v/>
          </cell>
          <cell r="Q75" t="str">
            <v/>
          </cell>
          <cell r="R75" t="str">
            <v/>
          </cell>
          <cell r="S75" t="str">
            <v>N/A</v>
          </cell>
          <cell r="T75">
            <v>45351</v>
          </cell>
          <cell r="U75">
            <v>45352</v>
          </cell>
          <cell r="V75" t="str">
            <v/>
          </cell>
          <cell r="W75" t="str">
            <v/>
          </cell>
          <cell r="X75">
            <v>45362</v>
          </cell>
          <cell r="Y75">
            <v>45362</v>
          </cell>
          <cell r="Z75">
            <v>0</v>
          </cell>
          <cell r="AA75">
            <v>45835</v>
          </cell>
          <cell r="AB75">
            <v>45835</v>
          </cell>
          <cell r="AC75">
            <v>0</v>
          </cell>
          <cell r="AD75">
            <v>44385</v>
          </cell>
          <cell r="AE75">
            <v>44385</v>
          </cell>
          <cell r="AF75">
            <v>0</v>
          </cell>
          <cell r="AG75" t="str">
            <v>M</v>
          </cell>
          <cell r="AH75" t="str">
            <v>ENGR. MICHAEL C. SALARDA
MS. LEONARDA M. LATOR
MS. CARMENCITA VALDEZ
MS. SORAYA P. VERGARA</v>
          </cell>
          <cell r="AI75" t="str">
            <v>N/A</v>
          </cell>
          <cell r="AJ75" t="str">
            <v>N/A</v>
          </cell>
          <cell r="AK75" t="str">
            <v>N/A</v>
          </cell>
          <cell r="AL75" t="str">
            <v>N/A</v>
          </cell>
          <cell r="AM75" t="str">
            <v>N/A</v>
          </cell>
          <cell r="AN75" t="str">
            <v>N/A</v>
          </cell>
          <cell r="AO75" t="str">
            <v>COMPLETED</v>
          </cell>
        </row>
        <row r="76">
          <cell r="A76" t="str">
            <v>24-0876</v>
          </cell>
          <cell r="B76" t="str">
            <v>SPAREPARTS (GENERATOR ENGINE)</v>
          </cell>
          <cell r="C76" t="str">
            <v>SPO</v>
          </cell>
          <cell r="D76" t="str">
            <v>No</v>
          </cell>
          <cell r="E76" t="str">
            <v>NP-53.9 - Small Value Procurement</v>
          </cell>
          <cell r="F76" t="str">
            <v>N/A</v>
          </cell>
          <cell r="G76">
            <v>45335</v>
          </cell>
          <cell r="H76" t="str">
            <v/>
          </cell>
          <cell r="I76" t="str">
            <v>N/A</v>
          </cell>
          <cell r="J76">
            <v>45342</v>
          </cell>
          <cell r="K76">
            <v>45342</v>
          </cell>
          <cell r="L76" t="str">
            <v/>
          </cell>
          <cell r="M76" t="str">
            <v>N/A</v>
          </cell>
          <cell r="N76" t="str">
            <v>N/A</v>
          </cell>
          <cell r="O76">
            <v>45344</v>
          </cell>
          <cell r="P76" t="str">
            <v/>
          </cell>
          <cell r="Q76" t="str">
            <v/>
          </cell>
          <cell r="R76" t="str">
            <v/>
          </cell>
          <cell r="S76" t="str">
            <v>N/A</v>
          </cell>
          <cell r="T76">
            <v>45372</v>
          </cell>
          <cell r="U76">
            <v>45373</v>
          </cell>
          <cell r="V76" t="str">
            <v/>
          </cell>
          <cell r="W76" t="str">
            <v/>
          </cell>
          <cell r="X76">
            <v>0</v>
          </cell>
          <cell r="Y76">
            <v>0</v>
          </cell>
          <cell r="Z76">
            <v>0</v>
          </cell>
          <cell r="AA76">
            <v>31860</v>
          </cell>
          <cell r="AB76">
            <v>31860</v>
          </cell>
          <cell r="AC76">
            <v>0</v>
          </cell>
          <cell r="AD76">
            <v>31660</v>
          </cell>
          <cell r="AE76">
            <v>31660</v>
          </cell>
          <cell r="AF76">
            <v>0</v>
          </cell>
          <cell r="AG76" t="str">
            <v>M</v>
          </cell>
          <cell r="AH76" t="str">
            <v>ENGR. MICHAEL C. SALARDA
MS. LEONARDA M. LATOR
MS. CARMENCITA VALDEZ
MS. SORAYA P. VERGARA</v>
          </cell>
          <cell r="AI76" t="str">
            <v>N/A</v>
          </cell>
          <cell r="AJ76" t="str">
            <v>N/A</v>
          </cell>
          <cell r="AK76" t="str">
            <v>N/A</v>
          </cell>
          <cell r="AL76" t="str">
            <v>N/A</v>
          </cell>
          <cell r="AM76" t="str">
            <v>N/A</v>
          </cell>
          <cell r="AN76" t="str">
            <v>N/A</v>
          </cell>
          <cell r="AO76">
            <v>0</v>
          </cell>
        </row>
        <row r="77">
          <cell r="A77" t="str">
            <v>24-0315</v>
          </cell>
          <cell r="B77" t="str">
            <v>OFFICE EQUIPMENT</v>
          </cell>
          <cell r="C77" t="str">
            <v>PGO</v>
          </cell>
          <cell r="D77" t="str">
            <v>No</v>
          </cell>
          <cell r="E77" t="str">
            <v>NP-53.9 - Small Value Procurement</v>
          </cell>
          <cell r="F77" t="str">
            <v>N/A</v>
          </cell>
          <cell r="G77">
            <v>45324</v>
          </cell>
          <cell r="H77" t="str">
            <v/>
          </cell>
          <cell r="I77" t="str">
            <v>N/A</v>
          </cell>
          <cell r="J77">
            <v>45342</v>
          </cell>
          <cell r="K77">
            <v>45342</v>
          </cell>
          <cell r="L77" t="str">
            <v/>
          </cell>
          <cell r="M77" t="str">
            <v>N/A</v>
          </cell>
          <cell r="N77" t="str">
            <v>N/A</v>
          </cell>
          <cell r="O77">
            <v>45344</v>
          </cell>
          <cell r="P77" t="str">
            <v/>
          </cell>
          <cell r="Q77" t="str">
            <v/>
          </cell>
          <cell r="R77" t="str">
            <v/>
          </cell>
          <cell r="S77">
            <v>45348</v>
          </cell>
          <cell r="T77">
            <v>45351</v>
          </cell>
          <cell r="U77">
            <v>45355</v>
          </cell>
          <cell r="V77" t="str">
            <v/>
          </cell>
          <cell r="W77" t="str">
            <v/>
          </cell>
          <cell r="X77">
            <v>45376</v>
          </cell>
          <cell r="Y77">
            <v>45376</v>
          </cell>
          <cell r="Z77">
            <v>0</v>
          </cell>
          <cell r="AA77">
            <v>82500</v>
          </cell>
          <cell r="AB77">
            <v>0</v>
          </cell>
          <cell r="AC77">
            <v>82500</v>
          </cell>
          <cell r="AD77">
            <v>53900</v>
          </cell>
          <cell r="AE77">
            <v>0</v>
          </cell>
          <cell r="AF77">
            <v>53900</v>
          </cell>
          <cell r="AG77" t="str">
            <v>C</v>
          </cell>
          <cell r="AH77" t="str">
            <v>ENGR. MICHAEL C. SALARDA
MS. LEONARDA M. LATOR
MS. CARMENCITA VALDEZ
MS. SORAYA P. VERGARA</v>
          </cell>
          <cell r="AI77" t="str">
            <v>N/A</v>
          </cell>
          <cell r="AJ77" t="str">
            <v>N/A</v>
          </cell>
          <cell r="AK77" t="str">
            <v>N/A</v>
          </cell>
          <cell r="AL77" t="str">
            <v>N/A</v>
          </cell>
          <cell r="AM77" t="str">
            <v>N/A</v>
          </cell>
          <cell r="AN77" t="str">
            <v>N/A</v>
          </cell>
          <cell r="AO77" t="str">
            <v>COMPLETED</v>
          </cell>
        </row>
        <row r="78">
          <cell r="A78" t="str">
            <v>24-0231</v>
          </cell>
          <cell r="B78" t="str">
            <v>POSTAGE AND DELIVERIES</v>
          </cell>
          <cell r="C78" t="str">
            <v>PAO-ADMIN</v>
          </cell>
          <cell r="D78" t="str">
            <v>No</v>
          </cell>
          <cell r="E78" t="str">
            <v>NP-53.9 - Small Value Procurement</v>
          </cell>
          <cell r="F78">
            <v>45322</v>
          </cell>
          <cell r="G78">
            <v>45324</v>
          </cell>
          <cell r="H78">
            <v>0</v>
          </cell>
          <cell r="I78" t="str">
            <v>N/A</v>
          </cell>
          <cell r="J78">
            <v>45342</v>
          </cell>
          <cell r="K78">
            <v>45342</v>
          </cell>
          <cell r="L78" t="str">
            <v/>
          </cell>
          <cell r="M78" t="str">
            <v>N/A</v>
          </cell>
          <cell r="N78" t="str">
            <v>N/A</v>
          </cell>
          <cell r="O78">
            <v>45344</v>
          </cell>
          <cell r="P78">
            <v>0</v>
          </cell>
          <cell r="Q78">
            <v>0</v>
          </cell>
          <cell r="R78">
            <v>0</v>
          </cell>
          <cell r="S78" t="str">
            <v>N/A</v>
          </cell>
          <cell r="T78">
            <v>45351</v>
          </cell>
          <cell r="U78">
            <v>45358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2550</v>
          </cell>
          <cell r="AB78">
            <v>2550</v>
          </cell>
          <cell r="AC78">
            <v>0</v>
          </cell>
          <cell r="AD78">
            <v>2550</v>
          </cell>
          <cell r="AE78">
            <v>2550</v>
          </cell>
          <cell r="AF78">
            <v>0</v>
          </cell>
          <cell r="AG78" t="str">
            <v>M</v>
          </cell>
          <cell r="AH78" t="str">
            <v>ENGR. MICHAEL C. SALARDA
MS. LEONARDA M. LATOR
MS. CARMENCITA VALDEZ
MS. SORAYA P. VERGARA</v>
          </cell>
          <cell r="AI78" t="str">
            <v>N/A</v>
          </cell>
          <cell r="AJ78" t="str">
            <v>N/A</v>
          </cell>
          <cell r="AK78" t="str">
            <v>N/A</v>
          </cell>
          <cell r="AL78" t="str">
            <v>N/A</v>
          </cell>
          <cell r="AM78" t="str">
            <v>N/A</v>
          </cell>
          <cell r="AN78" t="str">
            <v>N/A</v>
          </cell>
          <cell r="AO78">
            <v>0</v>
          </cell>
        </row>
        <row r="79">
          <cell r="A79" t="str">
            <v>24-0288</v>
          </cell>
          <cell r="B79" t="str">
            <v>FOOD/CATERING SERVICES</v>
          </cell>
          <cell r="C79" t="str">
            <v>PGO</v>
          </cell>
          <cell r="D79" t="str">
            <v>No</v>
          </cell>
          <cell r="E79" t="str">
            <v>NP-53.9 - Small Value Procurement</v>
          </cell>
          <cell r="F79" t="str">
            <v>N/A</v>
          </cell>
          <cell r="G79">
            <v>45335</v>
          </cell>
          <cell r="H79">
            <v>0</v>
          </cell>
          <cell r="I79" t="str">
            <v>N/A</v>
          </cell>
          <cell r="J79">
            <v>45342</v>
          </cell>
          <cell r="K79">
            <v>45342</v>
          </cell>
          <cell r="L79" t="str">
            <v/>
          </cell>
          <cell r="M79" t="str">
            <v>N/A</v>
          </cell>
          <cell r="N79" t="str">
            <v>N/A</v>
          </cell>
          <cell r="O79">
            <v>45344</v>
          </cell>
          <cell r="P79">
            <v>0</v>
          </cell>
          <cell r="Q79">
            <v>0</v>
          </cell>
          <cell r="R79">
            <v>0</v>
          </cell>
          <cell r="S79">
            <v>45350</v>
          </cell>
          <cell r="T79">
            <v>45351</v>
          </cell>
          <cell r="U79">
            <v>45352</v>
          </cell>
          <cell r="V79">
            <v>0</v>
          </cell>
          <cell r="W79">
            <v>0</v>
          </cell>
          <cell r="X79">
            <v>45359</v>
          </cell>
          <cell r="Y79">
            <v>45359</v>
          </cell>
          <cell r="Z79">
            <v>0</v>
          </cell>
          <cell r="AA79">
            <v>142000</v>
          </cell>
          <cell r="AB79">
            <v>0</v>
          </cell>
          <cell r="AC79">
            <v>142000</v>
          </cell>
          <cell r="AD79">
            <v>141900</v>
          </cell>
          <cell r="AE79">
            <v>0</v>
          </cell>
          <cell r="AF79">
            <v>141900</v>
          </cell>
          <cell r="AG79" t="str">
            <v>C</v>
          </cell>
          <cell r="AH79" t="str">
            <v>ENGR. MICHAEL C. SALARDA
MS. LEONARDA M. LATOR
MS. CARMENCITA VALDEZ
MS. SORAYA P. VERGARA</v>
          </cell>
          <cell r="AI79" t="str">
            <v>N/A</v>
          </cell>
          <cell r="AJ79" t="str">
            <v>N/A</v>
          </cell>
          <cell r="AK79" t="str">
            <v>N/A</v>
          </cell>
          <cell r="AL79" t="str">
            <v>N/A</v>
          </cell>
          <cell r="AM79" t="str">
            <v>N/A</v>
          </cell>
          <cell r="AN79" t="str">
            <v>N/A</v>
          </cell>
          <cell r="AO79" t="str">
            <v>COMPLETED</v>
          </cell>
        </row>
        <row r="80">
          <cell r="A80" t="str">
            <v>24-C0940</v>
          </cell>
          <cell r="B80" t="str">
            <v>COMPUTER SERVICES</v>
          </cell>
          <cell r="C80" t="str">
            <v>PBO</v>
          </cell>
          <cell r="D80" t="str">
            <v>No</v>
          </cell>
          <cell r="E80" t="str">
            <v>NP-53.9 - Small Value Procurement</v>
          </cell>
          <cell r="F80" t="str">
            <v>N/A</v>
          </cell>
          <cell r="G80">
            <v>45324</v>
          </cell>
          <cell r="H80">
            <v>0</v>
          </cell>
          <cell r="I80" t="str">
            <v>N/A</v>
          </cell>
          <cell r="J80">
            <v>45342</v>
          </cell>
          <cell r="K80">
            <v>45342</v>
          </cell>
          <cell r="L80">
            <v>0</v>
          </cell>
          <cell r="M80" t="str">
            <v>N/A</v>
          </cell>
          <cell r="N80" t="str">
            <v>N/A</v>
          </cell>
          <cell r="O80">
            <v>45344</v>
          </cell>
          <cell r="P80">
            <v>0</v>
          </cell>
          <cell r="Q80">
            <v>0</v>
          </cell>
          <cell r="R80">
            <v>0</v>
          </cell>
          <cell r="S80">
            <v>45348</v>
          </cell>
          <cell r="T80">
            <v>45351</v>
          </cell>
          <cell r="U80">
            <v>45352</v>
          </cell>
          <cell r="V80">
            <v>0</v>
          </cell>
          <cell r="W80">
            <v>0</v>
          </cell>
          <cell r="X80">
            <v>45362</v>
          </cell>
          <cell r="Y80">
            <v>45362</v>
          </cell>
          <cell r="Z80">
            <v>0</v>
          </cell>
          <cell r="AA80">
            <v>63619</v>
          </cell>
          <cell r="AB80">
            <v>63619</v>
          </cell>
          <cell r="AC80">
            <v>0</v>
          </cell>
          <cell r="AD80">
            <v>63300</v>
          </cell>
          <cell r="AE80">
            <v>63300</v>
          </cell>
          <cell r="AF80">
            <v>0</v>
          </cell>
          <cell r="AG80" t="str">
            <v>M</v>
          </cell>
          <cell r="AH80" t="str">
            <v>ENGR. MICHAEL C. SALARDA
MS. LEONARDA M. LATOR
MS. CARMENCITA VALDEZ
MS. SORAYA P. VERGARA</v>
          </cell>
          <cell r="AI80" t="str">
            <v>N/A</v>
          </cell>
          <cell r="AJ80" t="str">
            <v>N/A</v>
          </cell>
          <cell r="AK80" t="str">
            <v>N/A</v>
          </cell>
          <cell r="AL80" t="str">
            <v>N/A</v>
          </cell>
          <cell r="AM80" t="str">
            <v>N/A</v>
          </cell>
          <cell r="AN80" t="str">
            <v>N/A</v>
          </cell>
          <cell r="AO80" t="str">
            <v>COMPLETED</v>
          </cell>
        </row>
        <row r="81">
          <cell r="A81" t="str">
            <v>24-0090</v>
          </cell>
          <cell r="B81" t="str">
            <v>OFFICE EQUIPMENT</v>
          </cell>
          <cell r="C81" t="str">
            <v>PACCO</v>
          </cell>
          <cell r="D81" t="str">
            <v>No</v>
          </cell>
          <cell r="E81" t="str">
            <v>NP-53.9 - Small Value Procurement</v>
          </cell>
          <cell r="F81" t="str">
            <v>N/A</v>
          </cell>
          <cell r="G81">
            <v>45324</v>
          </cell>
          <cell r="H81">
            <v>0</v>
          </cell>
          <cell r="I81" t="str">
            <v>N/A</v>
          </cell>
          <cell r="J81">
            <v>45342</v>
          </cell>
          <cell r="K81">
            <v>45342</v>
          </cell>
          <cell r="L81">
            <v>0</v>
          </cell>
          <cell r="M81" t="str">
            <v>N/A</v>
          </cell>
          <cell r="N81" t="str">
            <v>N/A</v>
          </cell>
          <cell r="O81">
            <v>45344</v>
          </cell>
          <cell r="P81">
            <v>0</v>
          </cell>
          <cell r="Q81">
            <v>0</v>
          </cell>
          <cell r="R81">
            <v>0</v>
          </cell>
          <cell r="S81">
            <v>45348</v>
          </cell>
          <cell r="T81">
            <v>45351</v>
          </cell>
          <cell r="U81">
            <v>45352</v>
          </cell>
          <cell r="V81">
            <v>0</v>
          </cell>
          <cell r="W81">
            <v>0</v>
          </cell>
          <cell r="X81">
            <v>45362</v>
          </cell>
          <cell r="Y81">
            <v>45362</v>
          </cell>
          <cell r="Z81">
            <v>0</v>
          </cell>
          <cell r="AA81">
            <v>60400</v>
          </cell>
          <cell r="AB81">
            <v>60400</v>
          </cell>
          <cell r="AC81">
            <v>0</v>
          </cell>
          <cell r="AD81">
            <v>59800</v>
          </cell>
          <cell r="AE81">
            <v>59800</v>
          </cell>
          <cell r="AF81">
            <v>0</v>
          </cell>
          <cell r="AG81" t="str">
            <v>M</v>
          </cell>
          <cell r="AH81" t="str">
            <v>ENGR. MICHAEL C. SALARDA
MS. LEONARDA M. LATOR
MS. CARMENCITA VALDEZ
MS. SORAYA P. VERGARA</v>
          </cell>
          <cell r="AI81" t="str">
            <v>N/A</v>
          </cell>
          <cell r="AJ81" t="str">
            <v>N/A</v>
          </cell>
          <cell r="AK81" t="str">
            <v>N/A</v>
          </cell>
          <cell r="AL81" t="str">
            <v>N/A</v>
          </cell>
          <cell r="AM81" t="str">
            <v>N/A</v>
          </cell>
          <cell r="AN81" t="str">
            <v>N/A</v>
          </cell>
          <cell r="AO81" t="str">
            <v>COMPLETED</v>
          </cell>
        </row>
        <row r="82">
          <cell r="A82" t="str">
            <v>24-1029</v>
          </cell>
          <cell r="B82" t="str">
            <v>OTHER MACHINERIES AND EQUIPMENT</v>
          </cell>
          <cell r="C82" t="str">
            <v>PHRMDO</v>
          </cell>
          <cell r="D82" t="str">
            <v>No</v>
          </cell>
          <cell r="E82" t="str">
            <v>NP-53.9 - Small Value Procurement</v>
          </cell>
          <cell r="F82">
            <v>45330</v>
          </cell>
          <cell r="G82">
            <v>45335</v>
          </cell>
          <cell r="H82">
            <v>0</v>
          </cell>
          <cell r="I82" t="str">
            <v>N/A</v>
          </cell>
          <cell r="J82">
            <v>45342</v>
          </cell>
          <cell r="K82">
            <v>45342</v>
          </cell>
          <cell r="L82">
            <v>0</v>
          </cell>
          <cell r="M82" t="str">
            <v>N/A</v>
          </cell>
          <cell r="N82" t="str">
            <v>N/A</v>
          </cell>
          <cell r="O82">
            <v>45344</v>
          </cell>
          <cell r="P82">
            <v>0</v>
          </cell>
          <cell r="Q82">
            <v>0</v>
          </cell>
          <cell r="R82">
            <v>0</v>
          </cell>
          <cell r="S82">
            <v>45349</v>
          </cell>
          <cell r="T82">
            <v>45351</v>
          </cell>
          <cell r="U82">
            <v>45355</v>
          </cell>
          <cell r="V82">
            <v>0</v>
          </cell>
          <cell r="W82">
            <v>0</v>
          </cell>
          <cell r="X82">
            <v>45359</v>
          </cell>
          <cell r="Y82">
            <v>45359</v>
          </cell>
          <cell r="Z82">
            <v>0</v>
          </cell>
          <cell r="AA82">
            <v>175000</v>
          </cell>
          <cell r="AB82">
            <v>0</v>
          </cell>
          <cell r="AC82">
            <v>175000</v>
          </cell>
          <cell r="AD82">
            <v>174800</v>
          </cell>
          <cell r="AE82">
            <v>0</v>
          </cell>
          <cell r="AF82">
            <v>174800</v>
          </cell>
          <cell r="AG82" t="str">
            <v>C</v>
          </cell>
          <cell r="AH82" t="str">
            <v>ENGR. MICHAEL C. SALARDA
MS. LEONARDA M. LATOR
MS. CARMENCITA VALDEZ
MS. SORAYA P. VERGARA</v>
          </cell>
          <cell r="AI82" t="str">
            <v>N/A</v>
          </cell>
          <cell r="AJ82" t="str">
            <v>N/A</v>
          </cell>
          <cell r="AK82" t="str">
            <v>N/A</v>
          </cell>
          <cell r="AL82" t="str">
            <v>N/A</v>
          </cell>
          <cell r="AM82" t="str">
            <v>N/A</v>
          </cell>
          <cell r="AN82" t="str">
            <v>N/A</v>
          </cell>
          <cell r="AO82" t="str">
            <v>COMPLETED</v>
          </cell>
        </row>
        <row r="83">
          <cell r="A83" t="str">
            <v>24-1039</v>
          </cell>
          <cell r="B83" t="str">
            <v>RENTALS</v>
          </cell>
          <cell r="C83" t="str">
            <v>PHRMDO</v>
          </cell>
          <cell r="D83" t="str">
            <v>No</v>
          </cell>
          <cell r="E83" t="str">
            <v>NP-53.9 - Small Value Procurement</v>
          </cell>
          <cell r="F83">
            <v>45330</v>
          </cell>
          <cell r="G83">
            <v>45335</v>
          </cell>
          <cell r="H83">
            <v>0</v>
          </cell>
          <cell r="I83" t="str">
            <v>N/A</v>
          </cell>
          <cell r="J83">
            <v>45342</v>
          </cell>
          <cell r="K83">
            <v>45342</v>
          </cell>
          <cell r="L83">
            <v>0</v>
          </cell>
          <cell r="M83" t="str">
            <v>N/A</v>
          </cell>
          <cell r="N83" t="str">
            <v>N/A</v>
          </cell>
          <cell r="O83">
            <v>45344</v>
          </cell>
          <cell r="P83">
            <v>0</v>
          </cell>
          <cell r="Q83">
            <v>0</v>
          </cell>
          <cell r="R83">
            <v>0</v>
          </cell>
          <cell r="S83">
            <v>45349</v>
          </cell>
          <cell r="T83">
            <v>45351</v>
          </cell>
          <cell r="U83">
            <v>45352</v>
          </cell>
          <cell r="V83">
            <v>0</v>
          </cell>
          <cell r="W83">
            <v>0</v>
          </cell>
          <cell r="X83">
            <v>45359</v>
          </cell>
          <cell r="Y83">
            <v>45359</v>
          </cell>
          <cell r="Z83">
            <v>0</v>
          </cell>
          <cell r="AA83">
            <v>480000</v>
          </cell>
          <cell r="AB83">
            <v>0</v>
          </cell>
          <cell r="AC83">
            <v>480000</v>
          </cell>
          <cell r="AD83">
            <v>480000</v>
          </cell>
          <cell r="AE83">
            <v>0</v>
          </cell>
          <cell r="AF83">
            <v>480000</v>
          </cell>
          <cell r="AG83" t="str">
            <v>C</v>
          </cell>
          <cell r="AH83" t="str">
            <v>ENGR. MICHAEL C. SALARDA
MS. LEONARDA M. LATOR
MS. CARMENCITA VALDEZ
MS. SORAYA P. VERGARA</v>
          </cell>
          <cell r="AI83" t="str">
            <v>N/A</v>
          </cell>
          <cell r="AJ83" t="str">
            <v>N/A</v>
          </cell>
          <cell r="AK83" t="str">
            <v>N/A</v>
          </cell>
          <cell r="AL83" t="str">
            <v>N/A</v>
          </cell>
          <cell r="AM83" t="str">
            <v>N/A</v>
          </cell>
          <cell r="AN83" t="str">
            <v>N/A</v>
          </cell>
          <cell r="AO83" t="str">
            <v>COMPLETED</v>
          </cell>
        </row>
        <row r="84">
          <cell r="A84" t="str">
            <v>24-1086</v>
          </cell>
          <cell r="B84" t="str">
            <v>FOOD/CATERING SERVICES</v>
          </cell>
          <cell r="C84" t="str">
            <v>PGO</v>
          </cell>
          <cell r="D84" t="str">
            <v>No</v>
          </cell>
          <cell r="E84" t="str">
            <v>NP-53.9 - Small Value Procurement</v>
          </cell>
          <cell r="F84" t="str">
            <v>N/A</v>
          </cell>
          <cell r="G84">
            <v>45337</v>
          </cell>
          <cell r="H84">
            <v>0</v>
          </cell>
          <cell r="I84" t="str">
            <v>N/A</v>
          </cell>
          <cell r="J84">
            <v>45342</v>
          </cell>
          <cell r="K84">
            <v>45342</v>
          </cell>
          <cell r="L84">
            <v>0</v>
          </cell>
          <cell r="M84" t="str">
            <v>N/A</v>
          </cell>
          <cell r="N84" t="str">
            <v>N/A</v>
          </cell>
          <cell r="O84">
            <v>45344</v>
          </cell>
          <cell r="P84">
            <v>0</v>
          </cell>
          <cell r="Q84">
            <v>0</v>
          </cell>
          <cell r="R84">
            <v>0</v>
          </cell>
          <cell r="S84" t="str">
            <v>N/A</v>
          </cell>
          <cell r="T84">
            <v>45350</v>
          </cell>
          <cell r="U84">
            <v>45351</v>
          </cell>
          <cell r="V84">
            <v>0</v>
          </cell>
          <cell r="W84">
            <v>0</v>
          </cell>
          <cell r="X84">
            <v>45358</v>
          </cell>
          <cell r="Y84">
            <v>45358</v>
          </cell>
          <cell r="Z84">
            <v>0</v>
          </cell>
          <cell r="AA84">
            <v>25000</v>
          </cell>
          <cell r="AB84">
            <v>0</v>
          </cell>
          <cell r="AC84">
            <v>25000</v>
          </cell>
          <cell r="AD84">
            <v>25000</v>
          </cell>
          <cell r="AE84">
            <v>0</v>
          </cell>
          <cell r="AF84">
            <v>25000</v>
          </cell>
          <cell r="AG84" t="str">
            <v>C</v>
          </cell>
          <cell r="AH84" t="str">
            <v>ENGR. MICHAEL C. SALARDA
MS. LEONARDA M. LATOR
MS. CARMENCITA VALDEZ
MS. SORAYA P. VERGARA</v>
          </cell>
          <cell r="AI84" t="str">
            <v>N/A</v>
          </cell>
          <cell r="AJ84" t="str">
            <v>N/A</v>
          </cell>
          <cell r="AK84" t="str">
            <v>N/A</v>
          </cell>
          <cell r="AL84" t="str">
            <v>N/A</v>
          </cell>
          <cell r="AM84" t="str">
            <v>N/A</v>
          </cell>
          <cell r="AN84" t="str">
            <v>N/A</v>
          </cell>
          <cell r="AO84" t="str">
            <v>COMPLETED</v>
          </cell>
        </row>
        <row r="85">
          <cell r="A85" t="str">
            <v>24-0648</v>
          </cell>
          <cell r="B85" t="str">
            <v>DUPLICATING PRODUCTS/SPAREPARTS</v>
          </cell>
          <cell r="C85" t="str">
            <v>PASSO</v>
          </cell>
          <cell r="D85" t="str">
            <v>No</v>
          </cell>
          <cell r="E85" t="str">
            <v>Direct Contracting</v>
          </cell>
          <cell r="F85" t="str">
            <v>N/A</v>
          </cell>
          <cell r="G85">
            <v>45330</v>
          </cell>
          <cell r="H85">
            <v>0</v>
          </cell>
          <cell r="I85" t="str">
            <v>N/A</v>
          </cell>
          <cell r="J85">
            <v>45342</v>
          </cell>
          <cell r="K85">
            <v>45342</v>
          </cell>
          <cell r="L85">
            <v>0</v>
          </cell>
          <cell r="M85" t="str">
            <v>N/A</v>
          </cell>
          <cell r="N85" t="str">
            <v>N/A</v>
          </cell>
          <cell r="O85">
            <v>45344</v>
          </cell>
          <cell r="P85">
            <v>0</v>
          </cell>
          <cell r="Q85">
            <v>0</v>
          </cell>
          <cell r="R85">
            <v>0</v>
          </cell>
          <cell r="S85" t="str">
            <v>N/A</v>
          </cell>
          <cell r="T85">
            <v>45350</v>
          </cell>
          <cell r="U85">
            <v>45355</v>
          </cell>
          <cell r="V85">
            <v>0</v>
          </cell>
          <cell r="W85">
            <v>0</v>
          </cell>
          <cell r="X85">
            <v>45358</v>
          </cell>
          <cell r="Y85">
            <v>45358</v>
          </cell>
          <cell r="Z85">
            <v>0</v>
          </cell>
          <cell r="AA85">
            <v>49533</v>
          </cell>
          <cell r="AB85">
            <v>49533</v>
          </cell>
          <cell r="AC85">
            <v>0</v>
          </cell>
          <cell r="AD85">
            <v>42875</v>
          </cell>
          <cell r="AE85">
            <v>42875</v>
          </cell>
          <cell r="AF85">
            <v>0</v>
          </cell>
          <cell r="AG85" t="str">
            <v>M</v>
          </cell>
          <cell r="AH85" t="str">
            <v>ENGR. MICHAEL C. SALARDA
MS. LEONARDA M. LATOR
MS. CARMENCITA VALDEZ
MS. SORAYA P. VERGARA</v>
          </cell>
          <cell r="AI85" t="str">
            <v>N/A</v>
          </cell>
          <cell r="AJ85" t="str">
            <v>N/A</v>
          </cell>
          <cell r="AK85" t="str">
            <v>N/A</v>
          </cell>
          <cell r="AL85" t="str">
            <v>N/A</v>
          </cell>
          <cell r="AM85" t="str">
            <v>N/A</v>
          </cell>
          <cell r="AN85" t="str">
            <v>N/A</v>
          </cell>
          <cell r="AO85" t="str">
            <v>COMPLETED</v>
          </cell>
        </row>
        <row r="86">
          <cell r="A86" t="str">
            <v>24-C0985</v>
          </cell>
          <cell r="B86" t="str">
            <v>LABORATORY SUPPLIES</v>
          </cell>
          <cell r="C86" t="str">
            <v>PEEMO</v>
          </cell>
          <cell r="D86" t="str">
            <v>No</v>
          </cell>
          <cell r="E86" t="str">
            <v>Direct Contracting</v>
          </cell>
          <cell r="F86">
            <v>45322</v>
          </cell>
          <cell r="G86">
            <v>45335</v>
          </cell>
          <cell r="H86">
            <v>0</v>
          </cell>
          <cell r="I86" t="str">
            <v>N/A</v>
          </cell>
          <cell r="J86">
            <v>45342</v>
          </cell>
          <cell r="K86">
            <v>45342</v>
          </cell>
          <cell r="L86">
            <v>0</v>
          </cell>
          <cell r="M86" t="str">
            <v>N/A</v>
          </cell>
          <cell r="N86" t="str">
            <v>N/A</v>
          </cell>
          <cell r="O86">
            <v>45344</v>
          </cell>
          <cell r="P86">
            <v>0</v>
          </cell>
          <cell r="Q86">
            <v>0</v>
          </cell>
          <cell r="R86">
            <v>0</v>
          </cell>
          <cell r="S86" t="str">
            <v>N/A</v>
          </cell>
          <cell r="T86">
            <v>45352</v>
          </cell>
          <cell r="U86">
            <v>45355</v>
          </cell>
          <cell r="V86">
            <v>0</v>
          </cell>
          <cell r="W86">
            <v>0</v>
          </cell>
          <cell r="X86">
            <v>45355</v>
          </cell>
          <cell r="Y86">
            <v>45355</v>
          </cell>
          <cell r="Z86">
            <v>0</v>
          </cell>
          <cell r="AA86">
            <v>2292500</v>
          </cell>
          <cell r="AB86">
            <v>2292500</v>
          </cell>
          <cell r="AC86">
            <v>0</v>
          </cell>
          <cell r="AD86">
            <v>2292500</v>
          </cell>
          <cell r="AE86">
            <v>2292500</v>
          </cell>
          <cell r="AF86">
            <v>0</v>
          </cell>
          <cell r="AG86" t="str">
            <v>M</v>
          </cell>
          <cell r="AH86" t="str">
            <v>ENGR. MICHAEL C. SALARDA
MS. LEONARDA M. LATOR
MS. CARMENCITA VALDEZ
MS. SORAYA P. VERGARA</v>
          </cell>
          <cell r="AI86" t="str">
            <v>N/A</v>
          </cell>
          <cell r="AJ86" t="str">
            <v>N/A</v>
          </cell>
          <cell r="AK86" t="str">
            <v>N/A</v>
          </cell>
          <cell r="AL86" t="str">
            <v>N/A</v>
          </cell>
          <cell r="AM86" t="str">
            <v>N/A</v>
          </cell>
          <cell r="AN86" t="str">
            <v>N/A</v>
          </cell>
          <cell r="AO86" t="str">
            <v>COMPLETED</v>
          </cell>
        </row>
        <row r="87">
          <cell r="A87" t="str">
            <v>24-C0984</v>
          </cell>
          <cell r="B87" t="str">
            <v>MEDICAL SUPPLIES</v>
          </cell>
          <cell r="C87" t="str">
            <v>PEEMO</v>
          </cell>
          <cell r="D87" t="str">
            <v>No</v>
          </cell>
          <cell r="E87" t="str">
            <v>Direct Contracting</v>
          </cell>
          <cell r="F87">
            <v>45322</v>
          </cell>
          <cell r="G87">
            <v>45335</v>
          </cell>
          <cell r="H87">
            <v>0</v>
          </cell>
          <cell r="I87" t="str">
            <v>N/A</v>
          </cell>
          <cell r="J87">
            <v>45342</v>
          </cell>
          <cell r="K87">
            <v>45342</v>
          </cell>
          <cell r="L87">
            <v>0</v>
          </cell>
          <cell r="M87" t="str">
            <v>N/A</v>
          </cell>
          <cell r="N87" t="str">
            <v>N/A</v>
          </cell>
          <cell r="O87">
            <v>45344</v>
          </cell>
          <cell r="P87">
            <v>0</v>
          </cell>
          <cell r="Q87">
            <v>0</v>
          </cell>
          <cell r="R87">
            <v>0</v>
          </cell>
          <cell r="S87" t="str">
            <v>N/A</v>
          </cell>
          <cell r="T87">
            <v>45351</v>
          </cell>
          <cell r="U87">
            <v>45355</v>
          </cell>
          <cell r="V87">
            <v>0</v>
          </cell>
          <cell r="W87">
            <v>0</v>
          </cell>
          <cell r="X87">
            <v>45360</v>
          </cell>
          <cell r="Y87">
            <v>45360</v>
          </cell>
          <cell r="Z87">
            <v>0</v>
          </cell>
          <cell r="AA87">
            <v>3138000</v>
          </cell>
          <cell r="AB87">
            <v>3138000</v>
          </cell>
          <cell r="AC87">
            <v>0</v>
          </cell>
          <cell r="AD87">
            <v>3138000</v>
          </cell>
          <cell r="AE87">
            <v>3138000</v>
          </cell>
          <cell r="AF87">
            <v>0</v>
          </cell>
          <cell r="AG87" t="str">
            <v>M</v>
          </cell>
          <cell r="AH87" t="str">
            <v>ENGR. MICHAEL C. SALARDA
MS. LEONARDA M. LATOR
MS. CARMENCITA VALDEZ
MS. SORAYA P. VERGARA</v>
          </cell>
          <cell r="AI87" t="str">
            <v>N/A</v>
          </cell>
          <cell r="AJ87" t="str">
            <v>N/A</v>
          </cell>
          <cell r="AK87" t="str">
            <v>N/A</v>
          </cell>
          <cell r="AL87" t="str">
            <v>N/A</v>
          </cell>
          <cell r="AM87" t="str">
            <v>N/A</v>
          </cell>
          <cell r="AN87" t="str">
            <v>N/A</v>
          </cell>
          <cell r="AO87" t="str">
            <v>COMPLETED</v>
          </cell>
        </row>
        <row r="88">
          <cell r="A88" t="str">
            <v>24-C0989</v>
          </cell>
          <cell r="B88" t="str">
            <v>LABORATORY SUPPLIES</v>
          </cell>
          <cell r="C88" t="str">
            <v>PEEMO</v>
          </cell>
          <cell r="D88" t="str">
            <v>No</v>
          </cell>
          <cell r="E88" t="str">
            <v>Direct Contracting</v>
          </cell>
          <cell r="F88">
            <v>45322</v>
          </cell>
          <cell r="G88">
            <v>45335</v>
          </cell>
          <cell r="H88">
            <v>0</v>
          </cell>
          <cell r="I88" t="str">
            <v>N/A</v>
          </cell>
          <cell r="J88">
            <v>45342</v>
          </cell>
          <cell r="K88">
            <v>45342</v>
          </cell>
          <cell r="L88">
            <v>0</v>
          </cell>
          <cell r="M88" t="str">
            <v>N/A</v>
          </cell>
          <cell r="N88" t="str">
            <v>N/A</v>
          </cell>
          <cell r="O88">
            <v>45344</v>
          </cell>
          <cell r="P88">
            <v>0</v>
          </cell>
          <cell r="Q88">
            <v>0</v>
          </cell>
          <cell r="R88">
            <v>0</v>
          </cell>
          <cell r="S88" t="str">
            <v>N/A</v>
          </cell>
          <cell r="T88">
            <v>45351</v>
          </cell>
          <cell r="U88">
            <v>45355</v>
          </cell>
          <cell r="V88">
            <v>0</v>
          </cell>
          <cell r="W88">
            <v>0</v>
          </cell>
          <cell r="X88">
            <v>45404</v>
          </cell>
          <cell r="Y88">
            <v>45404</v>
          </cell>
          <cell r="Z88">
            <v>0</v>
          </cell>
          <cell r="AA88">
            <v>1254000</v>
          </cell>
          <cell r="AB88">
            <v>1254000</v>
          </cell>
          <cell r="AC88">
            <v>0</v>
          </cell>
          <cell r="AD88">
            <v>1254000</v>
          </cell>
          <cell r="AE88">
            <v>1254000</v>
          </cell>
          <cell r="AF88">
            <v>0</v>
          </cell>
          <cell r="AG88" t="str">
            <v>M</v>
          </cell>
          <cell r="AH88" t="str">
            <v>ENGR. MICHAEL C. SALARDA
MS. LEONARDA M. LATOR
MS. CARMENCITA VALDEZ
MS. SORAYA P. VERGARA</v>
          </cell>
          <cell r="AI88" t="str">
            <v>N/A</v>
          </cell>
          <cell r="AJ88" t="str">
            <v>N/A</v>
          </cell>
          <cell r="AK88" t="str">
            <v>N/A</v>
          </cell>
          <cell r="AL88" t="str">
            <v>N/A</v>
          </cell>
          <cell r="AM88" t="str">
            <v>N/A</v>
          </cell>
          <cell r="AN88" t="str">
            <v>N/A</v>
          </cell>
          <cell r="AO88" t="str">
            <v>COMPLETED</v>
          </cell>
        </row>
        <row r="89">
          <cell r="A89" t="str">
            <v>24-0863</v>
          </cell>
          <cell r="B89" t="str">
            <v>INTERNET SUBSCRIPTION</v>
          </cell>
          <cell r="C89" t="str">
            <v>SPO</v>
          </cell>
          <cell r="D89" t="str">
            <v>No</v>
          </cell>
          <cell r="E89" t="str">
            <v>Direct Contracting</v>
          </cell>
          <cell r="F89" t="str">
            <v>N/A</v>
          </cell>
          <cell r="G89">
            <v>45335</v>
          </cell>
          <cell r="H89">
            <v>0</v>
          </cell>
          <cell r="I89" t="str">
            <v>N/A</v>
          </cell>
          <cell r="J89">
            <v>45342</v>
          </cell>
          <cell r="K89">
            <v>45342</v>
          </cell>
          <cell r="L89">
            <v>0</v>
          </cell>
          <cell r="M89" t="str">
            <v>N/A</v>
          </cell>
          <cell r="N89" t="str">
            <v>N/A</v>
          </cell>
          <cell r="O89">
            <v>45344</v>
          </cell>
          <cell r="P89">
            <v>0</v>
          </cell>
          <cell r="Q89">
            <v>0</v>
          </cell>
          <cell r="R89">
            <v>0</v>
          </cell>
          <cell r="S89" t="str">
            <v>N/A</v>
          </cell>
          <cell r="T89">
            <v>45425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360000</v>
          </cell>
          <cell r="AB89">
            <v>360000</v>
          </cell>
          <cell r="AC89">
            <v>0</v>
          </cell>
          <cell r="AD89">
            <v>248640</v>
          </cell>
          <cell r="AE89">
            <v>248640</v>
          </cell>
          <cell r="AF89">
            <v>0</v>
          </cell>
          <cell r="AG89" t="str">
            <v>M</v>
          </cell>
          <cell r="AH89" t="str">
            <v>ENGR. MICHAEL C. SALARDA
MS. LEONARDA M. LATOR
MS. CARMENCITA VALDEZ
MS. SORAYA P. VERGARA</v>
          </cell>
          <cell r="AI89" t="str">
            <v>N/A</v>
          </cell>
          <cell r="AJ89" t="str">
            <v>N/A</v>
          </cell>
          <cell r="AK89" t="str">
            <v>N/A</v>
          </cell>
          <cell r="AL89" t="str">
            <v>N/A</v>
          </cell>
          <cell r="AM89" t="str">
            <v>N/A</v>
          </cell>
          <cell r="AN89" t="str">
            <v>N/A</v>
          </cell>
          <cell r="AO89" t="str">
            <v>FOR CAFOA SIGNING</v>
          </cell>
        </row>
        <row r="90">
          <cell r="A90" t="str">
            <v>24-C1006</v>
          </cell>
          <cell r="B90" t="str">
            <v>LABORATORY SUPPLIES/REAGENT</v>
          </cell>
          <cell r="C90" t="str">
            <v>DDOPH-Montevista</v>
          </cell>
          <cell r="D90" t="str">
            <v>No</v>
          </cell>
          <cell r="E90" t="str">
            <v>Direct Contracting</v>
          </cell>
          <cell r="F90">
            <v>45322</v>
          </cell>
          <cell r="G90">
            <v>45335</v>
          </cell>
          <cell r="H90">
            <v>0</v>
          </cell>
          <cell r="I90" t="str">
            <v>N/A</v>
          </cell>
          <cell r="J90">
            <v>45342</v>
          </cell>
          <cell r="K90">
            <v>45342</v>
          </cell>
          <cell r="L90">
            <v>0</v>
          </cell>
          <cell r="M90" t="str">
            <v>N/A</v>
          </cell>
          <cell r="N90" t="str">
            <v>N/A</v>
          </cell>
          <cell r="O90">
            <v>45344</v>
          </cell>
          <cell r="P90">
            <v>0</v>
          </cell>
          <cell r="Q90">
            <v>0</v>
          </cell>
          <cell r="R90">
            <v>0</v>
          </cell>
          <cell r="S90" t="str">
            <v>N/A</v>
          </cell>
          <cell r="T90">
            <v>45351</v>
          </cell>
          <cell r="U90">
            <v>45355</v>
          </cell>
          <cell r="V90">
            <v>0</v>
          </cell>
          <cell r="W90">
            <v>0</v>
          </cell>
          <cell r="X90">
            <v>45420</v>
          </cell>
          <cell r="Y90">
            <v>45420</v>
          </cell>
          <cell r="Z90">
            <v>0</v>
          </cell>
          <cell r="AA90">
            <v>106000</v>
          </cell>
          <cell r="AB90">
            <v>106000</v>
          </cell>
          <cell r="AC90">
            <v>0</v>
          </cell>
          <cell r="AD90">
            <v>102000</v>
          </cell>
          <cell r="AE90">
            <v>102000</v>
          </cell>
          <cell r="AF90">
            <v>0</v>
          </cell>
          <cell r="AG90" t="str">
            <v>M</v>
          </cell>
          <cell r="AH90" t="str">
            <v>ENGR. MICHAEL C. SALARDA
MS. LEONARDA M. LATOR
MS. CARMENCITA VALDEZ
MS. SORAYA P. VERGARA</v>
          </cell>
          <cell r="AI90" t="str">
            <v>N/A</v>
          </cell>
          <cell r="AJ90" t="str">
            <v>N/A</v>
          </cell>
          <cell r="AK90" t="str">
            <v>N/A</v>
          </cell>
          <cell r="AL90" t="str">
            <v>N/A</v>
          </cell>
          <cell r="AM90" t="str">
            <v>N/A</v>
          </cell>
          <cell r="AN90" t="str">
            <v>N/A</v>
          </cell>
          <cell r="AO90" t="str">
            <v>COMPLETED</v>
          </cell>
        </row>
        <row r="91">
          <cell r="A91" t="str">
            <v>24-C0991</v>
          </cell>
          <cell r="B91" t="str">
            <v>LABORATORY SUPPLIES/REAGENT</v>
          </cell>
          <cell r="C91" t="str">
            <v>PEEMO</v>
          </cell>
          <cell r="D91" t="str">
            <v>No</v>
          </cell>
          <cell r="E91" t="str">
            <v>Direct Contracting</v>
          </cell>
          <cell r="F91" t="str">
            <v>N/A</v>
          </cell>
          <cell r="G91">
            <v>45335</v>
          </cell>
          <cell r="H91">
            <v>0</v>
          </cell>
          <cell r="I91" t="str">
            <v>N/A</v>
          </cell>
          <cell r="J91">
            <v>45342</v>
          </cell>
          <cell r="K91">
            <v>45342</v>
          </cell>
          <cell r="L91">
            <v>0</v>
          </cell>
          <cell r="M91" t="str">
            <v>N/A</v>
          </cell>
          <cell r="N91" t="str">
            <v>N/A</v>
          </cell>
          <cell r="O91">
            <v>45344</v>
          </cell>
          <cell r="P91">
            <v>0</v>
          </cell>
          <cell r="Q91">
            <v>0</v>
          </cell>
          <cell r="R91">
            <v>0</v>
          </cell>
          <cell r="S91" t="str">
            <v>N/A</v>
          </cell>
          <cell r="T91">
            <v>45351</v>
          </cell>
          <cell r="U91">
            <v>45355</v>
          </cell>
          <cell r="V91">
            <v>0</v>
          </cell>
          <cell r="W91">
            <v>0</v>
          </cell>
          <cell r="X91">
            <v>45446</v>
          </cell>
          <cell r="Y91">
            <v>45446</v>
          </cell>
          <cell r="Z91">
            <v>0</v>
          </cell>
          <cell r="AA91">
            <v>985450</v>
          </cell>
          <cell r="AB91">
            <v>985450</v>
          </cell>
          <cell r="AC91">
            <v>0</v>
          </cell>
          <cell r="AD91">
            <v>985450</v>
          </cell>
          <cell r="AE91">
            <v>985450</v>
          </cell>
          <cell r="AF91">
            <v>0</v>
          </cell>
          <cell r="AG91" t="str">
            <v>M</v>
          </cell>
          <cell r="AH91" t="str">
            <v>ENGR. MICHAEL C. SALARDA
MS. LEONARDA M. LATOR
MS. CARMENCITA VALDEZ
MS. SORAYA P. VERGARA</v>
          </cell>
          <cell r="AI91" t="str">
            <v>N/A</v>
          </cell>
          <cell r="AJ91" t="str">
            <v>N/A</v>
          </cell>
          <cell r="AK91" t="str">
            <v>N/A</v>
          </cell>
          <cell r="AL91" t="str">
            <v>N/A</v>
          </cell>
          <cell r="AM91" t="str">
            <v>N/A</v>
          </cell>
          <cell r="AN91" t="str">
            <v>N/A</v>
          </cell>
          <cell r="AO91" t="str">
            <v>COMPLETED</v>
          </cell>
        </row>
        <row r="92">
          <cell r="A92" t="str">
            <v>24-C0987</v>
          </cell>
          <cell r="B92" t="str">
            <v>LABORATORY SUPPLIES</v>
          </cell>
          <cell r="C92" t="str">
            <v>PEEMO</v>
          </cell>
          <cell r="D92" t="str">
            <v>No</v>
          </cell>
          <cell r="E92" t="str">
            <v>Direct Contracting</v>
          </cell>
          <cell r="F92">
            <v>45322</v>
          </cell>
          <cell r="G92">
            <v>45335</v>
          </cell>
          <cell r="H92">
            <v>0</v>
          </cell>
          <cell r="I92" t="str">
            <v>N/A</v>
          </cell>
          <cell r="J92">
            <v>45342</v>
          </cell>
          <cell r="K92">
            <v>45342</v>
          </cell>
          <cell r="L92">
            <v>0</v>
          </cell>
          <cell r="M92" t="str">
            <v>N/A</v>
          </cell>
          <cell r="N92" t="str">
            <v>N/A</v>
          </cell>
          <cell r="O92">
            <v>45344</v>
          </cell>
          <cell r="P92">
            <v>0</v>
          </cell>
          <cell r="Q92">
            <v>0</v>
          </cell>
          <cell r="R92">
            <v>0</v>
          </cell>
          <cell r="S92" t="str">
            <v>N/A</v>
          </cell>
          <cell r="T92">
            <v>45351</v>
          </cell>
          <cell r="U92">
            <v>45355</v>
          </cell>
          <cell r="V92">
            <v>0</v>
          </cell>
          <cell r="W92">
            <v>0</v>
          </cell>
          <cell r="X92">
            <v>45450</v>
          </cell>
          <cell r="Y92">
            <v>45450</v>
          </cell>
          <cell r="Z92">
            <v>0</v>
          </cell>
          <cell r="AA92">
            <v>768750</v>
          </cell>
          <cell r="AB92">
            <v>768750</v>
          </cell>
          <cell r="AC92">
            <v>0</v>
          </cell>
          <cell r="AD92">
            <v>768750</v>
          </cell>
          <cell r="AE92">
            <v>768750</v>
          </cell>
          <cell r="AF92">
            <v>0</v>
          </cell>
          <cell r="AG92" t="str">
            <v>M</v>
          </cell>
          <cell r="AH92" t="str">
            <v>ENGR. MICHAEL C. SALARDA
MS. LEONARDA M. LATOR
MS. CARMENCITA VALDEZ
MS. SORAYA P. VERGARA</v>
          </cell>
          <cell r="AI92" t="str">
            <v>N/A</v>
          </cell>
          <cell r="AJ92" t="str">
            <v>N/A</v>
          </cell>
          <cell r="AK92" t="str">
            <v>N/A</v>
          </cell>
          <cell r="AL92" t="str">
            <v>N/A</v>
          </cell>
          <cell r="AM92" t="str">
            <v>N/A</v>
          </cell>
          <cell r="AN92" t="str">
            <v>N/A</v>
          </cell>
          <cell r="AO92" t="str">
            <v>COMPLETED</v>
          </cell>
        </row>
        <row r="93">
          <cell r="A93" t="str">
            <v>24-C1075</v>
          </cell>
          <cell r="B93" t="str">
            <v>FOOD SUPPLIES</v>
          </cell>
          <cell r="C93" t="str">
            <v>PDRRMO</v>
          </cell>
          <cell r="D93" t="str">
            <v>No</v>
          </cell>
          <cell r="E93" t="str">
            <v>NP-53.2 Emergency Cases</v>
          </cell>
          <cell r="F93" t="str">
            <v>N/A</v>
          </cell>
          <cell r="G93">
            <v>45335</v>
          </cell>
          <cell r="H93">
            <v>0</v>
          </cell>
          <cell r="I93" t="str">
            <v>N/A</v>
          </cell>
          <cell r="J93">
            <v>45335</v>
          </cell>
          <cell r="K93">
            <v>45335</v>
          </cell>
          <cell r="L93">
            <v>0</v>
          </cell>
          <cell r="M93" t="str">
            <v>N/A</v>
          </cell>
          <cell r="N93" t="str">
            <v>N/A</v>
          </cell>
          <cell r="O93">
            <v>45337</v>
          </cell>
          <cell r="P93">
            <v>0</v>
          </cell>
          <cell r="Q93">
            <v>0</v>
          </cell>
          <cell r="R93">
            <v>0</v>
          </cell>
          <cell r="S93">
            <v>45337</v>
          </cell>
          <cell r="T93">
            <v>45337</v>
          </cell>
          <cell r="U93">
            <v>45337</v>
          </cell>
          <cell r="V93">
            <v>0</v>
          </cell>
          <cell r="W93">
            <v>0</v>
          </cell>
          <cell r="X93">
            <v>45337</v>
          </cell>
          <cell r="Y93">
            <v>45337</v>
          </cell>
          <cell r="Z93">
            <v>0</v>
          </cell>
          <cell r="AA93">
            <v>3098368</v>
          </cell>
          <cell r="AB93">
            <v>0</v>
          </cell>
          <cell r="AC93">
            <v>3098368</v>
          </cell>
          <cell r="AD93">
            <v>3070984</v>
          </cell>
          <cell r="AE93">
            <v>0</v>
          </cell>
          <cell r="AF93">
            <v>3070984</v>
          </cell>
          <cell r="AG93" t="str">
            <v>C</v>
          </cell>
          <cell r="AH93" t="str">
            <v>ENGR. MICHAEL C. SALARDA
MS. LEONARDA M. LATOR
MS. CARMENCITA VALDEZ
MS. SORAYA P. VERGARA</v>
          </cell>
          <cell r="AI93" t="str">
            <v>N/A</v>
          </cell>
          <cell r="AJ93" t="str">
            <v>N/A</v>
          </cell>
          <cell r="AK93" t="str">
            <v>N/A</v>
          </cell>
          <cell r="AL93" t="str">
            <v>N/A</v>
          </cell>
          <cell r="AM93" t="str">
            <v>N/A</v>
          </cell>
          <cell r="AN93" t="str">
            <v>N/A</v>
          </cell>
          <cell r="AO93" t="str">
            <v>COMPLETED</v>
          </cell>
        </row>
        <row r="94">
          <cell r="A94" t="str">
            <v>24-1149</v>
          </cell>
          <cell r="B94" t="str">
            <v>CAUTION 500M</v>
          </cell>
          <cell r="C94" t="str">
            <v>PDRRMO</v>
          </cell>
          <cell r="D94" t="str">
            <v>No</v>
          </cell>
          <cell r="E94" t="str">
            <v>NP-53.2 Emergency Cases</v>
          </cell>
          <cell r="F94" t="str">
            <v>N/A</v>
          </cell>
          <cell r="G94">
            <v>45342</v>
          </cell>
          <cell r="H94">
            <v>0</v>
          </cell>
          <cell r="I94" t="str">
            <v>N/A</v>
          </cell>
          <cell r="J94">
            <v>45342</v>
          </cell>
          <cell r="K94">
            <v>45342</v>
          </cell>
          <cell r="L94">
            <v>0</v>
          </cell>
          <cell r="M94" t="str">
            <v>N/A</v>
          </cell>
          <cell r="N94" t="str">
            <v>N/A</v>
          </cell>
          <cell r="O94">
            <v>45344</v>
          </cell>
          <cell r="P94">
            <v>0</v>
          </cell>
          <cell r="Q94">
            <v>0</v>
          </cell>
          <cell r="R94">
            <v>0</v>
          </cell>
          <cell r="S94">
            <v>45351</v>
          </cell>
          <cell r="T94">
            <v>45355</v>
          </cell>
          <cell r="U94">
            <v>45357</v>
          </cell>
          <cell r="V94">
            <v>0</v>
          </cell>
          <cell r="W94">
            <v>0</v>
          </cell>
          <cell r="X94">
            <v>45358</v>
          </cell>
          <cell r="Y94">
            <v>45358</v>
          </cell>
          <cell r="Z94">
            <v>0</v>
          </cell>
          <cell r="AA94">
            <v>67500</v>
          </cell>
          <cell r="AB94">
            <v>0</v>
          </cell>
          <cell r="AC94">
            <v>67500</v>
          </cell>
          <cell r="AD94">
            <v>66500</v>
          </cell>
          <cell r="AE94">
            <v>0</v>
          </cell>
          <cell r="AF94">
            <v>66500</v>
          </cell>
          <cell r="AG94" t="str">
            <v>C</v>
          </cell>
          <cell r="AH94" t="str">
            <v>ENGR. MICHAEL C. SALARDA
MS. LEONARDA M. LATOR
MS. CARMENCITA VALDEZ
MS. SORAYA P. VERGARA</v>
          </cell>
          <cell r="AI94" t="str">
            <v>N/A</v>
          </cell>
          <cell r="AJ94" t="str">
            <v>N/A</v>
          </cell>
          <cell r="AK94" t="str">
            <v>N/A</v>
          </cell>
          <cell r="AL94" t="str">
            <v>N/A</v>
          </cell>
          <cell r="AM94" t="str">
            <v>N/A</v>
          </cell>
          <cell r="AN94" t="str">
            <v>N/A</v>
          </cell>
          <cell r="AO94" t="str">
            <v>COMPLETED</v>
          </cell>
        </row>
        <row r="95">
          <cell r="A95" t="str">
            <v>24-0867</v>
          </cell>
          <cell r="B95" t="str">
            <v>SPAREPARTS (LIGHT VEHICLES)</v>
          </cell>
          <cell r="C95" t="str">
            <v>SPO</v>
          </cell>
          <cell r="D95" t="str">
            <v>No</v>
          </cell>
          <cell r="E95" t="str">
            <v>Shopping 52.1(a) - Unforeseen Contingency</v>
          </cell>
          <cell r="F95" t="str">
            <v>N/A</v>
          </cell>
          <cell r="G95">
            <v>45338</v>
          </cell>
          <cell r="H95">
            <v>0</v>
          </cell>
          <cell r="I95" t="str">
            <v>N/A</v>
          </cell>
          <cell r="J95">
            <v>45356</v>
          </cell>
          <cell r="K95">
            <v>45356</v>
          </cell>
          <cell r="L95">
            <v>0</v>
          </cell>
          <cell r="M95" t="str">
            <v>N/A</v>
          </cell>
          <cell r="N95" t="str">
            <v>N/A</v>
          </cell>
          <cell r="O95">
            <v>45357</v>
          </cell>
          <cell r="P95">
            <v>0</v>
          </cell>
          <cell r="Q95">
            <v>0</v>
          </cell>
          <cell r="R95">
            <v>0</v>
          </cell>
          <cell r="S95" t="str">
            <v>N/A</v>
          </cell>
          <cell r="T95">
            <v>45384</v>
          </cell>
          <cell r="U95">
            <v>45390</v>
          </cell>
          <cell r="V95">
            <v>0</v>
          </cell>
          <cell r="W95">
            <v>0</v>
          </cell>
          <cell r="X95">
            <v>45390</v>
          </cell>
          <cell r="Y95">
            <v>45390</v>
          </cell>
          <cell r="Z95">
            <v>0</v>
          </cell>
          <cell r="AA95">
            <v>7316</v>
          </cell>
          <cell r="AB95">
            <v>7316</v>
          </cell>
          <cell r="AC95">
            <v>0</v>
          </cell>
          <cell r="AD95">
            <v>7316</v>
          </cell>
          <cell r="AE95">
            <v>7316</v>
          </cell>
          <cell r="AF95">
            <v>0</v>
          </cell>
          <cell r="AG95" t="str">
            <v>M</v>
          </cell>
          <cell r="AH95" t="str">
            <v>ENGR. MICHAEL C. SALARDA
MS. LEONARDA M. LATOR
MS. CARMENCITA VALDEZ
MS. SORAYA P. VERGARA</v>
          </cell>
          <cell r="AI95" t="str">
            <v>N/A</v>
          </cell>
          <cell r="AJ95" t="str">
            <v>N/A</v>
          </cell>
          <cell r="AK95" t="str">
            <v>N/A</v>
          </cell>
          <cell r="AL95" t="str">
            <v>N/A</v>
          </cell>
          <cell r="AM95" t="str">
            <v>N/A</v>
          </cell>
          <cell r="AN95" t="str">
            <v>N/A</v>
          </cell>
          <cell r="AO95" t="str">
            <v>COMPLETED</v>
          </cell>
        </row>
        <row r="96">
          <cell r="A96" t="str">
            <v>24-1196</v>
          </cell>
          <cell r="B96" t="str">
            <v>SPAREPARTS (LIGHT VEHICLES)</v>
          </cell>
          <cell r="C96" t="str">
            <v>PGSO</v>
          </cell>
          <cell r="D96" t="str">
            <v>No</v>
          </cell>
          <cell r="E96" t="str">
            <v>Shopping 52.1(a) - Unforeseen Contingency</v>
          </cell>
          <cell r="F96" t="str">
            <v>N/A</v>
          </cell>
          <cell r="G96">
            <v>45352</v>
          </cell>
          <cell r="H96">
            <v>0</v>
          </cell>
          <cell r="I96" t="str">
            <v>N/A</v>
          </cell>
          <cell r="J96">
            <v>45356</v>
          </cell>
          <cell r="K96">
            <v>45356</v>
          </cell>
          <cell r="L96">
            <v>0</v>
          </cell>
          <cell r="M96" t="str">
            <v>N/A</v>
          </cell>
          <cell r="N96" t="str">
            <v>N/A</v>
          </cell>
          <cell r="O96">
            <v>45357</v>
          </cell>
          <cell r="P96">
            <v>0</v>
          </cell>
          <cell r="Q96">
            <v>0</v>
          </cell>
          <cell r="R96">
            <v>0</v>
          </cell>
          <cell r="S96" t="str">
            <v>N/A</v>
          </cell>
          <cell r="T96">
            <v>45376</v>
          </cell>
          <cell r="U96">
            <v>45385</v>
          </cell>
          <cell r="V96">
            <v>0</v>
          </cell>
          <cell r="W96">
            <v>0</v>
          </cell>
          <cell r="X96">
            <v>45385</v>
          </cell>
          <cell r="Y96">
            <v>45385</v>
          </cell>
          <cell r="Z96">
            <v>0</v>
          </cell>
          <cell r="AA96">
            <v>46000</v>
          </cell>
          <cell r="AB96">
            <v>46000</v>
          </cell>
          <cell r="AC96">
            <v>0</v>
          </cell>
          <cell r="AD96">
            <v>46000</v>
          </cell>
          <cell r="AE96">
            <v>46000</v>
          </cell>
          <cell r="AF96">
            <v>0</v>
          </cell>
          <cell r="AG96" t="str">
            <v>M</v>
          </cell>
          <cell r="AH96" t="str">
            <v>ENGR. MICHAEL C. SALARDA
MS. LEONARDA M. LATOR
MS. CARMENCITA VALDEZ
MS. SORAYA P. VERGARA</v>
          </cell>
          <cell r="AI96" t="str">
            <v>N/A</v>
          </cell>
          <cell r="AJ96" t="str">
            <v>N/A</v>
          </cell>
          <cell r="AK96" t="str">
            <v>N/A</v>
          </cell>
          <cell r="AL96" t="str">
            <v>N/A</v>
          </cell>
          <cell r="AM96" t="str">
            <v>N/A</v>
          </cell>
          <cell r="AN96" t="str">
            <v>N/A</v>
          </cell>
          <cell r="AO96" t="str">
            <v>COMPLETED</v>
          </cell>
        </row>
        <row r="97">
          <cell r="A97" t="str">
            <v>24-1275</v>
          </cell>
          <cell r="B97" t="str">
            <v>SPAREPARTS(MOTOR CYCLE)</v>
          </cell>
          <cell r="C97" t="str">
            <v>PGSO</v>
          </cell>
          <cell r="D97" t="str">
            <v>No</v>
          </cell>
          <cell r="E97" t="str">
            <v>Shopping 52.1(a) - Unforeseen Contingency</v>
          </cell>
          <cell r="F97" t="str">
            <v>N/A</v>
          </cell>
          <cell r="G97">
            <v>45352</v>
          </cell>
          <cell r="H97">
            <v>0</v>
          </cell>
          <cell r="I97" t="str">
            <v>N/A</v>
          </cell>
          <cell r="J97">
            <v>45356</v>
          </cell>
          <cell r="K97">
            <v>45356</v>
          </cell>
          <cell r="L97">
            <v>0</v>
          </cell>
          <cell r="M97" t="str">
            <v>N/A</v>
          </cell>
          <cell r="N97" t="str">
            <v>N/A</v>
          </cell>
          <cell r="O97">
            <v>45357</v>
          </cell>
          <cell r="P97">
            <v>0</v>
          </cell>
          <cell r="Q97">
            <v>0</v>
          </cell>
          <cell r="R97">
            <v>0</v>
          </cell>
          <cell r="S97" t="str">
            <v>N/A</v>
          </cell>
          <cell r="T97">
            <v>45373</v>
          </cell>
          <cell r="U97">
            <v>45384</v>
          </cell>
          <cell r="V97">
            <v>0</v>
          </cell>
          <cell r="W97">
            <v>0</v>
          </cell>
          <cell r="X97">
            <v>45384</v>
          </cell>
          <cell r="Y97">
            <v>45384</v>
          </cell>
          <cell r="Z97">
            <v>0</v>
          </cell>
          <cell r="AA97">
            <v>2850</v>
          </cell>
          <cell r="AB97">
            <v>2850</v>
          </cell>
          <cell r="AC97">
            <v>0</v>
          </cell>
          <cell r="AD97">
            <v>2850</v>
          </cell>
          <cell r="AE97">
            <v>2850</v>
          </cell>
          <cell r="AF97">
            <v>0</v>
          </cell>
          <cell r="AG97" t="str">
            <v>M</v>
          </cell>
          <cell r="AH97" t="str">
            <v>ENGR. MICHAEL C. SALARDA
MS. LEONARDA M. LATOR
MS. CARMENCITA VALDEZ
MS. SORAYA P. VERGARA</v>
          </cell>
          <cell r="AI97" t="str">
            <v>N/A</v>
          </cell>
          <cell r="AJ97" t="str">
            <v>N/A</v>
          </cell>
          <cell r="AK97" t="str">
            <v>N/A</v>
          </cell>
          <cell r="AL97" t="str">
            <v>N/A</v>
          </cell>
          <cell r="AM97" t="str">
            <v>N/A</v>
          </cell>
          <cell r="AN97" t="str">
            <v>N/A</v>
          </cell>
          <cell r="AO97" t="str">
            <v>COMPLETED</v>
          </cell>
        </row>
        <row r="98">
          <cell r="A98" t="str">
            <v>24-1177</v>
          </cell>
          <cell r="B98" t="str">
            <v>SPAREPARTS(MOTOR CYCLE)</v>
          </cell>
          <cell r="C98" t="str">
            <v>PGSO</v>
          </cell>
          <cell r="D98" t="str">
            <v>No</v>
          </cell>
          <cell r="E98" t="str">
            <v>Shopping 52.1(a) - Unforeseen Contingency</v>
          </cell>
          <cell r="F98" t="str">
            <v>N/A</v>
          </cell>
          <cell r="G98">
            <v>45352</v>
          </cell>
          <cell r="H98">
            <v>0</v>
          </cell>
          <cell r="I98" t="str">
            <v>N/A</v>
          </cell>
          <cell r="J98">
            <v>45356</v>
          </cell>
          <cell r="K98">
            <v>45356</v>
          </cell>
          <cell r="L98">
            <v>0</v>
          </cell>
          <cell r="M98" t="str">
            <v>N/A</v>
          </cell>
          <cell r="N98" t="str">
            <v>N/A</v>
          </cell>
          <cell r="O98">
            <v>45357</v>
          </cell>
          <cell r="P98">
            <v>0</v>
          </cell>
          <cell r="Q98">
            <v>0</v>
          </cell>
          <cell r="R98">
            <v>0</v>
          </cell>
          <cell r="S98" t="str">
            <v>N/A</v>
          </cell>
          <cell r="T98">
            <v>45373</v>
          </cell>
          <cell r="U98">
            <v>45384</v>
          </cell>
          <cell r="V98">
            <v>0</v>
          </cell>
          <cell r="W98">
            <v>0</v>
          </cell>
          <cell r="X98">
            <v>45384</v>
          </cell>
          <cell r="Y98">
            <v>45384</v>
          </cell>
          <cell r="Z98">
            <v>0</v>
          </cell>
          <cell r="AA98">
            <v>6160</v>
          </cell>
          <cell r="AB98">
            <v>6160</v>
          </cell>
          <cell r="AC98">
            <v>0</v>
          </cell>
          <cell r="AD98">
            <v>6160</v>
          </cell>
          <cell r="AE98">
            <v>6160</v>
          </cell>
          <cell r="AF98">
            <v>0</v>
          </cell>
          <cell r="AG98" t="str">
            <v>M</v>
          </cell>
          <cell r="AH98" t="str">
            <v>ENGR. MICHAEL C. SALARDA
MS. LEONARDA M. LATOR
MS. CARMENCITA VALDEZ
MS. SORAYA P. VERGARA</v>
          </cell>
          <cell r="AI98" t="str">
            <v>N/A</v>
          </cell>
          <cell r="AJ98" t="str">
            <v>N/A</v>
          </cell>
          <cell r="AK98" t="str">
            <v>N/A</v>
          </cell>
          <cell r="AL98" t="str">
            <v>N/A</v>
          </cell>
          <cell r="AM98" t="str">
            <v>N/A</v>
          </cell>
          <cell r="AN98" t="str">
            <v>N/A</v>
          </cell>
          <cell r="AO98" t="str">
            <v>COMPLETED</v>
          </cell>
        </row>
        <row r="99">
          <cell r="A99" t="str">
            <v>24-1200</v>
          </cell>
          <cell r="B99" t="str">
            <v>SPAREPARTS(MOTOR CYCLE)</v>
          </cell>
          <cell r="C99" t="str">
            <v>PGSO</v>
          </cell>
          <cell r="D99" t="str">
            <v>No</v>
          </cell>
          <cell r="E99" t="str">
            <v>Shopping 52.1(a) - Unforeseen Contingency</v>
          </cell>
          <cell r="F99" t="str">
            <v>N/A</v>
          </cell>
          <cell r="G99">
            <v>45352</v>
          </cell>
          <cell r="H99">
            <v>0</v>
          </cell>
          <cell r="I99" t="str">
            <v>N/A</v>
          </cell>
          <cell r="J99">
            <v>45356</v>
          </cell>
          <cell r="K99">
            <v>45356</v>
          </cell>
          <cell r="L99">
            <v>0</v>
          </cell>
          <cell r="M99" t="str">
            <v>N/A</v>
          </cell>
          <cell r="N99" t="str">
            <v>N/A</v>
          </cell>
          <cell r="O99">
            <v>45357</v>
          </cell>
          <cell r="P99">
            <v>0</v>
          </cell>
          <cell r="Q99">
            <v>0</v>
          </cell>
          <cell r="R99">
            <v>0</v>
          </cell>
          <cell r="S99" t="str">
            <v>N/A</v>
          </cell>
          <cell r="T99">
            <v>45376</v>
          </cell>
          <cell r="U99">
            <v>45385</v>
          </cell>
          <cell r="V99">
            <v>0</v>
          </cell>
          <cell r="W99">
            <v>0</v>
          </cell>
          <cell r="X99">
            <v>45385</v>
          </cell>
          <cell r="Y99">
            <v>45385</v>
          </cell>
          <cell r="Z99">
            <v>0</v>
          </cell>
          <cell r="AA99">
            <v>3100</v>
          </cell>
          <cell r="AB99">
            <v>3100</v>
          </cell>
          <cell r="AC99">
            <v>0</v>
          </cell>
          <cell r="AD99">
            <v>3100</v>
          </cell>
          <cell r="AE99">
            <v>3100</v>
          </cell>
          <cell r="AF99">
            <v>0</v>
          </cell>
          <cell r="AG99" t="str">
            <v>M</v>
          </cell>
          <cell r="AH99" t="str">
            <v>ENGR. MICHAEL C. SALARDA
MS. LEONARDA M. LATOR
MS. CARMENCITA VALDEZ
MS. SORAYA P. VERGARA</v>
          </cell>
          <cell r="AI99" t="str">
            <v>N/A</v>
          </cell>
          <cell r="AJ99" t="str">
            <v>N/A</v>
          </cell>
          <cell r="AK99" t="str">
            <v>N/A</v>
          </cell>
          <cell r="AL99" t="str">
            <v>N/A</v>
          </cell>
          <cell r="AM99" t="str">
            <v>N/A</v>
          </cell>
          <cell r="AN99" t="str">
            <v>N/A</v>
          </cell>
          <cell r="AO99" t="str">
            <v>COMPLETED</v>
          </cell>
        </row>
        <row r="100">
          <cell r="A100" t="str">
            <v>24-1203</v>
          </cell>
          <cell r="B100" t="str">
            <v>SPAREPARTS(MOTOR CYCLE)</v>
          </cell>
          <cell r="C100" t="str">
            <v>PGSO</v>
          </cell>
          <cell r="D100" t="str">
            <v>No</v>
          </cell>
          <cell r="E100" t="str">
            <v>Shopping 52.1(a) - Unforeseen Contingency</v>
          </cell>
          <cell r="F100" t="str">
            <v>N/A</v>
          </cell>
          <cell r="G100">
            <v>45352</v>
          </cell>
          <cell r="H100">
            <v>0</v>
          </cell>
          <cell r="I100" t="str">
            <v>N/A</v>
          </cell>
          <cell r="J100">
            <v>45356</v>
          </cell>
          <cell r="K100">
            <v>45356</v>
          </cell>
          <cell r="L100">
            <v>0</v>
          </cell>
          <cell r="M100" t="str">
            <v>N/A</v>
          </cell>
          <cell r="N100" t="str">
            <v>N/A</v>
          </cell>
          <cell r="O100">
            <v>45357</v>
          </cell>
          <cell r="P100">
            <v>0</v>
          </cell>
          <cell r="Q100">
            <v>0</v>
          </cell>
          <cell r="R100">
            <v>0</v>
          </cell>
          <cell r="S100" t="str">
            <v>N/A</v>
          </cell>
          <cell r="T100">
            <v>45372</v>
          </cell>
          <cell r="U100">
            <v>45377</v>
          </cell>
          <cell r="V100">
            <v>0</v>
          </cell>
          <cell r="W100">
            <v>0</v>
          </cell>
          <cell r="X100">
            <v>45377</v>
          </cell>
          <cell r="Y100">
            <v>45377</v>
          </cell>
          <cell r="Z100">
            <v>0</v>
          </cell>
          <cell r="AA100">
            <v>8345</v>
          </cell>
          <cell r="AB100">
            <v>8345</v>
          </cell>
          <cell r="AC100">
            <v>0</v>
          </cell>
          <cell r="AD100">
            <v>8345</v>
          </cell>
          <cell r="AE100">
            <v>8345</v>
          </cell>
          <cell r="AF100">
            <v>0</v>
          </cell>
          <cell r="AG100" t="str">
            <v>M</v>
          </cell>
          <cell r="AH100" t="str">
            <v>ENGR. MICHAEL C. SALARDA
MS. LEONARDA M. LATOR
MS. CARMENCITA VALDEZ
MS. SORAYA P. VERGARA</v>
          </cell>
          <cell r="AI100" t="str">
            <v>N/A</v>
          </cell>
          <cell r="AJ100" t="str">
            <v>N/A</v>
          </cell>
          <cell r="AK100" t="str">
            <v>N/A</v>
          </cell>
          <cell r="AL100" t="str">
            <v>N/A</v>
          </cell>
          <cell r="AM100" t="str">
            <v>N/A</v>
          </cell>
          <cell r="AN100" t="str">
            <v>N/A</v>
          </cell>
          <cell r="AO100" t="str">
            <v>COMPLETED</v>
          </cell>
        </row>
        <row r="101">
          <cell r="A101" t="str">
            <v>24-1192</v>
          </cell>
          <cell r="B101" t="str">
            <v>SPAREPARTS (LIGHT VEHICLES)</v>
          </cell>
          <cell r="C101" t="str">
            <v>PGSO</v>
          </cell>
          <cell r="D101" t="str">
            <v>No</v>
          </cell>
          <cell r="E101" t="str">
            <v>Shopping 52.1(a) - Unforeseen Contingency</v>
          </cell>
          <cell r="F101" t="str">
            <v>N/A</v>
          </cell>
          <cell r="G101">
            <v>45352</v>
          </cell>
          <cell r="H101">
            <v>0</v>
          </cell>
          <cell r="I101" t="str">
            <v>N/A</v>
          </cell>
          <cell r="J101">
            <v>45356</v>
          </cell>
          <cell r="K101">
            <v>45356</v>
          </cell>
          <cell r="L101">
            <v>0</v>
          </cell>
          <cell r="M101" t="str">
            <v>N/A</v>
          </cell>
          <cell r="N101" t="str">
            <v>N/A</v>
          </cell>
          <cell r="O101">
            <v>45357</v>
          </cell>
          <cell r="P101">
            <v>0</v>
          </cell>
          <cell r="Q101">
            <v>0</v>
          </cell>
          <cell r="R101">
            <v>0</v>
          </cell>
          <cell r="S101" t="str">
            <v>N/A</v>
          </cell>
          <cell r="T101">
            <v>45373</v>
          </cell>
          <cell r="U101">
            <v>45377</v>
          </cell>
          <cell r="V101">
            <v>0</v>
          </cell>
          <cell r="W101">
            <v>0</v>
          </cell>
          <cell r="X101">
            <v>45377</v>
          </cell>
          <cell r="Y101">
            <v>45377</v>
          </cell>
          <cell r="Z101">
            <v>0</v>
          </cell>
          <cell r="AA101">
            <v>880</v>
          </cell>
          <cell r="AB101">
            <v>880</v>
          </cell>
          <cell r="AC101">
            <v>0</v>
          </cell>
          <cell r="AD101">
            <v>880</v>
          </cell>
          <cell r="AE101">
            <v>880</v>
          </cell>
          <cell r="AF101">
            <v>0</v>
          </cell>
          <cell r="AG101" t="str">
            <v>M</v>
          </cell>
          <cell r="AH101" t="str">
            <v>ENGR. MICHAEL C. SALARDA
MS. LEONARDA M. LATOR
MS. CARMENCITA VALDEZ
MS. SORAYA P. VERGARA</v>
          </cell>
          <cell r="AI101" t="str">
            <v>N/A</v>
          </cell>
          <cell r="AJ101" t="str">
            <v>N/A</v>
          </cell>
          <cell r="AK101" t="str">
            <v>N/A</v>
          </cell>
          <cell r="AL101" t="str">
            <v>N/A</v>
          </cell>
          <cell r="AM101" t="str">
            <v>N/A</v>
          </cell>
          <cell r="AN101" t="str">
            <v>N/A</v>
          </cell>
          <cell r="AO101" t="str">
            <v>COMPLETED</v>
          </cell>
        </row>
        <row r="102">
          <cell r="A102" t="str">
            <v>24-1193</v>
          </cell>
          <cell r="B102" t="str">
            <v>SPAREPARTS (LIGHT VEHICLES)</v>
          </cell>
          <cell r="C102" t="str">
            <v>PGSO</v>
          </cell>
          <cell r="D102" t="str">
            <v>No</v>
          </cell>
          <cell r="E102" t="str">
            <v>Shopping 52.1(a) - Unforeseen Contingency</v>
          </cell>
          <cell r="F102" t="str">
            <v>N/A</v>
          </cell>
          <cell r="G102">
            <v>45352</v>
          </cell>
          <cell r="H102">
            <v>0</v>
          </cell>
          <cell r="I102" t="str">
            <v>N/A</v>
          </cell>
          <cell r="J102">
            <v>45356</v>
          </cell>
          <cell r="K102">
            <v>45356</v>
          </cell>
          <cell r="L102">
            <v>0</v>
          </cell>
          <cell r="M102" t="str">
            <v>N/A</v>
          </cell>
          <cell r="N102" t="str">
            <v>N/A</v>
          </cell>
          <cell r="O102">
            <v>45357</v>
          </cell>
          <cell r="P102">
            <v>0</v>
          </cell>
          <cell r="Q102">
            <v>0</v>
          </cell>
          <cell r="R102">
            <v>0</v>
          </cell>
          <cell r="S102" t="str">
            <v>N/A</v>
          </cell>
          <cell r="T102">
            <v>45377</v>
          </cell>
          <cell r="U102">
            <v>45384</v>
          </cell>
          <cell r="V102">
            <v>0</v>
          </cell>
          <cell r="W102">
            <v>0</v>
          </cell>
          <cell r="X102">
            <v>45384</v>
          </cell>
          <cell r="Y102">
            <v>45384</v>
          </cell>
          <cell r="Z102">
            <v>0</v>
          </cell>
          <cell r="AA102">
            <v>700</v>
          </cell>
          <cell r="AB102">
            <v>700</v>
          </cell>
          <cell r="AC102">
            <v>0</v>
          </cell>
          <cell r="AD102">
            <v>700</v>
          </cell>
          <cell r="AE102">
            <v>700</v>
          </cell>
          <cell r="AF102">
            <v>0</v>
          </cell>
          <cell r="AG102" t="str">
            <v>M</v>
          </cell>
          <cell r="AH102" t="str">
            <v>ENGR. MICHAEL C. SALARDA
MS. LEONARDA M. LATOR
MS. CARMENCITA VALDEZ
MS. SORAYA P. VERGARA</v>
          </cell>
          <cell r="AI102" t="str">
            <v>N/A</v>
          </cell>
          <cell r="AJ102" t="str">
            <v>N/A</v>
          </cell>
          <cell r="AK102" t="str">
            <v>N/A</v>
          </cell>
          <cell r="AL102" t="str">
            <v>N/A</v>
          </cell>
          <cell r="AM102" t="str">
            <v>N/A</v>
          </cell>
          <cell r="AN102" t="str">
            <v>N/A</v>
          </cell>
          <cell r="AO102" t="str">
            <v>COMPLETED</v>
          </cell>
        </row>
        <row r="103">
          <cell r="A103" t="str">
            <v>24-1195</v>
          </cell>
          <cell r="B103" t="str">
            <v>SPAREPARTS (LIGHT VEHICLES)</v>
          </cell>
          <cell r="C103" t="str">
            <v>PGSO</v>
          </cell>
          <cell r="D103" t="str">
            <v>No</v>
          </cell>
          <cell r="E103" t="str">
            <v>Shopping 52.1(a) - Unforeseen Contingency</v>
          </cell>
          <cell r="F103" t="str">
            <v>N/A</v>
          </cell>
          <cell r="G103">
            <v>45352</v>
          </cell>
          <cell r="H103">
            <v>0</v>
          </cell>
          <cell r="I103" t="str">
            <v>N/A</v>
          </cell>
          <cell r="J103">
            <v>45356</v>
          </cell>
          <cell r="K103">
            <v>45356</v>
          </cell>
          <cell r="L103">
            <v>0</v>
          </cell>
          <cell r="M103" t="str">
            <v>N/A</v>
          </cell>
          <cell r="N103" t="str">
            <v>N/A</v>
          </cell>
          <cell r="O103">
            <v>45357</v>
          </cell>
          <cell r="P103">
            <v>0</v>
          </cell>
          <cell r="Q103">
            <v>0</v>
          </cell>
          <cell r="R103">
            <v>0</v>
          </cell>
          <cell r="S103" t="str">
            <v>N/A</v>
          </cell>
          <cell r="T103">
            <v>45376</v>
          </cell>
          <cell r="U103">
            <v>45385</v>
          </cell>
          <cell r="V103">
            <v>0</v>
          </cell>
          <cell r="W103">
            <v>0</v>
          </cell>
          <cell r="X103">
            <v>45386</v>
          </cell>
          <cell r="Y103">
            <v>45386</v>
          </cell>
          <cell r="Z103">
            <v>0</v>
          </cell>
          <cell r="AA103">
            <v>14150</v>
          </cell>
          <cell r="AB103">
            <v>14150</v>
          </cell>
          <cell r="AC103">
            <v>0</v>
          </cell>
          <cell r="AD103">
            <v>14150</v>
          </cell>
          <cell r="AE103">
            <v>14150</v>
          </cell>
          <cell r="AF103">
            <v>0</v>
          </cell>
          <cell r="AG103" t="str">
            <v>M</v>
          </cell>
          <cell r="AH103" t="str">
            <v>ENGR. MICHAEL C. SALARDA
MS. LEONARDA M. LATOR
MS. CARMENCITA VALDEZ
MS. SORAYA P. VERGARA</v>
          </cell>
          <cell r="AI103" t="str">
            <v>N/A</v>
          </cell>
          <cell r="AJ103" t="str">
            <v>N/A</v>
          </cell>
          <cell r="AK103" t="str">
            <v>N/A</v>
          </cell>
          <cell r="AL103" t="str">
            <v>N/A</v>
          </cell>
          <cell r="AM103" t="str">
            <v>N/A</v>
          </cell>
          <cell r="AN103" t="str">
            <v>N/A</v>
          </cell>
          <cell r="AO103" t="str">
            <v>COMPLETED</v>
          </cell>
        </row>
        <row r="104">
          <cell r="A104" t="str">
            <v>24-1194</v>
          </cell>
          <cell r="B104" t="str">
            <v>SPAREPARTS (MOTORCYCLE)</v>
          </cell>
          <cell r="C104" t="str">
            <v>PGSO</v>
          </cell>
          <cell r="D104" t="str">
            <v>No</v>
          </cell>
          <cell r="E104" t="str">
            <v>Shopping 52.1(a) - Unforeseen Contingency</v>
          </cell>
          <cell r="F104" t="str">
            <v>N/A</v>
          </cell>
          <cell r="G104">
            <v>45352</v>
          </cell>
          <cell r="H104">
            <v>0</v>
          </cell>
          <cell r="I104" t="str">
            <v>N/A</v>
          </cell>
          <cell r="J104">
            <v>45356</v>
          </cell>
          <cell r="K104">
            <v>45356</v>
          </cell>
          <cell r="L104">
            <v>0</v>
          </cell>
          <cell r="M104" t="str">
            <v>N/A</v>
          </cell>
          <cell r="N104" t="str">
            <v>N/A</v>
          </cell>
          <cell r="O104">
            <v>45357</v>
          </cell>
          <cell r="P104">
            <v>0</v>
          </cell>
          <cell r="Q104">
            <v>0</v>
          </cell>
          <cell r="R104">
            <v>0</v>
          </cell>
          <cell r="S104" t="str">
            <v>N/A</v>
          </cell>
          <cell r="T104">
            <v>45372</v>
          </cell>
          <cell r="U104">
            <v>45377</v>
          </cell>
          <cell r="V104">
            <v>0</v>
          </cell>
          <cell r="W104">
            <v>0</v>
          </cell>
          <cell r="X104">
            <v>45377</v>
          </cell>
          <cell r="Y104">
            <v>45377</v>
          </cell>
          <cell r="Z104">
            <v>0</v>
          </cell>
          <cell r="AA104">
            <v>23503</v>
          </cell>
          <cell r="AB104">
            <v>23503</v>
          </cell>
          <cell r="AC104">
            <v>0</v>
          </cell>
          <cell r="AD104">
            <v>23503</v>
          </cell>
          <cell r="AE104">
            <v>23503</v>
          </cell>
          <cell r="AF104">
            <v>0</v>
          </cell>
          <cell r="AG104" t="str">
            <v>M</v>
          </cell>
          <cell r="AH104" t="str">
            <v>ENGR. MICHAEL C. SALARDA
MS. LEONARDA M. LATOR
MS. CARMENCITA VALDEZ
MS. SORAYA P. VERGARA</v>
          </cell>
          <cell r="AI104" t="str">
            <v>N/A</v>
          </cell>
          <cell r="AJ104" t="str">
            <v>N/A</v>
          </cell>
          <cell r="AK104" t="str">
            <v>N/A</v>
          </cell>
          <cell r="AL104" t="str">
            <v>N/A</v>
          </cell>
          <cell r="AM104" t="str">
            <v>N/A</v>
          </cell>
          <cell r="AN104" t="str">
            <v>N/A</v>
          </cell>
          <cell r="AO104" t="str">
            <v>COMPLETED</v>
          </cell>
        </row>
        <row r="105">
          <cell r="A105" t="str">
            <v>24-1199</v>
          </cell>
          <cell r="B105" t="str">
            <v>SPAREPARTS (LIGHT VEHICLES)</v>
          </cell>
          <cell r="C105" t="str">
            <v>PGSO</v>
          </cell>
          <cell r="D105" t="str">
            <v>No</v>
          </cell>
          <cell r="E105" t="str">
            <v>Shopping 52.1(a) - Unforeseen Contingency</v>
          </cell>
          <cell r="F105" t="str">
            <v>N/A</v>
          </cell>
          <cell r="G105">
            <v>45352</v>
          </cell>
          <cell r="H105">
            <v>0</v>
          </cell>
          <cell r="I105" t="str">
            <v>N/A</v>
          </cell>
          <cell r="J105">
            <v>45356</v>
          </cell>
          <cell r="K105">
            <v>45356</v>
          </cell>
          <cell r="L105">
            <v>0</v>
          </cell>
          <cell r="M105" t="str">
            <v>N/A</v>
          </cell>
          <cell r="N105" t="str">
            <v>N/A</v>
          </cell>
          <cell r="O105">
            <v>45357</v>
          </cell>
          <cell r="P105">
            <v>0</v>
          </cell>
          <cell r="Q105">
            <v>0</v>
          </cell>
          <cell r="R105">
            <v>0</v>
          </cell>
          <cell r="S105" t="str">
            <v>N/A</v>
          </cell>
          <cell r="T105">
            <v>45372</v>
          </cell>
          <cell r="U105">
            <v>45377</v>
          </cell>
          <cell r="V105">
            <v>0</v>
          </cell>
          <cell r="W105">
            <v>0</v>
          </cell>
          <cell r="X105">
            <v>45377</v>
          </cell>
          <cell r="Y105">
            <v>45377</v>
          </cell>
          <cell r="Z105">
            <v>0</v>
          </cell>
          <cell r="AA105">
            <v>31600</v>
          </cell>
          <cell r="AB105">
            <v>31600</v>
          </cell>
          <cell r="AC105">
            <v>0</v>
          </cell>
          <cell r="AD105">
            <v>31600</v>
          </cell>
          <cell r="AE105">
            <v>31600</v>
          </cell>
          <cell r="AF105">
            <v>0</v>
          </cell>
          <cell r="AG105" t="str">
            <v>M</v>
          </cell>
          <cell r="AH105" t="str">
            <v>ENGR. MICHAEL C. SALARDA
MS. LEONARDA M. LATOR
MS. CARMENCITA VALDEZ
MS. SORAYA P. VERGARA</v>
          </cell>
          <cell r="AI105" t="str">
            <v>N/A</v>
          </cell>
          <cell r="AJ105" t="str">
            <v>N/A</v>
          </cell>
          <cell r="AK105" t="str">
            <v>N/A</v>
          </cell>
          <cell r="AL105" t="str">
            <v>N/A</v>
          </cell>
          <cell r="AM105" t="str">
            <v>N/A</v>
          </cell>
          <cell r="AN105" t="str">
            <v>N/A</v>
          </cell>
          <cell r="AO105" t="str">
            <v>COMPLETED</v>
          </cell>
        </row>
        <row r="106">
          <cell r="A106" t="str">
            <v>24-1191</v>
          </cell>
          <cell r="B106" t="str">
            <v>SPAREPARTS(LIGHT VEHICLE)</v>
          </cell>
          <cell r="C106" t="str">
            <v>PGSO</v>
          </cell>
          <cell r="D106" t="str">
            <v>No</v>
          </cell>
          <cell r="E106" t="str">
            <v>Shopping 52.1(a) - Unforeseen Contingency</v>
          </cell>
          <cell r="F106" t="str">
            <v>N/A</v>
          </cell>
          <cell r="G106">
            <v>45352</v>
          </cell>
          <cell r="H106">
            <v>0</v>
          </cell>
          <cell r="I106" t="str">
            <v>N/A</v>
          </cell>
          <cell r="J106">
            <v>45356</v>
          </cell>
          <cell r="K106">
            <v>45356</v>
          </cell>
          <cell r="L106">
            <v>0</v>
          </cell>
          <cell r="M106" t="str">
            <v>N/A</v>
          </cell>
          <cell r="N106" t="str">
            <v>N/A</v>
          </cell>
          <cell r="O106">
            <v>45357</v>
          </cell>
          <cell r="P106">
            <v>0</v>
          </cell>
          <cell r="Q106">
            <v>0</v>
          </cell>
          <cell r="R106">
            <v>0</v>
          </cell>
          <cell r="S106" t="str">
            <v>N/A</v>
          </cell>
          <cell r="T106">
            <v>45372</v>
          </cell>
          <cell r="U106">
            <v>45377</v>
          </cell>
          <cell r="V106">
            <v>0</v>
          </cell>
          <cell r="W106">
            <v>0</v>
          </cell>
          <cell r="X106">
            <v>45377</v>
          </cell>
          <cell r="Y106">
            <v>45377</v>
          </cell>
          <cell r="Z106">
            <v>0</v>
          </cell>
          <cell r="AA106">
            <v>10650</v>
          </cell>
          <cell r="AB106">
            <v>10650</v>
          </cell>
          <cell r="AC106">
            <v>0</v>
          </cell>
          <cell r="AD106">
            <v>10650</v>
          </cell>
          <cell r="AE106">
            <v>10650</v>
          </cell>
          <cell r="AF106">
            <v>0</v>
          </cell>
          <cell r="AG106" t="str">
            <v>M</v>
          </cell>
          <cell r="AH106" t="str">
            <v>ENGR. MICHAEL C. SALARDA
MS. LEONARDA M. LATOR
MS. CARMENCITA VALDEZ
MS. SORAYA P. VERGARA</v>
          </cell>
          <cell r="AI106" t="str">
            <v>N/A</v>
          </cell>
          <cell r="AJ106" t="str">
            <v>N/A</v>
          </cell>
          <cell r="AK106" t="str">
            <v>N/A</v>
          </cell>
          <cell r="AL106" t="str">
            <v>N/A</v>
          </cell>
          <cell r="AM106" t="str">
            <v>N/A</v>
          </cell>
          <cell r="AN106" t="str">
            <v>N/A</v>
          </cell>
          <cell r="AO106" t="str">
            <v>COMPLETED</v>
          </cell>
        </row>
        <row r="107">
          <cell r="A107" t="str">
            <v>24-1175</v>
          </cell>
          <cell r="B107" t="str">
            <v>SPAREPARTS (MOTORCYCLE)</v>
          </cell>
          <cell r="C107" t="str">
            <v>PGSO</v>
          </cell>
          <cell r="D107" t="str">
            <v>No</v>
          </cell>
          <cell r="E107" t="str">
            <v>Shopping 52.1(a) - Unforeseen Contingency</v>
          </cell>
          <cell r="F107" t="str">
            <v>N/A</v>
          </cell>
          <cell r="G107">
            <v>45352</v>
          </cell>
          <cell r="H107">
            <v>0</v>
          </cell>
          <cell r="I107" t="str">
            <v>N/A</v>
          </cell>
          <cell r="J107">
            <v>45356</v>
          </cell>
          <cell r="K107">
            <v>45356</v>
          </cell>
          <cell r="L107">
            <v>0</v>
          </cell>
          <cell r="M107" t="str">
            <v>N/A</v>
          </cell>
          <cell r="N107" t="str">
            <v>N/A</v>
          </cell>
          <cell r="O107">
            <v>45357</v>
          </cell>
          <cell r="P107">
            <v>0</v>
          </cell>
          <cell r="Q107">
            <v>0</v>
          </cell>
          <cell r="R107">
            <v>0</v>
          </cell>
          <cell r="S107" t="str">
            <v>N/A</v>
          </cell>
          <cell r="T107">
            <v>45372</v>
          </cell>
          <cell r="U107">
            <v>45377</v>
          </cell>
          <cell r="V107">
            <v>0</v>
          </cell>
          <cell r="W107">
            <v>0</v>
          </cell>
          <cell r="X107">
            <v>45377</v>
          </cell>
          <cell r="Y107">
            <v>45377</v>
          </cell>
          <cell r="Z107">
            <v>0</v>
          </cell>
          <cell r="AA107">
            <v>6080</v>
          </cell>
          <cell r="AB107">
            <v>6080</v>
          </cell>
          <cell r="AC107">
            <v>0</v>
          </cell>
          <cell r="AD107">
            <v>6080</v>
          </cell>
          <cell r="AE107">
            <v>6080</v>
          </cell>
          <cell r="AF107">
            <v>0</v>
          </cell>
          <cell r="AG107" t="str">
            <v>M</v>
          </cell>
          <cell r="AH107" t="str">
            <v>ENGR. MICHAEL C. SALARDA
MS. LEONARDA M. LATOR
MS. CARMENCITA VALDEZ
MS. SORAYA P. VERGARA</v>
          </cell>
          <cell r="AI107" t="str">
            <v>N/A</v>
          </cell>
          <cell r="AJ107" t="str">
            <v>N/A</v>
          </cell>
          <cell r="AK107" t="str">
            <v>N/A</v>
          </cell>
          <cell r="AL107" t="str">
            <v>N/A</v>
          </cell>
          <cell r="AM107" t="str">
            <v>N/A</v>
          </cell>
          <cell r="AN107" t="str">
            <v>N/A</v>
          </cell>
          <cell r="AO107" t="str">
            <v>COMPLETED</v>
          </cell>
        </row>
        <row r="108">
          <cell r="A108" t="str">
            <v>24-1255</v>
          </cell>
          <cell r="B108" t="str">
            <v>SPAREPARTS(LIGHT VEHICLE)</v>
          </cell>
          <cell r="C108" t="str">
            <v>PGSO</v>
          </cell>
          <cell r="D108" t="str">
            <v>No</v>
          </cell>
          <cell r="E108" t="str">
            <v>Shopping 52.1(a) - Unforeseen Contingency</v>
          </cell>
          <cell r="F108" t="str">
            <v>N/A</v>
          </cell>
          <cell r="G108">
            <v>45352</v>
          </cell>
          <cell r="H108">
            <v>0</v>
          </cell>
          <cell r="I108" t="str">
            <v>N/A</v>
          </cell>
          <cell r="J108">
            <v>45356</v>
          </cell>
          <cell r="K108">
            <v>45356</v>
          </cell>
          <cell r="L108">
            <v>0</v>
          </cell>
          <cell r="M108" t="str">
            <v>N/A</v>
          </cell>
          <cell r="N108" t="str">
            <v>N/A</v>
          </cell>
          <cell r="O108">
            <v>45357</v>
          </cell>
          <cell r="P108">
            <v>0</v>
          </cell>
          <cell r="Q108">
            <v>0</v>
          </cell>
          <cell r="R108">
            <v>0</v>
          </cell>
          <cell r="S108" t="str">
            <v>N/A</v>
          </cell>
          <cell r="T108">
            <v>45376</v>
          </cell>
          <cell r="U108">
            <v>45377</v>
          </cell>
          <cell r="V108">
            <v>0</v>
          </cell>
          <cell r="W108">
            <v>0</v>
          </cell>
          <cell r="X108">
            <v>45377</v>
          </cell>
          <cell r="Y108">
            <v>45377</v>
          </cell>
          <cell r="Z108">
            <v>0</v>
          </cell>
          <cell r="AA108">
            <v>85915</v>
          </cell>
          <cell r="AB108">
            <v>85915</v>
          </cell>
          <cell r="AC108">
            <v>0</v>
          </cell>
          <cell r="AD108">
            <v>85915</v>
          </cell>
          <cell r="AE108">
            <v>85915</v>
          </cell>
          <cell r="AF108">
            <v>0</v>
          </cell>
          <cell r="AG108" t="str">
            <v>M</v>
          </cell>
          <cell r="AH108" t="str">
            <v>ENGR. MICHAEL C. SALARDA
MS. LEONARDA M. LATOR
MS. CARMENCITA VALDEZ
MS. SORAYA P. VERGARA</v>
          </cell>
          <cell r="AI108" t="str">
            <v>N/A</v>
          </cell>
          <cell r="AJ108" t="str">
            <v>N/A</v>
          </cell>
          <cell r="AK108" t="str">
            <v>N/A</v>
          </cell>
          <cell r="AL108" t="str">
            <v>N/A</v>
          </cell>
          <cell r="AM108" t="str">
            <v>N/A</v>
          </cell>
          <cell r="AN108" t="str">
            <v>N/A</v>
          </cell>
          <cell r="AO108" t="str">
            <v>COMPLETED</v>
          </cell>
        </row>
        <row r="109">
          <cell r="A109" t="str">
            <v>24-1293</v>
          </cell>
          <cell r="B109" t="str">
            <v>SPAREPARTS (MOTORCYCLE)</v>
          </cell>
          <cell r="C109" t="str">
            <v>PGSO</v>
          </cell>
          <cell r="D109" t="str">
            <v>No</v>
          </cell>
          <cell r="E109" t="str">
            <v>Shopping 52.1(a) - Unforeseen Contingency</v>
          </cell>
          <cell r="F109" t="str">
            <v>N/A</v>
          </cell>
          <cell r="G109">
            <v>45352</v>
          </cell>
          <cell r="H109">
            <v>0</v>
          </cell>
          <cell r="I109" t="str">
            <v>N/A</v>
          </cell>
          <cell r="J109">
            <v>45356</v>
          </cell>
          <cell r="K109">
            <v>45356</v>
          </cell>
          <cell r="L109">
            <v>0</v>
          </cell>
          <cell r="M109" t="str">
            <v>N/A</v>
          </cell>
          <cell r="N109" t="str">
            <v>N/A</v>
          </cell>
          <cell r="O109">
            <v>45357</v>
          </cell>
          <cell r="P109">
            <v>0</v>
          </cell>
          <cell r="Q109">
            <v>0</v>
          </cell>
          <cell r="R109">
            <v>0</v>
          </cell>
          <cell r="S109" t="str">
            <v>N/A</v>
          </cell>
          <cell r="T109">
            <v>45377</v>
          </cell>
          <cell r="U109">
            <v>45384</v>
          </cell>
          <cell r="V109">
            <v>0</v>
          </cell>
          <cell r="W109">
            <v>0</v>
          </cell>
          <cell r="X109">
            <v>45384</v>
          </cell>
          <cell r="Y109">
            <v>45384</v>
          </cell>
          <cell r="Z109">
            <v>0</v>
          </cell>
          <cell r="AA109">
            <v>22300</v>
          </cell>
          <cell r="AB109">
            <v>22300</v>
          </cell>
          <cell r="AC109">
            <v>0</v>
          </cell>
          <cell r="AD109">
            <v>22300</v>
          </cell>
          <cell r="AE109">
            <v>22300</v>
          </cell>
          <cell r="AF109">
            <v>0</v>
          </cell>
          <cell r="AG109" t="str">
            <v>M</v>
          </cell>
          <cell r="AH109" t="str">
            <v>ENGR. MICHAEL C. SALARDA
MS. LEONARDA M. LATOR
MS. CARMENCITA VALDEZ
MS. SORAYA P. VERGARA</v>
          </cell>
          <cell r="AI109" t="str">
            <v>N/A</v>
          </cell>
          <cell r="AJ109" t="str">
            <v>N/A</v>
          </cell>
          <cell r="AK109" t="str">
            <v>N/A</v>
          </cell>
          <cell r="AL109" t="str">
            <v>N/A</v>
          </cell>
          <cell r="AM109" t="str">
            <v>N/A</v>
          </cell>
          <cell r="AN109" t="str">
            <v>N/A</v>
          </cell>
          <cell r="AO109" t="str">
            <v>COMPLETED</v>
          </cell>
        </row>
        <row r="110">
          <cell r="A110" t="str">
            <v>24-1264</v>
          </cell>
          <cell r="B110" t="str">
            <v>SPAREPARTS(LIGHT VEHICLE)</v>
          </cell>
          <cell r="C110" t="str">
            <v>PGSO</v>
          </cell>
          <cell r="D110" t="str">
            <v>No</v>
          </cell>
          <cell r="E110" t="str">
            <v>Shopping 52.1(a) - Unforeseen Contingency</v>
          </cell>
          <cell r="F110" t="str">
            <v>N/A</v>
          </cell>
          <cell r="G110">
            <v>45352</v>
          </cell>
          <cell r="H110">
            <v>0</v>
          </cell>
          <cell r="I110" t="str">
            <v>N/A</v>
          </cell>
          <cell r="J110">
            <v>45356</v>
          </cell>
          <cell r="K110">
            <v>45356</v>
          </cell>
          <cell r="L110">
            <v>0</v>
          </cell>
          <cell r="M110" t="str">
            <v>N/A</v>
          </cell>
          <cell r="N110" t="str">
            <v>N/A</v>
          </cell>
          <cell r="O110">
            <v>45357</v>
          </cell>
          <cell r="P110">
            <v>0</v>
          </cell>
          <cell r="Q110">
            <v>0</v>
          </cell>
          <cell r="R110">
            <v>0</v>
          </cell>
          <cell r="S110" t="str">
            <v>N/A</v>
          </cell>
          <cell r="T110">
            <v>45377</v>
          </cell>
          <cell r="U110">
            <v>45384</v>
          </cell>
          <cell r="V110">
            <v>0</v>
          </cell>
          <cell r="W110">
            <v>0</v>
          </cell>
          <cell r="X110">
            <v>45384</v>
          </cell>
          <cell r="Y110">
            <v>45384</v>
          </cell>
          <cell r="Z110">
            <v>0</v>
          </cell>
          <cell r="AA110">
            <v>16400</v>
          </cell>
          <cell r="AB110">
            <v>16400</v>
          </cell>
          <cell r="AC110">
            <v>0</v>
          </cell>
          <cell r="AD110">
            <v>16400</v>
          </cell>
          <cell r="AE110">
            <v>16400</v>
          </cell>
          <cell r="AF110">
            <v>0</v>
          </cell>
          <cell r="AG110" t="str">
            <v>M</v>
          </cell>
          <cell r="AH110" t="str">
            <v>ENGR. MICHAEL C. SALARDA
MS. LEONARDA M. LATOR
MS. CARMENCITA VALDEZ
MS. SORAYA P. VERGARA</v>
          </cell>
          <cell r="AI110" t="str">
            <v>N/A</v>
          </cell>
          <cell r="AJ110" t="str">
            <v>N/A</v>
          </cell>
          <cell r="AK110" t="str">
            <v>N/A</v>
          </cell>
          <cell r="AL110" t="str">
            <v>N/A</v>
          </cell>
          <cell r="AM110" t="str">
            <v>N/A</v>
          </cell>
          <cell r="AN110" t="str">
            <v>N/A</v>
          </cell>
          <cell r="AO110" t="str">
            <v>COMPLETED</v>
          </cell>
        </row>
        <row r="111">
          <cell r="A111" t="str">
            <v>24-1268</v>
          </cell>
          <cell r="B111" t="str">
            <v>SPAREPARTS(LIGHT VEHICLE)</v>
          </cell>
          <cell r="C111" t="str">
            <v>PGSO</v>
          </cell>
          <cell r="D111" t="str">
            <v>No</v>
          </cell>
          <cell r="E111" t="str">
            <v>Shopping 52.1(a) - Unforeseen Contingency</v>
          </cell>
          <cell r="F111" t="str">
            <v>N/A</v>
          </cell>
          <cell r="G111">
            <v>45352</v>
          </cell>
          <cell r="H111">
            <v>0</v>
          </cell>
          <cell r="I111" t="str">
            <v>N/A</v>
          </cell>
          <cell r="J111">
            <v>45356</v>
          </cell>
          <cell r="K111">
            <v>45356</v>
          </cell>
          <cell r="L111">
            <v>0</v>
          </cell>
          <cell r="M111" t="str">
            <v>N/A</v>
          </cell>
          <cell r="N111" t="str">
            <v>N/A</v>
          </cell>
          <cell r="O111">
            <v>45357</v>
          </cell>
          <cell r="P111">
            <v>0</v>
          </cell>
          <cell r="Q111">
            <v>0</v>
          </cell>
          <cell r="R111">
            <v>0</v>
          </cell>
          <cell r="S111" t="str">
            <v>N/A</v>
          </cell>
          <cell r="T111">
            <v>45377</v>
          </cell>
          <cell r="U111">
            <v>45385</v>
          </cell>
          <cell r="V111">
            <v>0</v>
          </cell>
          <cell r="W111">
            <v>0</v>
          </cell>
          <cell r="X111">
            <v>45385</v>
          </cell>
          <cell r="Y111">
            <v>45385</v>
          </cell>
          <cell r="Z111">
            <v>0</v>
          </cell>
          <cell r="AA111">
            <v>155480</v>
          </cell>
          <cell r="AB111">
            <v>155480</v>
          </cell>
          <cell r="AC111">
            <v>0</v>
          </cell>
          <cell r="AD111">
            <v>155480</v>
          </cell>
          <cell r="AE111">
            <v>155480</v>
          </cell>
          <cell r="AF111">
            <v>0</v>
          </cell>
          <cell r="AG111" t="str">
            <v>M</v>
          </cell>
          <cell r="AH111" t="str">
            <v>ENGR. MICHAEL C. SALARDA
MS. LEONARDA M. LATOR
MS. CARMENCITA VALDEZ
MS. SORAYA P. VERGARA</v>
          </cell>
          <cell r="AI111" t="str">
            <v>N/A</v>
          </cell>
          <cell r="AJ111" t="str">
            <v>N/A</v>
          </cell>
          <cell r="AK111" t="str">
            <v>N/A</v>
          </cell>
          <cell r="AL111" t="str">
            <v>N/A</v>
          </cell>
          <cell r="AM111" t="str">
            <v>N/A</v>
          </cell>
          <cell r="AN111" t="str">
            <v>N/A</v>
          </cell>
          <cell r="AO111" t="str">
            <v>COMPLETED</v>
          </cell>
        </row>
        <row r="112">
          <cell r="A112" t="str">
            <v>24-1259</v>
          </cell>
          <cell r="B112" t="str">
            <v>SPAREPARTS(LIGHT VEHICLE)</v>
          </cell>
          <cell r="C112" t="str">
            <v>PGSO</v>
          </cell>
          <cell r="D112" t="str">
            <v>No</v>
          </cell>
          <cell r="E112" t="str">
            <v>Shopping 52.1(a) - Unforeseen Contingency</v>
          </cell>
          <cell r="F112" t="str">
            <v>N/A</v>
          </cell>
          <cell r="G112">
            <v>45352</v>
          </cell>
          <cell r="H112">
            <v>0</v>
          </cell>
          <cell r="I112" t="str">
            <v>N/A</v>
          </cell>
          <cell r="J112">
            <v>45356</v>
          </cell>
          <cell r="K112">
            <v>45356</v>
          </cell>
          <cell r="L112">
            <v>0</v>
          </cell>
          <cell r="M112" t="str">
            <v>N/A</v>
          </cell>
          <cell r="N112" t="str">
            <v>N/A</v>
          </cell>
          <cell r="O112">
            <v>45357</v>
          </cell>
          <cell r="P112">
            <v>0</v>
          </cell>
          <cell r="Q112">
            <v>0</v>
          </cell>
          <cell r="R112">
            <v>0</v>
          </cell>
          <cell r="S112" t="str">
            <v>N/A</v>
          </cell>
          <cell r="T112">
            <v>45377</v>
          </cell>
          <cell r="U112">
            <v>45384</v>
          </cell>
          <cell r="V112">
            <v>0</v>
          </cell>
          <cell r="W112">
            <v>0</v>
          </cell>
          <cell r="X112">
            <v>45384</v>
          </cell>
          <cell r="Y112">
            <v>45384</v>
          </cell>
          <cell r="Z112">
            <v>0</v>
          </cell>
          <cell r="AA112">
            <v>12175</v>
          </cell>
          <cell r="AB112">
            <v>12175</v>
          </cell>
          <cell r="AC112">
            <v>0</v>
          </cell>
          <cell r="AD112">
            <v>12175</v>
          </cell>
          <cell r="AE112">
            <v>12175</v>
          </cell>
          <cell r="AF112">
            <v>0</v>
          </cell>
          <cell r="AG112" t="str">
            <v>M</v>
          </cell>
          <cell r="AH112" t="str">
            <v>ENGR. MICHAEL C. SALARDA
MS. LEONARDA M. LATOR
MS. CARMENCITA VALDEZ
MS. SORAYA P. VERGARA</v>
          </cell>
          <cell r="AI112" t="str">
            <v>N/A</v>
          </cell>
          <cell r="AJ112" t="str">
            <v>N/A</v>
          </cell>
          <cell r="AK112" t="str">
            <v>N/A</v>
          </cell>
          <cell r="AL112" t="str">
            <v>N/A</v>
          </cell>
          <cell r="AM112" t="str">
            <v>N/A</v>
          </cell>
          <cell r="AN112" t="str">
            <v>N/A</v>
          </cell>
          <cell r="AO112" t="str">
            <v>COMPLETED</v>
          </cell>
        </row>
        <row r="113">
          <cell r="A113" t="str">
            <v>24-1256</v>
          </cell>
          <cell r="B113" t="str">
            <v>SPAREPARTS(LIGHT VEHICLE)</v>
          </cell>
          <cell r="C113" t="str">
            <v>PGSO</v>
          </cell>
          <cell r="D113" t="str">
            <v>No</v>
          </cell>
          <cell r="E113" t="str">
            <v>Shopping 52.1(a) - Unforeseen Contingency</v>
          </cell>
          <cell r="F113" t="str">
            <v>N/A</v>
          </cell>
          <cell r="G113">
            <v>45352</v>
          </cell>
          <cell r="H113">
            <v>0</v>
          </cell>
          <cell r="I113" t="str">
            <v>N/A</v>
          </cell>
          <cell r="J113">
            <v>45356</v>
          </cell>
          <cell r="K113">
            <v>45356</v>
          </cell>
          <cell r="L113">
            <v>0</v>
          </cell>
          <cell r="M113" t="str">
            <v>N/A</v>
          </cell>
          <cell r="N113" t="str">
            <v>N/A</v>
          </cell>
          <cell r="O113">
            <v>45357</v>
          </cell>
          <cell r="P113">
            <v>0</v>
          </cell>
          <cell r="Q113">
            <v>0</v>
          </cell>
          <cell r="R113">
            <v>0</v>
          </cell>
          <cell r="S113" t="str">
            <v>N/A</v>
          </cell>
          <cell r="T113">
            <v>45377</v>
          </cell>
          <cell r="U113">
            <v>45385</v>
          </cell>
          <cell r="V113">
            <v>0</v>
          </cell>
          <cell r="W113">
            <v>0</v>
          </cell>
          <cell r="X113">
            <v>45385</v>
          </cell>
          <cell r="Y113">
            <v>45385</v>
          </cell>
          <cell r="Z113">
            <v>0</v>
          </cell>
          <cell r="AA113">
            <v>52480</v>
          </cell>
          <cell r="AB113">
            <v>52480</v>
          </cell>
          <cell r="AC113">
            <v>0</v>
          </cell>
          <cell r="AD113">
            <v>52480</v>
          </cell>
          <cell r="AE113">
            <v>52480</v>
          </cell>
          <cell r="AF113">
            <v>0</v>
          </cell>
          <cell r="AG113" t="str">
            <v>M</v>
          </cell>
          <cell r="AH113" t="str">
            <v>ENGR. MICHAEL C. SALARDA
MS. LEONARDA M. LATOR
MS. CARMENCITA VALDEZ
MS. SORAYA P. VERGARA</v>
          </cell>
          <cell r="AI113" t="str">
            <v>N/A</v>
          </cell>
          <cell r="AJ113" t="str">
            <v>N/A</v>
          </cell>
          <cell r="AK113" t="str">
            <v>N/A</v>
          </cell>
          <cell r="AL113" t="str">
            <v>N/A</v>
          </cell>
          <cell r="AM113" t="str">
            <v>N/A</v>
          </cell>
          <cell r="AN113" t="str">
            <v>N/A</v>
          </cell>
          <cell r="AO113" t="str">
            <v>COMPLETED</v>
          </cell>
        </row>
        <row r="114">
          <cell r="A114" t="str">
            <v>24-1251</v>
          </cell>
          <cell r="B114" t="str">
            <v>SPAREPARTS(LIGHT VEHICLE)</v>
          </cell>
          <cell r="C114" t="str">
            <v>PGSO</v>
          </cell>
          <cell r="D114" t="str">
            <v>No</v>
          </cell>
          <cell r="E114" t="str">
            <v>Shopping 52.1(a) - Unforeseen Contingency</v>
          </cell>
          <cell r="F114" t="str">
            <v>N/A</v>
          </cell>
          <cell r="G114">
            <v>45352</v>
          </cell>
          <cell r="H114">
            <v>0</v>
          </cell>
          <cell r="I114" t="str">
            <v>N/A</v>
          </cell>
          <cell r="J114">
            <v>45356</v>
          </cell>
          <cell r="K114">
            <v>45356</v>
          </cell>
          <cell r="L114">
            <v>0</v>
          </cell>
          <cell r="M114" t="str">
            <v>N/A</v>
          </cell>
          <cell r="N114" t="str">
            <v>N/A</v>
          </cell>
          <cell r="O114">
            <v>45357</v>
          </cell>
          <cell r="P114">
            <v>0</v>
          </cell>
          <cell r="Q114">
            <v>0</v>
          </cell>
          <cell r="R114">
            <v>0</v>
          </cell>
          <cell r="S114" t="str">
            <v>N/A</v>
          </cell>
          <cell r="T114">
            <v>45377</v>
          </cell>
          <cell r="U114">
            <v>45384</v>
          </cell>
          <cell r="V114">
            <v>0</v>
          </cell>
          <cell r="W114">
            <v>0</v>
          </cell>
          <cell r="X114">
            <v>45384</v>
          </cell>
          <cell r="Y114">
            <v>45384</v>
          </cell>
          <cell r="Z114">
            <v>0</v>
          </cell>
          <cell r="AA114">
            <v>67950</v>
          </cell>
          <cell r="AB114">
            <v>67950</v>
          </cell>
          <cell r="AC114">
            <v>0</v>
          </cell>
          <cell r="AD114">
            <v>67950</v>
          </cell>
          <cell r="AE114">
            <v>67950</v>
          </cell>
          <cell r="AF114">
            <v>0</v>
          </cell>
          <cell r="AG114" t="str">
            <v>M</v>
          </cell>
          <cell r="AH114" t="str">
            <v>ENGR. MICHAEL C. SALARDA
MS. LEONARDA M. LATOR
MS. CARMENCITA VALDEZ
MS. SORAYA P. VERGARA</v>
          </cell>
          <cell r="AI114" t="str">
            <v>N/A</v>
          </cell>
          <cell r="AJ114" t="str">
            <v>N/A</v>
          </cell>
          <cell r="AK114" t="str">
            <v>N/A</v>
          </cell>
          <cell r="AL114" t="str">
            <v>N/A</v>
          </cell>
          <cell r="AM114" t="str">
            <v>N/A</v>
          </cell>
          <cell r="AN114" t="str">
            <v>N/A</v>
          </cell>
          <cell r="AO114" t="str">
            <v>COMPLETED</v>
          </cell>
        </row>
        <row r="115">
          <cell r="A115" t="str">
            <v>24-1252</v>
          </cell>
          <cell r="B115" t="str">
            <v>SPAREPARTS(LIGHT VEHICLE)</v>
          </cell>
          <cell r="C115" t="str">
            <v>PGSO</v>
          </cell>
          <cell r="D115" t="str">
            <v>No</v>
          </cell>
          <cell r="E115" t="str">
            <v>Shopping 52.1(a) - Unforeseen Contingency</v>
          </cell>
          <cell r="F115" t="str">
            <v>N/A</v>
          </cell>
          <cell r="G115">
            <v>45352</v>
          </cell>
          <cell r="H115">
            <v>0</v>
          </cell>
          <cell r="I115" t="str">
            <v>N/A</v>
          </cell>
          <cell r="J115">
            <v>45356</v>
          </cell>
          <cell r="K115">
            <v>45356</v>
          </cell>
          <cell r="L115">
            <v>0</v>
          </cell>
          <cell r="M115" t="str">
            <v>N/A</v>
          </cell>
          <cell r="N115" t="str">
            <v>N/A</v>
          </cell>
          <cell r="O115">
            <v>45357</v>
          </cell>
          <cell r="P115">
            <v>0</v>
          </cell>
          <cell r="Q115">
            <v>0</v>
          </cell>
          <cell r="R115">
            <v>0</v>
          </cell>
          <cell r="S115" t="str">
            <v>N/A</v>
          </cell>
          <cell r="T115">
            <v>45376</v>
          </cell>
          <cell r="U115">
            <v>45377</v>
          </cell>
          <cell r="V115">
            <v>0</v>
          </cell>
          <cell r="W115">
            <v>0</v>
          </cell>
          <cell r="X115">
            <v>45377</v>
          </cell>
          <cell r="Y115">
            <v>45377</v>
          </cell>
          <cell r="Z115">
            <v>0</v>
          </cell>
          <cell r="AA115">
            <v>800</v>
          </cell>
          <cell r="AB115">
            <v>800</v>
          </cell>
          <cell r="AC115">
            <v>0</v>
          </cell>
          <cell r="AD115">
            <v>800</v>
          </cell>
          <cell r="AE115">
            <v>800</v>
          </cell>
          <cell r="AF115">
            <v>0</v>
          </cell>
          <cell r="AG115" t="str">
            <v>M</v>
          </cell>
          <cell r="AH115" t="str">
            <v>ENGR. MICHAEL C. SALARDA
MS. LEONARDA M. LATOR
MS. CARMENCITA VALDEZ
MS. SORAYA P. VERGARA</v>
          </cell>
          <cell r="AI115" t="str">
            <v>N/A</v>
          </cell>
          <cell r="AJ115" t="str">
            <v>N/A</v>
          </cell>
          <cell r="AK115" t="str">
            <v>N/A</v>
          </cell>
          <cell r="AL115" t="str">
            <v>N/A</v>
          </cell>
          <cell r="AM115" t="str">
            <v>N/A</v>
          </cell>
          <cell r="AN115" t="str">
            <v>N/A</v>
          </cell>
          <cell r="AO115" t="str">
            <v>COMPLETED</v>
          </cell>
        </row>
        <row r="116">
          <cell r="A116" t="str">
            <v>24-1281</v>
          </cell>
          <cell r="B116" t="str">
            <v>SPAREPARTS (MOTORCYCLE)</v>
          </cell>
          <cell r="C116" t="str">
            <v>PGSO</v>
          </cell>
          <cell r="D116" t="str">
            <v>No</v>
          </cell>
          <cell r="E116" t="str">
            <v>Shopping 52.1(a) - Unforeseen Contingency</v>
          </cell>
          <cell r="F116" t="str">
            <v>N/A</v>
          </cell>
          <cell r="G116">
            <v>45352</v>
          </cell>
          <cell r="H116">
            <v>0</v>
          </cell>
          <cell r="I116" t="str">
            <v>N/A</v>
          </cell>
          <cell r="J116">
            <v>45356</v>
          </cell>
          <cell r="K116">
            <v>45356</v>
          </cell>
          <cell r="L116">
            <v>0</v>
          </cell>
          <cell r="M116" t="str">
            <v>N/A</v>
          </cell>
          <cell r="N116" t="str">
            <v>N/A</v>
          </cell>
          <cell r="O116">
            <v>45357</v>
          </cell>
          <cell r="P116">
            <v>0</v>
          </cell>
          <cell r="Q116">
            <v>0</v>
          </cell>
          <cell r="R116">
            <v>0</v>
          </cell>
          <cell r="S116" t="str">
            <v>N/A</v>
          </cell>
          <cell r="T116">
            <v>45377</v>
          </cell>
          <cell r="U116">
            <v>45386</v>
          </cell>
          <cell r="V116">
            <v>0</v>
          </cell>
          <cell r="W116">
            <v>0</v>
          </cell>
          <cell r="X116">
            <v>45386</v>
          </cell>
          <cell r="Y116">
            <v>45386</v>
          </cell>
          <cell r="Z116">
            <v>0</v>
          </cell>
          <cell r="AA116">
            <v>8280</v>
          </cell>
          <cell r="AB116">
            <v>8280</v>
          </cell>
          <cell r="AC116">
            <v>0</v>
          </cell>
          <cell r="AD116">
            <v>8280</v>
          </cell>
          <cell r="AE116">
            <v>8280</v>
          </cell>
          <cell r="AF116">
            <v>0</v>
          </cell>
          <cell r="AG116" t="str">
            <v>M</v>
          </cell>
          <cell r="AH116" t="str">
            <v>ENGR. MICHAEL C. SALARDA
MS. LEONARDA M. LATOR
MS. CARMENCITA VALDEZ
MS. SORAYA P. VERGARA</v>
          </cell>
          <cell r="AI116" t="str">
            <v>N/A</v>
          </cell>
          <cell r="AJ116" t="str">
            <v>N/A</v>
          </cell>
          <cell r="AK116" t="str">
            <v>N/A</v>
          </cell>
          <cell r="AL116" t="str">
            <v>N/A</v>
          </cell>
          <cell r="AM116" t="str">
            <v>N/A</v>
          </cell>
          <cell r="AN116" t="str">
            <v>N/A</v>
          </cell>
          <cell r="AO116" t="str">
            <v>COMPLETED</v>
          </cell>
        </row>
        <row r="117">
          <cell r="A117" t="str">
            <v>24-1206</v>
          </cell>
          <cell r="B117" t="str">
            <v>SPAREPARTS(LIGHT VEHICLE)</v>
          </cell>
          <cell r="C117" t="str">
            <v>PGSO</v>
          </cell>
          <cell r="D117" t="str">
            <v>No</v>
          </cell>
          <cell r="E117" t="str">
            <v>Shopping 52.1(a) - Unforeseen Contingency</v>
          </cell>
          <cell r="F117" t="str">
            <v>N/A</v>
          </cell>
          <cell r="G117">
            <v>45352</v>
          </cell>
          <cell r="H117">
            <v>0</v>
          </cell>
          <cell r="I117" t="str">
            <v>N/A</v>
          </cell>
          <cell r="J117">
            <v>45356</v>
          </cell>
          <cell r="K117">
            <v>45356</v>
          </cell>
          <cell r="L117">
            <v>0</v>
          </cell>
          <cell r="M117" t="str">
            <v>N/A</v>
          </cell>
          <cell r="N117" t="str">
            <v>N/A</v>
          </cell>
          <cell r="O117">
            <v>45357</v>
          </cell>
          <cell r="P117">
            <v>0</v>
          </cell>
          <cell r="Q117">
            <v>0</v>
          </cell>
          <cell r="R117">
            <v>0</v>
          </cell>
          <cell r="S117" t="str">
            <v>N/A</v>
          </cell>
          <cell r="T117">
            <v>45377</v>
          </cell>
          <cell r="U117">
            <v>45384</v>
          </cell>
          <cell r="V117">
            <v>0</v>
          </cell>
          <cell r="W117">
            <v>0</v>
          </cell>
          <cell r="X117">
            <v>45384</v>
          </cell>
          <cell r="Y117">
            <v>45384</v>
          </cell>
          <cell r="Z117">
            <v>0</v>
          </cell>
          <cell r="AA117">
            <v>21950</v>
          </cell>
          <cell r="AB117">
            <v>21950</v>
          </cell>
          <cell r="AC117">
            <v>0</v>
          </cell>
          <cell r="AD117">
            <v>21950</v>
          </cell>
          <cell r="AE117">
            <v>21950</v>
          </cell>
          <cell r="AF117">
            <v>0</v>
          </cell>
          <cell r="AG117" t="str">
            <v>M</v>
          </cell>
          <cell r="AH117" t="str">
            <v>ENGR. MICHAEL C. SALARDA
MS. LEONARDA M. LATOR
MS. CARMENCITA VALDEZ
MS. SORAYA P. VERGARA</v>
          </cell>
          <cell r="AI117" t="str">
            <v>N/A</v>
          </cell>
          <cell r="AJ117" t="str">
            <v>N/A</v>
          </cell>
          <cell r="AK117" t="str">
            <v>N/A</v>
          </cell>
          <cell r="AL117" t="str">
            <v>N/A</v>
          </cell>
          <cell r="AM117" t="str">
            <v>N/A</v>
          </cell>
          <cell r="AN117" t="str">
            <v>N/A</v>
          </cell>
          <cell r="AO117" t="str">
            <v>COMPLETED</v>
          </cell>
        </row>
        <row r="118">
          <cell r="A118" t="str">
            <v>24-0560</v>
          </cell>
          <cell r="B118" t="str">
            <v>FOOD/CATERING SERVICES</v>
          </cell>
          <cell r="C118" t="str">
            <v>PIAO</v>
          </cell>
          <cell r="D118" t="str">
            <v>No</v>
          </cell>
          <cell r="E118" t="str">
            <v>NP-53.9 - Small Value Procurement</v>
          </cell>
          <cell r="F118" t="str">
            <v>N/A</v>
          </cell>
          <cell r="G118">
            <v>45324</v>
          </cell>
          <cell r="H118">
            <v>0</v>
          </cell>
          <cell r="I118" t="str">
            <v>N/A</v>
          </cell>
          <cell r="J118">
            <v>45356</v>
          </cell>
          <cell r="K118">
            <v>45356</v>
          </cell>
          <cell r="L118">
            <v>0</v>
          </cell>
          <cell r="M118" t="str">
            <v>N/A</v>
          </cell>
          <cell r="N118" t="str">
            <v>N/A</v>
          </cell>
          <cell r="O118">
            <v>45357</v>
          </cell>
          <cell r="P118">
            <v>0</v>
          </cell>
          <cell r="Q118">
            <v>0</v>
          </cell>
          <cell r="R118">
            <v>0</v>
          </cell>
          <cell r="S118" t="str">
            <v>N/A</v>
          </cell>
          <cell r="T118">
            <v>45370</v>
          </cell>
          <cell r="U118">
            <v>45376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13600</v>
          </cell>
          <cell r="AB118">
            <v>13600</v>
          </cell>
          <cell r="AC118">
            <v>0</v>
          </cell>
          <cell r="AD118">
            <v>13440</v>
          </cell>
          <cell r="AE118">
            <v>13440</v>
          </cell>
          <cell r="AF118">
            <v>0</v>
          </cell>
          <cell r="AG118" t="str">
            <v>M</v>
          </cell>
          <cell r="AH118" t="str">
            <v>ENGR. MICHAEL C. SALARDA
MS. LEONARDA M. LATOR
MS. CARMENCITA VALDEZ
MS. SORAYA P. VERGARA</v>
          </cell>
          <cell r="AI118" t="str">
            <v>N/A</v>
          </cell>
          <cell r="AJ118" t="str">
            <v>N/A</v>
          </cell>
          <cell r="AK118" t="str">
            <v>N/A</v>
          </cell>
          <cell r="AL118" t="str">
            <v>N/A</v>
          </cell>
          <cell r="AM118" t="str">
            <v>N/A</v>
          </cell>
          <cell r="AN118" t="str">
            <v>N/A</v>
          </cell>
          <cell r="AO118">
            <v>0</v>
          </cell>
        </row>
        <row r="119">
          <cell r="A119" t="str">
            <v>23-5517</v>
          </cell>
          <cell r="B119" t="str">
            <v>DISTILLED WATER</v>
          </cell>
          <cell r="C119" t="str">
            <v>PAGRO</v>
          </cell>
          <cell r="D119" t="str">
            <v>No</v>
          </cell>
          <cell r="E119" t="str">
            <v>NP-53.9 - Small Value Procurement</v>
          </cell>
          <cell r="F119">
            <v>45272</v>
          </cell>
          <cell r="G119">
            <v>45316</v>
          </cell>
          <cell r="H119">
            <v>0</v>
          </cell>
          <cell r="I119" t="str">
            <v>N/A</v>
          </cell>
          <cell r="J119">
            <v>45356</v>
          </cell>
          <cell r="K119">
            <v>45356</v>
          </cell>
          <cell r="L119">
            <v>0</v>
          </cell>
          <cell r="M119" t="str">
            <v>N/A</v>
          </cell>
          <cell r="N119" t="str">
            <v>N/A</v>
          </cell>
          <cell r="O119">
            <v>45357</v>
          </cell>
          <cell r="P119">
            <v>0</v>
          </cell>
          <cell r="Q119">
            <v>0</v>
          </cell>
          <cell r="R119">
            <v>0</v>
          </cell>
          <cell r="S119" t="str">
            <v>N/A</v>
          </cell>
          <cell r="T119">
            <v>45369</v>
          </cell>
          <cell r="U119">
            <v>45372</v>
          </cell>
          <cell r="V119">
            <v>0</v>
          </cell>
          <cell r="W119">
            <v>0</v>
          </cell>
          <cell r="X119">
            <v>45383</v>
          </cell>
          <cell r="Y119">
            <v>45383</v>
          </cell>
          <cell r="Z119">
            <v>0</v>
          </cell>
          <cell r="AA119">
            <v>47371.5</v>
          </cell>
          <cell r="AB119">
            <v>0</v>
          </cell>
          <cell r="AC119">
            <v>47371.5</v>
          </cell>
          <cell r="AD119">
            <v>47212</v>
          </cell>
          <cell r="AE119">
            <v>0</v>
          </cell>
          <cell r="AF119">
            <v>47212</v>
          </cell>
          <cell r="AG119" t="str">
            <v>C</v>
          </cell>
          <cell r="AH119" t="str">
            <v>ENGR. MICHAEL C. SALARDA
MS. LEONARDA M. LATOR
MS. CARMENCITA VALDEZ
MS. SORAYA P. VERGARA</v>
          </cell>
          <cell r="AI119" t="str">
            <v>N/A</v>
          </cell>
          <cell r="AJ119" t="str">
            <v>N/A</v>
          </cell>
          <cell r="AK119" t="str">
            <v>N/A</v>
          </cell>
          <cell r="AL119" t="str">
            <v>N/A</v>
          </cell>
          <cell r="AM119" t="str">
            <v>N/A</v>
          </cell>
          <cell r="AN119" t="str">
            <v>N/A</v>
          </cell>
          <cell r="AO119" t="str">
            <v>COMPLETED</v>
          </cell>
        </row>
        <row r="120">
          <cell r="A120" t="str">
            <v>24-0062</v>
          </cell>
          <cell r="B120" t="str">
            <v>FOOD/CATERING SERVICES</v>
          </cell>
          <cell r="C120" t="str">
            <v>PBO</v>
          </cell>
          <cell r="D120" t="str">
            <v>No</v>
          </cell>
          <cell r="E120" t="str">
            <v>NP-53.9 - Small Value Procurement</v>
          </cell>
          <cell r="F120">
            <v>45272</v>
          </cell>
          <cell r="G120">
            <v>45316</v>
          </cell>
          <cell r="H120">
            <v>0</v>
          </cell>
          <cell r="I120" t="str">
            <v>N/A</v>
          </cell>
          <cell r="J120">
            <v>45356</v>
          </cell>
          <cell r="K120">
            <v>45356</v>
          </cell>
          <cell r="L120">
            <v>0</v>
          </cell>
          <cell r="M120" t="str">
            <v>N/A</v>
          </cell>
          <cell r="N120" t="str">
            <v>N/A</v>
          </cell>
          <cell r="O120">
            <v>45357</v>
          </cell>
          <cell r="P120">
            <v>0</v>
          </cell>
          <cell r="Q120">
            <v>0</v>
          </cell>
          <cell r="R120">
            <v>0</v>
          </cell>
          <cell r="S120" t="str">
            <v>N/A</v>
          </cell>
          <cell r="T120">
            <v>45369</v>
          </cell>
          <cell r="U120">
            <v>45371</v>
          </cell>
          <cell r="V120">
            <v>0</v>
          </cell>
          <cell r="W120">
            <v>0</v>
          </cell>
          <cell r="X120">
            <v>45429</v>
          </cell>
          <cell r="Y120">
            <v>45429</v>
          </cell>
          <cell r="Z120">
            <v>0</v>
          </cell>
          <cell r="AA120">
            <v>17000</v>
          </cell>
          <cell r="AB120">
            <v>17000</v>
          </cell>
          <cell r="AC120">
            <v>0</v>
          </cell>
          <cell r="AD120">
            <v>16900</v>
          </cell>
          <cell r="AE120">
            <v>16900</v>
          </cell>
          <cell r="AF120">
            <v>0</v>
          </cell>
          <cell r="AG120" t="str">
            <v>M</v>
          </cell>
          <cell r="AH120" t="str">
            <v>ENGR. MICHAEL C. SALARDA
MS. LEONARDA M. LATOR
MS. CARMENCITA VALDEZ
MS. SORAYA P. VERGARA</v>
          </cell>
          <cell r="AI120" t="str">
            <v>N/A</v>
          </cell>
          <cell r="AJ120" t="str">
            <v>N/A</v>
          </cell>
          <cell r="AK120" t="str">
            <v>N/A</v>
          </cell>
          <cell r="AL120" t="str">
            <v>N/A</v>
          </cell>
          <cell r="AM120" t="str">
            <v>N/A</v>
          </cell>
          <cell r="AN120" t="str">
            <v>N/A</v>
          </cell>
          <cell r="AO120" t="str">
            <v>COMPLETED</v>
          </cell>
        </row>
        <row r="121">
          <cell r="A121" t="str">
            <v>24-0038</v>
          </cell>
          <cell r="B121" t="str">
            <v>PAINTING MATERIALS</v>
          </cell>
          <cell r="C121" t="str">
            <v>SEF</v>
          </cell>
          <cell r="D121" t="str">
            <v>No</v>
          </cell>
          <cell r="E121" t="str">
            <v>NP-53.9 - Small Value Procurement</v>
          </cell>
          <cell r="F121">
            <v>45272</v>
          </cell>
          <cell r="G121">
            <v>45316</v>
          </cell>
          <cell r="H121">
            <v>0</v>
          </cell>
          <cell r="I121" t="str">
            <v>N/A</v>
          </cell>
          <cell r="J121">
            <v>45356</v>
          </cell>
          <cell r="K121">
            <v>45356</v>
          </cell>
          <cell r="L121">
            <v>0</v>
          </cell>
          <cell r="M121" t="str">
            <v>N/A</v>
          </cell>
          <cell r="N121" t="str">
            <v>N/A</v>
          </cell>
          <cell r="O121">
            <v>45357</v>
          </cell>
          <cell r="P121">
            <v>0</v>
          </cell>
          <cell r="Q121">
            <v>0</v>
          </cell>
          <cell r="R121">
            <v>0</v>
          </cell>
          <cell r="S121">
            <v>45357</v>
          </cell>
          <cell r="T121">
            <v>45373</v>
          </cell>
          <cell r="U121">
            <v>45377</v>
          </cell>
          <cell r="V121">
            <v>0</v>
          </cell>
          <cell r="W121">
            <v>0</v>
          </cell>
          <cell r="X121">
            <v>45394</v>
          </cell>
          <cell r="Y121">
            <v>45394</v>
          </cell>
          <cell r="Z121">
            <v>0</v>
          </cell>
          <cell r="AA121">
            <v>118981.44</v>
          </cell>
          <cell r="AB121">
            <v>0</v>
          </cell>
          <cell r="AC121">
            <v>118981.44</v>
          </cell>
          <cell r="AD121">
            <v>118159.5</v>
          </cell>
          <cell r="AE121">
            <v>0</v>
          </cell>
          <cell r="AF121">
            <v>118159.5</v>
          </cell>
          <cell r="AG121" t="str">
            <v>C</v>
          </cell>
          <cell r="AH121" t="str">
            <v>ENGR. MICHAEL C. SALARDA
MS. LEONARDA M. LATOR
MS. CARMENCITA VALDEZ
MS. SORAYA P. VERGARA</v>
          </cell>
          <cell r="AI121" t="str">
            <v>N/A</v>
          </cell>
          <cell r="AJ121" t="str">
            <v>N/A</v>
          </cell>
          <cell r="AK121" t="str">
            <v>N/A</v>
          </cell>
          <cell r="AL121" t="str">
            <v>N/A</v>
          </cell>
          <cell r="AM121" t="str">
            <v>N/A</v>
          </cell>
          <cell r="AN121" t="str">
            <v>N/A</v>
          </cell>
          <cell r="AO121" t="str">
            <v>COMPLETED</v>
          </cell>
        </row>
        <row r="122">
          <cell r="A122" t="str">
            <v>24-0088</v>
          </cell>
          <cell r="B122" t="str">
            <v>BINDER</v>
          </cell>
          <cell r="C122" t="str">
            <v>PACCO</v>
          </cell>
          <cell r="D122" t="str">
            <v>No</v>
          </cell>
          <cell r="E122" t="str">
            <v>NP-53.9 - Small Value Procurement</v>
          </cell>
          <cell r="F122" t="str">
            <v>N/A</v>
          </cell>
          <cell r="G122">
            <v>45318</v>
          </cell>
          <cell r="H122">
            <v>0</v>
          </cell>
          <cell r="I122" t="str">
            <v>N/A</v>
          </cell>
          <cell r="J122">
            <v>45356</v>
          </cell>
          <cell r="K122">
            <v>45356</v>
          </cell>
          <cell r="L122">
            <v>0</v>
          </cell>
          <cell r="M122" t="str">
            <v>N/A</v>
          </cell>
          <cell r="N122" t="str">
            <v>N/A</v>
          </cell>
          <cell r="O122">
            <v>45357</v>
          </cell>
          <cell r="P122">
            <v>0</v>
          </cell>
          <cell r="Q122">
            <v>0</v>
          </cell>
          <cell r="R122">
            <v>0</v>
          </cell>
          <cell r="S122" t="str">
            <v>N/A</v>
          </cell>
          <cell r="T122">
            <v>45372</v>
          </cell>
          <cell r="U122">
            <v>45377</v>
          </cell>
          <cell r="V122">
            <v>0</v>
          </cell>
          <cell r="W122">
            <v>0</v>
          </cell>
          <cell r="X122">
            <v>45394</v>
          </cell>
          <cell r="Y122">
            <v>45394</v>
          </cell>
          <cell r="Z122">
            <v>0</v>
          </cell>
          <cell r="AA122">
            <v>9000</v>
          </cell>
          <cell r="AB122">
            <v>9000</v>
          </cell>
          <cell r="AC122">
            <v>0</v>
          </cell>
          <cell r="AD122">
            <v>9000</v>
          </cell>
          <cell r="AE122">
            <v>9000</v>
          </cell>
          <cell r="AF122">
            <v>0</v>
          </cell>
          <cell r="AG122" t="str">
            <v>M</v>
          </cell>
          <cell r="AH122" t="str">
            <v>ENGR. MICHAEL C. SALARDA
MS. LEONARDA M. LATOR
MS. CARMENCITA VALDEZ
MS. SORAYA P. VERGARA</v>
          </cell>
          <cell r="AI122" t="str">
            <v>N/A</v>
          </cell>
          <cell r="AJ122" t="str">
            <v>N/A</v>
          </cell>
          <cell r="AK122" t="str">
            <v>N/A</v>
          </cell>
          <cell r="AL122" t="str">
            <v>N/A</v>
          </cell>
          <cell r="AM122" t="str">
            <v>N/A</v>
          </cell>
          <cell r="AN122" t="str">
            <v>N/A</v>
          </cell>
          <cell r="AO122" t="str">
            <v>COMPLETED</v>
          </cell>
        </row>
        <row r="123">
          <cell r="A123" t="str">
            <v>24-0813</v>
          </cell>
          <cell r="B123" t="str">
            <v>WATER</v>
          </cell>
          <cell r="C123" t="str">
            <v>PDRRMO</v>
          </cell>
          <cell r="D123" t="str">
            <v>No</v>
          </cell>
          <cell r="E123" t="str">
            <v>NP-53.9 - Small Value Procurement</v>
          </cell>
          <cell r="F123" t="str">
            <v>N/A</v>
          </cell>
          <cell r="G123">
            <v>45331</v>
          </cell>
          <cell r="H123">
            <v>0</v>
          </cell>
          <cell r="I123" t="str">
            <v>N/A</v>
          </cell>
          <cell r="J123">
            <v>45356</v>
          </cell>
          <cell r="K123">
            <v>45356</v>
          </cell>
          <cell r="L123">
            <v>0</v>
          </cell>
          <cell r="M123" t="str">
            <v>N/A</v>
          </cell>
          <cell r="N123" t="str">
            <v>N/A</v>
          </cell>
          <cell r="O123">
            <v>45357</v>
          </cell>
          <cell r="P123">
            <v>0</v>
          </cell>
          <cell r="Q123">
            <v>0</v>
          </cell>
          <cell r="R123">
            <v>0</v>
          </cell>
          <cell r="S123" t="str">
            <v>N/A</v>
          </cell>
          <cell r="T123">
            <v>45372</v>
          </cell>
          <cell r="U123">
            <v>45377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9963</v>
          </cell>
          <cell r="AB123">
            <v>0</v>
          </cell>
          <cell r="AC123">
            <v>9963</v>
          </cell>
          <cell r="AD123">
            <v>9720</v>
          </cell>
          <cell r="AE123">
            <v>0</v>
          </cell>
          <cell r="AF123">
            <v>9720</v>
          </cell>
          <cell r="AG123" t="str">
            <v>C</v>
          </cell>
          <cell r="AH123" t="str">
            <v>ENGR. MICHAEL C. SALARDA
MS. LEONARDA M. LATOR
MS. CARMENCITA VALDEZ
MS. SORAYA P. VERGARA</v>
          </cell>
          <cell r="AI123" t="str">
            <v>N/A</v>
          </cell>
          <cell r="AJ123" t="str">
            <v>N/A</v>
          </cell>
          <cell r="AK123" t="str">
            <v>N/A</v>
          </cell>
          <cell r="AL123" t="str">
            <v>N/A</v>
          </cell>
          <cell r="AM123" t="str">
            <v>N/A</v>
          </cell>
          <cell r="AN123" t="str">
            <v>N/A</v>
          </cell>
          <cell r="AO123">
            <v>0</v>
          </cell>
        </row>
        <row r="124">
          <cell r="A124" t="str">
            <v>24-0645</v>
          </cell>
          <cell r="B124" t="str">
            <v>COSMETOLOGY SUPPLIES</v>
          </cell>
          <cell r="C124" t="str">
            <v>PAO-ADMIN</v>
          </cell>
          <cell r="D124" t="str">
            <v>No</v>
          </cell>
          <cell r="E124" t="str">
            <v>NP-53.9 - Small Value Procurement</v>
          </cell>
          <cell r="F124" t="str">
            <v>N/A</v>
          </cell>
          <cell r="G124">
            <v>45338</v>
          </cell>
          <cell r="H124">
            <v>0</v>
          </cell>
          <cell r="I124" t="str">
            <v>N/A</v>
          </cell>
          <cell r="J124">
            <v>45356</v>
          </cell>
          <cell r="K124">
            <v>45356</v>
          </cell>
          <cell r="L124">
            <v>0</v>
          </cell>
          <cell r="M124" t="str">
            <v>N/A</v>
          </cell>
          <cell r="N124" t="str">
            <v>N/A</v>
          </cell>
          <cell r="O124">
            <v>45357</v>
          </cell>
          <cell r="P124">
            <v>0</v>
          </cell>
          <cell r="Q124">
            <v>0</v>
          </cell>
          <cell r="R124">
            <v>0</v>
          </cell>
          <cell r="S124">
            <v>45357</v>
          </cell>
          <cell r="T124">
            <v>45371</v>
          </cell>
          <cell r="U124">
            <v>45372</v>
          </cell>
          <cell r="V124">
            <v>0</v>
          </cell>
          <cell r="W124">
            <v>0</v>
          </cell>
          <cell r="X124">
            <v>45376</v>
          </cell>
          <cell r="Y124">
            <v>45376</v>
          </cell>
          <cell r="Z124">
            <v>0</v>
          </cell>
          <cell r="AA124">
            <v>84785</v>
          </cell>
          <cell r="AB124">
            <v>0</v>
          </cell>
          <cell r="AC124">
            <v>84785</v>
          </cell>
          <cell r="AD124">
            <v>83835</v>
          </cell>
          <cell r="AE124">
            <v>0</v>
          </cell>
          <cell r="AF124">
            <v>83835</v>
          </cell>
          <cell r="AG124" t="str">
            <v>C</v>
          </cell>
          <cell r="AH124" t="str">
            <v>ENGR. MICHAEL C. SALARDA
MS. LEONARDA M. LATOR
MS. CARMENCITA VALDEZ
MS. SORAYA P. VERGARA</v>
          </cell>
          <cell r="AI124" t="str">
            <v>N/A</v>
          </cell>
          <cell r="AJ124" t="str">
            <v>N/A</v>
          </cell>
          <cell r="AK124" t="str">
            <v>N/A</v>
          </cell>
          <cell r="AL124" t="str">
            <v>N/A</v>
          </cell>
          <cell r="AM124" t="str">
            <v>N/A</v>
          </cell>
          <cell r="AN124" t="str">
            <v>N/A</v>
          </cell>
          <cell r="AO124" t="str">
            <v>COMPLETED</v>
          </cell>
        </row>
        <row r="125">
          <cell r="A125" t="str">
            <v>24-C0942</v>
          </cell>
          <cell r="B125" t="str">
            <v>FIRE EXTINGUISHER &amp; REFILL</v>
          </cell>
          <cell r="C125" t="str">
            <v>PEEMO</v>
          </cell>
          <cell r="D125" t="str">
            <v>No</v>
          </cell>
          <cell r="E125" t="str">
            <v>NP-53.9 - Small Value Procurement</v>
          </cell>
          <cell r="F125" t="str">
            <v>N/A</v>
          </cell>
          <cell r="G125">
            <v>45338</v>
          </cell>
          <cell r="H125">
            <v>0</v>
          </cell>
          <cell r="I125" t="str">
            <v>N/A</v>
          </cell>
          <cell r="J125">
            <v>45356</v>
          </cell>
          <cell r="K125">
            <v>45356</v>
          </cell>
          <cell r="L125">
            <v>0</v>
          </cell>
          <cell r="M125" t="str">
            <v>N/A</v>
          </cell>
          <cell r="N125" t="str">
            <v>N/A</v>
          </cell>
          <cell r="O125">
            <v>45357</v>
          </cell>
          <cell r="P125">
            <v>0</v>
          </cell>
          <cell r="Q125">
            <v>0</v>
          </cell>
          <cell r="R125">
            <v>0</v>
          </cell>
          <cell r="S125">
            <v>45357</v>
          </cell>
          <cell r="T125">
            <v>45373</v>
          </cell>
          <cell r="U125">
            <v>45377</v>
          </cell>
          <cell r="V125">
            <v>0</v>
          </cell>
          <cell r="W125">
            <v>0</v>
          </cell>
          <cell r="X125">
            <v>45399</v>
          </cell>
          <cell r="Y125">
            <v>45399</v>
          </cell>
          <cell r="Z125">
            <v>0</v>
          </cell>
          <cell r="AA125">
            <v>264033</v>
          </cell>
          <cell r="AB125">
            <v>264033</v>
          </cell>
          <cell r="AC125">
            <v>0</v>
          </cell>
          <cell r="AD125">
            <v>261540</v>
          </cell>
          <cell r="AE125">
            <v>261540</v>
          </cell>
          <cell r="AF125">
            <v>0</v>
          </cell>
          <cell r="AG125" t="str">
            <v>M</v>
          </cell>
          <cell r="AH125" t="str">
            <v>ENGR. MICHAEL C. SALARDA
MS. LEONARDA M. LATOR
MS. CARMENCITA VALDEZ
MS. SORAYA P. VERGARA</v>
          </cell>
          <cell r="AI125" t="str">
            <v>N/A</v>
          </cell>
          <cell r="AJ125" t="str">
            <v>N/A</v>
          </cell>
          <cell r="AK125" t="str">
            <v>N/A</v>
          </cell>
          <cell r="AL125" t="str">
            <v>N/A</v>
          </cell>
          <cell r="AM125" t="str">
            <v>N/A</v>
          </cell>
          <cell r="AN125" t="str">
            <v>N/A</v>
          </cell>
          <cell r="AO125" t="str">
            <v>COMPLETED</v>
          </cell>
        </row>
        <row r="126">
          <cell r="A126" t="str">
            <v>24-C0946</v>
          </cell>
          <cell r="B126" t="str">
            <v>MINERAL WATER</v>
          </cell>
          <cell r="C126" t="str">
            <v>PEEMO</v>
          </cell>
          <cell r="D126" t="str">
            <v>No</v>
          </cell>
          <cell r="E126" t="str">
            <v>NP-53.9 - Small Value Procurement</v>
          </cell>
          <cell r="F126" t="str">
            <v>N/A</v>
          </cell>
          <cell r="G126">
            <v>45338</v>
          </cell>
          <cell r="H126">
            <v>0</v>
          </cell>
          <cell r="I126" t="str">
            <v>N/A</v>
          </cell>
          <cell r="J126">
            <v>45356</v>
          </cell>
          <cell r="K126">
            <v>45356</v>
          </cell>
          <cell r="L126">
            <v>0</v>
          </cell>
          <cell r="M126" t="str">
            <v>N/A</v>
          </cell>
          <cell r="N126" t="str">
            <v>N/A</v>
          </cell>
          <cell r="O126">
            <v>45357</v>
          </cell>
          <cell r="P126">
            <v>0</v>
          </cell>
          <cell r="Q126">
            <v>0</v>
          </cell>
          <cell r="R126">
            <v>0</v>
          </cell>
          <cell r="S126">
            <v>45357</v>
          </cell>
          <cell r="T126">
            <v>45372</v>
          </cell>
          <cell r="U126">
            <v>45377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50430</v>
          </cell>
          <cell r="AB126">
            <v>50430</v>
          </cell>
          <cell r="AC126">
            <v>0</v>
          </cell>
          <cell r="AD126">
            <v>49200</v>
          </cell>
          <cell r="AE126">
            <v>49200</v>
          </cell>
          <cell r="AF126">
            <v>0</v>
          </cell>
          <cell r="AG126" t="str">
            <v>M</v>
          </cell>
          <cell r="AH126" t="str">
            <v>ENGR. MICHAEL C. SALARDA
MS. LEONARDA M. LATOR
MS. CARMENCITA VALDEZ
MS. SORAYA P. VERGARA</v>
          </cell>
          <cell r="AI126" t="str">
            <v>N/A</v>
          </cell>
          <cell r="AJ126" t="str">
            <v>N/A</v>
          </cell>
          <cell r="AK126" t="str">
            <v>N/A</v>
          </cell>
          <cell r="AL126" t="str">
            <v>N/A</v>
          </cell>
          <cell r="AM126" t="str">
            <v>N/A</v>
          </cell>
          <cell r="AN126" t="str">
            <v>N/A</v>
          </cell>
          <cell r="AO126">
            <v>0</v>
          </cell>
        </row>
        <row r="127">
          <cell r="A127" t="str">
            <v>24-0869</v>
          </cell>
          <cell r="B127" t="str">
            <v>JANITORIAL SUPPLIES/HOUSEKEEPING</v>
          </cell>
          <cell r="C127" t="str">
            <v>SPO</v>
          </cell>
          <cell r="D127" t="str">
            <v>No</v>
          </cell>
          <cell r="E127" t="str">
            <v>NP-53.9 - Small Value Procurement</v>
          </cell>
          <cell r="F127" t="str">
            <v>N/A</v>
          </cell>
          <cell r="G127">
            <v>45335</v>
          </cell>
          <cell r="H127">
            <v>0</v>
          </cell>
          <cell r="I127" t="str">
            <v>N/A</v>
          </cell>
          <cell r="J127">
            <v>45356</v>
          </cell>
          <cell r="K127">
            <v>45356</v>
          </cell>
          <cell r="L127">
            <v>0</v>
          </cell>
          <cell r="M127" t="str">
            <v>N/A</v>
          </cell>
          <cell r="N127" t="str">
            <v>N/A</v>
          </cell>
          <cell r="O127">
            <v>45357</v>
          </cell>
          <cell r="P127">
            <v>0</v>
          </cell>
          <cell r="Q127">
            <v>0</v>
          </cell>
          <cell r="R127">
            <v>0</v>
          </cell>
          <cell r="S127" t="str">
            <v>N/A</v>
          </cell>
          <cell r="T127">
            <v>45415</v>
          </cell>
          <cell r="U127">
            <v>45419</v>
          </cell>
          <cell r="V127">
            <v>0</v>
          </cell>
          <cell r="W127">
            <v>0</v>
          </cell>
          <cell r="X127">
            <v>45421</v>
          </cell>
          <cell r="Y127">
            <v>45421</v>
          </cell>
          <cell r="Z127">
            <v>0</v>
          </cell>
          <cell r="AA127">
            <v>39685</v>
          </cell>
          <cell r="AB127">
            <v>39685</v>
          </cell>
          <cell r="AC127">
            <v>0</v>
          </cell>
          <cell r="AD127">
            <v>39685</v>
          </cell>
          <cell r="AE127">
            <v>39685</v>
          </cell>
          <cell r="AF127">
            <v>0</v>
          </cell>
          <cell r="AG127" t="str">
            <v>M</v>
          </cell>
          <cell r="AH127" t="str">
            <v>ENGR. MICHAEL C. SALARDA
MS. LEONARDA M. LATOR
MS. CARMENCITA VALDEZ
MS. SORAYA P. VERGARA</v>
          </cell>
          <cell r="AI127" t="str">
            <v>N/A</v>
          </cell>
          <cell r="AJ127" t="str">
            <v>N/A</v>
          </cell>
          <cell r="AK127" t="str">
            <v>N/A</v>
          </cell>
          <cell r="AL127" t="str">
            <v>N/A</v>
          </cell>
          <cell r="AM127" t="str">
            <v>N/A</v>
          </cell>
          <cell r="AN127" t="str">
            <v>N/A</v>
          </cell>
          <cell r="AO127" t="str">
            <v>COMPLETED</v>
          </cell>
        </row>
        <row r="128">
          <cell r="A128" t="str">
            <v>24-0083</v>
          </cell>
          <cell r="B128" t="str">
            <v>COMPUTER SUPPLIES</v>
          </cell>
          <cell r="C128" t="str">
            <v>PBO</v>
          </cell>
          <cell r="D128" t="str">
            <v>No</v>
          </cell>
          <cell r="E128" t="str">
            <v>NP-53.9 - Small Value Procurement</v>
          </cell>
          <cell r="F128" t="str">
            <v>N/A</v>
          </cell>
          <cell r="G128">
            <v>45335</v>
          </cell>
          <cell r="H128">
            <v>0</v>
          </cell>
          <cell r="I128" t="str">
            <v>N/A</v>
          </cell>
          <cell r="J128">
            <v>45356</v>
          </cell>
          <cell r="K128">
            <v>45356</v>
          </cell>
          <cell r="L128">
            <v>0</v>
          </cell>
          <cell r="M128" t="str">
            <v>N/A</v>
          </cell>
          <cell r="N128" t="str">
            <v>N/A</v>
          </cell>
          <cell r="O128">
            <v>45357</v>
          </cell>
          <cell r="P128">
            <v>0</v>
          </cell>
          <cell r="Q128">
            <v>0</v>
          </cell>
          <cell r="R128">
            <v>0</v>
          </cell>
          <cell r="S128" t="str">
            <v>N/A</v>
          </cell>
          <cell r="T128">
            <v>45369</v>
          </cell>
          <cell r="U128">
            <v>45372</v>
          </cell>
          <cell r="V128">
            <v>0</v>
          </cell>
          <cell r="W128">
            <v>0</v>
          </cell>
          <cell r="X128">
            <v>45404</v>
          </cell>
          <cell r="Y128">
            <v>45404</v>
          </cell>
          <cell r="Z128">
            <v>0</v>
          </cell>
          <cell r="AA128">
            <v>1948</v>
          </cell>
          <cell r="AB128">
            <v>1948</v>
          </cell>
          <cell r="AC128">
            <v>0</v>
          </cell>
          <cell r="AD128">
            <v>1948</v>
          </cell>
          <cell r="AE128">
            <v>1948</v>
          </cell>
          <cell r="AF128">
            <v>0</v>
          </cell>
          <cell r="AG128" t="str">
            <v>M</v>
          </cell>
          <cell r="AH128" t="str">
            <v>ENGR. MICHAEL C. SALARDA
MS. LEONARDA M. LATOR
MS. CARMENCITA VALDEZ
MS. SORAYA P. VERGARA</v>
          </cell>
          <cell r="AI128" t="str">
            <v>N/A</v>
          </cell>
          <cell r="AJ128" t="str">
            <v>N/A</v>
          </cell>
          <cell r="AK128" t="str">
            <v>N/A</v>
          </cell>
          <cell r="AL128" t="str">
            <v>N/A</v>
          </cell>
          <cell r="AM128" t="str">
            <v>N/A</v>
          </cell>
          <cell r="AN128" t="str">
            <v>N/A</v>
          </cell>
          <cell r="AO128" t="str">
            <v>COMPLETED</v>
          </cell>
        </row>
        <row r="129">
          <cell r="A129" t="str">
            <v>24-0204</v>
          </cell>
          <cell r="B129" t="str">
            <v>JANITORIAL SUPPLIES/HOUSEKEEPING</v>
          </cell>
          <cell r="C129" t="str">
            <v>PAO-ADMIN</v>
          </cell>
          <cell r="D129" t="str">
            <v>No</v>
          </cell>
          <cell r="E129" t="str">
            <v>NP-53.9 - Small Value Procurement</v>
          </cell>
          <cell r="F129" t="str">
            <v>N/A</v>
          </cell>
          <cell r="G129">
            <v>45331</v>
          </cell>
          <cell r="H129">
            <v>0</v>
          </cell>
          <cell r="I129" t="str">
            <v>N/A</v>
          </cell>
          <cell r="J129">
            <v>45356</v>
          </cell>
          <cell r="K129">
            <v>45356</v>
          </cell>
          <cell r="L129">
            <v>0</v>
          </cell>
          <cell r="M129" t="str">
            <v>N/A</v>
          </cell>
          <cell r="N129" t="str">
            <v>N/A</v>
          </cell>
          <cell r="O129">
            <v>45357</v>
          </cell>
          <cell r="P129">
            <v>0</v>
          </cell>
          <cell r="Q129">
            <v>0</v>
          </cell>
          <cell r="R129">
            <v>0</v>
          </cell>
          <cell r="S129" t="str">
            <v>N/A</v>
          </cell>
          <cell r="T129">
            <v>45371</v>
          </cell>
          <cell r="U129">
            <v>45372</v>
          </cell>
          <cell r="V129">
            <v>0</v>
          </cell>
          <cell r="W129">
            <v>0</v>
          </cell>
          <cell r="X129">
            <v>45385</v>
          </cell>
          <cell r="Y129">
            <v>45385</v>
          </cell>
          <cell r="Z129">
            <v>0</v>
          </cell>
          <cell r="AA129">
            <v>17062</v>
          </cell>
          <cell r="AB129">
            <v>17062</v>
          </cell>
          <cell r="AC129">
            <v>0</v>
          </cell>
          <cell r="AD129">
            <v>16912</v>
          </cell>
          <cell r="AE129">
            <v>16912</v>
          </cell>
          <cell r="AF129">
            <v>0</v>
          </cell>
          <cell r="AG129" t="str">
            <v>M</v>
          </cell>
          <cell r="AH129" t="str">
            <v>ENGR. MICHAEL C. SALARDA
MS. LEONARDA M. LATOR
MS. CARMENCITA VALDEZ
MS. SORAYA P. VERGARA</v>
          </cell>
          <cell r="AI129" t="str">
            <v>N/A</v>
          </cell>
          <cell r="AJ129" t="str">
            <v>N/A</v>
          </cell>
          <cell r="AK129" t="str">
            <v>N/A</v>
          </cell>
          <cell r="AL129" t="str">
            <v>N/A</v>
          </cell>
          <cell r="AM129" t="str">
            <v>N/A</v>
          </cell>
          <cell r="AN129" t="str">
            <v>N/A</v>
          </cell>
          <cell r="AO129" t="str">
            <v>COMPLETED</v>
          </cell>
        </row>
        <row r="130">
          <cell r="A130" t="str">
            <v>24-0082</v>
          </cell>
          <cell r="B130" t="str">
            <v>KITCHENWARE &amp; UTENSILS</v>
          </cell>
          <cell r="C130" t="str">
            <v>PBO</v>
          </cell>
          <cell r="D130" t="str">
            <v>No</v>
          </cell>
          <cell r="E130" t="str">
            <v>NP-53.9 - Small Value Procurement</v>
          </cell>
          <cell r="F130" t="str">
            <v>N/A</v>
          </cell>
          <cell r="G130">
            <v>45324</v>
          </cell>
          <cell r="H130">
            <v>0</v>
          </cell>
          <cell r="I130" t="str">
            <v>N/A</v>
          </cell>
          <cell r="J130">
            <v>45356</v>
          </cell>
          <cell r="K130">
            <v>45356</v>
          </cell>
          <cell r="L130">
            <v>0</v>
          </cell>
          <cell r="M130" t="str">
            <v>N/A</v>
          </cell>
          <cell r="N130" t="str">
            <v>N/A</v>
          </cell>
          <cell r="O130">
            <v>45357</v>
          </cell>
          <cell r="P130">
            <v>0</v>
          </cell>
          <cell r="Q130">
            <v>0</v>
          </cell>
          <cell r="R130">
            <v>0</v>
          </cell>
          <cell r="S130" t="str">
            <v>N/A</v>
          </cell>
          <cell r="T130">
            <v>45369</v>
          </cell>
          <cell r="U130">
            <v>45370</v>
          </cell>
          <cell r="V130">
            <v>0</v>
          </cell>
          <cell r="W130">
            <v>0</v>
          </cell>
          <cell r="X130">
            <v>45376</v>
          </cell>
          <cell r="Y130">
            <v>45376</v>
          </cell>
          <cell r="Z130">
            <v>0</v>
          </cell>
          <cell r="AA130">
            <v>385</v>
          </cell>
          <cell r="AB130">
            <v>385</v>
          </cell>
          <cell r="AC130">
            <v>0</v>
          </cell>
          <cell r="AD130">
            <v>378</v>
          </cell>
          <cell r="AE130">
            <v>378</v>
          </cell>
          <cell r="AF130">
            <v>0</v>
          </cell>
          <cell r="AG130" t="str">
            <v>M</v>
          </cell>
          <cell r="AH130" t="str">
            <v>ENGR. MICHAEL C. SALARDA
MS. LEONARDA M. LATOR
MS. CARMENCITA VALDEZ
MS. SORAYA P. VERGARA</v>
          </cell>
          <cell r="AI130" t="str">
            <v>N/A</v>
          </cell>
          <cell r="AJ130" t="str">
            <v>N/A</v>
          </cell>
          <cell r="AK130" t="str">
            <v>N/A</v>
          </cell>
          <cell r="AL130" t="str">
            <v>N/A</v>
          </cell>
          <cell r="AM130" t="str">
            <v>N/A</v>
          </cell>
          <cell r="AN130" t="str">
            <v>N/A</v>
          </cell>
          <cell r="AO130" t="str">
            <v>COMPLETED</v>
          </cell>
        </row>
        <row r="131">
          <cell r="A131" t="str">
            <v>24-C0955</v>
          </cell>
          <cell r="B131" t="str">
            <v>TONER</v>
          </cell>
          <cell r="C131" t="str">
            <v>PEO-GA</v>
          </cell>
          <cell r="D131" t="str">
            <v>No</v>
          </cell>
          <cell r="E131" t="str">
            <v>NP-53.9 - Small Value Procurement</v>
          </cell>
          <cell r="F131">
            <v>45335</v>
          </cell>
          <cell r="G131">
            <v>45337</v>
          </cell>
          <cell r="H131">
            <v>0</v>
          </cell>
          <cell r="I131" t="str">
            <v>N/A</v>
          </cell>
          <cell r="J131">
            <v>45356</v>
          </cell>
          <cell r="K131">
            <v>45356</v>
          </cell>
          <cell r="L131">
            <v>0</v>
          </cell>
          <cell r="M131" t="str">
            <v>N/A</v>
          </cell>
          <cell r="N131" t="str">
            <v>N/A</v>
          </cell>
          <cell r="O131">
            <v>45357</v>
          </cell>
          <cell r="P131">
            <v>0</v>
          </cell>
          <cell r="Q131">
            <v>0</v>
          </cell>
          <cell r="R131">
            <v>0</v>
          </cell>
          <cell r="S131">
            <v>45357</v>
          </cell>
          <cell r="T131">
            <v>45376</v>
          </cell>
          <cell r="U131">
            <v>45384</v>
          </cell>
          <cell r="V131">
            <v>0</v>
          </cell>
          <cell r="W131">
            <v>0</v>
          </cell>
          <cell r="X131">
            <v>45446</v>
          </cell>
          <cell r="Y131">
            <v>45446</v>
          </cell>
          <cell r="Z131">
            <v>0</v>
          </cell>
          <cell r="AA131">
            <v>80000</v>
          </cell>
          <cell r="AB131">
            <v>80000</v>
          </cell>
          <cell r="AC131">
            <v>0</v>
          </cell>
          <cell r="AD131">
            <v>80000</v>
          </cell>
          <cell r="AE131">
            <v>80000</v>
          </cell>
          <cell r="AF131">
            <v>0</v>
          </cell>
          <cell r="AG131" t="str">
            <v>M</v>
          </cell>
          <cell r="AH131" t="str">
            <v>ENGR. MICHAEL C. SALARDA
MS. LEONARDA M. LATOR
MS. CARMENCITA VALDEZ
MS. SORAYA P. VERGARA</v>
          </cell>
          <cell r="AI131" t="str">
            <v>N/A</v>
          </cell>
          <cell r="AJ131" t="str">
            <v>N/A</v>
          </cell>
          <cell r="AK131" t="str">
            <v>N/A</v>
          </cell>
          <cell r="AL131" t="str">
            <v>N/A</v>
          </cell>
          <cell r="AM131" t="str">
            <v>N/A</v>
          </cell>
          <cell r="AN131" t="str">
            <v>N/A</v>
          </cell>
          <cell r="AO131" t="str">
            <v>COMPLETED</v>
          </cell>
        </row>
        <row r="132">
          <cell r="A132" t="str">
            <v>24-C0957</v>
          </cell>
          <cell r="B132" t="str">
            <v>BATTERY</v>
          </cell>
          <cell r="C132" t="str">
            <v>PEEMO</v>
          </cell>
          <cell r="D132" t="str">
            <v>No</v>
          </cell>
          <cell r="E132" t="str">
            <v>NP-53.9 - Small Value Procurement</v>
          </cell>
          <cell r="F132" t="str">
            <v>N/A</v>
          </cell>
          <cell r="G132">
            <v>45338</v>
          </cell>
          <cell r="H132">
            <v>0</v>
          </cell>
          <cell r="I132" t="str">
            <v>N/A</v>
          </cell>
          <cell r="J132">
            <v>45356</v>
          </cell>
          <cell r="K132">
            <v>45356</v>
          </cell>
          <cell r="L132">
            <v>0</v>
          </cell>
          <cell r="M132" t="str">
            <v>N/A</v>
          </cell>
          <cell r="N132" t="str">
            <v>N/A</v>
          </cell>
          <cell r="O132">
            <v>45357</v>
          </cell>
          <cell r="P132">
            <v>0</v>
          </cell>
          <cell r="Q132">
            <v>0</v>
          </cell>
          <cell r="R132">
            <v>0</v>
          </cell>
          <cell r="S132">
            <v>45357</v>
          </cell>
          <cell r="T132">
            <v>45373</v>
          </cell>
          <cell r="U132">
            <v>45377</v>
          </cell>
          <cell r="V132">
            <v>0</v>
          </cell>
          <cell r="W132">
            <v>0</v>
          </cell>
          <cell r="X132">
            <v>45385</v>
          </cell>
          <cell r="Y132">
            <v>45385</v>
          </cell>
          <cell r="Z132">
            <v>0</v>
          </cell>
          <cell r="AA132">
            <v>208785</v>
          </cell>
          <cell r="AB132">
            <v>208785</v>
          </cell>
          <cell r="AC132">
            <v>0</v>
          </cell>
          <cell r="AD132">
            <v>171000</v>
          </cell>
          <cell r="AE132">
            <v>171000</v>
          </cell>
          <cell r="AF132">
            <v>0</v>
          </cell>
          <cell r="AG132" t="str">
            <v>M</v>
          </cell>
          <cell r="AH132" t="str">
            <v>ENGR. MICHAEL C. SALARDA
MS. LEONARDA M. LATOR
MS. CARMENCITA VALDEZ
MS. SORAYA P. VERGARA</v>
          </cell>
          <cell r="AI132" t="str">
            <v>N/A</v>
          </cell>
          <cell r="AJ132" t="str">
            <v>N/A</v>
          </cell>
          <cell r="AK132" t="str">
            <v>N/A</v>
          </cell>
          <cell r="AL132" t="str">
            <v>N/A</v>
          </cell>
          <cell r="AM132" t="str">
            <v>N/A</v>
          </cell>
          <cell r="AN132" t="str">
            <v>N/A</v>
          </cell>
          <cell r="AO132" t="str">
            <v>COMPLETED</v>
          </cell>
        </row>
        <row r="133">
          <cell r="A133" t="str">
            <v>24-C0971</v>
          </cell>
          <cell r="B133" t="str">
            <v>SPAREPARTS (LIGHT VEHICLES)</v>
          </cell>
          <cell r="C133" t="str">
            <v>PEEMO</v>
          </cell>
          <cell r="D133" t="str">
            <v>No</v>
          </cell>
          <cell r="E133" t="str">
            <v>NP-53.9 - Small Value Procurement</v>
          </cell>
          <cell r="F133" t="str">
            <v>N/A</v>
          </cell>
          <cell r="G133">
            <v>45338</v>
          </cell>
          <cell r="H133">
            <v>0</v>
          </cell>
          <cell r="I133" t="str">
            <v>N/A</v>
          </cell>
          <cell r="J133">
            <v>45356</v>
          </cell>
          <cell r="K133">
            <v>45356</v>
          </cell>
          <cell r="L133">
            <v>0</v>
          </cell>
          <cell r="M133" t="str">
            <v>N/A</v>
          </cell>
          <cell r="N133" t="str">
            <v>N/A</v>
          </cell>
          <cell r="O133">
            <v>45357</v>
          </cell>
          <cell r="P133">
            <v>0</v>
          </cell>
          <cell r="Q133">
            <v>0</v>
          </cell>
          <cell r="R133">
            <v>0</v>
          </cell>
          <cell r="S133">
            <v>45357</v>
          </cell>
          <cell r="T133">
            <v>45373</v>
          </cell>
          <cell r="U133">
            <v>45377</v>
          </cell>
          <cell r="V133">
            <v>0</v>
          </cell>
          <cell r="W133">
            <v>0</v>
          </cell>
          <cell r="X133">
            <v>45385</v>
          </cell>
          <cell r="Y133">
            <v>45385</v>
          </cell>
          <cell r="Z133">
            <v>0</v>
          </cell>
          <cell r="AA133">
            <v>165815</v>
          </cell>
          <cell r="AB133">
            <v>165815</v>
          </cell>
          <cell r="AC133">
            <v>0</v>
          </cell>
          <cell r="AD133">
            <v>110150</v>
          </cell>
          <cell r="AE133">
            <v>110150</v>
          </cell>
          <cell r="AF133">
            <v>0</v>
          </cell>
          <cell r="AG133" t="str">
            <v>M</v>
          </cell>
          <cell r="AH133" t="str">
            <v>ENGR. MICHAEL C. SALARDA
MS. LEONARDA M. LATOR
MS. CARMENCITA VALDEZ
MS. SORAYA P. VERGARA</v>
          </cell>
          <cell r="AI133" t="str">
            <v>N/A</v>
          </cell>
          <cell r="AJ133" t="str">
            <v>N/A</v>
          </cell>
          <cell r="AK133" t="str">
            <v>N/A</v>
          </cell>
          <cell r="AL133" t="str">
            <v>N/A</v>
          </cell>
          <cell r="AM133" t="str">
            <v>N/A</v>
          </cell>
          <cell r="AN133" t="str">
            <v>N/A</v>
          </cell>
          <cell r="AO133" t="str">
            <v>COMPLETED</v>
          </cell>
        </row>
        <row r="134">
          <cell r="A134" t="str">
            <v>24-0901</v>
          </cell>
          <cell r="B134" t="str">
            <v>FOOD/CATERING SERVICES</v>
          </cell>
          <cell r="C134" t="str">
            <v>PGO</v>
          </cell>
          <cell r="D134" t="str">
            <v>No</v>
          </cell>
          <cell r="E134" t="str">
            <v>NP-53.9 - Small Value Procurement</v>
          </cell>
          <cell r="F134" t="str">
            <v>N/A</v>
          </cell>
          <cell r="G134">
            <v>45344</v>
          </cell>
          <cell r="H134">
            <v>0</v>
          </cell>
          <cell r="I134" t="str">
            <v>N/A</v>
          </cell>
          <cell r="J134">
            <v>45356</v>
          </cell>
          <cell r="K134">
            <v>45356</v>
          </cell>
          <cell r="L134">
            <v>0</v>
          </cell>
          <cell r="M134" t="str">
            <v>N/A</v>
          </cell>
          <cell r="N134" t="str">
            <v>N/A</v>
          </cell>
          <cell r="O134">
            <v>45357</v>
          </cell>
          <cell r="P134">
            <v>0</v>
          </cell>
          <cell r="Q134">
            <v>0</v>
          </cell>
          <cell r="R134">
            <v>0</v>
          </cell>
          <cell r="S134">
            <v>45357</v>
          </cell>
          <cell r="T134">
            <v>45364</v>
          </cell>
          <cell r="U134">
            <v>45364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150000</v>
          </cell>
          <cell r="AB134">
            <v>0</v>
          </cell>
          <cell r="AC134">
            <v>150000</v>
          </cell>
          <cell r="AD134">
            <v>149908.79999999999</v>
          </cell>
          <cell r="AE134">
            <v>0</v>
          </cell>
          <cell r="AF134">
            <v>149908.79999999999</v>
          </cell>
          <cell r="AG134" t="str">
            <v>C</v>
          </cell>
          <cell r="AH134" t="str">
            <v>ENGR. MICHAEL C. SALARDA
MS. LEONARDA M. LATOR
MS. CARMENCITA VALDEZ
MS. SORAYA P. VERGARA</v>
          </cell>
          <cell r="AI134" t="str">
            <v>N/A</v>
          </cell>
          <cell r="AJ134" t="str">
            <v>N/A</v>
          </cell>
          <cell r="AK134" t="str">
            <v>N/A</v>
          </cell>
          <cell r="AL134" t="str">
            <v>N/A</v>
          </cell>
          <cell r="AM134" t="str">
            <v>N/A</v>
          </cell>
          <cell r="AN134" t="str">
            <v>N/A</v>
          </cell>
          <cell r="AO134">
            <v>0</v>
          </cell>
        </row>
        <row r="135">
          <cell r="A135" t="str">
            <v>24-C1019</v>
          </cell>
          <cell r="B135" t="str">
            <v>BARCODE SCANNER &amp; COMPUTER DESKTOP</v>
          </cell>
          <cell r="C135" t="str">
            <v>PAO-ADMIN</v>
          </cell>
          <cell r="D135" t="str">
            <v>No</v>
          </cell>
          <cell r="E135" t="str">
            <v>NP-53.9 - Small Value Procurement</v>
          </cell>
          <cell r="F135">
            <v>45342</v>
          </cell>
          <cell r="G135">
            <v>45344</v>
          </cell>
          <cell r="H135">
            <v>0</v>
          </cell>
          <cell r="I135" t="str">
            <v>N/A</v>
          </cell>
          <cell r="J135">
            <v>45356</v>
          </cell>
          <cell r="K135">
            <v>45356</v>
          </cell>
          <cell r="L135">
            <v>0</v>
          </cell>
          <cell r="M135" t="str">
            <v>N/A</v>
          </cell>
          <cell r="N135" t="str">
            <v>N/A</v>
          </cell>
          <cell r="O135">
            <v>45357</v>
          </cell>
          <cell r="P135">
            <v>0</v>
          </cell>
          <cell r="Q135">
            <v>0</v>
          </cell>
          <cell r="R135">
            <v>0</v>
          </cell>
          <cell r="S135">
            <v>45357</v>
          </cell>
          <cell r="T135">
            <v>45371</v>
          </cell>
          <cell r="U135">
            <v>45377</v>
          </cell>
          <cell r="V135">
            <v>0</v>
          </cell>
          <cell r="W135">
            <v>0</v>
          </cell>
          <cell r="X135">
            <v>45397</v>
          </cell>
          <cell r="Y135">
            <v>45397</v>
          </cell>
          <cell r="Z135">
            <v>0</v>
          </cell>
          <cell r="AA135">
            <v>51600</v>
          </cell>
          <cell r="AB135">
            <v>51600</v>
          </cell>
          <cell r="AC135">
            <v>0</v>
          </cell>
          <cell r="AD135">
            <v>51398</v>
          </cell>
          <cell r="AE135">
            <v>51398</v>
          </cell>
          <cell r="AF135">
            <v>0</v>
          </cell>
          <cell r="AG135" t="str">
            <v>M</v>
          </cell>
          <cell r="AH135" t="str">
            <v>ENGR. MICHAEL C. SALARDA
MS. LEONARDA M. LATOR
MS. CARMENCITA VALDEZ
MS. SORAYA P. VERGARA</v>
          </cell>
          <cell r="AI135" t="str">
            <v>N/A</v>
          </cell>
          <cell r="AJ135" t="str">
            <v>N/A</v>
          </cell>
          <cell r="AK135" t="str">
            <v>N/A</v>
          </cell>
          <cell r="AL135" t="str">
            <v>N/A</v>
          </cell>
          <cell r="AM135" t="str">
            <v>N/A</v>
          </cell>
          <cell r="AN135" t="str">
            <v>N/A</v>
          </cell>
          <cell r="AO135" t="str">
            <v>COMPLETED</v>
          </cell>
        </row>
        <row r="136">
          <cell r="A136" t="str">
            <v>24-C1050</v>
          </cell>
          <cell r="B136" t="str">
            <v>COMPUTERS SUPPLIES</v>
          </cell>
          <cell r="C136" t="str">
            <v>PHRMDO</v>
          </cell>
          <cell r="D136" t="str">
            <v>No</v>
          </cell>
          <cell r="E136" t="str">
            <v>NP-53.9 - Small Value Procurement</v>
          </cell>
          <cell r="F136" t="str">
            <v>N/A</v>
          </cell>
          <cell r="G136">
            <v>45344</v>
          </cell>
          <cell r="H136">
            <v>0</v>
          </cell>
          <cell r="I136" t="str">
            <v>N/A</v>
          </cell>
          <cell r="J136">
            <v>45356</v>
          </cell>
          <cell r="K136">
            <v>45356</v>
          </cell>
          <cell r="L136">
            <v>0</v>
          </cell>
          <cell r="M136" t="str">
            <v>N/A</v>
          </cell>
          <cell r="N136" t="str">
            <v>N/A</v>
          </cell>
          <cell r="O136">
            <v>45357</v>
          </cell>
          <cell r="P136">
            <v>0</v>
          </cell>
          <cell r="Q136">
            <v>0</v>
          </cell>
          <cell r="R136">
            <v>0</v>
          </cell>
          <cell r="S136">
            <v>45357</v>
          </cell>
          <cell r="T136">
            <v>45366</v>
          </cell>
          <cell r="U136">
            <v>45370</v>
          </cell>
          <cell r="V136">
            <v>0</v>
          </cell>
          <cell r="W136">
            <v>0</v>
          </cell>
          <cell r="X136">
            <v>45422</v>
          </cell>
          <cell r="Y136">
            <v>45422</v>
          </cell>
          <cell r="Z136">
            <v>0</v>
          </cell>
          <cell r="AA136">
            <v>64500</v>
          </cell>
          <cell r="AB136">
            <v>0</v>
          </cell>
          <cell r="AC136">
            <v>64500</v>
          </cell>
          <cell r="AD136">
            <v>48239</v>
          </cell>
          <cell r="AE136">
            <v>0</v>
          </cell>
          <cell r="AF136">
            <v>48239</v>
          </cell>
          <cell r="AG136" t="str">
            <v>C</v>
          </cell>
          <cell r="AH136" t="str">
            <v>ENGR. MICHAEL C. SALARDA
MS. LEONARDA M. LATOR
MS. CARMENCITA VALDEZ
MS. SORAYA P. VERGARA</v>
          </cell>
          <cell r="AI136" t="str">
            <v>N/A</v>
          </cell>
          <cell r="AJ136" t="str">
            <v>N/A</v>
          </cell>
          <cell r="AK136" t="str">
            <v>N/A</v>
          </cell>
          <cell r="AL136" t="str">
            <v>N/A</v>
          </cell>
          <cell r="AM136" t="str">
            <v>N/A</v>
          </cell>
          <cell r="AN136" t="str">
            <v>N/A</v>
          </cell>
          <cell r="AO136" t="str">
            <v>COMPLETED</v>
          </cell>
        </row>
        <row r="137">
          <cell r="A137" t="str">
            <v>24-0372</v>
          </cell>
          <cell r="B137" t="str">
            <v>COMPUTER SUPPLIES/SPAREPARTS</v>
          </cell>
          <cell r="C137" t="str">
            <v>PEO-GA</v>
          </cell>
          <cell r="D137" t="str">
            <v>No</v>
          </cell>
          <cell r="E137" t="str">
            <v>NP-53.9 - Small Value Procurement</v>
          </cell>
          <cell r="F137" t="str">
            <v>N/A</v>
          </cell>
          <cell r="G137">
            <v>45331</v>
          </cell>
          <cell r="H137">
            <v>0</v>
          </cell>
          <cell r="I137" t="str">
            <v>N/A</v>
          </cell>
          <cell r="J137">
            <v>45356</v>
          </cell>
          <cell r="K137">
            <v>45356</v>
          </cell>
          <cell r="L137">
            <v>0</v>
          </cell>
          <cell r="M137" t="str">
            <v>N/A</v>
          </cell>
          <cell r="N137" t="str">
            <v>N/A</v>
          </cell>
          <cell r="O137">
            <v>45357</v>
          </cell>
          <cell r="P137">
            <v>0</v>
          </cell>
          <cell r="Q137">
            <v>0</v>
          </cell>
          <cell r="R137">
            <v>0</v>
          </cell>
          <cell r="S137">
            <v>45357</v>
          </cell>
          <cell r="T137">
            <v>45372</v>
          </cell>
          <cell r="U137">
            <v>45377</v>
          </cell>
          <cell r="V137">
            <v>0</v>
          </cell>
          <cell r="W137">
            <v>0</v>
          </cell>
          <cell r="X137">
            <v>45393</v>
          </cell>
          <cell r="Y137">
            <v>45393</v>
          </cell>
          <cell r="Z137">
            <v>0</v>
          </cell>
          <cell r="AA137">
            <v>51316</v>
          </cell>
          <cell r="AB137">
            <v>51316</v>
          </cell>
          <cell r="AC137">
            <v>0</v>
          </cell>
          <cell r="AD137">
            <v>47000</v>
          </cell>
          <cell r="AE137">
            <v>47000</v>
          </cell>
          <cell r="AF137">
            <v>0</v>
          </cell>
          <cell r="AG137" t="str">
            <v>M</v>
          </cell>
          <cell r="AH137" t="str">
            <v>ENGR. MICHAEL C. SALARDA
MS. LEONARDA M. LATOR
MS. CARMENCITA VALDEZ
MS. SORAYA P. VERGARA</v>
          </cell>
          <cell r="AI137" t="str">
            <v>N/A</v>
          </cell>
          <cell r="AJ137" t="str">
            <v>N/A</v>
          </cell>
          <cell r="AK137" t="str">
            <v>N/A</v>
          </cell>
          <cell r="AL137" t="str">
            <v>N/A</v>
          </cell>
          <cell r="AM137" t="str">
            <v>N/A</v>
          </cell>
          <cell r="AN137" t="str">
            <v>N/A</v>
          </cell>
          <cell r="AO137" t="str">
            <v>COMPLETED</v>
          </cell>
        </row>
        <row r="138">
          <cell r="A138" t="str">
            <v>24-1318</v>
          </cell>
          <cell r="B138" t="str">
            <v>GARMENTS</v>
          </cell>
          <cell r="C138" t="str">
            <v>SEF</v>
          </cell>
          <cell r="D138" t="str">
            <v>No</v>
          </cell>
          <cell r="E138" t="str">
            <v>NP-53.9 - Small Value Procurement</v>
          </cell>
          <cell r="F138" t="str">
            <v>N/A</v>
          </cell>
          <cell r="G138">
            <v>45344</v>
          </cell>
          <cell r="H138">
            <v>0</v>
          </cell>
          <cell r="I138" t="str">
            <v>N/A</v>
          </cell>
          <cell r="J138">
            <v>45356</v>
          </cell>
          <cell r="K138">
            <v>45356</v>
          </cell>
          <cell r="L138">
            <v>0</v>
          </cell>
          <cell r="M138" t="str">
            <v>N/A</v>
          </cell>
          <cell r="N138" t="str">
            <v>N/A</v>
          </cell>
          <cell r="O138">
            <v>45357</v>
          </cell>
          <cell r="P138">
            <v>0</v>
          </cell>
          <cell r="Q138">
            <v>0</v>
          </cell>
          <cell r="R138">
            <v>0</v>
          </cell>
          <cell r="S138">
            <v>45358</v>
          </cell>
          <cell r="T138">
            <v>45373</v>
          </cell>
          <cell r="U138">
            <v>45390</v>
          </cell>
          <cell r="V138">
            <v>0</v>
          </cell>
          <cell r="W138">
            <v>0</v>
          </cell>
          <cell r="X138">
            <v>45405</v>
          </cell>
          <cell r="Y138">
            <v>45405</v>
          </cell>
          <cell r="Z138">
            <v>0</v>
          </cell>
          <cell r="AA138">
            <v>280800</v>
          </cell>
          <cell r="AB138">
            <v>0</v>
          </cell>
          <cell r="AC138">
            <v>280800</v>
          </cell>
          <cell r="AD138">
            <v>280800</v>
          </cell>
          <cell r="AE138">
            <v>0</v>
          </cell>
          <cell r="AF138">
            <v>280800</v>
          </cell>
          <cell r="AG138" t="str">
            <v>C</v>
          </cell>
          <cell r="AH138" t="str">
            <v>ENGR. MICHAEL C. SALARDA
MS. LEONARDA M. LATOR
MS. CARMENCITA VALDEZ
MS. SORAYA P. VERGARA</v>
          </cell>
          <cell r="AI138" t="str">
            <v>N/A</v>
          </cell>
          <cell r="AJ138" t="str">
            <v>N/A</v>
          </cell>
          <cell r="AK138" t="str">
            <v>N/A</v>
          </cell>
          <cell r="AL138" t="str">
            <v>N/A</v>
          </cell>
          <cell r="AM138" t="str">
            <v>N/A</v>
          </cell>
          <cell r="AN138" t="str">
            <v>N/A</v>
          </cell>
          <cell r="AO138" t="str">
            <v>COMPLETED</v>
          </cell>
        </row>
        <row r="139">
          <cell r="A139" t="str">
            <v>24-1317</v>
          </cell>
          <cell r="B139" t="str">
            <v>UNIFORM SUPPLIES</v>
          </cell>
          <cell r="C139" t="str">
            <v>SEF</v>
          </cell>
          <cell r="D139" t="str">
            <v>No</v>
          </cell>
          <cell r="E139" t="str">
            <v>NP-53.9 - Small Value Procurement</v>
          </cell>
          <cell r="F139">
            <v>45342</v>
          </cell>
          <cell r="G139">
            <v>45344</v>
          </cell>
          <cell r="H139">
            <v>0</v>
          </cell>
          <cell r="I139" t="str">
            <v>N/A</v>
          </cell>
          <cell r="J139">
            <v>45356</v>
          </cell>
          <cell r="K139">
            <v>45356</v>
          </cell>
          <cell r="L139">
            <v>0</v>
          </cell>
          <cell r="M139" t="str">
            <v>N/A</v>
          </cell>
          <cell r="N139" t="str">
            <v>N/A</v>
          </cell>
          <cell r="O139">
            <v>45357</v>
          </cell>
          <cell r="P139">
            <v>0</v>
          </cell>
          <cell r="Q139">
            <v>0</v>
          </cell>
          <cell r="R139">
            <v>0</v>
          </cell>
          <cell r="S139">
            <v>45358</v>
          </cell>
          <cell r="T139">
            <v>45372</v>
          </cell>
          <cell r="U139">
            <v>45378</v>
          </cell>
          <cell r="V139">
            <v>0</v>
          </cell>
          <cell r="W139">
            <v>0</v>
          </cell>
          <cell r="X139">
            <v>45378</v>
          </cell>
          <cell r="Y139">
            <v>45378</v>
          </cell>
          <cell r="Z139">
            <v>0</v>
          </cell>
          <cell r="AA139">
            <v>84000</v>
          </cell>
          <cell r="AB139">
            <v>0</v>
          </cell>
          <cell r="AC139">
            <v>84000</v>
          </cell>
          <cell r="AD139">
            <v>84000</v>
          </cell>
          <cell r="AE139">
            <v>0</v>
          </cell>
          <cell r="AF139">
            <v>84000</v>
          </cell>
          <cell r="AG139" t="str">
            <v>C</v>
          </cell>
          <cell r="AH139" t="str">
            <v>ENGR. MICHAEL C. SALARDA
MS. LEONARDA M. LATOR
MS. CARMENCITA VALDEZ
MS. SORAYA P. VERGARA</v>
          </cell>
          <cell r="AI139" t="str">
            <v>N/A</v>
          </cell>
          <cell r="AJ139" t="str">
            <v>N/A</v>
          </cell>
          <cell r="AK139" t="str">
            <v>N/A</v>
          </cell>
          <cell r="AL139" t="str">
            <v>N/A</v>
          </cell>
          <cell r="AM139" t="str">
            <v>N/A</v>
          </cell>
          <cell r="AN139" t="str">
            <v>N/A</v>
          </cell>
          <cell r="AO139" t="str">
            <v>COMPLETED</v>
          </cell>
        </row>
        <row r="140">
          <cell r="A140" t="str">
            <v>24-0203</v>
          </cell>
          <cell r="B140" t="str">
            <v>FOOD/CATERING SERVICES</v>
          </cell>
          <cell r="C140" t="str">
            <v>PGSO</v>
          </cell>
          <cell r="D140" t="str">
            <v>No</v>
          </cell>
          <cell r="E140" t="str">
            <v>NP-53.9 - Small Value Procurement</v>
          </cell>
          <cell r="F140" t="str">
            <v>N/A</v>
          </cell>
          <cell r="G140">
            <v>45344</v>
          </cell>
          <cell r="H140">
            <v>0</v>
          </cell>
          <cell r="I140" t="str">
            <v>N/A</v>
          </cell>
          <cell r="J140">
            <v>45356</v>
          </cell>
          <cell r="K140">
            <v>45356</v>
          </cell>
          <cell r="L140">
            <v>0</v>
          </cell>
          <cell r="M140" t="str">
            <v>N/A</v>
          </cell>
          <cell r="N140" t="str">
            <v>N/A</v>
          </cell>
          <cell r="O140">
            <v>45357</v>
          </cell>
          <cell r="P140">
            <v>0</v>
          </cell>
          <cell r="Q140">
            <v>0</v>
          </cell>
          <cell r="R140">
            <v>0</v>
          </cell>
          <cell r="S140" t="str">
            <v>N/A</v>
          </cell>
          <cell r="T140">
            <v>45376</v>
          </cell>
          <cell r="U140">
            <v>45384</v>
          </cell>
          <cell r="V140">
            <v>0</v>
          </cell>
          <cell r="W140">
            <v>0</v>
          </cell>
          <cell r="X140">
            <v>45418</v>
          </cell>
          <cell r="Y140">
            <v>45418</v>
          </cell>
          <cell r="Z140">
            <v>0</v>
          </cell>
          <cell r="AA140">
            <v>12500</v>
          </cell>
          <cell r="AB140">
            <v>12500</v>
          </cell>
          <cell r="AC140">
            <v>0</v>
          </cell>
          <cell r="AD140">
            <v>12150</v>
          </cell>
          <cell r="AE140">
            <v>12150</v>
          </cell>
          <cell r="AF140">
            <v>0</v>
          </cell>
          <cell r="AG140" t="str">
            <v>M</v>
          </cell>
          <cell r="AH140" t="str">
            <v>ENGR. MICHAEL C. SALARDA
MS. LEONARDA M. LATOR
MS. CARMENCITA VALDEZ
MS. SORAYA P. VERGARA</v>
          </cell>
          <cell r="AI140" t="str">
            <v>N/A</v>
          </cell>
          <cell r="AJ140" t="str">
            <v>N/A</v>
          </cell>
          <cell r="AK140" t="str">
            <v>N/A</v>
          </cell>
          <cell r="AL140" t="str">
            <v>N/A</v>
          </cell>
          <cell r="AM140" t="str">
            <v>N/A</v>
          </cell>
          <cell r="AN140" t="str">
            <v>N/A</v>
          </cell>
          <cell r="AO140" t="str">
            <v>COMPLETED</v>
          </cell>
        </row>
        <row r="141">
          <cell r="A141" t="str">
            <v>24-C0995</v>
          </cell>
          <cell r="B141" t="str">
            <v>TARPAULIN</v>
          </cell>
          <cell r="C141" t="str">
            <v>PHRMDO</v>
          </cell>
          <cell r="D141" t="str">
            <v>No</v>
          </cell>
          <cell r="E141" t="str">
            <v>NP-53.9 - Small Value Procurement</v>
          </cell>
          <cell r="F141" t="str">
            <v>N/A</v>
          </cell>
          <cell r="G141">
            <v>45344</v>
          </cell>
          <cell r="H141">
            <v>0</v>
          </cell>
          <cell r="I141" t="str">
            <v>N/A</v>
          </cell>
          <cell r="J141">
            <v>45356</v>
          </cell>
          <cell r="K141">
            <v>45356</v>
          </cell>
          <cell r="L141">
            <v>0</v>
          </cell>
          <cell r="M141" t="str">
            <v>N/A</v>
          </cell>
          <cell r="N141" t="str">
            <v>N/A</v>
          </cell>
          <cell r="O141">
            <v>45357</v>
          </cell>
          <cell r="P141">
            <v>0</v>
          </cell>
          <cell r="Q141">
            <v>0</v>
          </cell>
          <cell r="R141">
            <v>0</v>
          </cell>
          <cell r="S141" t="str">
            <v>N/A</v>
          </cell>
          <cell r="T141">
            <v>45366</v>
          </cell>
          <cell r="U141">
            <v>45370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49840</v>
          </cell>
          <cell r="AB141">
            <v>0</v>
          </cell>
          <cell r="AC141">
            <v>49840</v>
          </cell>
          <cell r="AD141">
            <v>48060</v>
          </cell>
          <cell r="AE141">
            <v>0</v>
          </cell>
          <cell r="AF141">
            <v>48060</v>
          </cell>
          <cell r="AG141" t="str">
            <v>C</v>
          </cell>
          <cell r="AH141" t="str">
            <v>ENGR. MICHAEL C. SALARDA
MS. LEONARDA M. LATOR
MS. CARMENCITA VALDEZ
MS. SORAYA P. VERGARA</v>
          </cell>
          <cell r="AI141" t="str">
            <v>N/A</v>
          </cell>
          <cell r="AJ141" t="str">
            <v>N/A</v>
          </cell>
          <cell r="AK141" t="str">
            <v>N/A</v>
          </cell>
          <cell r="AL141" t="str">
            <v>N/A</v>
          </cell>
          <cell r="AM141" t="str">
            <v>N/A</v>
          </cell>
          <cell r="AN141" t="str">
            <v>N/A</v>
          </cell>
          <cell r="AO141">
            <v>0</v>
          </cell>
        </row>
        <row r="142">
          <cell r="A142" t="str">
            <v>24-0266</v>
          </cell>
          <cell r="B142" t="str">
            <v>COMPUTER SUPPLIES/SPAREPARTS</v>
          </cell>
          <cell r="C142" t="str">
            <v>PGO</v>
          </cell>
          <cell r="D142" t="str">
            <v>No</v>
          </cell>
          <cell r="E142" t="str">
            <v>NP-53.9 - Small Value Procurement</v>
          </cell>
          <cell r="F142" t="str">
            <v>N/A</v>
          </cell>
          <cell r="G142">
            <v>45344</v>
          </cell>
          <cell r="H142">
            <v>0</v>
          </cell>
          <cell r="I142" t="str">
            <v>N/A</v>
          </cell>
          <cell r="J142">
            <v>45356</v>
          </cell>
          <cell r="K142">
            <v>45356</v>
          </cell>
          <cell r="L142">
            <v>0</v>
          </cell>
          <cell r="M142" t="str">
            <v>N/A</v>
          </cell>
          <cell r="N142" t="str">
            <v>N/A</v>
          </cell>
          <cell r="O142">
            <v>45357</v>
          </cell>
          <cell r="P142">
            <v>0</v>
          </cell>
          <cell r="Q142">
            <v>0</v>
          </cell>
          <cell r="R142">
            <v>0</v>
          </cell>
          <cell r="S142" t="str">
            <v>N/A</v>
          </cell>
          <cell r="T142">
            <v>45371</v>
          </cell>
          <cell r="U142">
            <v>45372</v>
          </cell>
          <cell r="V142">
            <v>0</v>
          </cell>
          <cell r="W142">
            <v>0</v>
          </cell>
          <cell r="X142">
            <v>45398</v>
          </cell>
          <cell r="Y142">
            <v>45398</v>
          </cell>
          <cell r="Z142">
            <v>0</v>
          </cell>
          <cell r="AA142">
            <v>7950</v>
          </cell>
          <cell r="AB142">
            <v>0</v>
          </cell>
          <cell r="AC142">
            <v>7950</v>
          </cell>
          <cell r="AD142">
            <v>7875</v>
          </cell>
          <cell r="AE142">
            <v>0</v>
          </cell>
          <cell r="AF142">
            <v>7875</v>
          </cell>
          <cell r="AG142" t="str">
            <v>C</v>
          </cell>
          <cell r="AH142" t="str">
            <v>ENGR. MICHAEL C. SALARDA
MS. LEONARDA M. LATOR
MS. CARMENCITA VALDEZ
MS. SORAYA P. VERGARA</v>
          </cell>
          <cell r="AI142" t="str">
            <v>N/A</v>
          </cell>
          <cell r="AJ142" t="str">
            <v>N/A</v>
          </cell>
          <cell r="AK142" t="str">
            <v>N/A</v>
          </cell>
          <cell r="AL142" t="str">
            <v>N/A</v>
          </cell>
          <cell r="AM142" t="str">
            <v>N/A</v>
          </cell>
          <cell r="AN142" t="str">
            <v>N/A</v>
          </cell>
          <cell r="AO142" t="str">
            <v>COMPLETED</v>
          </cell>
        </row>
        <row r="143">
          <cell r="A143" t="str">
            <v>24-0434</v>
          </cell>
          <cell r="B143" t="str">
            <v>AGRICULTURAL SUPPLIES</v>
          </cell>
          <cell r="C143" t="str">
            <v>PENRO</v>
          </cell>
          <cell r="D143" t="str">
            <v>No</v>
          </cell>
          <cell r="E143" t="str">
            <v>NP-53.9 - Small Value Procurement</v>
          </cell>
          <cell r="F143" t="str">
            <v>N/A</v>
          </cell>
          <cell r="G143">
            <v>45344</v>
          </cell>
          <cell r="H143">
            <v>0</v>
          </cell>
          <cell r="I143" t="str">
            <v>N/A</v>
          </cell>
          <cell r="J143">
            <v>45356</v>
          </cell>
          <cell r="K143">
            <v>45356</v>
          </cell>
          <cell r="L143">
            <v>0</v>
          </cell>
          <cell r="M143" t="str">
            <v>N/A</v>
          </cell>
          <cell r="N143" t="str">
            <v>N/A</v>
          </cell>
          <cell r="O143">
            <v>45357</v>
          </cell>
          <cell r="P143">
            <v>0</v>
          </cell>
          <cell r="Q143">
            <v>0</v>
          </cell>
          <cell r="R143">
            <v>0</v>
          </cell>
          <cell r="S143" t="str">
            <v>N/A</v>
          </cell>
          <cell r="T143">
            <v>45372</v>
          </cell>
          <cell r="U143">
            <v>45373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6348</v>
          </cell>
          <cell r="AB143">
            <v>0</v>
          </cell>
          <cell r="AC143">
            <v>6348</v>
          </cell>
          <cell r="AD143">
            <v>6320</v>
          </cell>
          <cell r="AE143">
            <v>0</v>
          </cell>
          <cell r="AF143">
            <v>6320</v>
          </cell>
          <cell r="AG143" t="str">
            <v>C</v>
          </cell>
          <cell r="AH143" t="str">
            <v>ENGR. MICHAEL C. SALARDA
MS. LEONARDA M. LATOR
MS. CARMENCITA VALDEZ
MS. SORAYA P. VERGARA</v>
          </cell>
          <cell r="AI143" t="str">
            <v>N/A</v>
          </cell>
          <cell r="AJ143" t="str">
            <v>N/A</v>
          </cell>
          <cell r="AK143" t="str">
            <v>N/A</v>
          </cell>
          <cell r="AL143" t="str">
            <v>N/A</v>
          </cell>
          <cell r="AM143" t="str">
            <v>N/A</v>
          </cell>
          <cell r="AN143" t="str">
            <v>N/A</v>
          </cell>
          <cell r="AO143">
            <v>0</v>
          </cell>
        </row>
        <row r="144">
          <cell r="A144" t="str">
            <v>24-0033</v>
          </cell>
          <cell r="B144" t="str">
            <v>GARMENTS</v>
          </cell>
          <cell r="C144" t="str">
            <v>PTO</v>
          </cell>
          <cell r="D144" t="str">
            <v>No</v>
          </cell>
          <cell r="E144" t="str">
            <v>NP-53.9 - Small Value Procurement</v>
          </cell>
          <cell r="F144" t="str">
            <v>N/A</v>
          </cell>
          <cell r="G144">
            <v>45344</v>
          </cell>
          <cell r="H144">
            <v>0</v>
          </cell>
          <cell r="I144" t="str">
            <v>N/A</v>
          </cell>
          <cell r="J144">
            <v>45356</v>
          </cell>
          <cell r="K144">
            <v>45356</v>
          </cell>
          <cell r="L144">
            <v>0</v>
          </cell>
          <cell r="M144" t="str">
            <v>N/A</v>
          </cell>
          <cell r="N144" t="str">
            <v>N/A</v>
          </cell>
          <cell r="O144">
            <v>45357</v>
          </cell>
          <cell r="P144">
            <v>0</v>
          </cell>
          <cell r="Q144">
            <v>0</v>
          </cell>
          <cell r="R144">
            <v>0</v>
          </cell>
          <cell r="S144" t="str">
            <v>N/A</v>
          </cell>
          <cell r="T144">
            <v>45370</v>
          </cell>
          <cell r="U144">
            <v>45377</v>
          </cell>
          <cell r="V144">
            <v>0</v>
          </cell>
          <cell r="W144">
            <v>0</v>
          </cell>
          <cell r="X144">
            <v>45407</v>
          </cell>
          <cell r="Y144">
            <v>45407</v>
          </cell>
          <cell r="Z144">
            <v>0</v>
          </cell>
          <cell r="AA144">
            <v>35000</v>
          </cell>
          <cell r="AB144">
            <v>35000</v>
          </cell>
          <cell r="AC144">
            <v>0</v>
          </cell>
          <cell r="AD144">
            <v>32900</v>
          </cell>
          <cell r="AE144">
            <v>32900</v>
          </cell>
          <cell r="AF144">
            <v>0</v>
          </cell>
          <cell r="AG144" t="str">
            <v>M</v>
          </cell>
          <cell r="AH144" t="str">
            <v>ENGR. MICHAEL C. SALARDA
MS. LEONARDA M. LATOR
MS. CARMENCITA VALDEZ
MS. SORAYA P. VERGARA</v>
          </cell>
          <cell r="AI144" t="str">
            <v>N/A</v>
          </cell>
          <cell r="AJ144" t="str">
            <v>N/A</v>
          </cell>
          <cell r="AK144" t="str">
            <v>N/A</v>
          </cell>
          <cell r="AL144" t="str">
            <v>N/A</v>
          </cell>
          <cell r="AM144" t="str">
            <v>N/A</v>
          </cell>
          <cell r="AN144" t="str">
            <v>N/A</v>
          </cell>
          <cell r="AO144" t="str">
            <v>COMPLETED</v>
          </cell>
        </row>
        <row r="145">
          <cell r="A145" t="str">
            <v>24-0126</v>
          </cell>
          <cell r="B145" t="str">
            <v>LUMBER</v>
          </cell>
          <cell r="C145" t="str">
            <v>SEF</v>
          </cell>
          <cell r="D145" t="str">
            <v>No</v>
          </cell>
          <cell r="E145" t="str">
            <v>NP-53.9 - Small Value Procurement</v>
          </cell>
          <cell r="F145">
            <v>45322</v>
          </cell>
          <cell r="G145">
            <v>45324</v>
          </cell>
          <cell r="H145">
            <v>0</v>
          </cell>
          <cell r="I145" t="str">
            <v>N/A</v>
          </cell>
          <cell r="J145">
            <v>45356</v>
          </cell>
          <cell r="K145">
            <v>45356</v>
          </cell>
          <cell r="L145">
            <v>0</v>
          </cell>
          <cell r="M145" t="str">
            <v>N/A</v>
          </cell>
          <cell r="N145" t="str">
            <v>N/A</v>
          </cell>
          <cell r="O145">
            <v>45357</v>
          </cell>
          <cell r="P145">
            <v>0</v>
          </cell>
          <cell r="Q145">
            <v>0</v>
          </cell>
          <cell r="R145">
            <v>0</v>
          </cell>
          <cell r="S145" t="str">
            <v>N/A</v>
          </cell>
          <cell r="T145">
            <v>45372</v>
          </cell>
          <cell r="U145">
            <v>45377</v>
          </cell>
          <cell r="V145">
            <v>0</v>
          </cell>
          <cell r="W145">
            <v>0</v>
          </cell>
          <cell r="X145">
            <v>45457</v>
          </cell>
          <cell r="Y145">
            <v>45457</v>
          </cell>
          <cell r="Z145">
            <v>0</v>
          </cell>
          <cell r="AA145">
            <v>2256</v>
          </cell>
          <cell r="AB145">
            <v>0</v>
          </cell>
          <cell r="AC145">
            <v>2256</v>
          </cell>
          <cell r="AD145">
            <v>2256</v>
          </cell>
          <cell r="AE145">
            <v>0</v>
          </cell>
          <cell r="AF145">
            <v>2256</v>
          </cell>
          <cell r="AG145" t="str">
            <v>C</v>
          </cell>
          <cell r="AH145" t="str">
            <v>ENGR. MICHAEL C. SALARDA
MS. LEONARDA M. LATOR
MS. CARMENCITA VALDEZ
MS. SORAYA P. VERGARA</v>
          </cell>
          <cell r="AI145" t="str">
            <v>N/A</v>
          </cell>
          <cell r="AJ145" t="str">
            <v>N/A</v>
          </cell>
          <cell r="AK145" t="str">
            <v>N/A</v>
          </cell>
          <cell r="AL145" t="str">
            <v>N/A</v>
          </cell>
          <cell r="AM145" t="str">
            <v>N/A</v>
          </cell>
          <cell r="AN145" t="str">
            <v>N/A</v>
          </cell>
          <cell r="AO145" t="str">
            <v>COMPLETED</v>
          </cell>
        </row>
        <row r="146">
          <cell r="A146" t="str">
            <v>24-C1008</v>
          </cell>
          <cell r="B146" t="str">
            <v>SPAREPARTS (FARM MACHINERIES AND EQUIPMENT)</v>
          </cell>
          <cell r="C146" t="str">
            <v>PVO</v>
          </cell>
          <cell r="D146" t="str">
            <v>No</v>
          </cell>
          <cell r="E146" t="str">
            <v>NP-53.9 - Small Value Procurement</v>
          </cell>
          <cell r="F146" t="str">
            <v>N/A</v>
          </cell>
          <cell r="G146">
            <v>45331</v>
          </cell>
          <cell r="H146">
            <v>0</v>
          </cell>
          <cell r="I146" t="str">
            <v>N/A</v>
          </cell>
          <cell r="J146">
            <v>45356</v>
          </cell>
          <cell r="K146">
            <v>45356</v>
          </cell>
          <cell r="L146">
            <v>0</v>
          </cell>
          <cell r="M146" t="str">
            <v>N/A</v>
          </cell>
          <cell r="N146" t="str">
            <v>N/A</v>
          </cell>
          <cell r="O146">
            <v>45357</v>
          </cell>
          <cell r="P146">
            <v>0</v>
          </cell>
          <cell r="Q146">
            <v>0</v>
          </cell>
          <cell r="R146">
            <v>0</v>
          </cell>
          <cell r="S146" t="str">
            <v>N/A</v>
          </cell>
          <cell r="T146">
            <v>45370</v>
          </cell>
          <cell r="U146">
            <v>45376</v>
          </cell>
          <cell r="V146">
            <v>0</v>
          </cell>
          <cell r="W146">
            <v>0</v>
          </cell>
          <cell r="X146">
            <v>45415</v>
          </cell>
          <cell r="Y146">
            <v>45415</v>
          </cell>
          <cell r="Z146">
            <v>0</v>
          </cell>
          <cell r="AA146">
            <v>2932</v>
          </cell>
          <cell r="AB146">
            <v>2932</v>
          </cell>
          <cell r="AC146">
            <v>0</v>
          </cell>
          <cell r="AD146">
            <v>2930</v>
          </cell>
          <cell r="AE146">
            <v>2930</v>
          </cell>
          <cell r="AF146">
            <v>0</v>
          </cell>
          <cell r="AG146" t="str">
            <v>M</v>
          </cell>
          <cell r="AH146" t="str">
            <v>ENGR. MICHAEL C. SALARDA
MS. LEONARDA M. LATOR
MS. CARMENCITA VALDEZ
MS. SORAYA P. VERGARA</v>
          </cell>
          <cell r="AI146" t="str">
            <v>N/A</v>
          </cell>
          <cell r="AJ146" t="str">
            <v>N/A</v>
          </cell>
          <cell r="AK146" t="str">
            <v>N/A</v>
          </cell>
          <cell r="AL146" t="str">
            <v>N/A</v>
          </cell>
          <cell r="AM146" t="str">
            <v>N/A</v>
          </cell>
          <cell r="AN146" t="str">
            <v>N/A</v>
          </cell>
          <cell r="AO146" t="str">
            <v>COMPLETED</v>
          </cell>
        </row>
        <row r="147">
          <cell r="A147" t="str">
            <v>24-C1029</v>
          </cell>
          <cell r="B147" t="str">
            <v>FURNITURE &amp; FIXTURES</v>
          </cell>
          <cell r="C147" t="str">
            <v>PICTO</v>
          </cell>
          <cell r="D147" t="str">
            <v>No</v>
          </cell>
          <cell r="E147" t="str">
            <v>NP-53.9 - Small Value Procurement</v>
          </cell>
          <cell r="F147" t="str">
            <v>N/A</v>
          </cell>
          <cell r="G147">
            <v>45335</v>
          </cell>
          <cell r="H147">
            <v>0</v>
          </cell>
          <cell r="I147" t="str">
            <v>N/A</v>
          </cell>
          <cell r="J147">
            <v>45356</v>
          </cell>
          <cell r="K147">
            <v>45356</v>
          </cell>
          <cell r="L147">
            <v>0</v>
          </cell>
          <cell r="M147" t="str">
            <v>N/A</v>
          </cell>
          <cell r="N147" t="str">
            <v>N/A</v>
          </cell>
          <cell r="O147">
            <v>45357</v>
          </cell>
          <cell r="P147">
            <v>0</v>
          </cell>
          <cell r="Q147">
            <v>0</v>
          </cell>
          <cell r="R147">
            <v>0</v>
          </cell>
          <cell r="S147" t="str">
            <v>N/A</v>
          </cell>
          <cell r="T147">
            <v>45369</v>
          </cell>
          <cell r="U147">
            <v>45370</v>
          </cell>
          <cell r="V147">
            <v>0</v>
          </cell>
          <cell r="W147">
            <v>0</v>
          </cell>
          <cell r="X147">
            <v>45384</v>
          </cell>
          <cell r="Y147">
            <v>45384</v>
          </cell>
          <cell r="Z147">
            <v>0</v>
          </cell>
          <cell r="AA147">
            <v>48600</v>
          </cell>
          <cell r="AB147">
            <v>48600</v>
          </cell>
          <cell r="AC147">
            <v>0</v>
          </cell>
          <cell r="AD147">
            <v>47630</v>
          </cell>
          <cell r="AE147">
            <v>47630</v>
          </cell>
          <cell r="AF147">
            <v>0</v>
          </cell>
          <cell r="AG147" t="str">
            <v>M</v>
          </cell>
          <cell r="AH147" t="str">
            <v>ENGR. MICHAEL C. SALARDA
MS. LEONARDA M. LATOR
MS. CARMENCITA VALDEZ
MS. SORAYA P. VERGARA</v>
          </cell>
          <cell r="AI147" t="str">
            <v>N/A</v>
          </cell>
          <cell r="AJ147" t="str">
            <v>N/A</v>
          </cell>
          <cell r="AK147" t="str">
            <v>N/A</v>
          </cell>
          <cell r="AL147" t="str">
            <v>N/A</v>
          </cell>
          <cell r="AM147" t="str">
            <v>N/A</v>
          </cell>
          <cell r="AN147" t="str">
            <v>N/A</v>
          </cell>
          <cell r="AO147" t="str">
            <v>COMPLETED</v>
          </cell>
        </row>
        <row r="148">
          <cell r="A148" t="str">
            <v>24-0098</v>
          </cell>
          <cell r="B148" t="str">
            <v>SAFETY GEARS &amp; EQUIPMENT</v>
          </cell>
          <cell r="C148" t="str">
            <v>SEF</v>
          </cell>
          <cell r="D148" t="str">
            <v>No</v>
          </cell>
          <cell r="E148" t="str">
            <v>NP-53.9 - Small Value Procurement</v>
          </cell>
          <cell r="F148">
            <v>45322</v>
          </cell>
          <cell r="G148">
            <v>45324</v>
          </cell>
          <cell r="H148">
            <v>0</v>
          </cell>
          <cell r="I148" t="str">
            <v>N/A</v>
          </cell>
          <cell r="J148">
            <v>45356</v>
          </cell>
          <cell r="K148">
            <v>45356</v>
          </cell>
          <cell r="L148">
            <v>0</v>
          </cell>
          <cell r="M148" t="str">
            <v>N/A</v>
          </cell>
          <cell r="N148" t="str">
            <v>N/A</v>
          </cell>
          <cell r="O148">
            <v>45357</v>
          </cell>
          <cell r="P148">
            <v>0</v>
          </cell>
          <cell r="Q148">
            <v>0</v>
          </cell>
          <cell r="R148">
            <v>0</v>
          </cell>
          <cell r="S148" t="str">
            <v>N/A</v>
          </cell>
          <cell r="T148">
            <v>45373</v>
          </cell>
          <cell r="U148">
            <v>45377</v>
          </cell>
          <cell r="V148">
            <v>0</v>
          </cell>
          <cell r="W148">
            <v>0</v>
          </cell>
          <cell r="X148">
            <v>45384</v>
          </cell>
          <cell r="Y148">
            <v>45384</v>
          </cell>
          <cell r="Z148">
            <v>0</v>
          </cell>
          <cell r="AA148">
            <v>1925</v>
          </cell>
          <cell r="AB148">
            <v>0</v>
          </cell>
          <cell r="AC148">
            <v>1925</v>
          </cell>
          <cell r="AD148">
            <v>1895</v>
          </cell>
          <cell r="AE148">
            <v>0</v>
          </cell>
          <cell r="AF148">
            <v>1895</v>
          </cell>
          <cell r="AG148" t="str">
            <v>C</v>
          </cell>
          <cell r="AH148" t="str">
            <v>ENGR. MICHAEL C. SALARDA
MS. LEONARDA M. LATOR
MS. CARMENCITA VALDEZ
MS. SORAYA P. VERGARA</v>
          </cell>
          <cell r="AI148" t="str">
            <v>N/A</v>
          </cell>
          <cell r="AJ148" t="str">
            <v>N/A</v>
          </cell>
          <cell r="AK148" t="str">
            <v>N/A</v>
          </cell>
          <cell r="AL148" t="str">
            <v>N/A</v>
          </cell>
          <cell r="AM148" t="str">
            <v>N/A</v>
          </cell>
          <cell r="AN148" t="str">
            <v>N/A</v>
          </cell>
          <cell r="AO148" t="str">
            <v>COMPLETED</v>
          </cell>
        </row>
        <row r="149">
          <cell r="A149" t="str">
            <v>24-0497</v>
          </cell>
          <cell r="B149" t="str">
            <v>SAFETY GEARS &amp; EQUIPMENT</v>
          </cell>
          <cell r="C149" t="str">
            <v>PEO</v>
          </cell>
          <cell r="D149" t="str">
            <v>No</v>
          </cell>
          <cell r="E149" t="str">
            <v>NP-53.9 - Small Value Procurement</v>
          </cell>
          <cell r="F149">
            <v>45330</v>
          </cell>
          <cell r="G149">
            <v>45335</v>
          </cell>
          <cell r="H149">
            <v>0</v>
          </cell>
          <cell r="I149" t="str">
            <v>N/A</v>
          </cell>
          <cell r="J149">
            <v>45356</v>
          </cell>
          <cell r="K149">
            <v>45356</v>
          </cell>
          <cell r="L149">
            <v>0</v>
          </cell>
          <cell r="M149" t="str">
            <v>N/A</v>
          </cell>
          <cell r="N149" t="str">
            <v>N/A</v>
          </cell>
          <cell r="O149">
            <v>45357</v>
          </cell>
          <cell r="P149">
            <v>0</v>
          </cell>
          <cell r="Q149">
            <v>0</v>
          </cell>
          <cell r="R149">
            <v>0</v>
          </cell>
          <cell r="S149" t="str">
            <v>N/A</v>
          </cell>
          <cell r="T149">
            <v>45372</v>
          </cell>
          <cell r="U149">
            <v>45377</v>
          </cell>
          <cell r="V149">
            <v>0</v>
          </cell>
          <cell r="W149">
            <v>0</v>
          </cell>
          <cell r="X149">
            <v>45384</v>
          </cell>
          <cell r="Y149">
            <v>45384</v>
          </cell>
          <cell r="Z149">
            <v>0</v>
          </cell>
          <cell r="AA149">
            <v>1925</v>
          </cell>
          <cell r="AB149">
            <v>0</v>
          </cell>
          <cell r="AC149">
            <v>1925</v>
          </cell>
          <cell r="AD149">
            <v>1895</v>
          </cell>
          <cell r="AE149">
            <v>0</v>
          </cell>
          <cell r="AF149">
            <v>1895</v>
          </cell>
          <cell r="AG149" t="str">
            <v>C</v>
          </cell>
          <cell r="AH149" t="str">
            <v>ENGR. MICHAEL C. SALARDA
MS. LEONARDA M. LATOR
MS. CARMENCITA VALDEZ
MS. SORAYA P. VERGARA</v>
          </cell>
          <cell r="AI149" t="str">
            <v>N/A</v>
          </cell>
          <cell r="AJ149" t="str">
            <v>N/A</v>
          </cell>
          <cell r="AK149" t="str">
            <v>N/A</v>
          </cell>
          <cell r="AL149" t="str">
            <v>N/A</v>
          </cell>
          <cell r="AM149" t="str">
            <v>N/A</v>
          </cell>
          <cell r="AN149" t="str">
            <v>N/A</v>
          </cell>
          <cell r="AO149" t="str">
            <v>COMPLETED</v>
          </cell>
        </row>
        <row r="150">
          <cell r="A150" t="str">
            <v>24-0040</v>
          </cell>
          <cell r="B150" t="str">
            <v>LUMBER</v>
          </cell>
          <cell r="C150" t="str">
            <v>SEF</v>
          </cell>
          <cell r="D150" t="str">
            <v>No</v>
          </cell>
          <cell r="E150" t="str">
            <v>NP-53.9 - Small Value Procurement</v>
          </cell>
          <cell r="F150">
            <v>45322</v>
          </cell>
          <cell r="G150">
            <v>45324</v>
          </cell>
          <cell r="H150">
            <v>0</v>
          </cell>
          <cell r="I150" t="str">
            <v>N/A</v>
          </cell>
          <cell r="J150">
            <v>45356</v>
          </cell>
          <cell r="K150">
            <v>45356</v>
          </cell>
          <cell r="L150">
            <v>0</v>
          </cell>
          <cell r="M150" t="str">
            <v>N/A</v>
          </cell>
          <cell r="N150" t="str">
            <v>N/A</v>
          </cell>
          <cell r="O150">
            <v>45357</v>
          </cell>
          <cell r="P150">
            <v>0</v>
          </cell>
          <cell r="Q150">
            <v>0</v>
          </cell>
          <cell r="R150">
            <v>0</v>
          </cell>
          <cell r="S150" t="str">
            <v>N/A</v>
          </cell>
          <cell r="T150">
            <v>45372</v>
          </cell>
          <cell r="U150">
            <v>45377</v>
          </cell>
          <cell r="V150">
            <v>0</v>
          </cell>
          <cell r="W150">
            <v>0</v>
          </cell>
          <cell r="X150">
            <v>45429</v>
          </cell>
          <cell r="Y150">
            <v>45429</v>
          </cell>
          <cell r="Z150">
            <v>0</v>
          </cell>
          <cell r="AA150">
            <v>3552</v>
          </cell>
          <cell r="AB150">
            <v>0</v>
          </cell>
          <cell r="AC150">
            <v>3552</v>
          </cell>
          <cell r="AD150">
            <v>3552</v>
          </cell>
          <cell r="AE150">
            <v>0</v>
          </cell>
          <cell r="AF150">
            <v>3552</v>
          </cell>
          <cell r="AG150" t="str">
            <v>C</v>
          </cell>
          <cell r="AH150" t="str">
            <v>ENGR. MICHAEL C. SALARDA
MS. LEONARDA M. LATOR
MS. CARMENCITA VALDEZ
MS. SORAYA P. VERGARA</v>
          </cell>
          <cell r="AI150" t="str">
            <v>N/A</v>
          </cell>
          <cell r="AJ150" t="str">
            <v>N/A</v>
          </cell>
          <cell r="AK150" t="str">
            <v>N/A</v>
          </cell>
          <cell r="AL150" t="str">
            <v>N/A</v>
          </cell>
          <cell r="AM150" t="str">
            <v>N/A</v>
          </cell>
          <cell r="AN150" t="str">
            <v>N/A</v>
          </cell>
          <cell r="AO150" t="str">
            <v>COMPLETED</v>
          </cell>
        </row>
        <row r="151">
          <cell r="A151" t="str">
            <v>24-C1007</v>
          </cell>
          <cell r="B151" t="str">
            <v>FOOD SUPPLIES</v>
          </cell>
          <cell r="C151" t="str">
            <v>PEEMO</v>
          </cell>
          <cell r="D151" t="str">
            <v>No</v>
          </cell>
          <cell r="E151" t="str">
            <v>NP-53.9 - Small Value Procurement</v>
          </cell>
          <cell r="F151">
            <v>45335</v>
          </cell>
          <cell r="G151">
            <v>45337</v>
          </cell>
          <cell r="H151">
            <v>0</v>
          </cell>
          <cell r="I151" t="str">
            <v>N/A</v>
          </cell>
          <cell r="J151">
            <v>45356</v>
          </cell>
          <cell r="K151">
            <v>45356</v>
          </cell>
          <cell r="L151">
            <v>0</v>
          </cell>
          <cell r="M151" t="str">
            <v>N/A</v>
          </cell>
          <cell r="N151" t="str">
            <v>N/A</v>
          </cell>
          <cell r="O151">
            <v>45357</v>
          </cell>
          <cell r="P151">
            <v>0</v>
          </cell>
          <cell r="Q151">
            <v>0</v>
          </cell>
          <cell r="R151">
            <v>0</v>
          </cell>
          <cell r="S151">
            <v>45357</v>
          </cell>
          <cell r="T151">
            <v>45373</v>
          </cell>
          <cell r="U151">
            <v>45373</v>
          </cell>
          <cell r="V151">
            <v>0</v>
          </cell>
          <cell r="W151">
            <v>0</v>
          </cell>
          <cell r="X151">
            <v>45399</v>
          </cell>
          <cell r="Y151">
            <v>45399</v>
          </cell>
          <cell r="Z151">
            <v>0</v>
          </cell>
          <cell r="AA151">
            <v>134344</v>
          </cell>
          <cell r="AB151">
            <v>134344</v>
          </cell>
          <cell r="AC151">
            <v>0</v>
          </cell>
          <cell r="AD151">
            <v>133132</v>
          </cell>
          <cell r="AE151">
            <v>133132</v>
          </cell>
          <cell r="AF151">
            <v>0</v>
          </cell>
          <cell r="AG151" t="str">
            <v>M</v>
          </cell>
          <cell r="AH151" t="str">
            <v>ENGR. MICHAEL C. SALARDA
MS. LEONARDA M. LATOR
MS. CARMENCITA VALDEZ
MS. SORAYA P. VERGARA</v>
          </cell>
          <cell r="AI151" t="str">
            <v>N/A</v>
          </cell>
          <cell r="AJ151" t="str">
            <v>N/A</v>
          </cell>
          <cell r="AK151" t="str">
            <v>N/A</v>
          </cell>
          <cell r="AL151" t="str">
            <v>N/A</v>
          </cell>
          <cell r="AM151" t="str">
            <v>N/A</v>
          </cell>
          <cell r="AN151" t="str">
            <v>N/A</v>
          </cell>
          <cell r="AO151" t="str">
            <v>COMPLETED</v>
          </cell>
        </row>
        <row r="152">
          <cell r="A152" t="str">
            <v>24-0878</v>
          </cell>
          <cell r="B152" t="str">
            <v>WATER</v>
          </cell>
          <cell r="C152" t="str">
            <v>SPO</v>
          </cell>
          <cell r="D152" t="str">
            <v>No</v>
          </cell>
          <cell r="E152" t="str">
            <v>NP-53.9 - Small Value Procurement</v>
          </cell>
          <cell r="F152" t="str">
            <v>N/A</v>
          </cell>
          <cell r="G152">
            <v>45337</v>
          </cell>
          <cell r="H152">
            <v>0</v>
          </cell>
          <cell r="I152" t="str">
            <v>N/A</v>
          </cell>
          <cell r="J152">
            <v>45356</v>
          </cell>
          <cell r="K152">
            <v>45356</v>
          </cell>
          <cell r="L152">
            <v>0</v>
          </cell>
          <cell r="M152" t="str">
            <v>N/A</v>
          </cell>
          <cell r="N152" t="str">
            <v>N/A</v>
          </cell>
          <cell r="O152">
            <v>45357</v>
          </cell>
          <cell r="P152">
            <v>0</v>
          </cell>
          <cell r="Q152">
            <v>0</v>
          </cell>
          <cell r="R152">
            <v>0</v>
          </cell>
          <cell r="S152" t="str">
            <v>N/A</v>
          </cell>
          <cell r="T152">
            <v>45372</v>
          </cell>
          <cell r="U152">
            <v>45420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4961</v>
          </cell>
          <cell r="AB152">
            <v>4961</v>
          </cell>
          <cell r="AC152">
            <v>0</v>
          </cell>
          <cell r="AD152">
            <v>4840</v>
          </cell>
          <cell r="AE152">
            <v>4840</v>
          </cell>
          <cell r="AF152">
            <v>0</v>
          </cell>
          <cell r="AG152" t="str">
            <v>M</v>
          </cell>
          <cell r="AH152" t="str">
            <v>ENGR. MICHAEL C. SALARDA
MS. LEONARDA M. LATOR
MS. CARMENCITA VALDEZ
MS. SORAYA P. VERGARA</v>
          </cell>
          <cell r="AI152" t="str">
            <v>N/A</v>
          </cell>
          <cell r="AJ152" t="str">
            <v>N/A</v>
          </cell>
          <cell r="AK152" t="str">
            <v>N/A</v>
          </cell>
          <cell r="AL152" t="str">
            <v>N/A</v>
          </cell>
          <cell r="AM152" t="str">
            <v>N/A</v>
          </cell>
          <cell r="AN152" t="str">
            <v>N/A</v>
          </cell>
          <cell r="AO152">
            <v>0</v>
          </cell>
        </row>
        <row r="153">
          <cell r="A153" t="str">
            <v>24-C0982</v>
          </cell>
          <cell r="B153" t="str">
            <v>FUEL, OIL, AND LUBRICANTS</v>
          </cell>
          <cell r="C153" t="str">
            <v>PEEMO</v>
          </cell>
          <cell r="D153" t="str">
            <v>No</v>
          </cell>
          <cell r="E153" t="str">
            <v>NP-53.9 - Small Value Procurement</v>
          </cell>
          <cell r="F153">
            <v>45342</v>
          </cell>
          <cell r="G153">
            <v>45344</v>
          </cell>
          <cell r="H153">
            <v>0</v>
          </cell>
          <cell r="I153" t="str">
            <v>N/A</v>
          </cell>
          <cell r="J153">
            <v>45356</v>
          </cell>
          <cell r="K153">
            <v>45356</v>
          </cell>
          <cell r="L153">
            <v>0</v>
          </cell>
          <cell r="M153" t="str">
            <v>N/A</v>
          </cell>
          <cell r="N153" t="str">
            <v>N/A</v>
          </cell>
          <cell r="O153">
            <v>45357</v>
          </cell>
          <cell r="P153">
            <v>0</v>
          </cell>
          <cell r="Q153">
            <v>0</v>
          </cell>
          <cell r="R153">
            <v>0</v>
          </cell>
          <cell r="S153">
            <v>45357</v>
          </cell>
          <cell r="T153">
            <v>45387</v>
          </cell>
          <cell r="U153">
            <v>45390</v>
          </cell>
          <cell r="V153">
            <v>0</v>
          </cell>
          <cell r="W153">
            <v>0</v>
          </cell>
          <cell r="X153">
            <v>45390</v>
          </cell>
          <cell r="Y153">
            <v>45390</v>
          </cell>
          <cell r="Z153">
            <v>0</v>
          </cell>
          <cell r="AA153">
            <v>153240.79999999999</v>
          </cell>
          <cell r="AB153">
            <v>153240.79999999999</v>
          </cell>
          <cell r="AC153">
            <v>0</v>
          </cell>
          <cell r="AD153">
            <v>147415</v>
          </cell>
          <cell r="AE153">
            <v>147415</v>
          </cell>
          <cell r="AF153">
            <v>0</v>
          </cell>
          <cell r="AG153" t="str">
            <v>M</v>
          </cell>
          <cell r="AH153" t="str">
            <v>ENGR. MICHAEL C. SALARDA
MS. LEONARDA M. LATOR
MS. CARMENCITA VALDEZ
MS. SORAYA P. VERGARA</v>
          </cell>
          <cell r="AI153" t="str">
            <v>N/A</v>
          </cell>
          <cell r="AJ153" t="str">
            <v>N/A</v>
          </cell>
          <cell r="AK153" t="str">
            <v>N/A</v>
          </cell>
          <cell r="AL153" t="str">
            <v>N/A</v>
          </cell>
          <cell r="AM153" t="str">
            <v>N/A</v>
          </cell>
          <cell r="AN153" t="str">
            <v>N/A</v>
          </cell>
          <cell r="AO153" t="str">
            <v>COMPLETED</v>
          </cell>
        </row>
        <row r="154">
          <cell r="A154" t="str">
            <v>24-C0956</v>
          </cell>
          <cell r="B154" t="str">
            <v>SAFETY GEARS</v>
          </cell>
          <cell r="C154" t="str">
            <v>PEEMO</v>
          </cell>
          <cell r="D154" t="str">
            <v>No</v>
          </cell>
          <cell r="E154" t="str">
            <v>NP-53.9 - Small Value Procurement</v>
          </cell>
          <cell r="F154">
            <v>45342</v>
          </cell>
          <cell r="G154">
            <v>45344</v>
          </cell>
          <cell r="H154">
            <v>0</v>
          </cell>
          <cell r="I154" t="str">
            <v>N/A</v>
          </cell>
          <cell r="J154">
            <v>45356</v>
          </cell>
          <cell r="K154">
            <v>45356</v>
          </cell>
          <cell r="L154">
            <v>0</v>
          </cell>
          <cell r="M154" t="str">
            <v>N/A</v>
          </cell>
          <cell r="N154" t="str">
            <v>N/A</v>
          </cell>
          <cell r="O154">
            <v>45357</v>
          </cell>
          <cell r="P154">
            <v>0</v>
          </cell>
          <cell r="Q154">
            <v>0</v>
          </cell>
          <cell r="R154">
            <v>0</v>
          </cell>
          <cell r="S154" t="str">
            <v>N/A</v>
          </cell>
          <cell r="T154">
            <v>45372</v>
          </cell>
          <cell r="U154">
            <v>45373</v>
          </cell>
          <cell r="V154">
            <v>0</v>
          </cell>
          <cell r="W154">
            <v>0</v>
          </cell>
          <cell r="X154">
            <v>45386</v>
          </cell>
          <cell r="Y154">
            <v>45386</v>
          </cell>
          <cell r="Z154">
            <v>0</v>
          </cell>
          <cell r="AA154">
            <v>8690</v>
          </cell>
          <cell r="AB154">
            <v>8690</v>
          </cell>
          <cell r="AC154">
            <v>0</v>
          </cell>
          <cell r="AD154">
            <v>8660</v>
          </cell>
          <cell r="AE154">
            <v>8660</v>
          </cell>
          <cell r="AF154">
            <v>0</v>
          </cell>
          <cell r="AG154" t="str">
            <v>M</v>
          </cell>
          <cell r="AH154" t="str">
            <v>ENGR. MICHAEL C. SALARDA
MS. LEONARDA M. LATOR
MS. CARMENCITA VALDEZ
MS. SORAYA P. VERGARA</v>
          </cell>
          <cell r="AI154" t="str">
            <v>N/A</v>
          </cell>
          <cell r="AJ154" t="str">
            <v>N/A</v>
          </cell>
          <cell r="AK154" t="str">
            <v>N/A</v>
          </cell>
          <cell r="AL154" t="str">
            <v>N/A</v>
          </cell>
          <cell r="AM154" t="str">
            <v>N/A</v>
          </cell>
          <cell r="AN154" t="str">
            <v>N/A</v>
          </cell>
          <cell r="AO154" t="str">
            <v>COMPLETED</v>
          </cell>
        </row>
        <row r="155">
          <cell r="A155" t="str">
            <v>24-C0944</v>
          </cell>
          <cell r="B155" t="str">
            <v>SPAREPARTS (LIGHT VEHICLES)</v>
          </cell>
          <cell r="C155" t="str">
            <v>PEEMO</v>
          </cell>
          <cell r="D155" t="str">
            <v>No</v>
          </cell>
          <cell r="E155" t="str">
            <v>NP-53.9 - Small Value Procurement</v>
          </cell>
          <cell r="F155">
            <v>45342</v>
          </cell>
          <cell r="G155">
            <v>45344</v>
          </cell>
          <cell r="H155">
            <v>0</v>
          </cell>
          <cell r="I155" t="str">
            <v>N/A</v>
          </cell>
          <cell r="J155">
            <v>45356</v>
          </cell>
          <cell r="K155">
            <v>45356</v>
          </cell>
          <cell r="L155">
            <v>0</v>
          </cell>
          <cell r="M155" t="str">
            <v>N/A</v>
          </cell>
          <cell r="N155" t="str">
            <v>N/A</v>
          </cell>
          <cell r="O155">
            <v>45357</v>
          </cell>
          <cell r="P155">
            <v>0</v>
          </cell>
          <cell r="Q155">
            <v>0</v>
          </cell>
          <cell r="R155">
            <v>0</v>
          </cell>
          <cell r="S155">
            <v>45357</v>
          </cell>
          <cell r="T155">
            <v>45373</v>
          </cell>
          <cell r="U155">
            <v>45373</v>
          </cell>
          <cell r="V155">
            <v>0</v>
          </cell>
          <cell r="W155">
            <v>0</v>
          </cell>
          <cell r="X155">
            <v>45385</v>
          </cell>
          <cell r="Y155">
            <v>45385</v>
          </cell>
          <cell r="Z155">
            <v>0</v>
          </cell>
          <cell r="AA155">
            <v>185720</v>
          </cell>
          <cell r="AB155">
            <v>185720</v>
          </cell>
          <cell r="AC155">
            <v>0</v>
          </cell>
          <cell r="AD155">
            <v>174760</v>
          </cell>
          <cell r="AE155">
            <v>174760</v>
          </cell>
          <cell r="AF155">
            <v>0</v>
          </cell>
          <cell r="AG155" t="str">
            <v>M</v>
          </cell>
          <cell r="AH155" t="str">
            <v>ENGR. MICHAEL C. SALARDA
MS. LEONARDA M. LATOR
MS. CARMENCITA VALDEZ
MS. SORAYA P. VERGARA</v>
          </cell>
          <cell r="AI155" t="str">
            <v>N/A</v>
          </cell>
          <cell r="AJ155" t="str">
            <v>N/A</v>
          </cell>
          <cell r="AK155" t="str">
            <v>N/A</v>
          </cell>
          <cell r="AL155" t="str">
            <v>N/A</v>
          </cell>
          <cell r="AM155" t="str">
            <v>N/A</v>
          </cell>
          <cell r="AN155" t="str">
            <v>N/A</v>
          </cell>
          <cell r="AO155" t="str">
            <v>COMPLETED</v>
          </cell>
        </row>
        <row r="156">
          <cell r="A156" t="str">
            <v>24-C1005</v>
          </cell>
          <cell r="B156" t="str">
            <v>OFFICE SUPPLIES</v>
          </cell>
          <cell r="C156" t="str">
            <v>COA</v>
          </cell>
          <cell r="D156" t="str">
            <v>No</v>
          </cell>
          <cell r="E156" t="str">
            <v>Shopping 52.1(b) - Regular Office Supplies and Equipment no available in PS</v>
          </cell>
          <cell r="F156">
            <v>45330</v>
          </cell>
          <cell r="G156">
            <v>45335</v>
          </cell>
          <cell r="H156">
            <v>0</v>
          </cell>
          <cell r="I156" t="str">
            <v>N/A</v>
          </cell>
          <cell r="J156">
            <v>45356</v>
          </cell>
          <cell r="K156">
            <v>45356</v>
          </cell>
          <cell r="L156">
            <v>0</v>
          </cell>
          <cell r="M156" t="str">
            <v>N/A</v>
          </cell>
          <cell r="N156" t="str">
            <v>N/A</v>
          </cell>
          <cell r="O156">
            <v>45357</v>
          </cell>
          <cell r="P156">
            <v>0</v>
          </cell>
          <cell r="Q156">
            <v>0</v>
          </cell>
          <cell r="R156">
            <v>0</v>
          </cell>
          <cell r="S156" t="str">
            <v>N/A</v>
          </cell>
          <cell r="T156">
            <v>45385</v>
          </cell>
          <cell r="U156">
            <v>45384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25130</v>
          </cell>
          <cell r="AB156">
            <v>25130</v>
          </cell>
          <cell r="AC156">
            <v>0</v>
          </cell>
          <cell r="AD156">
            <v>25130</v>
          </cell>
          <cell r="AE156">
            <v>25130</v>
          </cell>
          <cell r="AF156">
            <v>0</v>
          </cell>
          <cell r="AG156" t="str">
            <v>M</v>
          </cell>
          <cell r="AH156" t="str">
            <v>ENGR. MICHAEL C. SALARDA
MS. LEONARDA M. LATOR
MS. CARMENCITA VALDEZ
MS. SORAYA P. VERGARA</v>
          </cell>
          <cell r="AI156" t="str">
            <v>N/A</v>
          </cell>
          <cell r="AJ156" t="str">
            <v>N/A</v>
          </cell>
          <cell r="AK156" t="str">
            <v>N/A</v>
          </cell>
          <cell r="AL156" t="str">
            <v>N/A</v>
          </cell>
          <cell r="AM156" t="str">
            <v>N/A</v>
          </cell>
          <cell r="AN156" t="str">
            <v>N/A</v>
          </cell>
          <cell r="AO156">
            <v>0</v>
          </cell>
        </row>
        <row r="157">
          <cell r="A157" t="str">
            <v>24-C1060</v>
          </cell>
          <cell r="B157" t="str">
            <v>OFFICE SUPPLIES</v>
          </cell>
          <cell r="C157" t="str">
            <v>PGO</v>
          </cell>
          <cell r="D157" t="str">
            <v>No</v>
          </cell>
          <cell r="E157" t="str">
            <v>Shopping 52.1(b) - Regular Office Supplies and Equipment no available in PS</v>
          </cell>
          <cell r="F157" t="str">
            <v>N/A</v>
          </cell>
          <cell r="G157">
            <v>45344</v>
          </cell>
          <cell r="H157">
            <v>0</v>
          </cell>
          <cell r="I157" t="str">
            <v>N/A</v>
          </cell>
          <cell r="J157">
            <v>45356</v>
          </cell>
          <cell r="K157">
            <v>45356</v>
          </cell>
          <cell r="L157">
            <v>0</v>
          </cell>
          <cell r="M157" t="str">
            <v>N/A</v>
          </cell>
          <cell r="N157" t="str">
            <v>N/A</v>
          </cell>
          <cell r="O157">
            <v>45357</v>
          </cell>
          <cell r="P157">
            <v>0</v>
          </cell>
          <cell r="Q157">
            <v>0</v>
          </cell>
          <cell r="R157">
            <v>0</v>
          </cell>
          <cell r="S157">
            <v>45357</v>
          </cell>
          <cell r="T157">
            <v>45371</v>
          </cell>
          <cell r="U157">
            <v>45372</v>
          </cell>
          <cell r="V157">
            <v>0</v>
          </cell>
          <cell r="W157">
            <v>0</v>
          </cell>
          <cell r="X157">
            <v>45401</v>
          </cell>
          <cell r="Y157">
            <v>45401</v>
          </cell>
          <cell r="Z157">
            <v>0</v>
          </cell>
          <cell r="AA157">
            <v>234117</v>
          </cell>
          <cell r="AB157">
            <v>0</v>
          </cell>
          <cell r="AC157">
            <v>234117</v>
          </cell>
          <cell r="AD157">
            <v>229455</v>
          </cell>
          <cell r="AE157">
            <v>0</v>
          </cell>
          <cell r="AF157">
            <v>229455</v>
          </cell>
          <cell r="AG157" t="str">
            <v>C</v>
          </cell>
          <cell r="AH157" t="str">
            <v>ENGR. MICHAEL C. SALARDA
MS. LEONARDA M. LATOR
MS. CARMENCITA VALDEZ
MS. SORAYA P. VERGARA</v>
          </cell>
          <cell r="AI157" t="str">
            <v>N/A</v>
          </cell>
          <cell r="AJ157" t="str">
            <v>N/A</v>
          </cell>
          <cell r="AK157" t="str">
            <v>N/A</v>
          </cell>
          <cell r="AL157" t="str">
            <v>N/A</v>
          </cell>
          <cell r="AM157" t="str">
            <v>N/A</v>
          </cell>
          <cell r="AN157" t="str">
            <v>N/A</v>
          </cell>
          <cell r="AO157" t="str">
            <v>COMPLETED</v>
          </cell>
        </row>
        <row r="158">
          <cell r="A158" t="str">
            <v>24-C1009</v>
          </cell>
          <cell r="B158" t="str">
            <v>OFFICE SUPPLIES</v>
          </cell>
          <cell r="C158" t="str">
            <v>PEEMO</v>
          </cell>
          <cell r="D158" t="str">
            <v>No</v>
          </cell>
          <cell r="E158" t="str">
            <v>Shopping 52.1(b) - Regular Office Supplies and Equipment no available in PS</v>
          </cell>
          <cell r="F158">
            <v>45342</v>
          </cell>
          <cell r="G158">
            <v>45344</v>
          </cell>
          <cell r="H158">
            <v>0</v>
          </cell>
          <cell r="I158" t="str">
            <v>N/A</v>
          </cell>
          <cell r="J158">
            <v>45356</v>
          </cell>
          <cell r="K158">
            <v>45356</v>
          </cell>
          <cell r="L158">
            <v>0</v>
          </cell>
          <cell r="M158" t="str">
            <v>N/A</v>
          </cell>
          <cell r="N158" t="str">
            <v>N/A</v>
          </cell>
          <cell r="O158">
            <v>45357</v>
          </cell>
          <cell r="P158">
            <v>0</v>
          </cell>
          <cell r="Q158">
            <v>0</v>
          </cell>
          <cell r="R158">
            <v>0</v>
          </cell>
          <cell r="S158">
            <v>45357</v>
          </cell>
          <cell r="T158">
            <v>45372</v>
          </cell>
          <cell r="U158">
            <v>45373</v>
          </cell>
          <cell r="V158">
            <v>0</v>
          </cell>
          <cell r="W158">
            <v>0</v>
          </cell>
          <cell r="X158">
            <v>45386</v>
          </cell>
          <cell r="Y158">
            <v>45386</v>
          </cell>
          <cell r="Z158">
            <v>0</v>
          </cell>
          <cell r="AA158">
            <v>77598</v>
          </cell>
          <cell r="AB158">
            <v>77598</v>
          </cell>
          <cell r="AC158">
            <v>0</v>
          </cell>
          <cell r="AD158">
            <v>76920</v>
          </cell>
          <cell r="AE158">
            <v>76920</v>
          </cell>
          <cell r="AF158">
            <v>0</v>
          </cell>
          <cell r="AG158" t="str">
            <v>M</v>
          </cell>
          <cell r="AH158" t="str">
            <v>ENGR. MICHAEL C. SALARDA
MS. LEONARDA M. LATOR
MS. CARMENCITA VALDEZ
MS. SORAYA P. VERGARA</v>
          </cell>
          <cell r="AI158" t="str">
            <v>N/A</v>
          </cell>
          <cell r="AJ158" t="str">
            <v>N/A</v>
          </cell>
          <cell r="AK158" t="str">
            <v>N/A</v>
          </cell>
          <cell r="AL158" t="str">
            <v>N/A</v>
          </cell>
          <cell r="AM158" t="str">
            <v>N/A</v>
          </cell>
          <cell r="AN158" t="str">
            <v>N/A</v>
          </cell>
          <cell r="AO158" t="str">
            <v>COMPLETED</v>
          </cell>
        </row>
        <row r="159">
          <cell r="A159" t="str">
            <v>24-C0935</v>
          </cell>
          <cell r="B159" t="str">
            <v>OFFICE SUPPLIES</v>
          </cell>
          <cell r="C159" t="str">
            <v>PTO</v>
          </cell>
          <cell r="D159" t="str">
            <v>No</v>
          </cell>
          <cell r="E159" t="str">
            <v>Shopping 52.1(b) - Regular Office Supplies and Equipment no available in PS</v>
          </cell>
          <cell r="F159">
            <v>45342</v>
          </cell>
          <cell r="G159">
            <v>45344</v>
          </cell>
          <cell r="H159">
            <v>0</v>
          </cell>
          <cell r="I159" t="str">
            <v>N/A</v>
          </cell>
          <cell r="J159">
            <v>45356</v>
          </cell>
          <cell r="K159">
            <v>45356</v>
          </cell>
          <cell r="L159">
            <v>0</v>
          </cell>
          <cell r="M159" t="str">
            <v>N/A</v>
          </cell>
          <cell r="N159" t="str">
            <v>N/A</v>
          </cell>
          <cell r="O159">
            <v>45357</v>
          </cell>
          <cell r="P159">
            <v>0</v>
          </cell>
          <cell r="Q159">
            <v>0</v>
          </cell>
          <cell r="R159">
            <v>0</v>
          </cell>
          <cell r="S159">
            <v>45357</v>
          </cell>
          <cell r="T159">
            <v>45373</v>
          </cell>
          <cell r="U159">
            <v>45383</v>
          </cell>
          <cell r="V159">
            <v>0</v>
          </cell>
          <cell r="W159">
            <v>0</v>
          </cell>
          <cell r="X159">
            <v>45390</v>
          </cell>
          <cell r="Y159">
            <v>45390</v>
          </cell>
          <cell r="Z159">
            <v>0</v>
          </cell>
          <cell r="AA159">
            <v>167603</v>
          </cell>
          <cell r="AB159">
            <v>167603</v>
          </cell>
          <cell r="AC159">
            <v>0</v>
          </cell>
          <cell r="AD159">
            <v>162834</v>
          </cell>
          <cell r="AE159">
            <v>162834</v>
          </cell>
          <cell r="AF159">
            <v>0</v>
          </cell>
          <cell r="AG159" t="str">
            <v>M</v>
          </cell>
          <cell r="AH159" t="str">
            <v>ENGR. MICHAEL C. SALARDA
MS. LEONARDA M. LATOR
MS. CARMENCITA VALDEZ
MS. SORAYA P. VERGARA</v>
          </cell>
          <cell r="AI159" t="str">
            <v>N/A</v>
          </cell>
          <cell r="AJ159" t="str">
            <v>N/A</v>
          </cell>
          <cell r="AK159" t="str">
            <v>N/A</v>
          </cell>
          <cell r="AL159" t="str">
            <v>N/A</v>
          </cell>
          <cell r="AM159" t="str">
            <v>N/A</v>
          </cell>
          <cell r="AN159" t="str">
            <v>N/A</v>
          </cell>
          <cell r="AO159" t="str">
            <v>COMPLETED</v>
          </cell>
        </row>
        <row r="160">
          <cell r="A160" t="str">
            <v>24-0599</v>
          </cell>
          <cell r="B160" t="str">
            <v>GAS</v>
          </cell>
          <cell r="C160" t="str">
            <v>PEO-GA</v>
          </cell>
          <cell r="D160" t="str">
            <v>No</v>
          </cell>
          <cell r="E160" t="str">
            <v>Direct Contracting</v>
          </cell>
          <cell r="F160">
            <v>45335</v>
          </cell>
          <cell r="G160">
            <v>45337</v>
          </cell>
          <cell r="H160">
            <v>0</v>
          </cell>
          <cell r="I160" t="str">
            <v>N/A</v>
          </cell>
          <cell r="J160">
            <v>45356</v>
          </cell>
          <cell r="K160">
            <v>45356</v>
          </cell>
          <cell r="L160">
            <v>0</v>
          </cell>
          <cell r="M160" t="str">
            <v>N/A</v>
          </cell>
          <cell r="N160" t="str">
            <v>N/A</v>
          </cell>
          <cell r="O160">
            <v>45357</v>
          </cell>
          <cell r="P160">
            <v>0</v>
          </cell>
          <cell r="Q160">
            <v>0</v>
          </cell>
          <cell r="R160">
            <v>0</v>
          </cell>
          <cell r="S160" t="str">
            <v>N/A</v>
          </cell>
          <cell r="T160">
            <v>45376</v>
          </cell>
          <cell r="U160">
            <v>45385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36060</v>
          </cell>
          <cell r="AB160">
            <v>36060</v>
          </cell>
          <cell r="AC160">
            <v>0</v>
          </cell>
          <cell r="AD160">
            <v>36060</v>
          </cell>
          <cell r="AE160">
            <v>36060</v>
          </cell>
          <cell r="AF160">
            <v>0</v>
          </cell>
          <cell r="AG160" t="str">
            <v>M</v>
          </cell>
          <cell r="AH160" t="str">
            <v>ENGR. MICHAEL C. SALARDA
MS. LEONARDA M. LATOR
MS. CARMENCITA VALDEZ
MS. SORAYA P. VERGARA</v>
          </cell>
          <cell r="AI160" t="str">
            <v>N/A</v>
          </cell>
          <cell r="AJ160" t="str">
            <v>N/A</v>
          </cell>
          <cell r="AK160" t="str">
            <v>N/A</v>
          </cell>
          <cell r="AL160" t="str">
            <v>N/A</v>
          </cell>
          <cell r="AM160" t="str">
            <v>N/A</v>
          </cell>
          <cell r="AN160" t="str">
            <v>N/A</v>
          </cell>
          <cell r="AO160">
            <v>0</v>
          </cell>
        </row>
        <row r="161">
          <cell r="A161" t="str">
            <v>24-C0970</v>
          </cell>
          <cell r="B161" t="str">
            <v>INK &amp; MASTER ROLL</v>
          </cell>
          <cell r="C161" t="str">
            <v>PEEMO</v>
          </cell>
          <cell r="D161" t="str">
            <v>No</v>
          </cell>
          <cell r="E161" t="str">
            <v>Direct Contracting</v>
          </cell>
          <cell r="F161" t="str">
            <v>N/A</v>
          </cell>
          <cell r="G161">
            <v>45338</v>
          </cell>
          <cell r="H161">
            <v>0</v>
          </cell>
          <cell r="I161" t="str">
            <v>N/A</v>
          </cell>
          <cell r="J161">
            <v>45356</v>
          </cell>
          <cell r="K161">
            <v>45356</v>
          </cell>
          <cell r="L161">
            <v>0</v>
          </cell>
          <cell r="M161" t="str">
            <v>N/A</v>
          </cell>
          <cell r="N161" t="str">
            <v>N/A</v>
          </cell>
          <cell r="O161">
            <v>45357</v>
          </cell>
          <cell r="P161">
            <v>0</v>
          </cell>
          <cell r="Q161">
            <v>0</v>
          </cell>
          <cell r="R161">
            <v>0</v>
          </cell>
          <cell r="S161" t="str">
            <v>N/A</v>
          </cell>
          <cell r="T161">
            <v>45372</v>
          </cell>
          <cell r="U161">
            <v>45385</v>
          </cell>
          <cell r="V161">
            <v>0</v>
          </cell>
          <cell r="W161">
            <v>0</v>
          </cell>
          <cell r="X161">
            <v>45393</v>
          </cell>
          <cell r="Y161">
            <v>45393</v>
          </cell>
          <cell r="Z161">
            <v>0</v>
          </cell>
          <cell r="AA161">
            <v>8015</v>
          </cell>
          <cell r="AB161">
            <v>8015</v>
          </cell>
          <cell r="AC161">
            <v>0</v>
          </cell>
          <cell r="AD161">
            <v>8015</v>
          </cell>
          <cell r="AE161">
            <v>8015</v>
          </cell>
          <cell r="AF161">
            <v>0</v>
          </cell>
          <cell r="AG161" t="str">
            <v>M</v>
          </cell>
          <cell r="AH161" t="str">
            <v>ENGR. MICHAEL C. SALARDA
MS. LEONARDA M. LATOR
MS. CARMENCITA VALDEZ
MS. SORAYA P. VERGARA</v>
          </cell>
          <cell r="AI161" t="str">
            <v>N/A</v>
          </cell>
          <cell r="AJ161" t="str">
            <v>N/A</v>
          </cell>
          <cell r="AK161" t="str">
            <v>N/A</v>
          </cell>
          <cell r="AL161" t="str">
            <v>N/A</v>
          </cell>
          <cell r="AM161" t="str">
            <v>N/A</v>
          </cell>
          <cell r="AN161" t="str">
            <v>N/A</v>
          </cell>
          <cell r="AO161" t="str">
            <v>COMPLETED</v>
          </cell>
        </row>
        <row r="162">
          <cell r="A162" t="str">
            <v>24-C0969</v>
          </cell>
          <cell r="B162" t="str">
            <v>SPAREPARTS &amp; TONER FOR DUPLICATING MACHINE</v>
          </cell>
          <cell r="C162" t="str">
            <v>PEEMO</v>
          </cell>
          <cell r="D162" t="str">
            <v>No</v>
          </cell>
          <cell r="E162" t="str">
            <v>Direct Contracting</v>
          </cell>
          <cell r="F162" t="str">
            <v>N/A</v>
          </cell>
          <cell r="G162">
            <v>45338</v>
          </cell>
          <cell r="H162">
            <v>0</v>
          </cell>
          <cell r="I162" t="str">
            <v>N/A</v>
          </cell>
          <cell r="J162">
            <v>45356</v>
          </cell>
          <cell r="K162">
            <v>45356</v>
          </cell>
          <cell r="L162">
            <v>0</v>
          </cell>
          <cell r="M162" t="str">
            <v>N/A</v>
          </cell>
          <cell r="N162" t="str">
            <v>N/A</v>
          </cell>
          <cell r="O162">
            <v>45357</v>
          </cell>
          <cell r="P162">
            <v>0</v>
          </cell>
          <cell r="Q162">
            <v>0</v>
          </cell>
          <cell r="R162">
            <v>0</v>
          </cell>
          <cell r="S162" t="str">
            <v>N/A</v>
          </cell>
          <cell r="T162">
            <v>45372</v>
          </cell>
          <cell r="U162">
            <v>45385</v>
          </cell>
          <cell r="V162">
            <v>0</v>
          </cell>
          <cell r="W162">
            <v>0</v>
          </cell>
          <cell r="X162">
            <v>45400</v>
          </cell>
          <cell r="Y162">
            <v>45400</v>
          </cell>
          <cell r="Z162">
            <v>0</v>
          </cell>
          <cell r="AA162">
            <v>29703.599999999999</v>
          </cell>
          <cell r="AB162">
            <v>29703.599999999999</v>
          </cell>
          <cell r="AC162">
            <v>0</v>
          </cell>
          <cell r="AD162">
            <v>29703.599999999999</v>
          </cell>
          <cell r="AE162">
            <v>29703.599999999999</v>
          </cell>
          <cell r="AF162">
            <v>0</v>
          </cell>
          <cell r="AG162" t="str">
            <v>M</v>
          </cell>
          <cell r="AH162" t="str">
            <v>ENGR. MICHAEL C. SALARDA
MS. LEONARDA M. LATOR
MS. CARMENCITA VALDEZ
MS. SORAYA P. VERGARA</v>
          </cell>
          <cell r="AI162" t="str">
            <v>N/A</v>
          </cell>
          <cell r="AJ162" t="str">
            <v>N/A</v>
          </cell>
          <cell r="AK162" t="str">
            <v>N/A</v>
          </cell>
          <cell r="AL162" t="str">
            <v>N/A</v>
          </cell>
          <cell r="AM162" t="str">
            <v>N/A</v>
          </cell>
          <cell r="AN162" t="str">
            <v>N/A</v>
          </cell>
          <cell r="AO162" t="str">
            <v>COMPLETED</v>
          </cell>
        </row>
        <row r="163">
          <cell r="A163" t="str">
            <v>24-0044</v>
          </cell>
          <cell r="B163" t="str">
            <v xml:space="preserve">JOB ORDER (LABOR &amp; MATERIALS) </v>
          </cell>
          <cell r="C163" t="str">
            <v>PGO</v>
          </cell>
          <cell r="D163" t="str">
            <v>No</v>
          </cell>
          <cell r="E163" t="str">
            <v>Direct Contracting</v>
          </cell>
          <cell r="F163" t="str">
            <v>N/A</v>
          </cell>
          <cell r="G163">
            <v>45344</v>
          </cell>
          <cell r="H163">
            <v>0</v>
          </cell>
          <cell r="I163" t="str">
            <v>N/A</v>
          </cell>
          <cell r="J163">
            <v>45356</v>
          </cell>
          <cell r="K163">
            <v>45356</v>
          </cell>
          <cell r="L163">
            <v>0</v>
          </cell>
          <cell r="M163" t="str">
            <v>N/A</v>
          </cell>
          <cell r="N163" t="str">
            <v>N/A</v>
          </cell>
          <cell r="O163">
            <v>45357</v>
          </cell>
          <cell r="P163">
            <v>0</v>
          </cell>
          <cell r="Q163">
            <v>0</v>
          </cell>
          <cell r="R163">
            <v>0</v>
          </cell>
          <cell r="S163" t="str">
            <v>N/A</v>
          </cell>
          <cell r="T163">
            <v>45365</v>
          </cell>
          <cell r="U163">
            <v>45365</v>
          </cell>
          <cell r="V163">
            <v>0</v>
          </cell>
          <cell r="W163">
            <v>0</v>
          </cell>
          <cell r="X163">
            <v>45393</v>
          </cell>
          <cell r="Y163">
            <v>45393</v>
          </cell>
          <cell r="Z163">
            <v>0</v>
          </cell>
          <cell r="AA163">
            <v>20000</v>
          </cell>
          <cell r="AB163">
            <v>20000</v>
          </cell>
          <cell r="AC163">
            <v>0</v>
          </cell>
          <cell r="AD163">
            <v>20000</v>
          </cell>
          <cell r="AE163">
            <v>20000</v>
          </cell>
          <cell r="AF163">
            <v>0</v>
          </cell>
          <cell r="AG163" t="str">
            <v>M</v>
          </cell>
          <cell r="AH163" t="str">
            <v>ENGR. MICHAEL C. SALARDA
MS. LEONARDA M. LATOR
MS. CARMENCITA VALDEZ
MS. SORAYA P. VERGARA</v>
          </cell>
          <cell r="AI163" t="str">
            <v>N/A</v>
          </cell>
          <cell r="AJ163" t="str">
            <v>N/A</v>
          </cell>
          <cell r="AK163" t="str">
            <v>N/A</v>
          </cell>
          <cell r="AL163" t="str">
            <v>N/A</v>
          </cell>
          <cell r="AM163" t="str">
            <v>N/A</v>
          </cell>
          <cell r="AN163" t="str">
            <v>N/A</v>
          </cell>
          <cell r="AO163" t="str">
            <v>COMPLETED</v>
          </cell>
        </row>
        <row r="164">
          <cell r="A164" t="str">
            <v>24-0666</v>
          </cell>
          <cell r="B164" t="str">
            <v>DUPLICATING PRODUCTS/SPAREPARTS</v>
          </cell>
          <cell r="C164" t="str">
            <v>PTO</v>
          </cell>
          <cell r="D164" t="str">
            <v>No</v>
          </cell>
          <cell r="E164" t="str">
            <v>Direct Contracting</v>
          </cell>
          <cell r="F164">
            <v>45342</v>
          </cell>
          <cell r="G164">
            <v>45344</v>
          </cell>
          <cell r="H164">
            <v>0</v>
          </cell>
          <cell r="I164" t="str">
            <v>N/A</v>
          </cell>
          <cell r="J164">
            <v>45356</v>
          </cell>
          <cell r="K164">
            <v>45356</v>
          </cell>
          <cell r="L164">
            <v>0</v>
          </cell>
          <cell r="M164" t="str">
            <v>N/A</v>
          </cell>
          <cell r="N164" t="str">
            <v>N/A</v>
          </cell>
          <cell r="O164">
            <v>45357</v>
          </cell>
          <cell r="P164">
            <v>0</v>
          </cell>
          <cell r="Q164">
            <v>0</v>
          </cell>
          <cell r="R164">
            <v>0</v>
          </cell>
          <cell r="S164" t="str">
            <v>N/A</v>
          </cell>
          <cell r="T164">
            <v>45370</v>
          </cell>
          <cell r="U164">
            <v>45385</v>
          </cell>
          <cell r="V164">
            <v>0</v>
          </cell>
          <cell r="W164">
            <v>0</v>
          </cell>
          <cell r="X164">
            <v>45400</v>
          </cell>
          <cell r="Y164">
            <v>45400</v>
          </cell>
          <cell r="Z164">
            <v>0</v>
          </cell>
          <cell r="AA164">
            <v>12046</v>
          </cell>
          <cell r="AB164">
            <v>12046</v>
          </cell>
          <cell r="AC164">
            <v>0</v>
          </cell>
          <cell r="AD164">
            <v>10950</v>
          </cell>
          <cell r="AE164">
            <v>10950</v>
          </cell>
          <cell r="AF164">
            <v>0</v>
          </cell>
          <cell r="AG164" t="str">
            <v>M</v>
          </cell>
          <cell r="AH164" t="str">
            <v>ENGR. MICHAEL C. SALARDA
MS. LEONARDA M. LATOR
MS. CARMENCITA VALDEZ
MS. SORAYA P. VERGARA</v>
          </cell>
          <cell r="AI164" t="str">
            <v>N/A</v>
          </cell>
          <cell r="AJ164" t="str">
            <v>N/A</v>
          </cell>
          <cell r="AK164" t="str">
            <v>N/A</v>
          </cell>
          <cell r="AL164" t="str">
            <v>N/A</v>
          </cell>
          <cell r="AM164" t="str">
            <v>N/A</v>
          </cell>
          <cell r="AN164" t="str">
            <v>N/A</v>
          </cell>
          <cell r="AO164" t="str">
            <v>COMPLETED</v>
          </cell>
        </row>
        <row r="165">
          <cell r="A165" t="str">
            <v>24-C0954</v>
          </cell>
          <cell r="B165" t="str">
            <v>SUPPLY AND DELIVERY OF OFFICE SUPPLIES</v>
          </cell>
          <cell r="C165" t="str">
            <v>PEO</v>
          </cell>
          <cell r="D165" t="str">
            <v>No</v>
          </cell>
          <cell r="E165" t="str">
            <v>Competitive Bidding</v>
          </cell>
          <cell r="F165" t="str">
            <v>N/A</v>
          </cell>
          <cell r="G165">
            <v>45334</v>
          </cell>
          <cell r="H165">
            <v>0</v>
          </cell>
          <cell r="I165" t="str">
            <v>N/A</v>
          </cell>
          <cell r="J165">
            <v>45342</v>
          </cell>
          <cell r="K165">
            <v>45342</v>
          </cell>
          <cell r="L165">
            <v>0</v>
          </cell>
          <cell r="M165">
            <v>45342</v>
          </cell>
          <cell r="N165">
            <v>45349</v>
          </cell>
          <cell r="O165">
            <v>45357</v>
          </cell>
          <cell r="P165">
            <v>0</v>
          </cell>
          <cell r="Q165">
            <v>0</v>
          </cell>
          <cell r="R165">
            <v>0</v>
          </cell>
          <cell r="S165">
            <v>45363</v>
          </cell>
          <cell r="T165">
            <v>45376</v>
          </cell>
          <cell r="U165">
            <v>45384</v>
          </cell>
          <cell r="V165">
            <v>0</v>
          </cell>
          <cell r="W165">
            <v>0</v>
          </cell>
          <cell r="X165">
            <v>45387</v>
          </cell>
          <cell r="Y165">
            <v>45387</v>
          </cell>
          <cell r="Z165">
            <v>0</v>
          </cell>
          <cell r="AA165">
            <v>459114</v>
          </cell>
          <cell r="AB165">
            <v>459114</v>
          </cell>
          <cell r="AC165">
            <v>0</v>
          </cell>
          <cell r="AD165">
            <v>390169</v>
          </cell>
          <cell r="AE165">
            <v>390169</v>
          </cell>
          <cell r="AF165">
            <v>0</v>
          </cell>
          <cell r="AG165" t="str">
            <v>M</v>
          </cell>
          <cell r="AH165" t="str">
            <v>ENGR. MICHAEL C. SALARDA
MS. LEONARDA M. LATOR
MS. CARMENCITA VALDEZ
MS. SORAYA P. VERGARA</v>
          </cell>
          <cell r="AI165" t="str">
            <v>N/A</v>
          </cell>
          <cell r="AJ165">
            <v>45341</v>
          </cell>
          <cell r="AK165">
            <v>45341</v>
          </cell>
          <cell r="AL165">
            <v>45341</v>
          </cell>
          <cell r="AM165" t="str">
            <v>N/A</v>
          </cell>
          <cell r="AN165" t="str">
            <v>N/A</v>
          </cell>
          <cell r="AO165" t="str">
            <v>COMPLETED</v>
          </cell>
        </row>
        <row r="166">
          <cell r="A166" t="str">
            <v>24-0248</v>
          </cell>
          <cell r="B166" t="str">
            <v>SUPPLY AND DELIVEY OF MEALS AND SNACKS</v>
          </cell>
          <cell r="C166">
            <v>0</v>
          </cell>
          <cell r="D166" t="str">
            <v>No</v>
          </cell>
          <cell r="E166" t="str">
            <v>Competitive Bidding</v>
          </cell>
          <cell r="F166" t="str">
            <v>N/A</v>
          </cell>
          <cell r="G166">
            <v>45320</v>
          </cell>
          <cell r="H166">
            <v>0</v>
          </cell>
          <cell r="I166" t="str">
            <v>N/A</v>
          </cell>
          <cell r="J166">
            <v>45342</v>
          </cell>
          <cell r="K166">
            <v>45342</v>
          </cell>
          <cell r="L166">
            <v>0</v>
          </cell>
          <cell r="M166">
            <v>45342</v>
          </cell>
          <cell r="N166">
            <v>45349</v>
          </cell>
          <cell r="O166">
            <v>45357</v>
          </cell>
          <cell r="P166">
            <v>0</v>
          </cell>
          <cell r="Q166">
            <v>0</v>
          </cell>
          <cell r="R166">
            <v>0</v>
          </cell>
          <cell r="S166">
            <v>45357</v>
          </cell>
          <cell r="T166">
            <v>45357</v>
          </cell>
          <cell r="U166">
            <v>45358</v>
          </cell>
          <cell r="V166">
            <v>0</v>
          </cell>
          <cell r="W166">
            <v>0</v>
          </cell>
          <cell r="X166">
            <v>45359</v>
          </cell>
          <cell r="Y166">
            <v>45359</v>
          </cell>
          <cell r="Z166">
            <v>0</v>
          </cell>
          <cell r="AA166">
            <v>433440</v>
          </cell>
          <cell r="AB166">
            <v>0</v>
          </cell>
          <cell r="AC166">
            <v>433440</v>
          </cell>
          <cell r="AD166">
            <v>425736</v>
          </cell>
          <cell r="AE166">
            <v>0</v>
          </cell>
          <cell r="AF166">
            <v>425736</v>
          </cell>
          <cell r="AG166" t="str">
            <v>C</v>
          </cell>
          <cell r="AH166" t="str">
            <v>ENGR. MICHAEL C. SALARDA
MS. LEONARDA M. LATOR
MS. CARMENCITA VALDEZ
MS. SORAYA P. VERGARA</v>
          </cell>
          <cell r="AI166" t="str">
            <v>N/A</v>
          </cell>
          <cell r="AJ166">
            <v>45341</v>
          </cell>
          <cell r="AK166">
            <v>45341</v>
          </cell>
          <cell r="AL166">
            <v>45341</v>
          </cell>
          <cell r="AM166" t="str">
            <v>N/A</v>
          </cell>
          <cell r="AN166" t="str">
            <v>N/A</v>
          </cell>
          <cell r="AO166" t="str">
            <v>COMPLETED</v>
          </cell>
        </row>
        <row r="167">
          <cell r="A167" t="str">
            <v>24-0131</v>
          </cell>
          <cell r="B167" t="str">
            <v>SUPPLY AND DELIVERY OF MEALS AND SNACKS</v>
          </cell>
          <cell r="C167" t="str">
            <v>PGO</v>
          </cell>
          <cell r="D167" t="str">
            <v>No</v>
          </cell>
          <cell r="E167" t="str">
            <v>Competitive Bidding</v>
          </cell>
          <cell r="F167" t="str">
            <v>N/A</v>
          </cell>
          <cell r="G167">
            <v>45320</v>
          </cell>
          <cell r="H167">
            <v>0</v>
          </cell>
          <cell r="I167">
            <v>45328</v>
          </cell>
          <cell r="J167">
            <v>45342</v>
          </cell>
          <cell r="K167">
            <v>45342</v>
          </cell>
          <cell r="L167">
            <v>0</v>
          </cell>
          <cell r="M167">
            <v>45342</v>
          </cell>
          <cell r="N167">
            <v>45349</v>
          </cell>
          <cell r="O167">
            <v>45357</v>
          </cell>
          <cell r="P167">
            <v>0</v>
          </cell>
          <cell r="Q167">
            <v>0</v>
          </cell>
          <cell r="R167">
            <v>0</v>
          </cell>
          <cell r="S167">
            <v>45357</v>
          </cell>
          <cell r="T167">
            <v>45357</v>
          </cell>
          <cell r="U167">
            <v>45358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1185000</v>
          </cell>
          <cell r="AB167">
            <v>0</v>
          </cell>
          <cell r="AC167">
            <v>1185000</v>
          </cell>
          <cell r="AD167">
            <v>1173000</v>
          </cell>
          <cell r="AE167">
            <v>0</v>
          </cell>
          <cell r="AF167">
            <v>1173000</v>
          </cell>
          <cell r="AG167" t="str">
            <v>C</v>
          </cell>
          <cell r="AH167" t="str">
            <v>ENGR. MICHAEL C. SALARDA
MS. LEONARDA M. LATOR
MS. CARMENCITA VALDEZ
MS. SORAYA P. VERGARA</v>
          </cell>
          <cell r="AI167">
            <v>45327</v>
          </cell>
          <cell r="AJ167">
            <v>45341</v>
          </cell>
          <cell r="AK167">
            <v>45341</v>
          </cell>
          <cell r="AL167">
            <v>45341</v>
          </cell>
          <cell r="AM167" t="str">
            <v>N/A</v>
          </cell>
          <cell r="AN167" t="str">
            <v>N/A</v>
          </cell>
          <cell r="AO167" t="str">
            <v>PARTIAL DELIVERY</v>
          </cell>
        </row>
        <row r="168">
          <cell r="A168" t="str">
            <v>24-0169</v>
          </cell>
          <cell r="B168" t="str">
            <v>SUPPLY AND DELIVERY OF FOOD SUPPLIES</v>
          </cell>
          <cell r="C168" t="str">
            <v>PSWDO</v>
          </cell>
          <cell r="D168" t="str">
            <v>No</v>
          </cell>
          <cell r="E168" t="str">
            <v>Competitive Bidding</v>
          </cell>
          <cell r="F168" t="str">
            <v>N/A</v>
          </cell>
          <cell r="G168">
            <v>45334</v>
          </cell>
          <cell r="H168">
            <v>0</v>
          </cell>
          <cell r="I168" t="str">
            <v>N/A</v>
          </cell>
          <cell r="J168">
            <v>45342</v>
          </cell>
          <cell r="K168">
            <v>45342</v>
          </cell>
          <cell r="L168">
            <v>0</v>
          </cell>
          <cell r="M168">
            <v>45342</v>
          </cell>
          <cell r="N168">
            <v>45364</v>
          </cell>
          <cell r="O168">
            <v>45372</v>
          </cell>
          <cell r="P168">
            <v>0</v>
          </cell>
          <cell r="Q168">
            <v>0</v>
          </cell>
          <cell r="R168">
            <v>0</v>
          </cell>
          <cell r="S168">
            <v>45376</v>
          </cell>
          <cell r="T168">
            <v>45393</v>
          </cell>
          <cell r="U168">
            <v>45397</v>
          </cell>
          <cell r="V168">
            <v>0</v>
          </cell>
          <cell r="W168">
            <v>0</v>
          </cell>
          <cell r="X168">
            <v>45404</v>
          </cell>
          <cell r="Y168">
            <v>45404</v>
          </cell>
          <cell r="Z168">
            <v>0</v>
          </cell>
          <cell r="AA168">
            <v>790240</v>
          </cell>
          <cell r="AB168">
            <v>0</v>
          </cell>
          <cell r="AC168">
            <v>790240</v>
          </cell>
          <cell r="AD168">
            <v>585969.5</v>
          </cell>
          <cell r="AE168">
            <v>0</v>
          </cell>
          <cell r="AF168">
            <v>585969.5</v>
          </cell>
          <cell r="AG168" t="str">
            <v>C</v>
          </cell>
          <cell r="AH168" t="str">
            <v>ENGR. MICHAEL C. SALARDA
MS. LEONARDA M. LATOR
MS. CARMENCITA VALDEZ
MS. SORAYA P. VERGARA</v>
          </cell>
          <cell r="AI168">
            <v>45327</v>
          </cell>
          <cell r="AJ168">
            <v>45341</v>
          </cell>
          <cell r="AK168">
            <v>45341</v>
          </cell>
          <cell r="AL168">
            <v>45341</v>
          </cell>
          <cell r="AM168" t="str">
            <v>N/A</v>
          </cell>
          <cell r="AN168" t="str">
            <v>N/A</v>
          </cell>
          <cell r="AO168" t="str">
            <v>COMPLETED</v>
          </cell>
        </row>
        <row r="169">
          <cell r="A169" t="str">
            <v>24-C0941</v>
          </cell>
          <cell r="B169" t="str">
            <v>SUPPLY AND DELIVERY OF OFFICE SUPPLIES</v>
          </cell>
          <cell r="C169" t="str">
            <v>PEEMO</v>
          </cell>
          <cell r="D169" t="str">
            <v>No</v>
          </cell>
          <cell r="E169" t="str">
            <v>Competitive Bidding</v>
          </cell>
          <cell r="F169" t="str">
            <v>N/A</v>
          </cell>
          <cell r="G169">
            <v>45341</v>
          </cell>
          <cell r="H169">
            <v>0</v>
          </cell>
          <cell r="I169" t="str">
            <v>N/A</v>
          </cell>
          <cell r="J169">
            <v>45356</v>
          </cell>
          <cell r="K169">
            <v>45356</v>
          </cell>
          <cell r="L169">
            <v>0</v>
          </cell>
          <cell r="M169">
            <v>45356</v>
          </cell>
          <cell r="N169">
            <v>45364</v>
          </cell>
          <cell r="O169">
            <v>45373</v>
          </cell>
          <cell r="P169">
            <v>0</v>
          </cell>
          <cell r="Q169">
            <v>0</v>
          </cell>
          <cell r="R169">
            <v>0</v>
          </cell>
          <cell r="S169">
            <v>45377</v>
          </cell>
          <cell r="T169">
            <v>45393</v>
          </cell>
          <cell r="U169">
            <v>45398</v>
          </cell>
          <cell r="V169">
            <v>0</v>
          </cell>
          <cell r="W169">
            <v>0</v>
          </cell>
          <cell r="X169">
            <v>45407</v>
          </cell>
          <cell r="Y169">
            <v>45407</v>
          </cell>
          <cell r="Z169">
            <v>0</v>
          </cell>
          <cell r="AA169">
            <v>839080</v>
          </cell>
          <cell r="AB169">
            <v>839080</v>
          </cell>
          <cell r="AC169">
            <v>0</v>
          </cell>
          <cell r="AD169">
            <v>631974</v>
          </cell>
          <cell r="AE169">
            <v>631974</v>
          </cell>
          <cell r="AF169">
            <v>0</v>
          </cell>
          <cell r="AG169" t="str">
            <v>M</v>
          </cell>
          <cell r="AH169" t="str">
            <v>ENGR. MICHAEL C. SALARDA
MS. LEONARDA M. LATOR
MS. CARMENCITA VALDEZ
MS. SORAYA P. VERGARA</v>
          </cell>
          <cell r="AI169" t="str">
            <v>N/A</v>
          </cell>
          <cell r="AJ169">
            <v>45352</v>
          </cell>
          <cell r="AK169">
            <v>45352</v>
          </cell>
          <cell r="AL169">
            <v>45352</v>
          </cell>
          <cell r="AM169" t="str">
            <v>N/A</v>
          </cell>
          <cell r="AN169" t="str">
            <v>N/A</v>
          </cell>
          <cell r="AO169" t="str">
            <v>COMPLETED</v>
          </cell>
        </row>
        <row r="170">
          <cell r="A170" t="str">
            <v>24-0458</v>
          </cell>
          <cell r="B170" t="str">
            <v>SUPPLY AND DELIVERY OF CONSTRUCTION MATERIALS</v>
          </cell>
          <cell r="C170" t="str">
            <v>PEO</v>
          </cell>
          <cell r="D170" t="str">
            <v>No</v>
          </cell>
          <cell r="E170" t="str">
            <v>Competitive Bidding</v>
          </cell>
          <cell r="F170" t="str">
            <v>N/A</v>
          </cell>
          <cell r="G170">
            <v>45348</v>
          </cell>
          <cell r="H170">
            <v>0</v>
          </cell>
          <cell r="I170" t="str">
            <v>N/A</v>
          </cell>
          <cell r="J170">
            <v>45356</v>
          </cell>
          <cell r="K170">
            <v>45356</v>
          </cell>
          <cell r="L170">
            <v>0</v>
          </cell>
          <cell r="M170">
            <v>45356</v>
          </cell>
          <cell r="N170">
            <v>45364</v>
          </cell>
          <cell r="O170">
            <v>45372</v>
          </cell>
          <cell r="P170">
            <v>0</v>
          </cell>
          <cell r="Q170">
            <v>0</v>
          </cell>
          <cell r="R170">
            <v>0</v>
          </cell>
          <cell r="S170">
            <v>45378</v>
          </cell>
          <cell r="T170">
            <v>45394</v>
          </cell>
          <cell r="U170">
            <v>45404</v>
          </cell>
          <cell r="V170">
            <v>0</v>
          </cell>
          <cell r="W170">
            <v>0</v>
          </cell>
          <cell r="X170">
            <v>45412</v>
          </cell>
          <cell r="Y170">
            <v>45412</v>
          </cell>
          <cell r="Z170">
            <v>0</v>
          </cell>
          <cell r="AA170">
            <v>505747.94</v>
          </cell>
          <cell r="AB170">
            <v>0</v>
          </cell>
          <cell r="AC170">
            <v>505747.94</v>
          </cell>
          <cell r="AD170">
            <v>503824.5</v>
          </cell>
          <cell r="AE170">
            <v>0</v>
          </cell>
          <cell r="AF170">
            <v>503824.5</v>
          </cell>
          <cell r="AG170" t="str">
            <v>C</v>
          </cell>
          <cell r="AH170" t="str">
            <v>ENGR. MICHAEL C. SALARDA
MS. LEONARDA M. LATOR
MS. CARMENCITA VALDEZ
MS. SORAYA P. VERGARA</v>
          </cell>
          <cell r="AI170" t="str">
            <v>N/A</v>
          </cell>
          <cell r="AJ170">
            <v>45352</v>
          </cell>
          <cell r="AK170">
            <v>45352</v>
          </cell>
          <cell r="AL170">
            <v>45352</v>
          </cell>
          <cell r="AM170" t="str">
            <v>N/A</v>
          </cell>
          <cell r="AN170" t="str">
            <v>N/A</v>
          </cell>
          <cell r="AO170" t="str">
            <v>COMPLETED</v>
          </cell>
        </row>
        <row r="171">
          <cell r="A171" t="str">
            <v>24-C1057</v>
          </cell>
          <cell r="B171" t="str">
            <v>SUPPLY AND DELIVERY OF RICE (WELL-MILLED) 50KG/SACK</v>
          </cell>
          <cell r="C171" t="str">
            <v>PSWDO</v>
          </cell>
          <cell r="D171" t="str">
            <v>No</v>
          </cell>
          <cell r="E171" t="str">
            <v>Competitive Bidding</v>
          </cell>
          <cell r="F171" t="str">
            <v>N/A</v>
          </cell>
          <cell r="G171">
            <v>45334</v>
          </cell>
          <cell r="H171">
            <v>0</v>
          </cell>
          <cell r="I171">
            <v>45342</v>
          </cell>
          <cell r="J171">
            <v>45356</v>
          </cell>
          <cell r="K171">
            <v>45356</v>
          </cell>
          <cell r="L171">
            <v>0</v>
          </cell>
          <cell r="M171">
            <v>45442</v>
          </cell>
          <cell r="N171">
            <v>45364</v>
          </cell>
          <cell r="O171">
            <v>45372</v>
          </cell>
          <cell r="P171">
            <v>0</v>
          </cell>
          <cell r="Q171">
            <v>0</v>
          </cell>
          <cell r="R171">
            <v>0</v>
          </cell>
          <cell r="S171">
            <v>45373</v>
          </cell>
          <cell r="T171">
            <v>45386</v>
          </cell>
          <cell r="U171">
            <v>45393</v>
          </cell>
          <cell r="V171">
            <v>0</v>
          </cell>
          <cell r="W171">
            <v>0</v>
          </cell>
          <cell r="X171">
            <v>45399</v>
          </cell>
          <cell r="Y171">
            <v>45399</v>
          </cell>
          <cell r="Z171">
            <v>0</v>
          </cell>
          <cell r="AA171">
            <v>1348050</v>
          </cell>
          <cell r="AB171">
            <v>0</v>
          </cell>
          <cell r="AC171">
            <v>1348050</v>
          </cell>
          <cell r="AD171">
            <v>1290000</v>
          </cell>
          <cell r="AE171">
            <v>0</v>
          </cell>
          <cell r="AF171">
            <v>1290000</v>
          </cell>
          <cell r="AG171" t="str">
            <v>C</v>
          </cell>
          <cell r="AH171" t="str">
            <v>ENGR. MICHAEL C. SALARDA
MS. LEONARDA M. LATOR
MS. CARMENCITA VALDEZ
MS. SORAYA P. VERGARA</v>
          </cell>
          <cell r="AI171">
            <v>45341</v>
          </cell>
          <cell r="AJ171">
            <v>45352</v>
          </cell>
          <cell r="AK171">
            <v>45352</v>
          </cell>
          <cell r="AL171">
            <v>45352</v>
          </cell>
          <cell r="AM171" t="str">
            <v>N/A</v>
          </cell>
          <cell r="AN171" t="str">
            <v>N/A</v>
          </cell>
          <cell r="AO171" t="str">
            <v>COMPLETED</v>
          </cell>
        </row>
        <row r="172">
          <cell r="A172" t="str">
            <v>24-C0983</v>
          </cell>
          <cell r="B172" t="str">
            <v>SUPPLY AND DELIVERY OF RICE (WELL-MILLED) 50KG/SACK</v>
          </cell>
          <cell r="C172" t="str">
            <v>PEEMO</v>
          </cell>
          <cell r="D172" t="str">
            <v>No</v>
          </cell>
          <cell r="E172" t="str">
            <v>Competitive Bidding</v>
          </cell>
          <cell r="F172">
            <v>45322</v>
          </cell>
          <cell r="G172">
            <v>45334</v>
          </cell>
          <cell r="H172">
            <v>0</v>
          </cell>
          <cell r="I172">
            <v>45342</v>
          </cell>
          <cell r="J172">
            <v>45356</v>
          </cell>
          <cell r="K172">
            <v>45356</v>
          </cell>
          <cell r="L172">
            <v>0</v>
          </cell>
          <cell r="M172">
            <v>45356</v>
          </cell>
          <cell r="N172">
            <v>45364</v>
          </cell>
          <cell r="O172">
            <v>45372</v>
          </cell>
          <cell r="P172">
            <v>0</v>
          </cell>
          <cell r="Q172">
            <v>0</v>
          </cell>
          <cell r="R172">
            <v>0</v>
          </cell>
          <cell r="S172">
            <v>45373</v>
          </cell>
          <cell r="T172">
            <v>45373</v>
          </cell>
          <cell r="U172">
            <v>45384</v>
          </cell>
          <cell r="V172">
            <v>0</v>
          </cell>
          <cell r="W172">
            <v>0</v>
          </cell>
          <cell r="X172">
            <v>45386</v>
          </cell>
          <cell r="Y172">
            <v>45386</v>
          </cell>
          <cell r="Z172">
            <v>0</v>
          </cell>
          <cell r="AA172">
            <v>1059630</v>
          </cell>
          <cell r="AB172">
            <v>1059630</v>
          </cell>
          <cell r="AC172">
            <v>0</v>
          </cell>
          <cell r="AD172">
            <v>1014000</v>
          </cell>
          <cell r="AE172">
            <v>1014000</v>
          </cell>
          <cell r="AF172">
            <v>0</v>
          </cell>
          <cell r="AG172" t="str">
            <v>M</v>
          </cell>
          <cell r="AH172" t="str">
            <v>ENGR. MICHAEL C. SALARDA
MS. LEONARDA M. LATOR
MS. CARMENCITA VALDEZ
MS. SORAYA P. VERGARA</v>
          </cell>
          <cell r="AI172">
            <v>45341</v>
          </cell>
          <cell r="AJ172">
            <v>45352</v>
          </cell>
          <cell r="AK172">
            <v>45352</v>
          </cell>
          <cell r="AL172">
            <v>45352</v>
          </cell>
          <cell r="AM172" t="str">
            <v>N/A</v>
          </cell>
          <cell r="AN172" t="str">
            <v>N/A</v>
          </cell>
          <cell r="AO172" t="str">
            <v>COMPLETED</v>
          </cell>
        </row>
        <row r="173">
          <cell r="A173" t="str">
            <v>24-0165</v>
          </cell>
          <cell r="B173" t="str">
            <v>SUPPLY AND DELIVERY OF MEALS AND SNACKS</v>
          </cell>
          <cell r="C173">
            <v>0</v>
          </cell>
          <cell r="D173" t="str">
            <v>No</v>
          </cell>
          <cell r="E173" t="str">
            <v>Competitive Bidding</v>
          </cell>
          <cell r="F173" t="str">
            <v>N/A</v>
          </cell>
          <cell r="G173">
            <v>45334</v>
          </cell>
          <cell r="H173">
            <v>0</v>
          </cell>
          <cell r="I173">
            <v>45342</v>
          </cell>
          <cell r="J173">
            <v>45373</v>
          </cell>
          <cell r="K173">
            <v>45373</v>
          </cell>
          <cell r="L173">
            <v>0</v>
          </cell>
          <cell r="M173">
            <v>45373</v>
          </cell>
          <cell r="N173">
            <v>45364</v>
          </cell>
          <cell r="O173">
            <v>45372</v>
          </cell>
          <cell r="P173">
            <v>0</v>
          </cell>
          <cell r="Q173">
            <v>0</v>
          </cell>
          <cell r="R173">
            <v>0</v>
          </cell>
          <cell r="S173">
            <v>45373</v>
          </cell>
          <cell r="T173">
            <v>45377</v>
          </cell>
          <cell r="U173">
            <v>45393</v>
          </cell>
          <cell r="V173">
            <v>0</v>
          </cell>
          <cell r="W173">
            <v>0</v>
          </cell>
          <cell r="X173">
            <v>45447</v>
          </cell>
          <cell r="Y173">
            <v>45447</v>
          </cell>
          <cell r="Z173">
            <v>0</v>
          </cell>
          <cell r="AA173">
            <v>1505000</v>
          </cell>
          <cell r="AB173">
            <v>0</v>
          </cell>
          <cell r="AC173">
            <v>1505000</v>
          </cell>
          <cell r="AD173">
            <v>1484000</v>
          </cell>
          <cell r="AE173">
            <v>0</v>
          </cell>
          <cell r="AF173">
            <v>1484000</v>
          </cell>
          <cell r="AG173" t="str">
            <v>C</v>
          </cell>
          <cell r="AH173" t="str">
            <v>ENGR. MICHAEL C. SALARDA
MS. LEONARDA M. LATOR
MS. CARMENCITA VALDEZ
MS. SORAYA P. VERGARA</v>
          </cell>
          <cell r="AI173">
            <v>45341</v>
          </cell>
          <cell r="AJ173">
            <v>45372</v>
          </cell>
          <cell r="AK173">
            <v>45372</v>
          </cell>
          <cell r="AL173">
            <v>45372</v>
          </cell>
          <cell r="AM173" t="str">
            <v>N/A</v>
          </cell>
          <cell r="AN173" t="str">
            <v>N/A</v>
          </cell>
          <cell r="AO173" t="str">
            <v>COMPLETED</v>
          </cell>
        </row>
        <row r="174">
          <cell r="A174" t="str">
            <v>24-C0930</v>
          </cell>
          <cell r="B174" t="str">
            <v>SUPPLY AND DELIVERY OF RICE (WELL-MILLED) 50KG/SACK</v>
          </cell>
          <cell r="C174" t="str">
            <v>PGO</v>
          </cell>
          <cell r="D174" t="str">
            <v>No</v>
          </cell>
          <cell r="E174" t="str">
            <v>Competitive Bidding</v>
          </cell>
          <cell r="F174" t="str">
            <v>N/A</v>
          </cell>
          <cell r="G174">
            <v>45334</v>
          </cell>
          <cell r="H174">
            <v>0</v>
          </cell>
          <cell r="I174">
            <v>45342</v>
          </cell>
          <cell r="J174">
            <v>45356</v>
          </cell>
          <cell r="K174">
            <v>45356</v>
          </cell>
          <cell r="L174">
            <v>0</v>
          </cell>
          <cell r="M174">
            <v>45356</v>
          </cell>
          <cell r="N174">
            <v>45364</v>
          </cell>
          <cell r="O174">
            <v>45372</v>
          </cell>
          <cell r="P174">
            <v>0</v>
          </cell>
          <cell r="Q174">
            <v>0</v>
          </cell>
          <cell r="R174">
            <v>0</v>
          </cell>
          <cell r="S174">
            <v>45373</v>
          </cell>
          <cell r="T174">
            <v>45386</v>
          </cell>
          <cell r="U174">
            <v>45397</v>
          </cell>
          <cell r="V174">
            <v>0</v>
          </cell>
          <cell r="W174">
            <v>0</v>
          </cell>
          <cell r="X174">
            <v>45406</v>
          </cell>
          <cell r="Y174">
            <v>45406</v>
          </cell>
          <cell r="Z174">
            <v>0</v>
          </cell>
          <cell r="AA174">
            <v>1485990</v>
          </cell>
          <cell r="AB174">
            <v>0</v>
          </cell>
          <cell r="AC174">
            <v>1485990</v>
          </cell>
          <cell r="AD174">
            <v>1422000</v>
          </cell>
          <cell r="AE174">
            <v>0</v>
          </cell>
          <cell r="AF174">
            <v>1422000</v>
          </cell>
          <cell r="AG174" t="str">
            <v>C</v>
          </cell>
          <cell r="AH174" t="str">
            <v>ENGR. MICHAEL C. SALARDA
MS. LEONARDA M. LATOR
MS. CARMENCITA VALDEZ
MS. SORAYA P. VERGARA</v>
          </cell>
          <cell r="AI174">
            <v>45341</v>
          </cell>
          <cell r="AJ174">
            <v>45352</v>
          </cell>
          <cell r="AK174">
            <v>45352</v>
          </cell>
          <cell r="AL174">
            <v>45352</v>
          </cell>
          <cell r="AM174" t="str">
            <v>N/A</v>
          </cell>
          <cell r="AN174" t="str">
            <v>N/A</v>
          </cell>
          <cell r="AO174" t="str">
            <v>COMPLETED</v>
          </cell>
        </row>
        <row r="175">
          <cell r="A175" t="str">
            <v>24-C1053</v>
          </cell>
          <cell r="B175" t="str">
            <v>SUPPLY AND DELIVERY OF SPARE PARST</v>
          </cell>
          <cell r="C175" t="str">
            <v>PGSO</v>
          </cell>
          <cell r="D175" t="str">
            <v>No</v>
          </cell>
          <cell r="E175" t="str">
            <v>Competitive Bidding</v>
          </cell>
          <cell r="F175" t="str">
            <v>N/A</v>
          </cell>
          <cell r="G175">
            <v>45341</v>
          </cell>
          <cell r="H175">
            <v>0</v>
          </cell>
          <cell r="I175" t="str">
            <v>N/A</v>
          </cell>
          <cell r="J175">
            <v>45356</v>
          </cell>
          <cell r="K175">
            <v>45356</v>
          </cell>
          <cell r="L175">
            <v>0</v>
          </cell>
          <cell r="M175">
            <v>45356</v>
          </cell>
          <cell r="N175">
            <v>45364</v>
          </cell>
          <cell r="O175">
            <v>45372</v>
          </cell>
          <cell r="P175">
            <v>0</v>
          </cell>
          <cell r="Q175">
            <v>0</v>
          </cell>
          <cell r="R175">
            <v>0</v>
          </cell>
          <cell r="S175">
            <v>45378</v>
          </cell>
          <cell r="T175">
            <v>45399</v>
          </cell>
          <cell r="U175">
            <v>45407</v>
          </cell>
          <cell r="V175">
            <v>0</v>
          </cell>
          <cell r="W175">
            <v>0</v>
          </cell>
          <cell r="X175">
            <v>45411</v>
          </cell>
          <cell r="Y175">
            <v>45411</v>
          </cell>
          <cell r="Z175">
            <v>0</v>
          </cell>
          <cell r="AA175">
            <v>547615</v>
          </cell>
          <cell r="AB175">
            <v>547615</v>
          </cell>
          <cell r="AC175">
            <v>0</v>
          </cell>
          <cell r="AD175">
            <v>394660</v>
          </cell>
          <cell r="AE175">
            <v>394660</v>
          </cell>
          <cell r="AF175">
            <v>0</v>
          </cell>
          <cell r="AG175" t="str">
            <v>M</v>
          </cell>
          <cell r="AH175" t="str">
            <v>ENGR. MICHAEL C. SALARDA
MS. LEONARDA M. LATOR
MS. CARMENCITA VALDEZ
MS. SORAYA P. VERGARA</v>
          </cell>
          <cell r="AI175" t="str">
            <v>N/A</v>
          </cell>
          <cell r="AJ175">
            <v>45352</v>
          </cell>
          <cell r="AK175">
            <v>45352</v>
          </cell>
          <cell r="AL175">
            <v>45352</v>
          </cell>
          <cell r="AM175" t="str">
            <v>N/A</v>
          </cell>
          <cell r="AN175" t="str">
            <v>N/A</v>
          </cell>
          <cell r="AO175" t="str">
            <v>COMPLETED</v>
          </cell>
        </row>
        <row r="176">
          <cell r="A176" t="str">
            <v>24-C1077</v>
          </cell>
          <cell r="B176" t="str">
            <v>SUPPLY AND DELIVERY OF SPARE PARTS (TIRES AND BATTERY)</v>
          </cell>
          <cell r="C176" t="str">
            <v>PDRRMO</v>
          </cell>
          <cell r="D176" t="str">
            <v>No</v>
          </cell>
          <cell r="E176" t="str">
            <v>Competitive Bidding</v>
          </cell>
          <cell r="F176" t="str">
            <v>N/A</v>
          </cell>
          <cell r="G176">
            <v>45341</v>
          </cell>
          <cell r="H176">
            <v>0</v>
          </cell>
          <cell r="I176" t="str">
            <v>N/A</v>
          </cell>
          <cell r="J176">
            <v>45356</v>
          </cell>
          <cell r="K176">
            <v>45356</v>
          </cell>
          <cell r="L176">
            <v>0</v>
          </cell>
          <cell r="M176">
            <v>45356</v>
          </cell>
          <cell r="N176">
            <v>45364</v>
          </cell>
          <cell r="O176">
            <v>45372</v>
          </cell>
          <cell r="P176">
            <v>0</v>
          </cell>
          <cell r="Q176">
            <v>0</v>
          </cell>
          <cell r="R176">
            <v>0</v>
          </cell>
          <cell r="S176">
            <v>45378</v>
          </cell>
          <cell r="T176">
            <v>45387</v>
          </cell>
          <cell r="U176">
            <v>45394</v>
          </cell>
          <cell r="V176">
            <v>0</v>
          </cell>
          <cell r="W176">
            <v>0</v>
          </cell>
          <cell r="X176">
            <v>45397</v>
          </cell>
          <cell r="Y176">
            <v>45397</v>
          </cell>
          <cell r="Z176">
            <v>0</v>
          </cell>
          <cell r="AA176">
            <v>558824</v>
          </cell>
          <cell r="AB176">
            <v>558824</v>
          </cell>
          <cell r="AC176">
            <v>0</v>
          </cell>
          <cell r="AD176">
            <v>329400</v>
          </cell>
          <cell r="AE176">
            <v>329400</v>
          </cell>
          <cell r="AF176">
            <v>0</v>
          </cell>
          <cell r="AG176" t="str">
            <v>M</v>
          </cell>
          <cell r="AH176" t="str">
            <v>ENGR. MICHAEL C. SALARDA
MS. LEONARDA M. LATOR
MS. CARMENCITA VALDEZ
MS. SORAYA P. VERGARA</v>
          </cell>
          <cell r="AI176" t="str">
            <v>N/A</v>
          </cell>
          <cell r="AJ176">
            <v>45352</v>
          </cell>
          <cell r="AK176">
            <v>45352</v>
          </cell>
          <cell r="AL176">
            <v>45352</v>
          </cell>
          <cell r="AM176" t="str">
            <v>N/A</v>
          </cell>
          <cell r="AN176" t="str">
            <v>N/A</v>
          </cell>
          <cell r="AO176" t="str">
            <v>COMPLETED</v>
          </cell>
        </row>
        <row r="177">
          <cell r="A177" t="str">
            <v>24-C1036</v>
          </cell>
          <cell r="B177" t="str">
            <v>SUPPLY AND DELIVERY OF SPARE PARTS/BATTERY</v>
          </cell>
          <cell r="C177" t="str">
            <v>PEEMO</v>
          </cell>
          <cell r="D177" t="str">
            <v>No</v>
          </cell>
          <cell r="E177" t="str">
            <v>Competitive Bidding</v>
          </cell>
          <cell r="F177">
            <v>45342</v>
          </cell>
          <cell r="G177">
            <v>45348</v>
          </cell>
          <cell r="H177">
            <v>0</v>
          </cell>
          <cell r="I177" t="str">
            <v>N/A</v>
          </cell>
          <cell r="J177">
            <v>45356</v>
          </cell>
          <cell r="K177">
            <v>45356</v>
          </cell>
          <cell r="L177">
            <v>0</v>
          </cell>
          <cell r="M177">
            <v>45442</v>
          </cell>
          <cell r="N177">
            <v>45364</v>
          </cell>
          <cell r="O177">
            <v>45372</v>
          </cell>
          <cell r="P177">
            <v>0</v>
          </cell>
          <cell r="Q177">
            <v>0</v>
          </cell>
          <cell r="R177">
            <v>0</v>
          </cell>
          <cell r="S177">
            <v>45378</v>
          </cell>
          <cell r="T177">
            <v>45394</v>
          </cell>
          <cell r="U177">
            <v>45404</v>
          </cell>
          <cell r="V177">
            <v>0</v>
          </cell>
          <cell r="W177">
            <v>0</v>
          </cell>
          <cell r="X177">
            <v>45407</v>
          </cell>
          <cell r="Y177">
            <v>45407</v>
          </cell>
          <cell r="Z177">
            <v>0</v>
          </cell>
          <cell r="AA177">
            <v>790600</v>
          </cell>
          <cell r="AB177">
            <v>790600</v>
          </cell>
          <cell r="AC177">
            <v>0</v>
          </cell>
          <cell r="AD177">
            <v>552000</v>
          </cell>
          <cell r="AE177">
            <v>552000</v>
          </cell>
          <cell r="AF177">
            <v>0</v>
          </cell>
          <cell r="AG177" t="str">
            <v>M</v>
          </cell>
          <cell r="AH177" t="str">
            <v>ENGR. MICHAEL C. SALARDA
MS. LEONARDA M. LATOR
MS. CARMENCITA VALDEZ
MS. SORAYA P. VERGARA</v>
          </cell>
          <cell r="AI177" t="str">
            <v>N/A</v>
          </cell>
          <cell r="AJ177">
            <v>45352</v>
          </cell>
          <cell r="AK177">
            <v>45352</v>
          </cell>
          <cell r="AL177">
            <v>45352</v>
          </cell>
          <cell r="AM177" t="str">
            <v>N/A</v>
          </cell>
          <cell r="AN177" t="str">
            <v>N/A</v>
          </cell>
          <cell r="AO177" t="str">
            <v>COMPLETED</v>
          </cell>
        </row>
        <row r="178">
          <cell r="A178" t="str">
            <v>24-C1001</v>
          </cell>
          <cell r="B178" t="str">
            <v>SUPPLY AND DELIVERY OF MEDICAL SUPPLIES</v>
          </cell>
          <cell r="C178" t="str">
            <v>PEEMO</v>
          </cell>
          <cell r="D178" t="str">
            <v>No</v>
          </cell>
          <cell r="E178" t="str">
            <v>Competitive Bidding</v>
          </cell>
          <cell r="F178">
            <v>45342</v>
          </cell>
          <cell r="G178">
            <v>45348</v>
          </cell>
          <cell r="H178">
            <v>0</v>
          </cell>
          <cell r="I178" t="str">
            <v>N/A</v>
          </cell>
          <cell r="J178">
            <v>45356</v>
          </cell>
          <cell r="K178">
            <v>45356</v>
          </cell>
          <cell r="L178">
            <v>0</v>
          </cell>
          <cell r="M178">
            <v>45356</v>
          </cell>
          <cell r="N178">
            <v>45364</v>
          </cell>
          <cell r="O178">
            <v>45372</v>
          </cell>
          <cell r="P178">
            <v>0</v>
          </cell>
          <cell r="Q178">
            <v>0</v>
          </cell>
          <cell r="R178">
            <v>0</v>
          </cell>
          <cell r="S178">
            <v>45377</v>
          </cell>
          <cell r="T178">
            <v>45393</v>
          </cell>
          <cell r="U178">
            <v>45405</v>
          </cell>
          <cell r="V178">
            <v>0</v>
          </cell>
          <cell r="W178">
            <v>0</v>
          </cell>
          <cell r="X178">
            <v>45412</v>
          </cell>
          <cell r="Y178">
            <v>45412</v>
          </cell>
          <cell r="Z178">
            <v>0</v>
          </cell>
          <cell r="AA178">
            <v>564043</v>
          </cell>
          <cell r="AB178">
            <v>564043</v>
          </cell>
          <cell r="AC178">
            <v>0</v>
          </cell>
          <cell r="AD178">
            <v>343226</v>
          </cell>
          <cell r="AE178">
            <v>343226</v>
          </cell>
          <cell r="AF178">
            <v>0</v>
          </cell>
          <cell r="AG178" t="str">
            <v>M</v>
          </cell>
          <cell r="AH178" t="str">
            <v>ENGR. MICHAEL C. SALARDA
MS. LEONARDA M. LATOR
MS. CARMENCITA VALDEZ
MS. SORAYA P. VERGARA</v>
          </cell>
          <cell r="AI178" t="str">
            <v>N/A</v>
          </cell>
          <cell r="AJ178">
            <v>45352</v>
          </cell>
          <cell r="AK178">
            <v>45352</v>
          </cell>
          <cell r="AL178">
            <v>45352</v>
          </cell>
          <cell r="AM178" t="str">
            <v>N/A</v>
          </cell>
          <cell r="AN178" t="str">
            <v>N/A</v>
          </cell>
          <cell r="AO178" t="str">
            <v>COMPLETED</v>
          </cell>
        </row>
        <row r="179">
          <cell r="A179" t="str">
            <v>24-1266</v>
          </cell>
          <cell r="B179" t="str">
            <v>SPAREPARTS (LIGHT VEHICLES)</v>
          </cell>
          <cell r="C179" t="str">
            <v>PGSO</v>
          </cell>
          <cell r="D179" t="str">
            <v>No</v>
          </cell>
          <cell r="E179" t="str">
            <v>Shopping 52.1(a) - Unforeseen Contingency</v>
          </cell>
          <cell r="F179" t="str">
            <v>N/A</v>
          </cell>
          <cell r="G179">
            <v>45352</v>
          </cell>
          <cell r="H179">
            <v>0</v>
          </cell>
          <cell r="I179" t="str">
            <v>N/A</v>
          </cell>
          <cell r="J179" t="str">
            <v xml:space="preserve"> </v>
          </cell>
          <cell r="K179">
            <v>45370</v>
          </cell>
          <cell r="L179">
            <v>0</v>
          </cell>
          <cell r="M179" t="str">
            <v>N/A</v>
          </cell>
          <cell r="N179" t="str">
            <v>N/A</v>
          </cell>
          <cell r="O179">
            <v>45372</v>
          </cell>
          <cell r="P179">
            <v>0</v>
          </cell>
          <cell r="Q179">
            <v>0</v>
          </cell>
          <cell r="R179">
            <v>0</v>
          </cell>
          <cell r="S179" t="str">
            <v>N/A</v>
          </cell>
          <cell r="T179">
            <v>45405</v>
          </cell>
          <cell r="U179">
            <v>45422</v>
          </cell>
          <cell r="V179">
            <v>0</v>
          </cell>
          <cell r="W179">
            <v>0</v>
          </cell>
          <cell r="X179">
            <v>45422</v>
          </cell>
          <cell r="Y179">
            <v>45422</v>
          </cell>
          <cell r="Z179">
            <v>0</v>
          </cell>
          <cell r="AA179">
            <v>44000</v>
          </cell>
          <cell r="AB179">
            <v>44000</v>
          </cell>
          <cell r="AC179">
            <v>0</v>
          </cell>
          <cell r="AD179">
            <v>44000</v>
          </cell>
          <cell r="AE179">
            <v>44000</v>
          </cell>
          <cell r="AF179">
            <v>0</v>
          </cell>
          <cell r="AG179" t="str">
            <v>M</v>
          </cell>
          <cell r="AH179" t="str">
            <v>ENGR. MICHAEL C. SALARDA
MS. LEONARDA M. LATOR
MS. CARMENCITA VALDEZ
MS. SORAYA P. VERGARA</v>
          </cell>
          <cell r="AI179" t="str">
            <v>N/A</v>
          </cell>
          <cell r="AJ179" t="str">
            <v>N/A</v>
          </cell>
          <cell r="AK179" t="str">
            <v>N/A</v>
          </cell>
          <cell r="AL179" t="str">
            <v>N/A</v>
          </cell>
          <cell r="AM179" t="str">
            <v>N/A</v>
          </cell>
          <cell r="AN179" t="str">
            <v>N/A</v>
          </cell>
          <cell r="AO179" t="str">
            <v>COMPLETED</v>
          </cell>
        </row>
        <row r="180">
          <cell r="A180" t="str">
            <v>24-1260</v>
          </cell>
          <cell r="B180" t="str">
            <v>SPAREPARTS (LIGHT VEHICLES)</v>
          </cell>
          <cell r="C180" t="str">
            <v>PGSO</v>
          </cell>
          <cell r="D180" t="str">
            <v>No</v>
          </cell>
          <cell r="E180" t="str">
            <v>Shopping 52.1(a) - Unforeseen Contingency</v>
          </cell>
          <cell r="F180" t="str">
            <v>N/A</v>
          </cell>
          <cell r="G180">
            <v>45352</v>
          </cell>
          <cell r="H180">
            <v>0</v>
          </cell>
          <cell r="I180" t="str">
            <v>N/A</v>
          </cell>
          <cell r="J180">
            <v>45370</v>
          </cell>
          <cell r="K180">
            <v>45370</v>
          </cell>
          <cell r="L180">
            <v>0</v>
          </cell>
          <cell r="M180" t="str">
            <v>N/A</v>
          </cell>
          <cell r="N180" t="str">
            <v>N/A</v>
          </cell>
          <cell r="O180">
            <v>45372</v>
          </cell>
          <cell r="P180">
            <v>0</v>
          </cell>
          <cell r="Q180">
            <v>0</v>
          </cell>
          <cell r="R180">
            <v>0</v>
          </cell>
          <cell r="S180" t="str">
            <v>N/A</v>
          </cell>
          <cell r="T180">
            <v>45405</v>
          </cell>
          <cell r="U180">
            <v>45407</v>
          </cell>
          <cell r="V180">
            <v>0</v>
          </cell>
          <cell r="W180">
            <v>0</v>
          </cell>
          <cell r="X180">
            <v>45407</v>
          </cell>
          <cell r="Y180">
            <v>45407</v>
          </cell>
          <cell r="Z180">
            <v>0</v>
          </cell>
          <cell r="AA180">
            <v>38230</v>
          </cell>
          <cell r="AB180">
            <v>38230</v>
          </cell>
          <cell r="AC180">
            <v>0</v>
          </cell>
          <cell r="AD180">
            <v>38230</v>
          </cell>
          <cell r="AE180">
            <v>38230</v>
          </cell>
          <cell r="AF180">
            <v>0</v>
          </cell>
          <cell r="AG180" t="str">
            <v>M</v>
          </cell>
          <cell r="AH180" t="str">
            <v>ENGR. MICHAEL C. SALARDA
MS. LEONARDA M. LATOR
MS. CARMENCITA VALDEZ
MS. SORAYA P. VERGARA</v>
          </cell>
          <cell r="AI180" t="str">
            <v>N/A</v>
          </cell>
          <cell r="AJ180" t="str">
            <v>N/A</v>
          </cell>
          <cell r="AK180" t="str">
            <v>N/A</v>
          </cell>
          <cell r="AL180" t="str">
            <v>N/A</v>
          </cell>
          <cell r="AM180" t="str">
            <v>N/A</v>
          </cell>
          <cell r="AN180" t="str">
            <v>N/A</v>
          </cell>
          <cell r="AO180" t="str">
            <v>COMPLETED</v>
          </cell>
        </row>
        <row r="181">
          <cell r="A181" t="str">
            <v>24-1263</v>
          </cell>
          <cell r="B181" t="str">
            <v>SPAREPARTS (LIGHT VEHICLES)</v>
          </cell>
          <cell r="C181" t="str">
            <v>PGSO</v>
          </cell>
          <cell r="D181" t="str">
            <v>No</v>
          </cell>
          <cell r="E181" t="str">
            <v>Shopping 52.1(a) - Unforeseen Contingency</v>
          </cell>
          <cell r="F181" t="str">
            <v>N/A</v>
          </cell>
          <cell r="G181">
            <v>45352</v>
          </cell>
          <cell r="H181">
            <v>0</v>
          </cell>
          <cell r="I181" t="str">
            <v>N/A</v>
          </cell>
          <cell r="J181">
            <v>45370</v>
          </cell>
          <cell r="K181">
            <v>45370</v>
          </cell>
          <cell r="L181">
            <v>0</v>
          </cell>
          <cell r="M181" t="str">
            <v>N/A</v>
          </cell>
          <cell r="N181" t="str">
            <v>N/A</v>
          </cell>
          <cell r="O181">
            <v>45372</v>
          </cell>
          <cell r="P181">
            <v>0</v>
          </cell>
          <cell r="Q181">
            <v>0</v>
          </cell>
          <cell r="R181">
            <v>0</v>
          </cell>
          <cell r="S181" t="str">
            <v>N/A</v>
          </cell>
          <cell r="T181">
            <v>45405</v>
          </cell>
          <cell r="U181">
            <v>45407</v>
          </cell>
          <cell r="V181">
            <v>0</v>
          </cell>
          <cell r="W181">
            <v>0</v>
          </cell>
          <cell r="X181">
            <v>45407</v>
          </cell>
          <cell r="Y181">
            <v>45407</v>
          </cell>
          <cell r="Z181">
            <v>0</v>
          </cell>
          <cell r="AA181">
            <v>49000</v>
          </cell>
          <cell r="AB181">
            <v>49000</v>
          </cell>
          <cell r="AC181">
            <v>0</v>
          </cell>
          <cell r="AD181">
            <v>49000</v>
          </cell>
          <cell r="AE181">
            <v>49000</v>
          </cell>
          <cell r="AF181">
            <v>0</v>
          </cell>
          <cell r="AG181" t="str">
            <v>M</v>
          </cell>
          <cell r="AH181" t="str">
            <v>ENGR. MICHAEL C. SALARDA
MS. LEONARDA M. LATOR
MS. CARMENCITA VALDEZ
MS. SORAYA P. VERGARA</v>
          </cell>
          <cell r="AI181" t="str">
            <v>N/A</v>
          </cell>
          <cell r="AJ181" t="str">
            <v>N/A</v>
          </cell>
          <cell r="AK181" t="str">
            <v>N/A</v>
          </cell>
          <cell r="AL181" t="str">
            <v>N/A</v>
          </cell>
          <cell r="AM181" t="str">
            <v>N/A</v>
          </cell>
          <cell r="AN181" t="str">
            <v>N/A</v>
          </cell>
          <cell r="AO181" t="str">
            <v>COMPLETED</v>
          </cell>
        </row>
        <row r="182">
          <cell r="A182" t="str">
            <v>24-1276</v>
          </cell>
          <cell r="B182" t="str">
            <v>SPAREPARTS (MOTORCYCLE)</v>
          </cell>
          <cell r="C182" t="str">
            <v>PGSO</v>
          </cell>
          <cell r="D182" t="str">
            <v>No</v>
          </cell>
          <cell r="E182" t="str">
            <v>Shopping 52.1(a) - Unforeseen Contingency</v>
          </cell>
          <cell r="F182" t="str">
            <v>N/A</v>
          </cell>
          <cell r="G182">
            <v>45352</v>
          </cell>
          <cell r="H182">
            <v>0</v>
          </cell>
          <cell r="I182" t="str">
            <v>N/A</v>
          </cell>
          <cell r="J182">
            <v>45370</v>
          </cell>
          <cell r="K182">
            <v>45370</v>
          </cell>
          <cell r="L182">
            <v>0</v>
          </cell>
          <cell r="M182" t="str">
            <v>N/A</v>
          </cell>
          <cell r="N182" t="str">
            <v>N/A</v>
          </cell>
          <cell r="O182">
            <v>45372</v>
          </cell>
          <cell r="P182">
            <v>0</v>
          </cell>
          <cell r="Q182">
            <v>0</v>
          </cell>
          <cell r="R182">
            <v>0</v>
          </cell>
          <cell r="S182" t="str">
            <v>N/A</v>
          </cell>
          <cell r="T182">
            <v>45405</v>
          </cell>
          <cell r="U182">
            <v>45408</v>
          </cell>
          <cell r="V182">
            <v>0</v>
          </cell>
          <cell r="W182">
            <v>0</v>
          </cell>
          <cell r="X182">
            <v>45408</v>
          </cell>
          <cell r="Y182">
            <v>45408</v>
          </cell>
          <cell r="Z182">
            <v>0</v>
          </cell>
          <cell r="AA182">
            <v>8650</v>
          </cell>
          <cell r="AB182">
            <v>8650</v>
          </cell>
          <cell r="AC182">
            <v>0</v>
          </cell>
          <cell r="AD182">
            <v>8650</v>
          </cell>
          <cell r="AE182">
            <v>8650</v>
          </cell>
          <cell r="AF182">
            <v>0</v>
          </cell>
          <cell r="AG182" t="str">
            <v>M</v>
          </cell>
          <cell r="AH182" t="str">
            <v>ENGR. MICHAEL C. SALARDA
MS. LEONARDA M. LATOR
MS. CARMENCITA VALDEZ
MS. SORAYA P. VERGARA</v>
          </cell>
          <cell r="AI182" t="str">
            <v>N/A</v>
          </cell>
          <cell r="AJ182" t="str">
            <v>N/A</v>
          </cell>
          <cell r="AK182" t="str">
            <v>N/A</v>
          </cell>
          <cell r="AL182" t="str">
            <v>N/A</v>
          </cell>
          <cell r="AM182" t="str">
            <v>N/A</v>
          </cell>
          <cell r="AN182" t="str">
            <v>N/A</v>
          </cell>
          <cell r="AO182" t="str">
            <v>COMPLETED</v>
          </cell>
        </row>
        <row r="183">
          <cell r="A183" t="str">
            <v>24-1271</v>
          </cell>
          <cell r="B183" t="str">
            <v>SPAREPARTS (MOTORCYCLE)</v>
          </cell>
          <cell r="C183" t="str">
            <v>PGSO</v>
          </cell>
          <cell r="D183" t="str">
            <v>No</v>
          </cell>
          <cell r="E183" t="str">
            <v>Shopping 52.1(a) - Unforeseen Contingency</v>
          </cell>
          <cell r="F183" t="str">
            <v>N/A</v>
          </cell>
          <cell r="G183">
            <v>45352</v>
          </cell>
          <cell r="H183">
            <v>0</v>
          </cell>
          <cell r="I183" t="str">
            <v>N/A</v>
          </cell>
          <cell r="J183">
            <v>45370</v>
          </cell>
          <cell r="K183">
            <v>45370</v>
          </cell>
          <cell r="L183">
            <v>0</v>
          </cell>
          <cell r="M183" t="str">
            <v>N/A</v>
          </cell>
          <cell r="N183" t="str">
            <v>N/A</v>
          </cell>
          <cell r="O183">
            <v>45372</v>
          </cell>
          <cell r="P183">
            <v>0</v>
          </cell>
          <cell r="Q183">
            <v>0</v>
          </cell>
          <cell r="R183">
            <v>0</v>
          </cell>
          <cell r="S183" t="str">
            <v>N/A</v>
          </cell>
          <cell r="T183">
            <v>45407</v>
          </cell>
          <cell r="U183">
            <v>45412</v>
          </cell>
          <cell r="V183">
            <v>0</v>
          </cell>
          <cell r="W183">
            <v>0</v>
          </cell>
          <cell r="X183">
            <v>45412</v>
          </cell>
          <cell r="Y183">
            <v>45412</v>
          </cell>
          <cell r="Z183">
            <v>0</v>
          </cell>
          <cell r="AA183">
            <v>3180</v>
          </cell>
          <cell r="AB183">
            <v>3180</v>
          </cell>
          <cell r="AC183">
            <v>0</v>
          </cell>
          <cell r="AD183">
            <v>3180</v>
          </cell>
          <cell r="AE183">
            <v>3180</v>
          </cell>
          <cell r="AF183">
            <v>0</v>
          </cell>
          <cell r="AG183" t="str">
            <v>M</v>
          </cell>
          <cell r="AH183" t="str">
            <v>ENGR. MICHAEL C. SALARDA
MS. LEONARDA M. LATOR
MS. CARMENCITA VALDEZ
MS. SORAYA P. VERGARA</v>
          </cell>
          <cell r="AI183" t="str">
            <v>N/A</v>
          </cell>
          <cell r="AJ183" t="str">
            <v>N/A</v>
          </cell>
          <cell r="AK183" t="str">
            <v>N/A</v>
          </cell>
          <cell r="AL183" t="str">
            <v>N/A</v>
          </cell>
          <cell r="AM183" t="str">
            <v>N/A</v>
          </cell>
          <cell r="AN183" t="str">
            <v>N/A</v>
          </cell>
          <cell r="AO183" t="str">
            <v>COMPLETED</v>
          </cell>
        </row>
        <row r="184">
          <cell r="A184" t="str">
            <v>24-1250</v>
          </cell>
          <cell r="B184" t="str">
            <v>SPAREPARTS (LIGHT VEHICLES)</v>
          </cell>
          <cell r="C184" t="str">
            <v>PGSO</v>
          </cell>
          <cell r="D184" t="str">
            <v>No</v>
          </cell>
          <cell r="E184" t="str">
            <v>Shopping 52.1(a) - Unforeseen Contingency</v>
          </cell>
          <cell r="F184" t="str">
            <v>N/A</v>
          </cell>
          <cell r="G184">
            <v>45352</v>
          </cell>
          <cell r="H184">
            <v>0</v>
          </cell>
          <cell r="I184" t="str">
            <v>N/A</v>
          </cell>
          <cell r="J184">
            <v>45370</v>
          </cell>
          <cell r="K184">
            <v>45370</v>
          </cell>
          <cell r="L184">
            <v>0</v>
          </cell>
          <cell r="M184" t="str">
            <v>N/A</v>
          </cell>
          <cell r="N184" t="str">
            <v>N/A</v>
          </cell>
          <cell r="O184">
            <v>45372</v>
          </cell>
          <cell r="P184">
            <v>0</v>
          </cell>
          <cell r="Q184">
            <v>0</v>
          </cell>
          <cell r="R184">
            <v>0</v>
          </cell>
          <cell r="S184" t="str">
            <v>N/A</v>
          </cell>
          <cell r="T184">
            <v>45407</v>
          </cell>
          <cell r="U184">
            <v>45411</v>
          </cell>
          <cell r="V184">
            <v>0</v>
          </cell>
          <cell r="W184">
            <v>0</v>
          </cell>
          <cell r="X184">
            <v>45411</v>
          </cell>
          <cell r="Y184">
            <v>45411</v>
          </cell>
          <cell r="Z184">
            <v>0</v>
          </cell>
          <cell r="AA184">
            <v>30750</v>
          </cell>
          <cell r="AB184">
            <v>30750</v>
          </cell>
          <cell r="AC184">
            <v>0</v>
          </cell>
          <cell r="AD184">
            <v>30750</v>
          </cell>
          <cell r="AE184">
            <v>30750</v>
          </cell>
          <cell r="AF184">
            <v>0</v>
          </cell>
          <cell r="AG184" t="str">
            <v>M</v>
          </cell>
          <cell r="AH184" t="str">
            <v>ENGR. MICHAEL C. SALARDA
MS. LEONARDA M. LATOR
MS. CARMENCITA VALDEZ
MS. SORAYA P. VERGARA</v>
          </cell>
          <cell r="AI184" t="str">
            <v>N/A</v>
          </cell>
          <cell r="AJ184" t="str">
            <v>N/A</v>
          </cell>
          <cell r="AK184" t="str">
            <v>N/A</v>
          </cell>
          <cell r="AL184" t="str">
            <v>N/A</v>
          </cell>
          <cell r="AM184" t="str">
            <v>N/A</v>
          </cell>
          <cell r="AN184" t="str">
            <v>N/A</v>
          </cell>
          <cell r="AO184" t="str">
            <v>COMPLETED</v>
          </cell>
        </row>
        <row r="185">
          <cell r="A185" t="str">
            <v>24-1253</v>
          </cell>
          <cell r="B185" t="str">
            <v>SPAREPARTS (LIGHT VEHICLES)</v>
          </cell>
          <cell r="C185" t="str">
            <v>PGSO</v>
          </cell>
          <cell r="D185" t="str">
            <v>No</v>
          </cell>
          <cell r="E185" t="str">
            <v>Shopping 52.1(a) - Unforeseen Contingency</v>
          </cell>
          <cell r="F185" t="str">
            <v>N/A</v>
          </cell>
          <cell r="G185">
            <v>45352</v>
          </cell>
          <cell r="H185">
            <v>0</v>
          </cell>
          <cell r="I185" t="str">
            <v>N/A</v>
          </cell>
          <cell r="J185">
            <v>45370</v>
          </cell>
          <cell r="K185">
            <v>45370</v>
          </cell>
          <cell r="L185">
            <v>0</v>
          </cell>
          <cell r="M185" t="str">
            <v>N/A</v>
          </cell>
          <cell r="N185" t="str">
            <v>N/A</v>
          </cell>
          <cell r="O185">
            <v>45372</v>
          </cell>
          <cell r="P185">
            <v>0</v>
          </cell>
          <cell r="Q185">
            <v>0</v>
          </cell>
          <cell r="R185">
            <v>0</v>
          </cell>
          <cell r="S185" t="str">
            <v>N/A</v>
          </cell>
          <cell r="T185">
            <v>45407</v>
          </cell>
          <cell r="U185">
            <v>45411</v>
          </cell>
          <cell r="V185">
            <v>0</v>
          </cell>
          <cell r="W185">
            <v>0</v>
          </cell>
          <cell r="X185">
            <v>45411</v>
          </cell>
          <cell r="Y185">
            <v>45411</v>
          </cell>
          <cell r="Z185">
            <v>0</v>
          </cell>
          <cell r="AA185">
            <v>28600</v>
          </cell>
          <cell r="AB185">
            <v>28600</v>
          </cell>
          <cell r="AC185">
            <v>0</v>
          </cell>
          <cell r="AD185">
            <v>28600</v>
          </cell>
          <cell r="AE185">
            <v>28600</v>
          </cell>
          <cell r="AF185">
            <v>0</v>
          </cell>
          <cell r="AG185" t="str">
            <v>M</v>
          </cell>
          <cell r="AH185" t="str">
            <v>ENGR. MICHAEL C. SALARDA
MS. LEONARDA M. LATOR
MS. CARMENCITA VALDEZ
MS. SORAYA P. VERGARA</v>
          </cell>
          <cell r="AI185" t="str">
            <v>N/A</v>
          </cell>
          <cell r="AJ185" t="str">
            <v>N/A</v>
          </cell>
          <cell r="AK185" t="str">
            <v>N/A</v>
          </cell>
          <cell r="AL185" t="str">
            <v>N/A</v>
          </cell>
          <cell r="AM185" t="str">
            <v>N/A</v>
          </cell>
          <cell r="AN185" t="str">
            <v>N/A</v>
          </cell>
          <cell r="AO185" t="str">
            <v>COMPLETED</v>
          </cell>
        </row>
        <row r="186">
          <cell r="A186" t="str">
            <v>24-1254</v>
          </cell>
          <cell r="B186" t="str">
            <v>SPAREPARTS (LIGHT VEHICLES)</v>
          </cell>
          <cell r="C186" t="str">
            <v>PGSO</v>
          </cell>
          <cell r="D186" t="str">
            <v>No</v>
          </cell>
          <cell r="E186" t="str">
            <v>Shopping 52.1(a) - Unforeseen Contingency</v>
          </cell>
          <cell r="F186" t="str">
            <v>N/A</v>
          </cell>
          <cell r="G186">
            <v>45352</v>
          </cell>
          <cell r="H186">
            <v>0</v>
          </cell>
          <cell r="I186" t="str">
            <v>N/A</v>
          </cell>
          <cell r="J186">
            <v>45370</v>
          </cell>
          <cell r="K186">
            <v>45370</v>
          </cell>
          <cell r="L186">
            <v>0</v>
          </cell>
          <cell r="M186" t="str">
            <v>N/A</v>
          </cell>
          <cell r="N186" t="str">
            <v>N/A</v>
          </cell>
          <cell r="O186">
            <v>45372</v>
          </cell>
          <cell r="P186">
            <v>0</v>
          </cell>
          <cell r="Q186">
            <v>0</v>
          </cell>
          <cell r="R186">
            <v>0</v>
          </cell>
          <cell r="S186" t="str">
            <v>N/A</v>
          </cell>
          <cell r="T186">
            <v>45407</v>
          </cell>
          <cell r="U186">
            <v>45411</v>
          </cell>
          <cell r="V186">
            <v>0</v>
          </cell>
          <cell r="W186">
            <v>0</v>
          </cell>
          <cell r="X186">
            <v>45411</v>
          </cell>
          <cell r="Y186">
            <v>45411</v>
          </cell>
          <cell r="Z186">
            <v>0</v>
          </cell>
          <cell r="AA186">
            <v>10000</v>
          </cell>
          <cell r="AB186">
            <v>10000</v>
          </cell>
          <cell r="AC186">
            <v>0</v>
          </cell>
          <cell r="AD186">
            <v>10000</v>
          </cell>
          <cell r="AE186">
            <v>10000</v>
          </cell>
          <cell r="AF186">
            <v>0</v>
          </cell>
          <cell r="AG186" t="str">
            <v>M</v>
          </cell>
          <cell r="AH186" t="str">
            <v>ENGR. MICHAEL C. SALARDA
MS. LEONARDA M. LATOR
MS. CARMENCITA VALDEZ
MS. SORAYA P. VERGARA</v>
          </cell>
          <cell r="AI186" t="str">
            <v>N/A</v>
          </cell>
          <cell r="AJ186" t="str">
            <v>N/A</v>
          </cell>
          <cell r="AK186" t="str">
            <v>N/A</v>
          </cell>
          <cell r="AL186" t="str">
            <v>N/A</v>
          </cell>
          <cell r="AM186" t="str">
            <v>N/A</v>
          </cell>
          <cell r="AN186" t="str">
            <v>N/A</v>
          </cell>
          <cell r="AO186" t="str">
            <v>COMPLETED</v>
          </cell>
        </row>
        <row r="187">
          <cell r="A187" t="str">
            <v>24-1283</v>
          </cell>
          <cell r="B187" t="str">
            <v>SPAREPARTS (MOTORCYCLE)</v>
          </cell>
          <cell r="C187" t="str">
            <v>PGSO</v>
          </cell>
          <cell r="D187" t="str">
            <v>No</v>
          </cell>
          <cell r="E187" t="str">
            <v>Shopping 52.1(a) - Unforeseen Contingency</v>
          </cell>
          <cell r="F187" t="str">
            <v>N/A</v>
          </cell>
          <cell r="G187">
            <v>45352</v>
          </cell>
          <cell r="H187">
            <v>0</v>
          </cell>
          <cell r="I187" t="str">
            <v>N/A</v>
          </cell>
          <cell r="J187">
            <v>45370</v>
          </cell>
          <cell r="K187">
            <v>45370</v>
          </cell>
          <cell r="L187">
            <v>0</v>
          </cell>
          <cell r="M187" t="str">
            <v>N/A</v>
          </cell>
          <cell r="N187" t="str">
            <v>N/A</v>
          </cell>
          <cell r="O187">
            <v>45372</v>
          </cell>
          <cell r="P187">
            <v>0</v>
          </cell>
          <cell r="Q187">
            <v>0</v>
          </cell>
          <cell r="R187">
            <v>0</v>
          </cell>
          <cell r="S187" t="str">
            <v>N/A</v>
          </cell>
          <cell r="T187">
            <v>45405</v>
          </cell>
          <cell r="U187">
            <v>45408</v>
          </cell>
          <cell r="V187">
            <v>0</v>
          </cell>
          <cell r="W187">
            <v>0</v>
          </cell>
          <cell r="X187">
            <v>45408</v>
          </cell>
          <cell r="Y187">
            <v>45408</v>
          </cell>
          <cell r="Z187">
            <v>0</v>
          </cell>
          <cell r="AA187">
            <v>10500</v>
          </cell>
          <cell r="AB187">
            <v>10500</v>
          </cell>
          <cell r="AC187">
            <v>0</v>
          </cell>
          <cell r="AD187">
            <v>10500</v>
          </cell>
          <cell r="AE187">
            <v>10500</v>
          </cell>
          <cell r="AF187">
            <v>0</v>
          </cell>
          <cell r="AG187" t="str">
            <v>M</v>
          </cell>
          <cell r="AH187" t="str">
            <v>ENGR. MICHAEL C. SALARDA
MS. LEONARDA M. LATOR
MS. CARMENCITA VALDEZ
MS. SORAYA P. VERGARA</v>
          </cell>
          <cell r="AI187" t="str">
            <v>N/A</v>
          </cell>
          <cell r="AJ187" t="str">
            <v>N/A</v>
          </cell>
          <cell r="AK187" t="str">
            <v>N/A</v>
          </cell>
          <cell r="AL187" t="str">
            <v>N/A</v>
          </cell>
          <cell r="AM187" t="str">
            <v>N/A</v>
          </cell>
          <cell r="AN187" t="str">
            <v>N/A</v>
          </cell>
          <cell r="AO187" t="str">
            <v>COMPLETED</v>
          </cell>
        </row>
        <row r="188">
          <cell r="A188" t="str">
            <v>24-1294</v>
          </cell>
          <cell r="B188" t="str">
            <v>SPAREPARTS (MOTORCYCLE)</v>
          </cell>
          <cell r="C188" t="str">
            <v>PGSO</v>
          </cell>
          <cell r="D188" t="str">
            <v>No</v>
          </cell>
          <cell r="E188" t="str">
            <v>Shopping 52.1(a) - Unforeseen Contingency</v>
          </cell>
          <cell r="F188" t="str">
            <v>N/A</v>
          </cell>
          <cell r="G188">
            <v>45352</v>
          </cell>
          <cell r="H188">
            <v>0</v>
          </cell>
          <cell r="I188" t="str">
            <v>N/A</v>
          </cell>
          <cell r="J188">
            <v>45370</v>
          </cell>
          <cell r="K188">
            <v>45370</v>
          </cell>
          <cell r="L188">
            <v>0</v>
          </cell>
          <cell r="M188" t="str">
            <v>N/A</v>
          </cell>
          <cell r="N188" t="str">
            <v>N/A</v>
          </cell>
          <cell r="O188">
            <v>45372</v>
          </cell>
          <cell r="P188">
            <v>0</v>
          </cell>
          <cell r="Q188">
            <v>0</v>
          </cell>
          <cell r="R188">
            <v>0</v>
          </cell>
          <cell r="S188" t="str">
            <v>N/A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14985</v>
          </cell>
          <cell r="AB188">
            <v>14985</v>
          </cell>
          <cell r="AC188">
            <v>0</v>
          </cell>
          <cell r="AD188">
            <v>14985</v>
          </cell>
          <cell r="AE188">
            <v>14985</v>
          </cell>
          <cell r="AF188">
            <v>0</v>
          </cell>
          <cell r="AG188" t="e">
            <v>#N/A</v>
          </cell>
          <cell r="AH188" t="str">
            <v>ENGR. MICHAEL C. SALARDA
MS. LEONARDA M. LATOR
MS. CARMENCITA VALDEZ
MS. SORAYA P. VERGARA</v>
          </cell>
          <cell r="AI188" t="str">
            <v>N/A</v>
          </cell>
          <cell r="AJ188" t="str">
            <v>N/A</v>
          </cell>
          <cell r="AK188" t="str">
            <v>N/A</v>
          </cell>
          <cell r="AL188" t="str">
            <v>N/A</v>
          </cell>
          <cell r="AM188" t="str">
            <v>N/A</v>
          </cell>
          <cell r="AN188" t="str">
            <v>N/A</v>
          </cell>
          <cell r="AO188">
            <v>0</v>
          </cell>
        </row>
        <row r="189">
          <cell r="A189" t="str">
            <v>24-1205</v>
          </cell>
          <cell r="B189" t="str">
            <v>SPAREPARTS (MOTORCYCLE)</v>
          </cell>
          <cell r="C189" t="str">
            <v>PGSO</v>
          </cell>
          <cell r="D189" t="str">
            <v>No</v>
          </cell>
          <cell r="E189" t="str">
            <v>Shopping 52.1(a) - Unforeseen Contingency</v>
          </cell>
          <cell r="F189" t="str">
            <v>N/A</v>
          </cell>
          <cell r="G189">
            <v>45352</v>
          </cell>
          <cell r="H189">
            <v>0</v>
          </cell>
          <cell r="I189" t="str">
            <v>N/A</v>
          </cell>
          <cell r="J189">
            <v>45370</v>
          </cell>
          <cell r="K189">
            <v>45370</v>
          </cell>
          <cell r="L189">
            <v>0</v>
          </cell>
          <cell r="M189" t="str">
            <v>N/A</v>
          </cell>
          <cell r="N189" t="str">
            <v>N/A</v>
          </cell>
          <cell r="O189">
            <v>45372</v>
          </cell>
          <cell r="P189">
            <v>0</v>
          </cell>
          <cell r="Q189">
            <v>0</v>
          </cell>
          <cell r="R189">
            <v>0</v>
          </cell>
          <cell r="S189" t="str">
            <v>N/A</v>
          </cell>
          <cell r="T189">
            <v>45407</v>
          </cell>
          <cell r="U189">
            <v>45412</v>
          </cell>
          <cell r="V189">
            <v>0</v>
          </cell>
          <cell r="W189">
            <v>0</v>
          </cell>
          <cell r="X189">
            <v>45412</v>
          </cell>
          <cell r="Y189">
            <v>45412</v>
          </cell>
          <cell r="Z189">
            <v>0</v>
          </cell>
          <cell r="AA189">
            <v>12300</v>
          </cell>
          <cell r="AB189">
            <v>12300</v>
          </cell>
          <cell r="AC189">
            <v>0</v>
          </cell>
          <cell r="AD189">
            <v>12300</v>
          </cell>
          <cell r="AE189">
            <v>12300</v>
          </cell>
          <cell r="AF189">
            <v>0</v>
          </cell>
          <cell r="AG189" t="str">
            <v>M</v>
          </cell>
          <cell r="AH189" t="str">
            <v>ENGR. MICHAEL C. SALARDA
MS. LEONARDA M. LATOR
MS. CARMENCITA VALDEZ
MS. SORAYA P. VERGARA</v>
          </cell>
          <cell r="AI189" t="str">
            <v>N/A</v>
          </cell>
          <cell r="AJ189" t="str">
            <v>N/A</v>
          </cell>
          <cell r="AK189" t="str">
            <v>N/A</v>
          </cell>
          <cell r="AL189" t="str">
            <v>N/A</v>
          </cell>
          <cell r="AM189" t="str">
            <v>N/A</v>
          </cell>
          <cell r="AN189" t="str">
            <v>N/A</v>
          </cell>
          <cell r="AO189" t="str">
            <v>COMPLETED</v>
          </cell>
        </row>
        <row r="190">
          <cell r="A190" t="str">
            <v>24-1201</v>
          </cell>
          <cell r="B190" t="str">
            <v>SPAREPARTS (LIGHT VEHICLES)</v>
          </cell>
          <cell r="C190" t="str">
            <v>PGSO</v>
          </cell>
          <cell r="D190" t="str">
            <v>No</v>
          </cell>
          <cell r="E190" t="str">
            <v>Shopping 52.1(a) - Unforeseen Contingency</v>
          </cell>
          <cell r="F190" t="str">
            <v>N/A</v>
          </cell>
          <cell r="G190">
            <v>45352</v>
          </cell>
          <cell r="H190">
            <v>0</v>
          </cell>
          <cell r="I190" t="str">
            <v>N/A</v>
          </cell>
          <cell r="J190">
            <v>45370</v>
          </cell>
          <cell r="K190">
            <v>45370</v>
          </cell>
          <cell r="L190">
            <v>0</v>
          </cell>
          <cell r="M190" t="str">
            <v>N/A</v>
          </cell>
          <cell r="N190" t="str">
            <v>N/A</v>
          </cell>
          <cell r="O190">
            <v>45372</v>
          </cell>
          <cell r="P190">
            <v>0</v>
          </cell>
          <cell r="Q190">
            <v>0</v>
          </cell>
          <cell r="R190">
            <v>0</v>
          </cell>
          <cell r="S190" t="str">
            <v>N/A</v>
          </cell>
          <cell r="T190">
            <v>45405</v>
          </cell>
          <cell r="U190">
            <v>45407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11000</v>
          </cell>
          <cell r="AB190">
            <v>11000</v>
          </cell>
          <cell r="AC190">
            <v>0</v>
          </cell>
          <cell r="AD190">
            <v>11000</v>
          </cell>
          <cell r="AE190">
            <v>11000</v>
          </cell>
          <cell r="AF190">
            <v>0</v>
          </cell>
          <cell r="AG190" t="str">
            <v>M</v>
          </cell>
          <cell r="AH190" t="str">
            <v>ENGR. MICHAEL C. SALARDA
MS. LEONARDA M. LATOR
MS. CARMENCITA VALDEZ
MS. SORAYA P. VERGARA</v>
          </cell>
          <cell r="AI190" t="str">
            <v>N/A</v>
          </cell>
          <cell r="AJ190" t="str">
            <v>N/A</v>
          </cell>
          <cell r="AK190" t="str">
            <v>N/A</v>
          </cell>
          <cell r="AL190" t="str">
            <v>N/A</v>
          </cell>
          <cell r="AM190" t="str">
            <v>N/A</v>
          </cell>
          <cell r="AN190" t="str">
            <v>N/A</v>
          </cell>
          <cell r="AO190">
            <v>0</v>
          </cell>
        </row>
        <row r="191">
          <cell r="A191" t="str">
            <v>24-1172</v>
          </cell>
          <cell r="B191" t="str">
            <v>SPAREPARTS (LIGHT VEHICLES)</v>
          </cell>
          <cell r="C191" t="str">
            <v>PGSO</v>
          </cell>
          <cell r="D191" t="str">
            <v>No</v>
          </cell>
          <cell r="E191" t="str">
            <v>Shopping 52.1(a) - Unforeseen Contingency</v>
          </cell>
          <cell r="F191" t="str">
            <v>N/A</v>
          </cell>
          <cell r="G191">
            <v>45352</v>
          </cell>
          <cell r="H191">
            <v>0</v>
          </cell>
          <cell r="I191" t="str">
            <v>N/A</v>
          </cell>
          <cell r="J191">
            <v>45370</v>
          </cell>
          <cell r="K191">
            <v>45370</v>
          </cell>
          <cell r="L191">
            <v>0</v>
          </cell>
          <cell r="M191" t="str">
            <v>N/A</v>
          </cell>
          <cell r="N191" t="str">
            <v>N/A</v>
          </cell>
          <cell r="O191">
            <v>45372</v>
          </cell>
          <cell r="P191">
            <v>0</v>
          </cell>
          <cell r="Q191">
            <v>0</v>
          </cell>
          <cell r="R191">
            <v>0</v>
          </cell>
          <cell r="S191" t="str">
            <v>N/A</v>
          </cell>
          <cell r="T191">
            <v>45405</v>
          </cell>
          <cell r="U191">
            <v>45407</v>
          </cell>
          <cell r="V191">
            <v>0</v>
          </cell>
          <cell r="W191">
            <v>0</v>
          </cell>
          <cell r="X191">
            <v>45407</v>
          </cell>
          <cell r="Y191">
            <v>45407</v>
          </cell>
          <cell r="Z191">
            <v>0</v>
          </cell>
          <cell r="AA191">
            <v>14800</v>
          </cell>
          <cell r="AB191">
            <v>14800</v>
          </cell>
          <cell r="AC191">
            <v>0</v>
          </cell>
          <cell r="AD191">
            <v>14800</v>
          </cell>
          <cell r="AE191">
            <v>14800</v>
          </cell>
          <cell r="AF191">
            <v>0</v>
          </cell>
          <cell r="AG191" t="str">
            <v>M</v>
          </cell>
          <cell r="AH191" t="str">
            <v>ENGR. MICHAEL C. SALARDA
MS. LEONARDA M. LATOR
MS. CARMENCITA VALDEZ
MS. SORAYA P. VERGARA</v>
          </cell>
          <cell r="AI191" t="str">
            <v>N/A</v>
          </cell>
          <cell r="AJ191" t="str">
            <v>N/A</v>
          </cell>
          <cell r="AK191" t="str">
            <v>N/A</v>
          </cell>
          <cell r="AL191" t="str">
            <v>N/A</v>
          </cell>
          <cell r="AM191" t="str">
            <v>N/A</v>
          </cell>
          <cell r="AN191" t="str">
            <v>N/A</v>
          </cell>
          <cell r="AO191" t="str">
            <v>COMPLETED</v>
          </cell>
        </row>
        <row r="192">
          <cell r="A192" t="str">
            <v>24-1202</v>
          </cell>
          <cell r="B192" t="str">
            <v>SPAREPARTS (LIGHT VEHICLES)</v>
          </cell>
          <cell r="C192" t="str">
            <v>PGSO</v>
          </cell>
          <cell r="D192" t="str">
            <v>No</v>
          </cell>
          <cell r="E192" t="str">
            <v>Shopping 52.1(a) - Unforeseen Contingency</v>
          </cell>
          <cell r="F192" t="str">
            <v>N/A</v>
          </cell>
          <cell r="G192">
            <v>45352</v>
          </cell>
          <cell r="H192">
            <v>0</v>
          </cell>
          <cell r="I192" t="str">
            <v>N/A</v>
          </cell>
          <cell r="J192">
            <v>45370</v>
          </cell>
          <cell r="K192">
            <v>45370</v>
          </cell>
          <cell r="L192">
            <v>0</v>
          </cell>
          <cell r="M192" t="str">
            <v>N/A</v>
          </cell>
          <cell r="N192" t="str">
            <v>N/A</v>
          </cell>
          <cell r="O192">
            <v>45372</v>
          </cell>
          <cell r="P192">
            <v>0</v>
          </cell>
          <cell r="Q192">
            <v>0</v>
          </cell>
          <cell r="R192">
            <v>0</v>
          </cell>
          <cell r="S192" t="str">
            <v>N/A</v>
          </cell>
          <cell r="T192">
            <v>45405</v>
          </cell>
          <cell r="U192">
            <v>45407</v>
          </cell>
          <cell r="V192">
            <v>0</v>
          </cell>
          <cell r="W192">
            <v>0</v>
          </cell>
          <cell r="X192">
            <v>45407</v>
          </cell>
          <cell r="Y192">
            <v>45407</v>
          </cell>
          <cell r="Z192">
            <v>0</v>
          </cell>
          <cell r="AA192">
            <v>50400</v>
          </cell>
          <cell r="AB192">
            <v>50400</v>
          </cell>
          <cell r="AC192">
            <v>0</v>
          </cell>
          <cell r="AD192">
            <v>50400</v>
          </cell>
          <cell r="AE192">
            <v>50400</v>
          </cell>
          <cell r="AF192">
            <v>0</v>
          </cell>
          <cell r="AG192" t="str">
            <v>M</v>
          </cell>
          <cell r="AH192" t="str">
            <v>ENGR. MICHAEL C. SALARDA
MS. LEONARDA M. LATOR
MS. CARMENCITA VALDEZ
MS. SORAYA P. VERGARA</v>
          </cell>
          <cell r="AI192" t="str">
            <v>N/A</v>
          </cell>
          <cell r="AJ192" t="str">
            <v>N/A</v>
          </cell>
          <cell r="AK192" t="str">
            <v>N/A</v>
          </cell>
          <cell r="AL192" t="str">
            <v>N/A</v>
          </cell>
          <cell r="AM192" t="str">
            <v>N/A</v>
          </cell>
          <cell r="AN192" t="str">
            <v>N/A</v>
          </cell>
          <cell r="AO192" t="str">
            <v>COMPLETED</v>
          </cell>
        </row>
        <row r="193">
          <cell r="A193" t="str">
            <v>24-1197</v>
          </cell>
          <cell r="B193" t="str">
            <v>SPAREPARTS (LIGHT VEHICLES)</v>
          </cell>
          <cell r="C193" t="str">
            <v>PGSO</v>
          </cell>
          <cell r="D193" t="str">
            <v>No</v>
          </cell>
          <cell r="E193" t="str">
            <v>Shopping 52.1(a) - Unforeseen Contingency</v>
          </cell>
          <cell r="F193" t="str">
            <v>N/A</v>
          </cell>
          <cell r="G193">
            <v>45352</v>
          </cell>
          <cell r="H193">
            <v>0</v>
          </cell>
          <cell r="I193" t="str">
            <v>N/A</v>
          </cell>
          <cell r="J193">
            <v>45370</v>
          </cell>
          <cell r="K193">
            <v>45370</v>
          </cell>
          <cell r="L193">
            <v>0</v>
          </cell>
          <cell r="M193" t="str">
            <v>N/A</v>
          </cell>
          <cell r="N193" t="str">
            <v>N/A</v>
          </cell>
          <cell r="O193">
            <v>45372</v>
          </cell>
          <cell r="P193">
            <v>0</v>
          </cell>
          <cell r="Q193">
            <v>0</v>
          </cell>
          <cell r="R193">
            <v>0</v>
          </cell>
          <cell r="S193" t="str">
            <v>N/A</v>
          </cell>
          <cell r="T193">
            <v>45405</v>
          </cell>
          <cell r="U193">
            <v>45407</v>
          </cell>
          <cell r="V193">
            <v>0</v>
          </cell>
          <cell r="W193">
            <v>0</v>
          </cell>
          <cell r="X193">
            <v>45407</v>
          </cell>
          <cell r="Y193">
            <v>45407</v>
          </cell>
          <cell r="Z193">
            <v>0</v>
          </cell>
          <cell r="AA193">
            <v>40000</v>
          </cell>
          <cell r="AB193">
            <v>40000</v>
          </cell>
          <cell r="AC193">
            <v>0</v>
          </cell>
          <cell r="AD193">
            <v>40000</v>
          </cell>
          <cell r="AE193">
            <v>40000</v>
          </cell>
          <cell r="AF193">
            <v>0</v>
          </cell>
          <cell r="AG193" t="str">
            <v>M</v>
          </cell>
          <cell r="AH193" t="str">
            <v>ENGR. MICHAEL C. SALARDA
MS. LEONARDA M. LATOR
MS. CARMENCITA VALDEZ
MS. SORAYA P. VERGARA</v>
          </cell>
          <cell r="AI193" t="str">
            <v>N/A</v>
          </cell>
          <cell r="AJ193" t="str">
            <v>N/A</v>
          </cell>
          <cell r="AK193" t="str">
            <v>N/A</v>
          </cell>
          <cell r="AL193" t="str">
            <v>N/A</v>
          </cell>
          <cell r="AM193" t="str">
            <v>N/A</v>
          </cell>
          <cell r="AN193" t="str">
            <v>N/A</v>
          </cell>
          <cell r="AO193" t="str">
            <v>COMPLETED</v>
          </cell>
        </row>
        <row r="194">
          <cell r="A194" t="str">
            <v>24-1204</v>
          </cell>
          <cell r="B194" t="str">
            <v>SPAREPARTS (LIGHT VEHICLES)</v>
          </cell>
          <cell r="C194" t="str">
            <v>PGSO</v>
          </cell>
          <cell r="D194" t="str">
            <v>No</v>
          </cell>
          <cell r="E194" t="str">
            <v>Shopping 52.1(a) - Unforeseen Contingency</v>
          </cell>
          <cell r="F194" t="str">
            <v>N/A</v>
          </cell>
          <cell r="G194">
            <v>45352</v>
          </cell>
          <cell r="H194">
            <v>0</v>
          </cell>
          <cell r="I194" t="str">
            <v>N/A</v>
          </cell>
          <cell r="J194">
            <v>45370</v>
          </cell>
          <cell r="K194">
            <v>45370</v>
          </cell>
          <cell r="L194">
            <v>0</v>
          </cell>
          <cell r="M194" t="str">
            <v>N/A</v>
          </cell>
          <cell r="N194" t="str">
            <v>N/A</v>
          </cell>
          <cell r="O194">
            <v>45372</v>
          </cell>
          <cell r="P194">
            <v>0</v>
          </cell>
          <cell r="Q194">
            <v>0</v>
          </cell>
          <cell r="R194">
            <v>0</v>
          </cell>
          <cell r="S194" t="str">
            <v>N/A</v>
          </cell>
          <cell r="T194">
            <v>45405</v>
          </cell>
          <cell r="U194">
            <v>45407</v>
          </cell>
          <cell r="V194">
            <v>0</v>
          </cell>
          <cell r="W194">
            <v>0</v>
          </cell>
          <cell r="X194">
            <v>45407</v>
          </cell>
          <cell r="Y194">
            <v>45407</v>
          </cell>
          <cell r="Z194">
            <v>0</v>
          </cell>
          <cell r="AA194">
            <v>2200</v>
          </cell>
          <cell r="AB194">
            <v>2200</v>
          </cell>
          <cell r="AC194">
            <v>0</v>
          </cell>
          <cell r="AD194">
            <v>2200</v>
          </cell>
          <cell r="AE194">
            <v>2200</v>
          </cell>
          <cell r="AF194">
            <v>0</v>
          </cell>
          <cell r="AG194" t="str">
            <v>M</v>
          </cell>
          <cell r="AH194" t="str">
            <v>ENGR. MICHAEL C. SALARDA
MS. LEONARDA M. LATOR
MS. CARMENCITA VALDEZ
MS. SORAYA P. VERGARA</v>
          </cell>
          <cell r="AI194" t="str">
            <v>N/A</v>
          </cell>
          <cell r="AJ194" t="str">
            <v>N/A</v>
          </cell>
          <cell r="AK194" t="str">
            <v>N/A</v>
          </cell>
          <cell r="AL194" t="str">
            <v>N/A</v>
          </cell>
          <cell r="AM194" t="str">
            <v>N/A</v>
          </cell>
          <cell r="AN194" t="str">
            <v>N/A</v>
          </cell>
          <cell r="AO194" t="str">
            <v>COMPLETED</v>
          </cell>
        </row>
        <row r="195">
          <cell r="A195" t="str">
            <v>24-1180</v>
          </cell>
          <cell r="B195" t="str">
            <v>SPAREPARTS (LIGHT VEHICLES)</v>
          </cell>
          <cell r="C195" t="str">
            <v>PGSO</v>
          </cell>
          <cell r="D195" t="str">
            <v>No</v>
          </cell>
          <cell r="E195" t="str">
            <v>Shopping 52.1(a) - Unforeseen Contingency</v>
          </cell>
          <cell r="F195" t="str">
            <v>N/A</v>
          </cell>
          <cell r="G195">
            <v>45352</v>
          </cell>
          <cell r="H195">
            <v>0</v>
          </cell>
          <cell r="I195" t="str">
            <v>N/A</v>
          </cell>
          <cell r="J195">
            <v>45370</v>
          </cell>
          <cell r="K195">
            <v>45370</v>
          </cell>
          <cell r="L195">
            <v>0</v>
          </cell>
          <cell r="M195" t="str">
            <v>N/A</v>
          </cell>
          <cell r="N195" t="str">
            <v>N/A</v>
          </cell>
          <cell r="O195">
            <v>45372</v>
          </cell>
          <cell r="P195">
            <v>0</v>
          </cell>
          <cell r="Q195">
            <v>0</v>
          </cell>
          <cell r="R195">
            <v>0</v>
          </cell>
          <cell r="S195" t="str">
            <v>N/A</v>
          </cell>
          <cell r="T195">
            <v>45405</v>
          </cell>
          <cell r="U195">
            <v>45407</v>
          </cell>
          <cell r="V195">
            <v>0</v>
          </cell>
          <cell r="W195">
            <v>0</v>
          </cell>
          <cell r="X195">
            <v>45407</v>
          </cell>
          <cell r="Y195">
            <v>45407</v>
          </cell>
          <cell r="Z195">
            <v>0</v>
          </cell>
          <cell r="AA195">
            <v>10300</v>
          </cell>
          <cell r="AB195">
            <v>10300</v>
          </cell>
          <cell r="AC195">
            <v>0</v>
          </cell>
          <cell r="AD195">
            <v>10300</v>
          </cell>
          <cell r="AE195">
            <v>10300</v>
          </cell>
          <cell r="AF195">
            <v>0</v>
          </cell>
          <cell r="AG195" t="str">
            <v>M</v>
          </cell>
          <cell r="AH195" t="str">
            <v>ENGR. MICHAEL C. SALARDA
MS. LEONARDA M. LATOR
MS. CARMENCITA VALDEZ
MS. SORAYA P. VERGARA</v>
          </cell>
          <cell r="AI195" t="str">
            <v>N/A</v>
          </cell>
          <cell r="AJ195" t="str">
            <v>N/A</v>
          </cell>
          <cell r="AK195" t="str">
            <v>N/A</v>
          </cell>
          <cell r="AL195" t="str">
            <v>N/A</v>
          </cell>
          <cell r="AM195" t="str">
            <v>N/A</v>
          </cell>
          <cell r="AN195" t="str">
            <v>N/A</v>
          </cell>
          <cell r="AO195" t="str">
            <v>COMPLETED</v>
          </cell>
        </row>
        <row r="196">
          <cell r="A196" t="str">
            <v>24-1190</v>
          </cell>
          <cell r="B196" t="str">
            <v>SPAREPARTS (LIGHT VEHICLES)</v>
          </cell>
          <cell r="C196" t="str">
            <v>PGSO</v>
          </cell>
          <cell r="D196" t="str">
            <v>No</v>
          </cell>
          <cell r="E196" t="str">
            <v>Shopping 52.1(a) - Unforeseen Contingency</v>
          </cell>
          <cell r="F196" t="str">
            <v>N/A</v>
          </cell>
          <cell r="G196">
            <v>45352</v>
          </cell>
          <cell r="H196">
            <v>0</v>
          </cell>
          <cell r="I196" t="str">
            <v>N/A</v>
          </cell>
          <cell r="J196">
            <v>45370</v>
          </cell>
          <cell r="K196">
            <v>45370</v>
          </cell>
          <cell r="L196">
            <v>0</v>
          </cell>
          <cell r="M196" t="str">
            <v>N/A</v>
          </cell>
          <cell r="N196" t="str">
            <v>N/A</v>
          </cell>
          <cell r="O196">
            <v>45372</v>
          </cell>
          <cell r="P196">
            <v>0</v>
          </cell>
          <cell r="Q196">
            <v>0</v>
          </cell>
          <cell r="R196">
            <v>0</v>
          </cell>
          <cell r="S196" t="str">
            <v>N/A</v>
          </cell>
          <cell r="T196">
            <v>45407</v>
          </cell>
          <cell r="U196">
            <v>45411</v>
          </cell>
          <cell r="V196">
            <v>0</v>
          </cell>
          <cell r="W196">
            <v>0</v>
          </cell>
          <cell r="X196">
            <v>45411</v>
          </cell>
          <cell r="Y196">
            <v>45411</v>
          </cell>
          <cell r="Z196">
            <v>0</v>
          </cell>
          <cell r="AA196">
            <v>12900</v>
          </cell>
          <cell r="AB196">
            <v>12900</v>
          </cell>
          <cell r="AC196">
            <v>0</v>
          </cell>
          <cell r="AD196">
            <v>12900</v>
          </cell>
          <cell r="AE196">
            <v>12900</v>
          </cell>
          <cell r="AF196">
            <v>0</v>
          </cell>
          <cell r="AG196" t="str">
            <v>M</v>
          </cell>
          <cell r="AH196" t="str">
            <v>ENGR. MICHAEL C. SALARDA
MS. LEONARDA M. LATOR
MS. CARMENCITA VALDEZ
MS. SORAYA P. VERGARA</v>
          </cell>
          <cell r="AI196" t="str">
            <v>N/A</v>
          </cell>
          <cell r="AJ196" t="str">
            <v>N/A</v>
          </cell>
          <cell r="AK196" t="str">
            <v>N/A</v>
          </cell>
          <cell r="AL196" t="str">
            <v>N/A</v>
          </cell>
          <cell r="AM196" t="str">
            <v>N/A</v>
          </cell>
          <cell r="AN196" t="str">
            <v>N/A</v>
          </cell>
          <cell r="AO196" t="str">
            <v>COMPLETED</v>
          </cell>
        </row>
        <row r="197">
          <cell r="A197" t="str">
            <v>24-1198</v>
          </cell>
          <cell r="B197" t="str">
            <v>SPAREPARTS (LIGHT VEHICLES)</v>
          </cell>
          <cell r="C197" t="str">
            <v>PGSO</v>
          </cell>
          <cell r="D197" t="str">
            <v>No</v>
          </cell>
          <cell r="E197" t="str">
            <v>Shopping 52.1(a) - Unforeseen Contingency</v>
          </cell>
          <cell r="F197" t="str">
            <v>N/A</v>
          </cell>
          <cell r="G197">
            <v>45352</v>
          </cell>
          <cell r="H197">
            <v>0</v>
          </cell>
          <cell r="I197" t="str">
            <v>N/A</v>
          </cell>
          <cell r="J197">
            <v>45370</v>
          </cell>
          <cell r="K197">
            <v>45370</v>
          </cell>
          <cell r="L197">
            <v>0</v>
          </cell>
          <cell r="M197" t="str">
            <v>N/A</v>
          </cell>
          <cell r="N197" t="str">
            <v>N/A</v>
          </cell>
          <cell r="O197">
            <v>45372</v>
          </cell>
          <cell r="P197">
            <v>0</v>
          </cell>
          <cell r="Q197">
            <v>0</v>
          </cell>
          <cell r="R197">
            <v>0</v>
          </cell>
          <cell r="S197" t="str">
            <v>N/A</v>
          </cell>
          <cell r="T197">
            <v>45405</v>
          </cell>
          <cell r="U197">
            <v>45407</v>
          </cell>
          <cell r="V197">
            <v>0</v>
          </cell>
          <cell r="W197">
            <v>0</v>
          </cell>
          <cell r="X197">
            <v>45407</v>
          </cell>
          <cell r="Y197">
            <v>45407</v>
          </cell>
          <cell r="Z197">
            <v>0</v>
          </cell>
          <cell r="AA197">
            <v>8950</v>
          </cell>
          <cell r="AB197">
            <v>8950</v>
          </cell>
          <cell r="AC197">
            <v>0</v>
          </cell>
          <cell r="AD197">
            <v>8950</v>
          </cell>
          <cell r="AE197">
            <v>8950</v>
          </cell>
          <cell r="AF197">
            <v>0</v>
          </cell>
          <cell r="AG197" t="str">
            <v>M</v>
          </cell>
          <cell r="AH197" t="str">
            <v>ENGR. MICHAEL C. SALARDA
MS. LEONARDA M. LATOR
MS. CARMENCITA VALDEZ
MS. SORAYA P. VERGARA</v>
          </cell>
          <cell r="AI197" t="str">
            <v>N/A</v>
          </cell>
          <cell r="AJ197" t="str">
            <v>N/A</v>
          </cell>
          <cell r="AK197" t="str">
            <v>N/A</v>
          </cell>
          <cell r="AL197" t="str">
            <v>N/A</v>
          </cell>
          <cell r="AM197" t="str">
            <v>N/A</v>
          </cell>
          <cell r="AN197" t="str">
            <v>N/A</v>
          </cell>
          <cell r="AO197" t="str">
            <v>COMPLETED</v>
          </cell>
        </row>
        <row r="198">
          <cell r="A198" t="str">
            <v>24-1233</v>
          </cell>
          <cell r="B198" t="str">
            <v>SPAREPARTS (LIGHT VEHICLES)</v>
          </cell>
          <cell r="C198" t="str">
            <v>PGSO</v>
          </cell>
          <cell r="D198" t="str">
            <v>No</v>
          </cell>
          <cell r="E198" t="str">
            <v>Shopping 52.1(a) - Unforeseen Contingency</v>
          </cell>
          <cell r="F198" t="str">
            <v>N/A</v>
          </cell>
          <cell r="G198">
            <v>45352</v>
          </cell>
          <cell r="H198">
            <v>0</v>
          </cell>
          <cell r="I198" t="str">
            <v>N/A</v>
          </cell>
          <cell r="J198">
            <v>45370</v>
          </cell>
          <cell r="K198">
            <v>45370</v>
          </cell>
          <cell r="L198">
            <v>0</v>
          </cell>
          <cell r="M198" t="str">
            <v>N/A</v>
          </cell>
          <cell r="N198" t="str">
            <v>N/A</v>
          </cell>
          <cell r="O198">
            <v>45372</v>
          </cell>
          <cell r="P198">
            <v>0</v>
          </cell>
          <cell r="Q198">
            <v>0</v>
          </cell>
          <cell r="R198">
            <v>0</v>
          </cell>
          <cell r="S198" t="str">
            <v>N/A</v>
          </cell>
          <cell r="T198">
            <v>45404</v>
          </cell>
          <cell r="U198">
            <v>45412</v>
          </cell>
          <cell r="V198">
            <v>0</v>
          </cell>
          <cell r="W198">
            <v>0</v>
          </cell>
          <cell r="X198">
            <v>45412</v>
          </cell>
          <cell r="Y198">
            <v>45412</v>
          </cell>
          <cell r="Z198">
            <v>0</v>
          </cell>
          <cell r="AA198">
            <v>3500</v>
          </cell>
          <cell r="AB198">
            <v>3500</v>
          </cell>
          <cell r="AC198">
            <v>0</v>
          </cell>
          <cell r="AD198">
            <v>3500</v>
          </cell>
          <cell r="AE198">
            <v>3500</v>
          </cell>
          <cell r="AF198">
            <v>0</v>
          </cell>
          <cell r="AG198" t="str">
            <v>M</v>
          </cell>
          <cell r="AH198" t="str">
            <v>ENGR. MICHAEL C. SALARDA
MS. LEONARDA M. LATOR
MS. CARMENCITA VALDEZ
MS. SORAYA P. VERGARA</v>
          </cell>
          <cell r="AI198" t="str">
            <v>N/A</v>
          </cell>
          <cell r="AJ198" t="str">
            <v>N/A</v>
          </cell>
          <cell r="AK198" t="str">
            <v>N/A</v>
          </cell>
          <cell r="AL198" t="str">
            <v>N/A</v>
          </cell>
          <cell r="AM198" t="str">
            <v>N/A</v>
          </cell>
          <cell r="AN198" t="str">
            <v>N/A</v>
          </cell>
          <cell r="AO198" t="str">
            <v>COMPLETED</v>
          </cell>
        </row>
        <row r="199">
          <cell r="A199" t="str">
            <v>24-1230</v>
          </cell>
          <cell r="B199" t="str">
            <v>SPAREPARTS (LIGHT VEHICLES)</v>
          </cell>
          <cell r="C199" t="str">
            <v>PGSO</v>
          </cell>
          <cell r="D199" t="str">
            <v>No</v>
          </cell>
          <cell r="E199" t="str">
            <v>Shopping 52.1(a) - Unforeseen Contingency</v>
          </cell>
          <cell r="F199" t="str">
            <v>N/A</v>
          </cell>
          <cell r="G199">
            <v>45352</v>
          </cell>
          <cell r="H199">
            <v>0</v>
          </cell>
          <cell r="I199" t="str">
            <v>N/A</v>
          </cell>
          <cell r="J199">
            <v>45370</v>
          </cell>
          <cell r="K199">
            <v>45370</v>
          </cell>
          <cell r="L199">
            <v>0</v>
          </cell>
          <cell r="M199" t="str">
            <v>N/A</v>
          </cell>
          <cell r="N199" t="str">
            <v>N/A</v>
          </cell>
          <cell r="O199">
            <v>45372</v>
          </cell>
          <cell r="P199">
            <v>0</v>
          </cell>
          <cell r="Q199">
            <v>0</v>
          </cell>
          <cell r="R199">
            <v>0</v>
          </cell>
          <cell r="S199" t="str">
            <v>N/A</v>
          </cell>
          <cell r="T199">
            <v>45398</v>
          </cell>
          <cell r="U199">
            <v>45404</v>
          </cell>
          <cell r="V199">
            <v>0</v>
          </cell>
          <cell r="W199">
            <v>0</v>
          </cell>
          <cell r="X199">
            <v>45404</v>
          </cell>
          <cell r="Y199">
            <v>45404</v>
          </cell>
          <cell r="Z199">
            <v>0</v>
          </cell>
          <cell r="AA199">
            <v>5000</v>
          </cell>
          <cell r="AB199">
            <v>5000</v>
          </cell>
          <cell r="AC199">
            <v>0</v>
          </cell>
          <cell r="AD199">
            <v>5000</v>
          </cell>
          <cell r="AE199">
            <v>5000</v>
          </cell>
          <cell r="AF199">
            <v>0</v>
          </cell>
          <cell r="AG199" t="str">
            <v>M</v>
          </cell>
          <cell r="AH199" t="str">
            <v>ENGR. MICHAEL C. SALARDA
MS. LEONARDA M. LATOR
MS. CARMENCITA VALDEZ
MS. SORAYA P. VERGARA</v>
          </cell>
          <cell r="AI199" t="str">
            <v>N/A</v>
          </cell>
          <cell r="AJ199" t="str">
            <v>N/A</v>
          </cell>
          <cell r="AK199" t="str">
            <v>N/A</v>
          </cell>
          <cell r="AL199" t="str">
            <v>N/A</v>
          </cell>
          <cell r="AM199" t="str">
            <v>N/A</v>
          </cell>
          <cell r="AN199" t="str">
            <v>N/A</v>
          </cell>
          <cell r="AO199" t="str">
            <v>COMPLETED</v>
          </cell>
        </row>
        <row r="200">
          <cell r="A200" t="str">
            <v>24-1330</v>
          </cell>
          <cell r="B200" t="str">
            <v>SPAREPARTS (LIGHT VEHICLES)</v>
          </cell>
          <cell r="C200" t="str">
            <v>PGSO</v>
          </cell>
          <cell r="D200" t="str">
            <v>No</v>
          </cell>
          <cell r="E200" t="str">
            <v>Shopping 52.1(a) - Unforeseen Contingency</v>
          </cell>
          <cell r="F200" t="str">
            <v>N/A</v>
          </cell>
          <cell r="G200">
            <v>45352</v>
          </cell>
          <cell r="H200">
            <v>0</v>
          </cell>
          <cell r="I200" t="str">
            <v>N/A</v>
          </cell>
          <cell r="J200">
            <v>45370</v>
          </cell>
          <cell r="K200">
            <v>45370</v>
          </cell>
          <cell r="L200">
            <v>0</v>
          </cell>
          <cell r="M200" t="str">
            <v>N/A</v>
          </cell>
          <cell r="N200" t="str">
            <v>N/A</v>
          </cell>
          <cell r="O200">
            <v>45372</v>
          </cell>
          <cell r="P200">
            <v>0</v>
          </cell>
          <cell r="Q200">
            <v>0</v>
          </cell>
          <cell r="R200">
            <v>0</v>
          </cell>
          <cell r="S200" t="str">
            <v>N/A</v>
          </cell>
          <cell r="T200">
            <v>45386</v>
          </cell>
          <cell r="U200">
            <v>45394</v>
          </cell>
          <cell r="V200">
            <v>0</v>
          </cell>
          <cell r="W200">
            <v>0</v>
          </cell>
          <cell r="X200">
            <v>45394</v>
          </cell>
          <cell r="Y200">
            <v>45394</v>
          </cell>
          <cell r="Z200">
            <v>0</v>
          </cell>
          <cell r="AA200">
            <v>15550</v>
          </cell>
          <cell r="AB200">
            <v>0</v>
          </cell>
          <cell r="AC200">
            <v>15550</v>
          </cell>
          <cell r="AD200">
            <v>15550</v>
          </cell>
          <cell r="AE200">
            <v>0</v>
          </cell>
          <cell r="AF200">
            <v>15550</v>
          </cell>
          <cell r="AG200" t="str">
            <v>C</v>
          </cell>
          <cell r="AH200" t="str">
            <v>ENGR. MICHAEL C. SALARDA
MS. LEONARDA M. LATOR
MS. CARMENCITA VALDEZ
MS. SORAYA P. VERGARA</v>
          </cell>
          <cell r="AI200" t="str">
            <v>N/A</v>
          </cell>
          <cell r="AJ200" t="str">
            <v>N/A</v>
          </cell>
          <cell r="AK200" t="str">
            <v>N/A</v>
          </cell>
          <cell r="AL200" t="str">
            <v>N/A</v>
          </cell>
          <cell r="AM200" t="str">
            <v>N/A</v>
          </cell>
          <cell r="AN200" t="str">
            <v>N/A</v>
          </cell>
          <cell r="AO200" t="str">
            <v>COMPLETED</v>
          </cell>
        </row>
        <row r="201">
          <cell r="A201" t="str">
            <v>24-1569</v>
          </cell>
          <cell r="B201" t="str">
            <v>SPAREPARTS (LIGHT VEHICLES)</v>
          </cell>
          <cell r="C201" t="str">
            <v>PGSO</v>
          </cell>
          <cell r="D201" t="str">
            <v>No</v>
          </cell>
          <cell r="E201" t="str">
            <v>Shopping 52.1(a) - Unforeseen Contingency</v>
          </cell>
          <cell r="F201" t="str">
            <v>N/A</v>
          </cell>
          <cell r="G201">
            <v>45352</v>
          </cell>
          <cell r="H201">
            <v>0</v>
          </cell>
          <cell r="I201" t="str">
            <v>N/A</v>
          </cell>
          <cell r="J201">
            <v>45370</v>
          </cell>
          <cell r="K201">
            <v>45370</v>
          </cell>
          <cell r="L201">
            <v>0</v>
          </cell>
          <cell r="M201" t="str">
            <v>N/A</v>
          </cell>
          <cell r="N201" t="str">
            <v>N/A</v>
          </cell>
          <cell r="O201">
            <v>45372</v>
          </cell>
          <cell r="P201">
            <v>0</v>
          </cell>
          <cell r="Q201">
            <v>0</v>
          </cell>
          <cell r="R201">
            <v>0</v>
          </cell>
          <cell r="S201" t="str">
            <v>N/A</v>
          </cell>
          <cell r="T201">
            <v>45407</v>
          </cell>
          <cell r="U201">
            <v>45411</v>
          </cell>
          <cell r="V201">
            <v>0</v>
          </cell>
          <cell r="W201">
            <v>0</v>
          </cell>
          <cell r="X201">
            <v>45411</v>
          </cell>
          <cell r="Y201">
            <v>45411</v>
          </cell>
          <cell r="Z201">
            <v>0</v>
          </cell>
          <cell r="AA201">
            <v>25500</v>
          </cell>
          <cell r="AB201">
            <v>25500</v>
          </cell>
          <cell r="AC201">
            <v>0</v>
          </cell>
          <cell r="AD201">
            <v>25500</v>
          </cell>
          <cell r="AE201">
            <v>25500</v>
          </cell>
          <cell r="AF201">
            <v>0</v>
          </cell>
          <cell r="AG201" t="str">
            <v>M</v>
          </cell>
          <cell r="AH201" t="str">
            <v>ENGR. MICHAEL C. SALARDA
MS. LEONARDA M. LATOR
MS. CARMENCITA VALDEZ
MS. SORAYA P. VERGARA</v>
          </cell>
          <cell r="AI201" t="str">
            <v>N/A</v>
          </cell>
          <cell r="AJ201" t="str">
            <v>N/A</v>
          </cell>
          <cell r="AK201" t="str">
            <v>N/A</v>
          </cell>
          <cell r="AL201" t="str">
            <v>N/A</v>
          </cell>
          <cell r="AM201" t="str">
            <v>N/A</v>
          </cell>
          <cell r="AN201" t="str">
            <v>N/A</v>
          </cell>
          <cell r="AO201" t="str">
            <v>COMPLETED</v>
          </cell>
        </row>
        <row r="202">
          <cell r="A202" t="str">
            <v>24-1235</v>
          </cell>
          <cell r="B202" t="str">
            <v>SPAREPARTS (MOTORCYCLE)</v>
          </cell>
          <cell r="C202" t="str">
            <v>SPO</v>
          </cell>
          <cell r="D202" t="str">
            <v>No</v>
          </cell>
          <cell r="E202" t="str">
            <v>Shopping 52.1(a) - Unforeseen Contingency</v>
          </cell>
          <cell r="F202">
            <v>45356</v>
          </cell>
          <cell r="G202">
            <v>45359</v>
          </cell>
          <cell r="H202">
            <v>0</v>
          </cell>
          <cell r="I202" t="str">
            <v>N/A</v>
          </cell>
          <cell r="J202">
            <v>45370</v>
          </cell>
          <cell r="K202">
            <v>45370</v>
          </cell>
          <cell r="L202">
            <v>0</v>
          </cell>
          <cell r="M202" t="str">
            <v>N/A</v>
          </cell>
          <cell r="N202" t="str">
            <v>N/A</v>
          </cell>
          <cell r="O202">
            <v>45372</v>
          </cell>
          <cell r="P202">
            <v>0</v>
          </cell>
          <cell r="Q202">
            <v>0</v>
          </cell>
          <cell r="R202">
            <v>0</v>
          </cell>
          <cell r="S202" t="str">
            <v>N/A</v>
          </cell>
          <cell r="T202">
            <v>45398</v>
          </cell>
          <cell r="U202">
            <v>45400</v>
          </cell>
          <cell r="V202">
            <v>0</v>
          </cell>
          <cell r="W202">
            <v>0</v>
          </cell>
          <cell r="X202">
            <v>45400</v>
          </cell>
          <cell r="Y202">
            <v>45400</v>
          </cell>
          <cell r="Z202">
            <v>0</v>
          </cell>
          <cell r="AA202">
            <v>2640</v>
          </cell>
          <cell r="AB202">
            <v>2640</v>
          </cell>
          <cell r="AC202">
            <v>0</v>
          </cell>
          <cell r="AD202">
            <v>2640</v>
          </cell>
          <cell r="AE202">
            <v>2640</v>
          </cell>
          <cell r="AF202">
            <v>0</v>
          </cell>
          <cell r="AG202" t="str">
            <v>M</v>
          </cell>
          <cell r="AH202" t="str">
            <v>ENGR. MICHAEL C. SALARDA
MS. LEONARDA M. LATOR
MS. CARMENCITA VALDEZ
MS. SORAYA P. VERGARA</v>
          </cell>
          <cell r="AI202" t="str">
            <v>N/A</v>
          </cell>
          <cell r="AJ202" t="str">
            <v>N/A</v>
          </cell>
          <cell r="AK202" t="str">
            <v>N/A</v>
          </cell>
          <cell r="AL202" t="str">
            <v>N/A</v>
          </cell>
          <cell r="AM202" t="str">
            <v>N/A</v>
          </cell>
          <cell r="AN202" t="str">
            <v>N/A</v>
          </cell>
          <cell r="AO202" t="str">
            <v>COMPLETED</v>
          </cell>
        </row>
        <row r="203">
          <cell r="A203" t="str">
            <v>24-C1024</v>
          </cell>
          <cell r="B203" t="str">
            <v>FUEL, OIL, AND LUBRICANTS</v>
          </cell>
          <cell r="C203" t="str">
            <v>SPO</v>
          </cell>
          <cell r="D203" t="str">
            <v>No</v>
          </cell>
          <cell r="E203" t="str">
            <v>Shopping 52.1(a) - Unforeseen Contingency</v>
          </cell>
          <cell r="F203">
            <v>45356</v>
          </cell>
          <cell r="G203">
            <v>45359</v>
          </cell>
          <cell r="H203">
            <v>0</v>
          </cell>
          <cell r="I203" t="str">
            <v>N/A</v>
          </cell>
          <cell r="J203">
            <v>45370</v>
          </cell>
          <cell r="K203">
            <v>45370</v>
          </cell>
          <cell r="L203">
            <v>0</v>
          </cell>
          <cell r="M203" t="str">
            <v>N/A</v>
          </cell>
          <cell r="N203" t="str">
            <v>N/A</v>
          </cell>
          <cell r="O203">
            <v>45372</v>
          </cell>
          <cell r="P203">
            <v>0</v>
          </cell>
          <cell r="Q203">
            <v>0</v>
          </cell>
          <cell r="R203">
            <v>0</v>
          </cell>
          <cell r="S203" t="str">
            <v>N/A</v>
          </cell>
          <cell r="T203">
            <v>45404</v>
          </cell>
          <cell r="U203">
            <v>45412</v>
          </cell>
          <cell r="V203">
            <v>0</v>
          </cell>
          <cell r="W203">
            <v>0</v>
          </cell>
          <cell r="X203">
            <v>45412</v>
          </cell>
          <cell r="Y203">
            <v>45412</v>
          </cell>
          <cell r="Z203">
            <v>0</v>
          </cell>
          <cell r="AA203">
            <v>2960</v>
          </cell>
          <cell r="AB203">
            <v>2960</v>
          </cell>
          <cell r="AC203">
            <v>0</v>
          </cell>
          <cell r="AD203">
            <v>2960</v>
          </cell>
          <cell r="AE203">
            <v>2960</v>
          </cell>
          <cell r="AF203">
            <v>0</v>
          </cell>
          <cell r="AG203" t="str">
            <v>M</v>
          </cell>
          <cell r="AH203" t="str">
            <v>ENGR. MICHAEL C. SALARDA
MS. LEONARDA M. LATOR
MS. CARMENCITA VALDEZ
MS. SORAYA P. VERGARA</v>
          </cell>
          <cell r="AI203" t="str">
            <v>N/A</v>
          </cell>
          <cell r="AJ203" t="str">
            <v>N/A</v>
          </cell>
          <cell r="AK203" t="str">
            <v>N/A</v>
          </cell>
          <cell r="AL203" t="str">
            <v>N/A</v>
          </cell>
          <cell r="AM203" t="str">
            <v>N/A</v>
          </cell>
          <cell r="AN203" t="str">
            <v>N/A</v>
          </cell>
          <cell r="AO203" t="str">
            <v>COMPLETED</v>
          </cell>
        </row>
        <row r="204">
          <cell r="A204" t="str">
            <v>24-C1083</v>
          </cell>
          <cell r="B204" t="str">
            <v>SPAREPARTS (LIGHT VEHICLES)</v>
          </cell>
          <cell r="C204" t="str">
            <v>SPO</v>
          </cell>
          <cell r="D204" t="str">
            <v>No</v>
          </cell>
          <cell r="E204" t="str">
            <v>Shopping 52.1(a) - Unforeseen Contingency</v>
          </cell>
          <cell r="F204">
            <v>45356</v>
          </cell>
          <cell r="G204">
            <v>45359</v>
          </cell>
          <cell r="H204">
            <v>0</v>
          </cell>
          <cell r="I204" t="str">
            <v>N/A</v>
          </cell>
          <cell r="J204">
            <v>45370</v>
          </cell>
          <cell r="K204">
            <v>45370</v>
          </cell>
          <cell r="L204">
            <v>0</v>
          </cell>
          <cell r="M204" t="str">
            <v>N/A</v>
          </cell>
          <cell r="N204" t="str">
            <v>N/A</v>
          </cell>
          <cell r="O204">
            <v>45372</v>
          </cell>
          <cell r="P204">
            <v>0</v>
          </cell>
          <cell r="Q204">
            <v>0</v>
          </cell>
          <cell r="R204">
            <v>0</v>
          </cell>
          <cell r="S204" t="str">
            <v>N/A</v>
          </cell>
          <cell r="T204">
            <v>45467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55150</v>
          </cell>
          <cell r="AB204">
            <v>55150</v>
          </cell>
          <cell r="AC204">
            <v>0</v>
          </cell>
          <cell r="AD204">
            <v>55150</v>
          </cell>
          <cell r="AE204">
            <v>55150</v>
          </cell>
          <cell r="AF204">
            <v>0</v>
          </cell>
          <cell r="AG204" t="str">
            <v>M</v>
          </cell>
          <cell r="AH204" t="str">
            <v>ENGR. MICHAEL C. SALARDA
MS. LEONARDA M. LATOR
MS. CARMENCITA VALDEZ
MS. SORAYA P. VERGARA</v>
          </cell>
          <cell r="AI204" t="str">
            <v>N/A</v>
          </cell>
          <cell r="AJ204" t="str">
            <v>N/A</v>
          </cell>
          <cell r="AK204" t="str">
            <v>N/A</v>
          </cell>
          <cell r="AL204" t="str">
            <v>N/A</v>
          </cell>
          <cell r="AM204" t="str">
            <v>N/A</v>
          </cell>
          <cell r="AN204" t="str">
            <v>N/A</v>
          </cell>
          <cell r="AO204">
            <v>0</v>
          </cell>
        </row>
        <row r="205">
          <cell r="A205" t="str">
            <v>24-1545</v>
          </cell>
          <cell r="B205" t="str">
            <v xml:space="preserve">JOB ORDER (LABOR &amp; MATERIALS) </v>
          </cell>
          <cell r="C205" t="str">
            <v>PDRRMO</v>
          </cell>
          <cell r="D205" t="str">
            <v>No</v>
          </cell>
          <cell r="E205" t="str">
            <v>Shopping 52.1(a) - Unforeseen Contingency</v>
          </cell>
          <cell r="F205">
            <v>45356</v>
          </cell>
          <cell r="G205">
            <v>45359</v>
          </cell>
          <cell r="H205">
            <v>0</v>
          </cell>
          <cell r="I205" t="str">
            <v>N/A</v>
          </cell>
          <cell r="J205">
            <v>45370</v>
          </cell>
          <cell r="K205">
            <v>45370</v>
          </cell>
          <cell r="L205">
            <v>0</v>
          </cell>
          <cell r="M205" t="str">
            <v>N/A</v>
          </cell>
          <cell r="N205" t="str">
            <v>N/A</v>
          </cell>
          <cell r="O205">
            <v>45372</v>
          </cell>
          <cell r="P205">
            <v>0</v>
          </cell>
          <cell r="Q205">
            <v>0</v>
          </cell>
          <cell r="R205">
            <v>0</v>
          </cell>
          <cell r="S205" t="str">
            <v>N/A</v>
          </cell>
          <cell r="T205">
            <v>45386</v>
          </cell>
          <cell r="U205">
            <v>45394</v>
          </cell>
          <cell r="V205">
            <v>0</v>
          </cell>
          <cell r="W205">
            <v>0</v>
          </cell>
          <cell r="X205">
            <v>45394</v>
          </cell>
          <cell r="Y205">
            <v>45394</v>
          </cell>
          <cell r="Z205">
            <v>0</v>
          </cell>
          <cell r="AA205">
            <v>4500</v>
          </cell>
          <cell r="AB205">
            <v>0</v>
          </cell>
          <cell r="AC205">
            <v>4500</v>
          </cell>
          <cell r="AD205">
            <v>4500</v>
          </cell>
          <cell r="AE205">
            <v>0</v>
          </cell>
          <cell r="AF205">
            <v>4500</v>
          </cell>
          <cell r="AG205" t="str">
            <v>C</v>
          </cell>
          <cell r="AH205" t="str">
            <v>ENGR. MICHAEL C. SALARDA
MS. LEONARDA M. LATOR
MS. CARMENCITA VALDEZ
MS. SORAYA P. VERGARA</v>
          </cell>
          <cell r="AI205" t="str">
            <v>N/A</v>
          </cell>
          <cell r="AJ205" t="str">
            <v>N/A</v>
          </cell>
          <cell r="AK205" t="str">
            <v>N/A</v>
          </cell>
          <cell r="AL205" t="str">
            <v>N/A</v>
          </cell>
          <cell r="AM205" t="str">
            <v>N/A</v>
          </cell>
          <cell r="AN205" t="str">
            <v>N/A</v>
          </cell>
          <cell r="AO205" t="str">
            <v>COMPLETED</v>
          </cell>
        </row>
        <row r="206">
          <cell r="A206" t="str">
            <v>24-0115</v>
          </cell>
          <cell r="B206" t="str">
            <v>SPAREPARTS (MOTORCYCLE)</v>
          </cell>
          <cell r="C206" t="str">
            <v>COA</v>
          </cell>
          <cell r="D206" t="str">
            <v>No</v>
          </cell>
          <cell r="E206" t="str">
            <v>NP-53.9 - Small Value Procurement</v>
          </cell>
          <cell r="F206" t="str">
            <v>N/A</v>
          </cell>
          <cell r="G206">
            <v>45318</v>
          </cell>
          <cell r="H206">
            <v>0</v>
          </cell>
          <cell r="I206" t="str">
            <v>N/A</v>
          </cell>
          <cell r="J206">
            <v>45370</v>
          </cell>
          <cell r="K206">
            <v>45370</v>
          </cell>
          <cell r="L206">
            <v>0</v>
          </cell>
          <cell r="M206" t="str">
            <v>N/A</v>
          </cell>
          <cell r="N206" t="str">
            <v>N/A</v>
          </cell>
          <cell r="O206">
            <v>45372</v>
          </cell>
          <cell r="P206">
            <v>0</v>
          </cell>
          <cell r="Q206">
            <v>0</v>
          </cell>
          <cell r="R206">
            <v>0</v>
          </cell>
          <cell r="S206" t="str">
            <v>N/A</v>
          </cell>
          <cell r="T206">
            <v>45390</v>
          </cell>
          <cell r="U206">
            <v>45397</v>
          </cell>
          <cell r="V206">
            <v>0</v>
          </cell>
          <cell r="W206">
            <v>0</v>
          </cell>
          <cell r="X206">
            <v>45406</v>
          </cell>
          <cell r="Y206">
            <v>45406</v>
          </cell>
          <cell r="Z206">
            <v>0</v>
          </cell>
          <cell r="AA206">
            <v>4510</v>
          </cell>
          <cell r="AB206">
            <v>4510</v>
          </cell>
          <cell r="AC206">
            <v>0</v>
          </cell>
          <cell r="AD206">
            <v>4510</v>
          </cell>
          <cell r="AE206">
            <v>4510</v>
          </cell>
          <cell r="AF206">
            <v>0</v>
          </cell>
          <cell r="AG206" t="str">
            <v>M</v>
          </cell>
          <cell r="AH206" t="str">
            <v>ENGR. MICHAEL C. SALARDA
MS. LEONARDA M. LATOR
MS. CARMENCITA VALDEZ
MS. SORAYA P. VERGARA</v>
          </cell>
          <cell r="AI206" t="str">
            <v>N/A</v>
          </cell>
          <cell r="AJ206" t="str">
            <v>N/A</v>
          </cell>
          <cell r="AK206" t="str">
            <v>N/A</v>
          </cell>
          <cell r="AL206" t="str">
            <v>N/A</v>
          </cell>
          <cell r="AM206" t="str">
            <v>N/A</v>
          </cell>
          <cell r="AN206" t="str">
            <v>N/A</v>
          </cell>
          <cell r="AO206" t="str">
            <v>COMPLETED</v>
          </cell>
        </row>
        <row r="207">
          <cell r="A207" t="str">
            <v>24-0875</v>
          </cell>
          <cell r="B207" t="str">
            <v>FURNITURE &amp; FIXTURES</v>
          </cell>
          <cell r="C207" t="str">
            <v>SPO</v>
          </cell>
          <cell r="D207" t="str">
            <v>No</v>
          </cell>
          <cell r="E207" t="str">
            <v>NP-53.9 - Small Value Procurement</v>
          </cell>
          <cell r="F207" t="str">
            <v>N/A</v>
          </cell>
          <cell r="G207">
            <v>45344</v>
          </cell>
          <cell r="H207">
            <v>0</v>
          </cell>
          <cell r="I207" t="str">
            <v>N/A</v>
          </cell>
          <cell r="J207">
            <v>45370</v>
          </cell>
          <cell r="K207">
            <v>45370</v>
          </cell>
          <cell r="L207">
            <v>0</v>
          </cell>
          <cell r="M207" t="str">
            <v>N/A</v>
          </cell>
          <cell r="N207" t="str">
            <v>N/A</v>
          </cell>
          <cell r="O207">
            <v>45372</v>
          </cell>
          <cell r="P207">
            <v>0</v>
          </cell>
          <cell r="Q207">
            <v>0</v>
          </cell>
          <cell r="R207">
            <v>0</v>
          </cell>
          <cell r="S207" t="str">
            <v>N/A</v>
          </cell>
          <cell r="T207">
            <v>45439</v>
          </cell>
          <cell r="U207">
            <v>45446</v>
          </cell>
          <cell r="V207">
            <v>0</v>
          </cell>
          <cell r="W207">
            <v>0</v>
          </cell>
          <cell r="X207">
            <v>45449</v>
          </cell>
          <cell r="Y207">
            <v>45449</v>
          </cell>
          <cell r="Z207">
            <v>0</v>
          </cell>
          <cell r="AA207">
            <v>7000</v>
          </cell>
          <cell r="AB207">
            <v>7000</v>
          </cell>
          <cell r="AC207">
            <v>0</v>
          </cell>
          <cell r="AD207">
            <v>7000</v>
          </cell>
          <cell r="AE207">
            <v>7000</v>
          </cell>
          <cell r="AF207">
            <v>0</v>
          </cell>
          <cell r="AG207" t="str">
            <v>M</v>
          </cell>
          <cell r="AH207" t="str">
            <v>ENGR. MICHAEL C. SALARDA
MS. LEONARDA M. LATOR
MS. CARMENCITA VALDEZ
MS. SORAYA P. VERGARA</v>
          </cell>
          <cell r="AI207" t="str">
            <v>N/A</v>
          </cell>
          <cell r="AJ207" t="str">
            <v>N/A</v>
          </cell>
          <cell r="AK207" t="str">
            <v>N/A</v>
          </cell>
          <cell r="AL207" t="str">
            <v>N/A</v>
          </cell>
          <cell r="AM207" t="str">
            <v>N/A</v>
          </cell>
          <cell r="AN207" t="str">
            <v>N/A</v>
          </cell>
          <cell r="AO207" t="str">
            <v>COMPLETED</v>
          </cell>
        </row>
        <row r="208">
          <cell r="A208" t="str">
            <v>24-1390</v>
          </cell>
          <cell r="B208" t="str">
            <v>FOOD/CATERING SERVICES</v>
          </cell>
          <cell r="C208" t="str">
            <v>PDRRMO</v>
          </cell>
          <cell r="D208" t="str">
            <v>No</v>
          </cell>
          <cell r="E208" t="str">
            <v>NP-53.9 - Small Value Procurement</v>
          </cell>
          <cell r="F208" t="str">
            <v>N/A</v>
          </cell>
          <cell r="G208">
            <v>45352</v>
          </cell>
          <cell r="H208">
            <v>0</v>
          </cell>
          <cell r="I208" t="str">
            <v>N/A</v>
          </cell>
          <cell r="J208">
            <v>45370</v>
          </cell>
          <cell r="K208">
            <v>45370</v>
          </cell>
          <cell r="L208">
            <v>0</v>
          </cell>
          <cell r="M208" t="str">
            <v>N/A</v>
          </cell>
          <cell r="N208" t="str">
            <v>N/A</v>
          </cell>
          <cell r="O208">
            <v>45372</v>
          </cell>
          <cell r="P208">
            <v>0</v>
          </cell>
          <cell r="Q208">
            <v>0</v>
          </cell>
          <cell r="R208">
            <v>0</v>
          </cell>
          <cell r="S208">
            <v>45378</v>
          </cell>
          <cell r="T208">
            <v>45386</v>
          </cell>
          <cell r="U208">
            <v>45394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55000</v>
          </cell>
          <cell r="AB208">
            <v>0</v>
          </cell>
          <cell r="AC208">
            <v>55000</v>
          </cell>
          <cell r="AD208">
            <v>53900</v>
          </cell>
          <cell r="AE208">
            <v>0</v>
          </cell>
          <cell r="AF208">
            <v>53900</v>
          </cell>
          <cell r="AG208" t="str">
            <v>C</v>
          </cell>
          <cell r="AH208" t="str">
            <v>ENGR. MICHAEL C. SALARDA
MS. LEONARDA M. LATOR
MS. CARMENCITA VALDEZ
MS. SORAYA P. VERGARA</v>
          </cell>
          <cell r="AI208" t="str">
            <v>N/A</v>
          </cell>
          <cell r="AJ208" t="str">
            <v>N/A</v>
          </cell>
          <cell r="AK208" t="str">
            <v>N/A</v>
          </cell>
          <cell r="AL208" t="str">
            <v>N/A</v>
          </cell>
          <cell r="AM208" t="str">
            <v>N/A</v>
          </cell>
          <cell r="AN208" t="str">
            <v>N/A</v>
          </cell>
          <cell r="AO208">
            <v>0</v>
          </cell>
        </row>
        <row r="209">
          <cell r="A209" t="str">
            <v>24-0754</v>
          </cell>
          <cell r="B209" t="str">
            <v>CONSTRUCTION SUPPLIES</v>
          </cell>
          <cell r="C209" t="str">
            <v>PDRRMO</v>
          </cell>
          <cell r="D209" t="str">
            <v>No</v>
          </cell>
          <cell r="E209" t="str">
            <v>NP-53.9 - Small Value Procurement</v>
          </cell>
          <cell r="F209" t="str">
            <v>N/A</v>
          </cell>
          <cell r="G209">
            <v>45352</v>
          </cell>
          <cell r="H209">
            <v>0</v>
          </cell>
          <cell r="I209" t="str">
            <v>N/A</v>
          </cell>
          <cell r="J209">
            <v>45370</v>
          </cell>
          <cell r="K209">
            <v>45370</v>
          </cell>
          <cell r="L209">
            <v>0</v>
          </cell>
          <cell r="M209" t="str">
            <v>N/A</v>
          </cell>
          <cell r="N209" t="str">
            <v>N/A</v>
          </cell>
          <cell r="O209">
            <v>45372</v>
          </cell>
          <cell r="P209">
            <v>0</v>
          </cell>
          <cell r="Q209">
            <v>0</v>
          </cell>
          <cell r="R209">
            <v>0</v>
          </cell>
          <cell r="S209" t="str">
            <v>N/A</v>
          </cell>
          <cell r="T209">
            <v>45386</v>
          </cell>
          <cell r="U209">
            <v>45397</v>
          </cell>
          <cell r="V209">
            <v>0</v>
          </cell>
          <cell r="W209">
            <v>0</v>
          </cell>
          <cell r="X209">
            <v>45441</v>
          </cell>
          <cell r="Y209">
            <v>45441</v>
          </cell>
          <cell r="Z209">
            <v>0</v>
          </cell>
          <cell r="AA209">
            <v>35950</v>
          </cell>
          <cell r="AB209">
            <v>0</v>
          </cell>
          <cell r="AC209">
            <v>35950</v>
          </cell>
          <cell r="AD209">
            <v>35890</v>
          </cell>
          <cell r="AE209">
            <v>0</v>
          </cell>
          <cell r="AF209">
            <v>35890</v>
          </cell>
          <cell r="AG209" t="str">
            <v>C</v>
          </cell>
          <cell r="AH209" t="str">
            <v>ENGR. MICHAEL C. SALARDA
MS. LEONARDA M. LATOR
MS. CARMENCITA VALDEZ
MS. SORAYA P. VERGARA</v>
          </cell>
          <cell r="AI209" t="str">
            <v>N/A</v>
          </cell>
          <cell r="AJ209" t="str">
            <v>N/A</v>
          </cell>
          <cell r="AK209" t="str">
            <v>N/A</v>
          </cell>
          <cell r="AL209" t="str">
            <v>N/A</v>
          </cell>
          <cell r="AM209" t="str">
            <v>N/A</v>
          </cell>
          <cell r="AN209" t="str">
            <v>N/A</v>
          </cell>
          <cell r="AO209" t="str">
            <v>COMPLETED</v>
          </cell>
        </row>
        <row r="210">
          <cell r="A210" t="str">
            <v>24-C1115</v>
          </cell>
          <cell r="B210" t="str">
            <v>SAFETY GEARS</v>
          </cell>
          <cell r="C210" t="str">
            <v>PDRRMO</v>
          </cell>
          <cell r="D210" t="str">
            <v>No</v>
          </cell>
          <cell r="E210" t="str">
            <v>NP-53.9 - Small Value Procurement</v>
          </cell>
          <cell r="F210" t="str">
            <v>N/A</v>
          </cell>
          <cell r="G210">
            <v>45352</v>
          </cell>
          <cell r="H210">
            <v>0</v>
          </cell>
          <cell r="I210" t="str">
            <v>N/A</v>
          </cell>
          <cell r="J210">
            <v>45370</v>
          </cell>
          <cell r="K210">
            <v>45370</v>
          </cell>
          <cell r="L210">
            <v>0</v>
          </cell>
          <cell r="M210" t="str">
            <v>N/A</v>
          </cell>
          <cell r="N210" t="str">
            <v>N/A</v>
          </cell>
          <cell r="O210">
            <v>45372</v>
          </cell>
          <cell r="P210">
            <v>0</v>
          </cell>
          <cell r="Q210">
            <v>0</v>
          </cell>
          <cell r="R210">
            <v>0</v>
          </cell>
          <cell r="S210" t="str">
            <v>N/A</v>
          </cell>
          <cell r="T210">
            <v>45386</v>
          </cell>
          <cell r="U210">
            <v>45394</v>
          </cell>
          <cell r="V210">
            <v>0</v>
          </cell>
          <cell r="W210">
            <v>0</v>
          </cell>
          <cell r="X210">
            <v>45426</v>
          </cell>
          <cell r="Y210">
            <v>45426</v>
          </cell>
          <cell r="Z210">
            <v>0</v>
          </cell>
          <cell r="AA210">
            <v>40490</v>
          </cell>
          <cell r="AB210">
            <v>0</v>
          </cell>
          <cell r="AC210">
            <v>40490</v>
          </cell>
          <cell r="AD210">
            <v>40432</v>
          </cell>
          <cell r="AE210">
            <v>0</v>
          </cell>
          <cell r="AF210">
            <v>40432</v>
          </cell>
          <cell r="AG210" t="str">
            <v>C</v>
          </cell>
          <cell r="AH210" t="str">
            <v>ENGR. MICHAEL C. SALARDA
MS. LEONARDA M. LATOR
MS. CARMENCITA VALDEZ
MS. SORAYA P. VERGARA</v>
          </cell>
          <cell r="AI210" t="str">
            <v>N/A</v>
          </cell>
          <cell r="AJ210" t="str">
            <v>N/A</v>
          </cell>
          <cell r="AK210" t="str">
            <v>N/A</v>
          </cell>
          <cell r="AL210" t="str">
            <v>N/A</v>
          </cell>
          <cell r="AM210" t="str">
            <v>N/A</v>
          </cell>
          <cell r="AN210" t="str">
            <v>N/A</v>
          </cell>
          <cell r="AO210" t="str">
            <v>COMPLETED</v>
          </cell>
        </row>
        <row r="211">
          <cell r="A211" t="str">
            <v>24-0480</v>
          </cell>
          <cell r="B211" t="str">
            <v>ELECTRICAL SUPPLIES</v>
          </cell>
          <cell r="C211" t="str">
            <v>PEO-Motorpool</v>
          </cell>
          <cell r="D211" t="str">
            <v>No</v>
          </cell>
          <cell r="E211" t="str">
            <v>NP-53.9 - Small Value Procurement</v>
          </cell>
          <cell r="F211" t="str">
            <v>N/A</v>
          </cell>
          <cell r="G211">
            <v>45352</v>
          </cell>
          <cell r="H211">
            <v>0</v>
          </cell>
          <cell r="I211" t="str">
            <v>N/A</v>
          </cell>
          <cell r="J211">
            <v>45370</v>
          </cell>
          <cell r="K211">
            <v>45370</v>
          </cell>
          <cell r="L211">
            <v>0</v>
          </cell>
          <cell r="M211" t="str">
            <v>N/A</v>
          </cell>
          <cell r="N211" t="str">
            <v>N/A</v>
          </cell>
          <cell r="O211">
            <v>45372</v>
          </cell>
          <cell r="P211">
            <v>0</v>
          </cell>
          <cell r="Q211">
            <v>0</v>
          </cell>
          <cell r="R211">
            <v>0</v>
          </cell>
          <cell r="S211" t="str">
            <v>N/A</v>
          </cell>
          <cell r="T211">
            <v>45394</v>
          </cell>
          <cell r="U211">
            <v>45412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15280</v>
          </cell>
          <cell r="AB211">
            <v>15280</v>
          </cell>
          <cell r="AC211">
            <v>0</v>
          </cell>
          <cell r="AD211">
            <v>15260</v>
          </cell>
          <cell r="AE211">
            <v>15260</v>
          </cell>
          <cell r="AF211">
            <v>0</v>
          </cell>
          <cell r="AG211" t="str">
            <v>M</v>
          </cell>
          <cell r="AH211" t="str">
            <v>ENGR. MICHAEL C. SALARDA
MS. LEONARDA M. LATOR
MS. CARMENCITA VALDEZ
MS. SORAYA P. VERGARA</v>
          </cell>
          <cell r="AI211" t="str">
            <v>N/A</v>
          </cell>
          <cell r="AJ211" t="str">
            <v>N/A</v>
          </cell>
          <cell r="AK211" t="str">
            <v>N/A</v>
          </cell>
          <cell r="AL211" t="str">
            <v>N/A</v>
          </cell>
          <cell r="AM211" t="str">
            <v>N/A</v>
          </cell>
          <cell r="AN211" t="str">
            <v>N/A</v>
          </cell>
          <cell r="AO211">
            <v>0</v>
          </cell>
        </row>
        <row r="212">
          <cell r="A212" t="str">
            <v>24-0529</v>
          </cell>
          <cell r="B212" t="str">
            <v>LABORATORY SUPPLIES</v>
          </cell>
          <cell r="C212" t="str">
            <v>PDRRMO</v>
          </cell>
          <cell r="D212" t="str">
            <v>No</v>
          </cell>
          <cell r="E212" t="str">
            <v>NP-53.9 - Small Value Procurement</v>
          </cell>
          <cell r="F212" t="str">
            <v>N/A</v>
          </cell>
          <cell r="G212">
            <v>45352</v>
          </cell>
          <cell r="H212">
            <v>0</v>
          </cell>
          <cell r="I212" t="str">
            <v>N/A</v>
          </cell>
          <cell r="J212">
            <v>45370</v>
          </cell>
          <cell r="K212">
            <v>45370</v>
          </cell>
          <cell r="L212">
            <v>0</v>
          </cell>
          <cell r="M212" t="str">
            <v>N/A</v>
          </cell>
          <cell r="N212" t="str">
            <v>N/A</v>
          </cell>
          <cell r="O212">
            <v>45372</v>
          </cell>
          <cell r="P212">
            <v>0</v>
          </cell>
          <cell r="Q212">
            <v>0</v>
          </cell>
          <cell r="R212">
            <v>0</v>
          </cell>
          <cell r="S212" t="str">
            <v>N/A</v>
          </cell>
          <cell r="T212">
            <v>45386</v>
          </cell>
          <cell r="U212">
            <v>45394</v>
          </cell>
          <cell r="V212">
            <v>0</v>
          </cell>
          <cell r="W212">
            <v>0</v>
          </cell>
          <cell r="X212">
            <v>45426</v>
          </cell>
          <cell r="Y212">
            <v>45426</v>
          </cell>
          <cell r="Z212">
            <v>0</v>
          </cell>
          <cell r="AA212">
            <v>10200</v>
          </cell>
          <cell r="AB212">
            <v>0</v>
          </cell>
          <cell r="AC212">
            <v>10200</v>
          </cell>
          <cell r="AD212">
            <v>10183</v>
          </cell>
          <cell r="AE212">
            <v>0</v>
          </cell>
          <cell r="AF212">
            <v>10183</v>
          </cell>
          <cell r="AG212" t="str">
            <v>C</v>
          </cell>
          <cell r="AH212" t="str">
            <v>ENGR. MICHAEL C. SALARDA
MS. LEONARDA M. LATOR
MS. CARMENCITA VALDEZ
MS. SORAYA P. VERGARA</v>
          </cell>
          <cell r="AI212" t="str">
            <v>N/A</v>
          </cell>
          <cell r="AJ212" t="str">
            <v>N/A</v>
          </cell>
          <cell r="AK212" t="str">
            <v>N/A</v>
          </cell>
          <cell r="AL212" t="str">
            <v>N/A</v>
          </cell>
          <cell r="AM212" t="str">
            <v>N/A</v>
          </cell>
          <cell r="AN212" t="str">
            <v>N/A</v>
          </cell>
          <cell r="AO212" t="str">
            <v>COMPLETED</v>
          </cell>
        </row>
        <row r="213">
          <cell r="A213" t="str">
            <v>24-0032</v>
          </cell>
          <cell r="B213" t="str">
            <v>SAFETY GEARS &amp; EQUIPMENT</v>
          </cell>
          <cell r="C213" t="str">
            <v>PTO</v>
          </cell>
          <cell r="D213" t="str">
            <v>No</v>
          </cell>
          <cell r="E213" t="str">
            <v>NP-53.9 - Small Value Procurement</v>
          </cell>
          <cell r="F213" t="str">
            <v>N/A</v>
          </cell>
          <cell r="G213">
            <v>45352</v>
          </cell>
          <cell r="H213">
            <v>0</v>
          </cell>
          <cell r="I213" t="str">
            <v>N/A</v>
          </cell>
          <cell r="J213">
            <v>45370</v>
          </cell>
          <cell r="K213">
            <v>45370</v>
          </cell>
          <cell r="L213">
            <v>0</v>
          </cell>
          <cell r="M213" t="str">
            <v>N/A</v>
          </cell>
          <cell r="N213" t="str">
            <v>N/A</v>
          </cell>
          <cell r="O213">
            <v>45372</v>
          </cell>
          <cell r="P213">
            <v>0</v>
          </cell>
          <cell r="Q213">
            <v>0</v>
          </cell>
          <cell r="R213">
            <v>0</v>
          </cell>
          <cell r="S213" t="str">
            <v>N/A</v>
          </cell>
          <cell r="T213">
            <v>45390</v>
          </cell>
          <cell r="U213">
            <v>45394</v>
          </cell>
          <cell r="V213">
            <v>0</v>
          </cell>
          <cell r="W213">
            <v>0</v>
          </cell>
          <cell r="X213">
            <v>45411</v>
          </cell>
          <cell r="Y213">
            <v>45411</v>
          </cell>
          <cell r="Z213">
            <v>0</v>
          </cell>
          <cell r="AA213">
            <v>18480</v>
          </cell>
          <cell r="AB213">
            <v>18480</v>
          </cell>
          <cell r="AC213">
            <v>0</v>
          </cell>
          <cell r="AD213">
            <v>18441.5</v>
          </cell>
          <cell r="AE213">
            <v>18441.5</v>
          </cell>
          <cell r="AF213">
            <v>0</v>
          </cell>
          <cell r="AG213" t="str">
            <v>M</v>
          </cell>
          <cell r="AH213" t="str">
            <v>ENGR. MICHAEL C. SALARDA
MS. LEONARDA M. LATOR
MS. CARMENCITA VALDEZ
MS. SORAYA P. VERGARA</v>
          </cell>
          <cell r="AI213" t="str">
            <v>N/A</v>
          </cell>
          <cell r="AJ213" t="str">
            <v>N/A</v>
          </cell>
          <cell r="AK213" t="str">
            <v>N/A</v>
          </cell>
          <cell r="AL213" t="str">
            <v>N/A</v>
          </cell>
          <cell r="AM213" t="str">
            <v>N/A</v>
          </cell>
          <cell r="AN213" t="str">
            <v>N/A</v>
          </cell>
          <cell r="AO213" t="str">
            <v>COMPLETED</v>
          </cell>
        </row>
        <row r="214">
          <cell r="A214" t="str">
            <v>24-1246</v>
          </cell>
          <cell r="B214" t="str">
            <v>FOOD/CATERING SERVICES</v>
          </cell>
          <cell r="C214" t="str">
            <v>PGO</v>
          </cell>
          <cell r="D214" t="str">
            <v>No</v>
          </cell>
          <cell r="E214" t="str">
            <v>NP-53.9 - Small Value Procurement</v>
          </cell>
          <cell r="F214" t="str">
            <v>N/A</v>
          </cell>
          <cell r="G214">
            <v>45352</v>
          </cell>
          <cell r="H214">
            <v>0</v>
          </cell>
          <cell r="I214" t="str">
            <v>N/A</v>
          </cell>
          <cell r="J214">
            <v>45370</v>
          </cell>
          <cell r="K214">
            <v>45370</v>
          </cell>
          <cell r="L214">
            <v>0</v>
          </cell>
          <cell r="M214" t="str">
            <v>N/A</v>
          </cell>
          <cell r="N214" t="str">
            <v>N/A</v>
          </cell>
          <cell r="O214">
            <v>45372</v>
          </cell>
          <cell r="P214">
            <v>0</v>
          </cell>
          <cell r="Q214">
            <v>0</v>
          </cell>
          <cell r="R214">
            <v>0</v>
          </cell>
          <cell r="S214" t="str">
            <v>N/A</v>
          </cell>
          <cell r="T214">
            <v>45387</v>
          </cell>
          <cell r="U214">
            <v>45397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32500</v>
          </cell>
          <cell r="AB214">
            <v>0</v>
          </cell>
          <cell r="AC214">
            <v>32500</v>
          </cell>
          <cell r="AD214">
            <v>32435</v>
          </cell>
          <cell r="AE214">
            <v>0</v>
          </cell>
          <cell r="AF214">
            <v>32435</v>
          </cell>
          <cell r="AG214" t="str">
            <v>C</v>
          </cell>
          <cell r="AH214" t="str">
            <v>ENGR. MICHAEL C. SALARDA
MS. LEONARDA M. LATOR
MS. CARMENCITA VALDEZ
MS. SORAYA P. VERGARA</v>
          </cell>
          <cell r="AI214" t="str">
            <v>N/A</v>
          </cell>
          <cell r="AJ214" t="str">
            <v>N/A</v>
          </cell>
          <cell r="AK214" t="str">
            <v>N/A</v>
          </cell>
          <cell r="AL214" t="str">
            <v>N/A</v>
          </cell>
          <cell r="AM214" t="str">
            <v>N/A</v>
          </cell>
          <cell r="AN214" t="str">
            <v>N/A</v>
          </cell>
          <cell r="AO214">
            <v>0</v>
          </cell>
        </row>
        <row r="215">
          <cell r="A215" t="str">
            <v>24-1238</v>
          </cell>
          <cell r="B215" t="str">
            <v>FOOD/CATERING SERVICES</v>
          </cell>
          <cell r="C215" t="str">
            <v>PGO</v>
          </cell>
          <cell r="D215" t="str">
            <v>No</v>
          </cell>
          <cell r="E215" t="str">
            <v>NP-53.9 - Small Value Procurement</v>
          </cell>
          <cell r="F215" t="str">
            <v>N/A</v>
          </cell>
          <cell r="G215">
            <v>45352</v>
          </cell>
          <cell r="H215">
            <v>0</v>
          </cell>
          <cell r="I215" t="str">
            <v>N/A</v>
          </cell>
          <cell r="J215">
            <v>45370</v>
          </cell>
          <cell r="K215">
            <v>45370</v>
          </cell>
          <cell r="L215">
            <v>0</v>
          </cell>
          <cell r="M215" t="str">
            <v>N/A</v>
          </cell>
          <cell r="N215" t="str">
            <v>N/A</v>
          </cell>
          <cell r="O215">
            <v>45372</v>
          </cell>
          <cell r="P215">
            <v>0</v>
          </cell>
          <cell r="Q215">
            <v>0</v>
          </cell>
          <cell r="R215">
            <v>0</v>
          </cell>
          <cell r="S215">
            <v>45376</v>
          </cell>
          <cell r="T215">
            <v>45386</v>
          </cell>
          <cell r="U215">
            <v>45397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129000</v>
          </cell>
          <cell r="AB215">
            <v>0</v>
          </cell>
          <cell r="AC215">
            <v>129000</v>
          </cell>
          <cell r="AD215">
            <v>128625</v>
          </cell>
          <cell r="AE215">
            <v>0</v>
          </cell>
          <cell r="AF215">
            <v>128625</v>
          </cell>
          <cell r="AG215" t="str">
            <v>C</v>
          </cell>
          <cell r="AH215" t="str">
            <v>ENGR. MICHAEL C. SALARDA
MS. LEONARDA M. LATOR
MS. CARMENCITA VALDEZ
MS. SORAYA P. VERGARA</v>
          </cell>
          <cell r="AI215" t="str">
            <v>N/A</v>
          </cell>
          <cell r="AJ215" t="str">
            <v>N/A</v>
          </cell>
          <cell r="AK215" t="str">
            <v>N/A</v>
          </cell>
          <cell r="AL215" t="str">
            <v>N/A</v>
          </cell>
          <cell r="AM215" t="str">
            <v>N/A</v>
          </cell>
          <cell r="AN215" t="str">
            <v>N/A</v>
          </cell>
          <cell r="AO215">
            <v>0</v>
          </cell>
        </row>
        <row r="216">
          <cell r="A216" t="str">
            <v>24-1245</v>
          </cell>
          <cell r="B216" t="str">
            <v>FOOD/CATERING SERVICES</v>
          </cell>
          <cell r="C216" t="str">
            <v>PGO</v>
          </cell>
          <cell r="D216" t="str">
            <v>No</v>
          </cell>
          <cell r="E216" t="str">
            <v>NP-53.9 - Small Value Procurement</v>
          </cell>
          <cell r="F216" t="str">
            <v>N/A</v>
          </cell>
          <cell r="G216">
            <v>45352</v>
          </cell>
          <cell r="H216">
            <v>0</v>
          </cell>
          <cell r="I216" t="str">
            <v>N/A</v>
          </cell>
          <cell r="J216">
            <v>45370</v>
          </cell>
          <cell r="K216">
            <v>45370</v>
          </cell>
          <cell r="L216">
            <v>0</v>
          </cell>
          <cell r="M216" t="str">
            <v>N/A</v>
          </cell>
          <cell r="N216" t="str">
            <v>N/A</v>
          </cell>
          <cell r="O216">
            <v>45372</v>
          </cell>
          <cell r="P216">
            <v>0</v>
          </cell>
          <cell r="Q216">
            <v>0</v>
          </cell>
          <cell r="R216">
            <v>0</v>
          </cell>
          <cell r="S216" t="str">
            <v>N/A</v>
          </cell>
          <cell r="T216">
            <v>45386</v>
          </cell>
          <cell r="U216">
            <v>45397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16350</v>
          </cell>
          <cell r="AB216">
            <v>0</v>
          </cell>
          <cell r="AC216">
            <v>16350</v>
          </cell>
          <cell r="AD216">
            <v>16329.75</v>
          </cell>
          <cell r="AE216">
            <v>0</v>
          </cell>
          <cell r="AF216">
            <v>16329.75</v>
          </cell>
          <cell r="AG216" t="str">
            <v>C</v>
          </cell>
          <cell r="AH216" t="str">
            <v>ENGR. MICHAEL C. SALARDA
MS. LEONARDA M. LATOR
MS. CARMENCITA VALDEZ
MS. SORAYA P. VERGARA</v>
          </cell>
          <cell r="AI216" t="str">
            <v>N/A</v>
          </cell>
          <cell r="AJ216" t="str">
            <v>N/A</v>
          </cell>
          <cell r="AK216" t="str">
            <v>N/A</v>
          </cell>
          <cell r="AL216" t="str">
            <v>N/A</v>
          </cell>
          <cell r="AM216" t="str">
            <v>N/A</v>
          </cell>
          <cell r="AN216" t="str">
            <v>N/A</v>
          </cell>
          <cell r="AO216">
            <v>0</v>
          </cell>
        </row>
        <row r="217">
          <cell r="A217" t="str">
            <v>24-1247</v>
          </cell>
          <cell r="B217" t="str">
            <v>FOOD/CATERING SERVICES</v>
          </cell>
          <cell r="C217" t="str">
            <v>PGO</v>
          </cell>
          <cell r="D217" t="str">
            <v>No</v>
          </cell>
          <cell r="E217" t="str">
            <v>NP-53.9 - Small Value Procurement</v>
          </cell>
          <cell r="F217" t="str">
            <v>N/A</v>
          </cell>
          <cell r="G217">
            <v>45352</v>
          </cell>
          <cell r="H217">
            <v>0</v>
          </cell>
          <cell r="I217" t="str">
            <v>N/A</v>
          </cell>
          <cell r="J217">
            <v>45370</v>
          </cell>
          <cell r="K217">
            <v>45370</v>
          </cell>
          <cell r="L217">
            <v>0</v>
          </cell>
          <cell r="M217" t="str">
            <v>N/A</v>
          </cell>
          <cell r="N217" t="str">
            <v>N/A</v>
          </cell>
          <cell r="O217">
            <v>45372</v>
          </cell>
          <cell r="P217">
            <v>0</v>
          </cell>
          <cell r="Q217">
            <v>0</v>
          </cell>
          <cell r="R217">
            <v>0</v>
          </cell>
          <cell r="S217" t="str">
            <v>N/A</v>
          </cell>
          <cell r="T217">
            <v>45387</v>
          </cell>
          <cell r="U217">
            <v>45397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39520</v>
          </cell>
          <cell r="AB217">
            <v>0</v>
          </cell>
          <cell r="AC217">
            <v>39520</v>
          </cell>
          <cell r="AD217">
            <v>39460</v>
          </cell>
          <cell r="AE217">
            <v>0</v>
          </cell>
          <cell r="AF217">
            <v>39460</v>
          </cell>
          <cell r="AG217" t="str">
            <v>C</v>
          </cell>
          <cell r="AH217" t="str">
            <v>ENGR. MICHAEL C. SALARDA
MS. LEONARDA M. LATOR
MS. CARMENCITA VALDEZ
MS. SORAYA P. VERGARA</v>
          </cell>
          <cell r="AI217" t="str">
            <v>N/A</v>
          </cell>
          <cell r="AJ217" t="str">
            <v>N/A</v>
          </cell>
          <cell r="AK217" t="str">
            <v>N/A</v>
          </cell>
          <cell r="AL217" t="str">
            <v>N/A</v>
          </cell>
          <cell r="AM217" t="str">
            <v>N/A</v>
          </cell>
          <cell r="AN217" t="str">
            <v>N/A</v>
          </cell>
          <cell r="AO217">
            <v>0</v>
          </cell>
        </row>
        <row r="218">
          <cell r="A218" t="str">
            <v>24-1301</v>
          </cell>
          <cell r="B218" t="str">
            <v>OFFICE EQUIPMENT</v>
          </cell>
          <cell r="C218" t="str">
            <v>PAO-ADMIN</v>
          </cell>
          <cell r="D218" t="str">
            <v>No</v>
          </cell>
          <cell r="E218" t="str">
            <v>NP-53.9 - Small Value Procurement</v>
          </cell>
          <cell r="F218" t="str">
            <v>N/A</v>
          </cell>
          <cell r="G218">
            <v>45352</v>
          </cell>
          <cell r="H218">
            <v>0</v>
          </cell>
          <cell r="I218" t="str">
            <v>N/A</v>
          </cell>
          <cell r="J218">
            <v>45370</v>
          </cell>
          <cell r="K218">
            <v>45370</v>
          </cell>
          <cell r="L218">
            <v>0</v>
          </cell>
          <cell r="M218" t="str">
            <v>N/A</v>
          </cell>
          <cell r="N218" t="str">
            <v>N/A</v>
          </cell>
          <cell r="O218">
            <v>45372</v>
          </cell>
          <cell r="P218">
            <v>0</v>
          </cell>
          <cell r="Q218">
            <v>0</v>
          </cell>
          <cell r="R218">
            <v>0</v>
          </cell>
          <cell r="S218">
            <v>45378</v>
          </cell>
          <cell r="T218">
            <v>45386</v>
          </cell>
          <cell r="U218">
            <v>45394</v>
          </cell>
          <cell r="V218">
            <v>0</v>
          </cell>
          <cell r="W218">
            <v>0</v>
          </cell>
          <cell r="X218">
            <v>45418</v>
          </cell>
          <cell r="Y218">
            <v>45418</v>
          </cell>
          <cell r="Z218">
            <v>0</v>
          </cell>
          <cell r="AA218">
            <v>53790</v>
          </cell>
          <cell r="AB218">
            <v>0</v>
          </cell>
          <cell r="AC218">
            <v>53790</v>
          </cell>
          <cell r="AD218">
            <v>52989</v>
          </cell>
          <cell r="AE218">
            <v>0</v>
          </cell>
          <cell r="AF218">
            <v>52989</v>
          </cell>
          <cell r="AG218" t="str">
            <v>C</v>
          </cell>
          <cell r="AH218" t="str">
            <v>ENGR. MICHAEL C. SALARDA
MS. LEONARDA M. LATOR
MS. CARMENCITA VALDEZ
MS. SORAYA P. VERGARA</v>
          </cell>
          <cell r="AI218" t="str">
            <v>N/A</v>
          </cell>
          <cell r="AJ218" t="str">
            <v>N/A</v>
          </cell>
          <cell r="AK218" t="str">
            <v>N/A</v>
          </cell>
          <cell r="AL218" t="str">
            <v>N/A</v>
          </cell>
          <cell r="AM218" t="str">
            <v>N/A</v>
          </cell>
          <cell r="AN218" t="str">
            <v>N/A</v>
          </cell>
          <cell r="AO218" t="str">
            <v>COMPLETED</v>
          </cell>
        </row>
        <row r="219">
          <cell r="A219" t="str">
            <v>24-1394</v>
          </cell>
          <cell r="B219" t="str">
            <v>PRINTERS</v>
          </cell>
          <cell r="C219" t="str">
            <v>PTO</v>
          </cell>
          <cell r="D219" t="str">
            <v>No</v>
          </cell>
          <cell r="E219" t="str">
            <v>NP-53.9 - Small Value Procurement</v>
          </cell>
          <cell r="F219" t="str">
            <v>N/A</v>
          </cell>
          <cell r="G219">
            <v>45352</v>
          </cell>
          <cell r="H219">
            <v>0</v>
          </cell>
          <cell r="I219" t="str">
            <v>N/A</v>
          </cell>
          <cell r="J219">
            <v>45370</v>
          </cell>
          <cell r="K219">
            <v>45370</v>
          </cell>
          <cell r="L219">
            <v>0</v>
          </cell>
          <cell r="M219" t="str">
            <v>N/A</v>
          </cell>
          <cell r="N219" t="str">
            <v>N/A</v>
          </cell>
          <cell r="O219">
            <v>45372</v>
          </cell>
          <cell r="P219">
            <v>0</v>
          </cell>
          <cell r="Q219">
            <v>0</v>
          </cell>
          <cell r="R219">
            <v>0</v>
          </cell>
          <cell r="S219" t="str">
            <v>N/A</v>
          </cell>
          <cell r="T219">
            <v>45390</v>
          </cell>
          <cell r="U219">
            <v>45394</v>
          </cell>
          <cell r="V219">
            <v>0</v>
          </cell>
          <cell r="W219">
            <v>0</v>
          </cell>
          <cell r="X219">
            <v>45397</v>
          </cell>
          <cell r="Y219">
            <v>45397</v>
          </cell>
          <cell r="Z219">
            <v>0</v>
          </cell>
          <cell r="AA219">
            <v>14500</v>
          </cell>
          <cell r="AB219">
            <v>14500</v>
          </cell>
          <cell r="AC219">
            <v>0</v>
          </cell>
          <cell r="AD219">
            <v>14406</v>
          </cell>
          <cell r="AE219">
            <v>14406</v>
          </cell>
          <cell r="AF219">
            <v>0</v>
          </cell>
          <cell r="AG219" t="str">
            <v>M</v>
          </cell>
          <cell r="AH219" t="str">
            <v>ENGR. MICHAEL C. SALARDA
MS. LEONARDA M. LATOR
MS. CARMENCITA VALDEZ
MS. SORAYA P. VERGARA</v>
          </cell>
          <cell r="AI219" t="str">
            <v>N/A</v>
          </cell>
          <cell r="AJ219" t="str">
            <v>N/A</v>
          </cell>
          <cell r="AK219" t="str">
            <v>N/A</v>
          </cell>
          <cell r="AL219" t="str">
            <v>N/A</v>
          </cell>
          <cell r="AM219" t="str">
            <v>N/A</v>
          </cell>
          <cell r="AN219" t="str">
            <v>N/A</v>
          </cell>
          <cell r="AO219" t="str">
            <v>COMPLETED</v>
          </cell>
        </row>
        <row r="220">
          <cell r="A220" t="str">
            <v>24-0077</v>
          </cell>
          <cell r="B220" t="str">
            <v>TARPAULIN</v>
          </cell>
          <cell r="C220" t="str">
            <v>PBO</v>
          </cell>
          <cell r="D220" t="str">
            <v>No</v>
          </cell>
          <cell r="E220" t="str">
            <v>NP-53.9 - Small Value Procurement</v>
          </cell>
          <cell r="F220" t="str">
            <v>N/A</v>
          </cell>
          <cell r="G220">
            <v>45352</v>
          </cell>
          <cell r="H220">
            <v>0</v>
          </cell>
          <cell r="I220" t="str">
            <v>N/A</v>
          </cell>
          <cell r="J220">
            <v>45370</v>
          </cell>
          <cell r="K220">
            <v>45370</v>
          </cell>
          <cell r="L220">
            <v>0</v>
          </cell>
          <cell r="M220" t="str">
            <v>N/A</v>
          </cell>
          <cell r="N220" t="str">
            <v>N/A</v>
          </cell>
          <cell r="O220">
            <v>45372</v>
          </cell>
          <cell r="P220">
            <v>0</v>
          </cell>
          <cell r="Q220">
            <v>0</v>
          </cell>
          <cell r="R220">
            <v>0</v>
          </cell>
          <cell r="S220" t="str">
            <v>N/A</v>
          </cell>
          <cell r="T220">
            <v>45390</v>
          </cell>
          <cell r="U220">
            <v>45394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2800</v>
          </cell>
          <cell r="AB220">
            <v>2800</v>
          </cell>
          <cell r="AC220">
            <v>0</v>
          </cell>
          <cell r="AD220">
            <v>2800</v>
          </cell>
          <cell r="AE220">
            <v>2800</v>
          </cell>
          <cell r="AF220">
            <v>0</v>
          </cell>
          <cell r="AG220" t="str">
            <v>M</v>
          </cell>
          <cell r="AH220" t="str">
            <v>ENGR. MICHAEL C. SALARDA
MS. LEONARDA M. LATOR
MS. CARMENCITA VALDEZ
MS. SORAYA P. VERGARA</v>
          </cell>
          <cell r="AI220" t="str">
            <v>N/A</v>
          </cell>
          <cell r="AJ220" t="str">
            <v>N/A</v>
          </cell>
          <cell r="AK220" t="str">
            <v>N/A</v>
          </cell>
          <cell r="AL220" t="str">
            <v>N/A</v>
          </cell>
          <cell r="AM220" t="str">
            <v>N/A</v>
          </cell>
          <cell r="AN220" t="str">
            <v>N/A</v>
          </cell>
          <cell r="AO220">
            <v>0</v>
          </cell>
        </row>
        <row r="221">
          <cell r="A221" t="str">
            <v>24-1228</v>
          </cell>
          <cell r="B221" t="str">
            <v>TARPAULIN</v>
          </cell>
          <cell r="C221" t="str">
            <v>PAO</v>
          </cell>
          <cell r="D221" t="str">
            <v>No</v>
          </cell>
          <cell r="E221" t="str">
            <v>NP-53.9 - Small Value Procurement</v>
          </cell>
          <cell r="F221" t="str">
            <v>N/A</v>
          </cell>
          <cell r="G221">
            <v>45352</v>
          </cell>
          <cell r="H221">
            <v>0</v>
          </cell>
          <cell r="I221" t="str">
            <v>N/A</v>
          </cell>
          <cell r="J221">
            <v>45370</v>
          </cell>
          <cell r="K221">
            <v>45370</v>
          </cell>
          <cell r="L221">
            <v>0</v>
          </cell>
          <cell r="M221" t="str">
            <v>N/A</v>
          </cell>
          <cell r="N221" t="str">
            <v>N/A</v>
          </cell>
          <cell r="O221">
            <v>45372</v>
          </cell>
          <cell r="P221">
            <v>0</v>
          </cell>
          <cell r="Q221">
            <v>0</v>
          </cell>
          <cell r="R221">
            <v>0</v>
          </cell>
          <cell r="S221" t="str">
            <v>N/A</v>
          </cell>
          <cell r="T221">
            <v>45386</v>
          </cell>
          <cell r="U221">
            <v>45394</v>
          </cell>
          <cell r="V221">
            <v>0</v>
          </cell>
          <cell r="W221">
            <v>0</v>
          </cell>
          <cell r="X221">
            <v>45450</v>
          </cell>
          <cell r="Y221">
            <v>45450</v>
          </cell>
          <cell r="Z221">
            <v>0</v>
          </cell>
          <cell r="AA221">
            <v>9800</v>
          </cell>
          <cell r="AB221">
            <v>0</v>
          </cell>
          <cell r="AC221">
            <v>9800</v>
          </cell>
          <cell r="AD221">
            <v>9800</v>
          </cell>
          <cell r="AE221">
            <v>0</v>
          </cell>
          <cell r="AF221">
            <v>9800</v>
          </cell>
          <cell r="AG221" t="str">
            <v>C</v>
          </cell>
          <cell r="AH221" t="str">
            <v>ENGR. MICHAEL C. SALARDA
MS. LEONARDA M. LATOR
MS. CARMENCITA VALDEZ
MS. SORAYA P. VERGARA</v>
          </cell>
          <cell r="AI221" t="str">
            <v>N/A</v>
          </cell>
          <cell r="AJ221" t="str">
            <v>N/A</v>
          </cell>
          <cell r="AK221" t="str">
            <v>N/A</v>
          </cell>
          <cell r="AL221" t="str">
            <v>N/A</v>
          </cell>
          <cell r="AM221" t="str">
            <v>N/A</v>
          </cell>
          <cell r="AN221" t="str">
            <v>N/A</v>
          </cell>
          <cell r="AO221" t="str">
            <v>COMPLETED</v>
          </cell>
        </row>
        <row r="222">
          <cell r="A222" t="str">
            <v>24-0530</v>
          </cell>
          <cell r="B222" t="str">
            <v>PLAQUE/TROPHIES/MEDAL</v>
          </cell>
          <cell r="C222" t="str">
            <v>PDRRMO</v>
          </cell>
          <cell r="D222" t="str">
            <v>No</v>
          </cell>
          <cell r="E222" t="str">
            <v>NP-53.9 - Small Value Procurement</v>
          </cell>
          <cell r="F222" t="str">
            <v>N/A</v>
          </cell>
          <cell r="G222">
            <v>45352</v>
          </cell>
          <cell r="H222">
            <v>0</v>
          </cell>
          <cell r="I222" t="str">
            <v>N/A</v>
          </cell>
          <cell r="J222">
            <v>45370</v>
          </cell>
          <cell r="K222">
            <v>45370</v>
          </cell>
          <cell r="L222">
            <v>0</v>
          </cell>
          <cell r="M222" t="str">
            <v>N/A</v>
          </cell>
          <cell r="N222" t="str">
            <v>N/A</v>
          </cell>
          <cell r="O222">
            <v>45372</v>
          </cell>
          <cell r="P222">
            <v>0</v>
          </cell>
          <cell r="Q222">
            <v>0</v>
          </cell>
          <cell r="R222">
            <v>0</v>
          </cell>
          <cell r="S222" t="str">
            <v>N/A</v>
          </cell>
          <cell r="T222">
            <v>45387</v>
          </cell>
          <cell r="U222">
            <v>45394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26400</v>
          </cell>
          <cell r="AB222">
            <v>0</v>
          </cell>
          <cell r="AC222">
            <v>26400</v>
          </cell>
          <cell r="AD222">
            <v>26400</v>
          </cell>
          <cell r="AE222">
            <v>0</v>
          </cell>
          <cell r="AF222">
            <v>26400</v>
          </cell>
          <cell r="AG222" t="str">
            <v>C</v>
          </cell>
          <cell r="AH222" t="str">
            <v>ENGR. MICHAEL C. SALARDA
MS. LEONARDA M. LATOR
MS. CARMENCITA VALDEZ
MS. SORAYA P. VERGARA</v>
          </cell>
          <cell r="AI222" t="str">
            <v>N/A</v>
          </cell>
          <cell r="AJ222" t="str">
            <v>N/A</v>
          </cell>
          <cell r="AK222" t="str">
            <v>N/A</v>
          </cell>
          <cell r="AL222" t="str">
            <v>N/A</v>
          </cell>
          <cell r="AM222" t="str">
            <v>N/A</v>
          </cell>
          <cell r="AN222" t="str">
            <v>N/A</v>
          </cell>
          <cell r="AO222">
            <v>0</v>
          </cell>
        </row>
        <row r="223">
          <cell r="A223" t="str">
            <v>24-0706</v>
          </cell>
          <cell r="B223" t="str">
            <v>FOOD/CATERING SERVICES</v>
          </cell>
          <cell r="C223" t="str">
            <v>PAO-ADMIN</v>
          </cell>
          <cell r="D223" t="str">
            <v>No</v>
          </cell>
          <cell r="E223" t="str">
            <v>NP-53.9 - Small Value Procurement</v>
          </cell>
          <cell r="F223" t="str">
            <v>N/A</v>
          </cell>
          <cell r="G223">
            <v>45352</v>
          </cell>
          <cell r="H223">
            <v>0</v>
          </cell>
          <cell r="I223" t="str">
            <v>N/A</v>
          </cell>
          <cell r="J223">
            <v>45370</v>
          </cell>
          <cell r="K223">
            <v>45370</v>
          </cell>
          <cell r="L223">
            <v>0</v>
          </cell>
          <cell r="M223" t="str">
            <v>N/A</v>
          </cell>
          <cell r="N223" t="str">
            <v>N/A</v>
          </cell>
          <cell r="O223">
            <v>45372</v>
          </cell>
          <cell r="P223">
            <v>0</v>
          </cell>
          <cell r="Q223">
            <v>0</v>
          </cell>
          <cell r="R223">
            <v>0</v>
          </cell>
          <cell r="S223">
            <v>45376</v>
          </cell>
          <cell r="T223">
            <v>45386</v>
          </cell>
          <cell r="U223">
            <v>45398</v>
          </cell>
          <cell r="V223">
            <v>0</v>
          </cell>
          <cell r="W223">
            <v>0</v>
          </cell>
          <cell r="X223">
            <v>45454</v>
          </cell>
          <cell r="Y223">
            <v>45454</v>
          </cell>
          <cell r="Z223">
            <v>0</v>
          </cell>
          <cell r="AA223">
            <v>100000</v>
          </cell>
          <cell r="AB223">
            <v>0</v>
          </cell>
          <cell r="AC223">
            <v>100000</v>
          </cell>
          <cell r="AD223">
            <v>97200</v>
          </cell>
          <cell r="AE223">
            <v>0</v>
          </cell>
          <cell r="AF223">
            <v>97200</v>
          </cell>
          <cell r="AG223" t="str">
            <v>C</v>
          </cell>
          <cell r="AH223" t="str">
            <v>ENGR. MICHAEL C. SALARDA
MS. LEONARDA M. LATOR
MS. CARMENCITA VALDEZ
MS. SORAYA P. VERGARA</v>
          </cell>
          <cell r="AI223" t="str">
            <v>N/A</v>
          </cell>
          <cell r="AJ223" t="str">
            <v>N/A</v>
          </cell>
          <cell r="AK223" t="str">
            <v>N/A</v>
          </cell>
          <cell r="AL223" t="str">
            <v>N/A</v>
          </cell>
          <cell r="AM223" t="str">
            <v>N/A</v>
          </cell>
          <cell r="AN223" t="str">
            <v>N/A</v>
          </cell>
          <cell r="AO223" t="str">
            <v>COMPLETED</v>
          </cell>
        </row>
        <row r="224">
          <cell r="A224" t="str">
            <v>24-1303</v>
          </cell>
          <cell r="B224" t="str">
            <v>FOOD/CATERING SERVICES</v>
          </cell>
          <cell r="C224" t="str">
            <v>PICTO</v>
          </cell>
          <cell r="D224" t="str">
            <v>No</v>
          </cell>
          <cell r="E224" t="str">
            <v>NP-53.9 - Small Value Procurement</v>
          </cell>
          <cell r="F224" t="str">
            <v>N/A</v>
          </cell>
          <cell r="G224">
            <v>45352</v>
          </cell>
          <cell r="H224">
            <v>0</v>
          </cell>
          <cell r="I224" t="str">
            <v>N/A</v>
          </cell>
          <cell r="J224">
            <v>45370</v>
          </cell>
          <cell r="K224">
            <v>45370</v>
          </cell>
          <cell r="L224">
            <v>0</v>
          </cell>
          <cell r="M224" t="str">
            <v>N/A</v>
          </cell>
          <cell r="N224" t="str">
            <v>N/A</v>
          </cell>
          <cell r="O224">
            <v>45372</v>
          </cell>
          <cell r="P224">
            <v>0</v>
          </cell>
          <cell r="Q224">
            <v>0</v>
          </cell>
          <cell r="R224">
            <v>0</v>
          </cell>
          <cell r="S224" t="str">
            <v>N/A</v>
          </cell>
          <cell r="T224">
            <v>45387</v>
          </cell>
          <cell r="U224">
            <v>45393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23400</v>
          </cell>
          <cell r="AB224">
            <v>23400</v>
          </cell>
          <cell r="AC224">
            <v>0</v>
          </cell>
          <cell r="AD224">
            <v>22980</v>
          </cell>
          <cell r="AE224">
            <v>22980</v>
          </cell>
          <cell r="AF224">
            <v>0</v>
          </cell>
          <cell r="AG224" t="str">
            <v>M</v>
          </cell>
          <cell r="AH224" t="str">
            <v>ENGR. MICHAEL C. SALARDA
MS. LEONARDA M. LATOR
MS. CARMENCITA VALDEZ
MS. SORAYA P. VERGARA</v>
          </cell>
          <cell r="AI224" t="str">
            <v>N/A</v>
          </cell>
          <cell r="AJ224" t="str">
            <v>N/A</v>
          </cell>
          <cell r="AK224" t="str">
            <v>N/A</v>
          </cell>
          <cell r="AL224" t="str">
            <v>N/A</v>
          </cell>
          <cell r="AM224" t="str">
            <v>N/A</v>
          </cell>
          <cell r="AN224" t="str">
            <v>N/A</v>
          </cell>
          <cell r="AO224">
            <v>0</v>
          </cell>
        </row>
        <row r="225">
          <cell r="A225" t="str">
            <v>24-1342</v>
          </cell>
          <cell r="B225" t="str">
            <v>WATER</v>
          </cell>
          <cell r="C225" t="str">
            <v>PGO</v>
          </cell>
          <cell r="D225" t="str">
            <v>No</v>
          </cell>
          <cell r="E225" t="str">
            <v>NP-53.9 - Small Value Procurement</v>
          </cell>
          <cell r="F225" t="str">
            <v>N/A</v>
          </cell>
          <cell r="G225">
            <v>45352</v>
          </cell>
          <cell r="H225">
            <v>0</v>
          </cell>
          <cell r="I225" t="str">
            <v>N/A</v>
          </cell>
          <cell r="J225">
            <v>45370</v>
          </cell>
          <cell r="K225">
            <v>45370</v>
          </cell>
          <cell r="L225">
            <v>0</v>
          </cell>
          <cell r="M225" t="str">
            <v>N/A</v>
          </cell>
          <cell r="N225" t="str">
            <v>N/A</v>
          </cell>
          <cell r="O225">
            <v>45372</v>
          </cell>
          <cell r="P225">
            <v>0</v>
          </cell>
          <cell r="Q225">
            <v>0</v>
          </cell>
          <cell r="R225">
            <v>0</v>
          </cell>
          <cell r="S225" t="str">
            <v>N/A</v>
          </cell>
          <cell r="T225">
            <v>45386</v>
          </cell>
          <cell r="U225">
            <v>45393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10575</v>
          </cell>
          <cell r="AB225">
            <v>10575</v>
          </cell>
          <cell r="AC225">
            <v>0</v>
          </cell>
          <cell r="AD225">
            <v>10000</v>
          </cell>
          <cell r="AE225">
            <v>10000</v>
          </cell>
          <cell r="AF225">
            <v>0</v>
          </cell>
          <cell r="AG225" t="str">
            <v>M</v>
          </cell>
          <cell r="AH225" t="str">
            <v>ENGR. MICHAEL C. SALARDA
MS. LEONARDA M. LATOR
MS. CARMENCITA VALDEZ
MS. SORAYA P. VERGARA</v>
          </cell>
          <cell r="AI225" t="str">
            <v>N/A</v>
          </cell>
          <cell r="AJ225" t="str">
            <v>N/A</v>
          </cell>
          <cell r="AK225" t="str">
            <v>N/A</v>
          </cell>
          <cell r="AL225" t="str">
            <v>N/A</v>
          </cell>
          <cell r="AM225" t="str">
            <v>N/A</v>
          </cell>
          <cell r="AN225" t="str">
            <v>N/A</v>
          </cell>
          <cell r="AO225">
            <v>0</v>
          </cell>
        </row>
        <row r="226">
          <cell r="A226" t="str">
            <v>24-C1098</v>
          </cell>
          <cell r="B226" t="str">
            <v>OTHER SUPPLIES &amp; MATERIALS</v>
          </cell>
          <cell r="C226" t="str">
            <v>PGO</v>
          </cell>
          <cell r="D226" t="str">
            <v>No</v>
          </cell>
          <cell r="E226" t="str">
            <v>NP-53.9 - Small Value Procurement</v>
          </cell>
          <cell r="F226" t="str">
            <v>N/A</v>
          </cell>
          <cell r="G226">
            <v>45352</v>
          </cell>
          <cell r="H226">
            <v>0</v>
          </cell>
          <cell r="I226" t="str">
            <v>N/A</v>
          </cell>
          <cell r="J226">
            <v>45370</v>
          </cell>
          <cell r="K226">
            <v>45370</v>
          </cell>
          <cell r="L226">
            <v>0</v>
          </cell>
          <cell r="M226" t="str">
            <v>N/A</v>
          </cell>
          <cell r="N226" t="str">
            <v>N/A</v>
          </cell>
          <cell r="O226">
            <v>45372</v>
          </cell>
          <cell r="P226">
            <v>0</v>
          </cell>
          <cell r="Q226">
            <v>0</v>
          </cell>
          <cell r="R226">
            <v>0</v>
          </cell>
          <cell r="S226">
            <v>45378</v>
          </cell>
          <cell r="T226">
            <v>45386</v>
          </cell>
          <cell r="U226">
            <v>45397</v>
          </cell>
          <cell r="V226">
            <v>0</v>
          </cell>
          <cell r="W226">
            <v>0</v>
          </cell>
          <cell r="X226">
            <v>45415</v>
          </cell>
          <cell r="Y226">
            <v>45415</v>
          </cell>
          <cell r="Z226">
            <v>0</v>
          </cell>
          <cell r="AA226">
            <v>459943.2</v>
          </cell>
          <cell r="AB226">
            <v>0</v>
          </cell>
          <cell r="AC226">
            <v>459943.2</v>
          </cell>
          <cell r="AD226">
            <v>439600</v>
          </cell>
          <cell r="AE226">
            <v>0</v>
          </cell>
          <cell r="AF226">
            <v>439600</v>
          </cell>
          <cell r="AG226" t="str">
            <v>C</v>
          </cell>
          <cell r="AH226" t="str">
            <v>ENGR. MICHAEL C. SALARDA
MS. LEONARDA M. LATOR
MS. CARMENCITA VALDEZ
MS. SORAYA P. VERGARA</v>
          </cell>
          <cell r="AI226" t="str">
            <v>N/A</v>
          </cell>
          <cell r="AJ226" t="str">
            <v>N/A</v>
          </cell>
          <cell r="AK226" t="str">
            <v>N/A</v>
          </cell>
          <cell r="AL226" t="str">
            <v>N/A</v>
          </cell>
          <cell r="AM226" t="str">
            <v>N/A</v>
          </cell>
          <cell r="AN226" t="str">
            <v>N/A</v>
          </cell>
          <cell r="AO226" t="str">
            <v>COMPLETED</v>
          </cell>
        </row>
        <row r="227">
          <cell r="A227" t="str">
            <v>24-0907</v>
          </cell>
          <cell r="B227" t="str">
            <v>SPAREPARTS (LIGHT VEHICLES)</v>
          </cell>
          <cell r="C227" t="str">
            <v>PVGO</v>
          </cell>
          <cell r="D227" t="str">
            <v>No</v>
          </cell>
          <cell r="E227" t="str">
            <v>NP-53.9 - Small Value Procurement</v>
          </cell>
          <cell r="F227">
            <v>45342</v>
          </cell>
          <cell r="G227">
            <v>45344</v>
          </cell>
          <cell r="H227">
            <v>0</v>
          </cell>
          <cell r="I227" t="str">
            <v>N/A</v>
          </cell>
          <cell r="J227">
            <v>45370</v>
          </cell>
          <cell r="K227">
            <v>45370</v>
          </cell>
          <cell r="L227">
            <v>0</v>
          </cell>
          <cell r="M227" t="str">
            <v>N/A</v>
          </cell>
          <cell r="N227" t="str">
            <v>N/A</v>
          </cell>
          <cell r="O227">
            <v>45372</v>
          </cell>
          <cell r="P227">
            <v>0</v>
          </cell>
          <cell r="Q227">
            <v>0</v>
          </cell>
          <cell r="R227">
            <v>0</v>
          </cell>
          <cell r="S227" t="str">
            <v>N/A</v>
          </cell>
          <cell r="T227">
            <v>45439</v>
          </cell>
          <cell r="U227">
            <v>45447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21880</v>
          </cell>
          <cell r="AB227">
            <v>21880</v>
          </cell>
          <cell r="AC227">
            <v>0</v>
          </cell>
          <cell r="AD227">
            <v>21600</v>
          </cell>
          <cell r="AE227">
            <v>21600</v>
          </cell>
          <cell r="AF227">
            <v>0</v>
          </cell>
          <cell r="AG227" t="str">
            <v>M</v>
          </cell>
          <cell r="AH227" t="str">
            <v>ENGR. MICHAEL C. SALARDA
MS. LEONARDA M. LATOR
MS. CARMENCITA VALDEZ
MS. SORAYA P. VERGARA</v>
          </cell>
          <cell r="AI227" t="str">
            <v>N/A</v>
          </cell>
          <cell r="AJ227" t="str">
            <v>N/A</v>
          </cell>
          <cell r="AK227" t="str">
            <v>N/A</v>
          </cell>
          <cell r="AL227" t="str">
            <v>N/A</v>
          </cell>
          <cell r="AM227" t="str">
            <v>N/A</v>
          </cell>
          <cell r="AN227" t="str">
            <v>N/A</v>
          </cell>
          <cell r="AO227">
            <v>0</v>
          </cell>
        </row>
        <row r="228">
          <cell r="A228" t="str">
            <v>24-1170</v>
          </cell>
          <cell r="B228" t="str">
            <v>FOOD/CATERING SERVICES</v>
          </cell>
          <cell r="C228" t="str">
            <v>PAO-ADMIN</v>
          </cell>
          <cell r="D228" t="str">
            <v>No</v>
          </cell>
          <cell r="E228" t="str">
            <v>NP-53.9 - Small Value Procurement</v>
          </cell>
          <cell r="F228">
            <v>45356</v>
          </cell>
          <cell r="G228">
            <v>45359</v>
          </cell>
          <cell r="H228">
            <v>0</v>
          </cell>
          <cell r="I228" t="str">
            <v>N/A</v>
          </cell>
          <cell r="J228">
            <v>45370</v>
          </cell>
          <cell r="K228">
            <v>45370</v>
          </cell>
          <cell r="L228">
            <v>0</v>
          </cell>
          <cell r="M228" t="str">
            <v>N/A</v>
          </cell>
          <cell r="N228" t="str">
            <v>N/A</v>
          </cell>
          <cell r="O228">
            <v>45372</v>
          </cell>
          <cell r="P228">
            <v>0</v>
          </cell>
          <cell r="Q228">
            <v>0</v>
          </cell>
          <cell r="R228">
            <v>0</v>
          </cell>
          <cell r="S228">
            <v>45376</v>
          </cell>
          <cell r="T228">
            <v>45386</v>
          </cell>
          <cell r="U228">
            <v>45398</v>
          </cell>
          <cell r="V228">
            <v>0</v>
          </cell>
          <cell r="W228">
            <v>0</v>
          </cell>
          <cell r="X228">
            <v>45461</v>
          </cell>
          <cell r="Y228">
            <v>45461</v>
          </cell>
          <cell r="Z228">
            <v>0</v>
          </cell>
          <cell r="AA228">
            <v>63750</v>
          </cell>
          <cell r="AB228">
            <v>0</v>
          </cell>
          <cell r="AC228">
            <v>63750</v>
          </cell>
          <cell r="AD228">
            <v>61125</v>
          </cell>
          <cell r="AE228">
            <v>0</v>
          </cell>
          <cell r="AF228">
            <v>61125</v>
          </cell>
          <cell r="AG228" t="str">
            <v>C</v>
          </cell>
          <cell r="AH228" t="str">
            <v>ENGR. MICHAEL C. SALARDA
MS. LEONARDA M. LATOR
MS. CARMENCITA VALDEZ
MS. SORAYA P. VERGARA</v>
          </cell>
          <cell r="AI228" t="str">
            <v>N/A</v>
          </cell>
          <cell r="AJ228" t="str">
            <v>N/A</v>
          </cell>
          <cell r="AK228" t="str">
            <v>N/A</v>
          </cell>
          <cell r="AL228" t="str">
            <v>N/A</v>
          </cell>
          <cell r="AM228" t="str">
            <v>N/A</v>
          </cell>
          <cell r="AN228" t="str">
            <v>N/A</v>
          </cell>
          <cell r="AO228" t="str">
            <v>COMPLETED</v>
          </cell>
        </row>
        <row r="229">
          <cell r="A229" t="str">
            <v>24-C1137</v>
          </cell>
          <cell r="B229" t="str">
            <v>FOOD/CATERING SERVICES</v>
          </cell>
          <cell r="C229" t="str">
            <v>PGO</v>
          </cell>
          <cell r="D229" t="str">
            <v>No</v>
          </cell>
          <cell r="E229" t="str">
            <v>NP-53.9 - Small Value Procurement</v>
          </cell>
          <cell r="F229">
            <v>45356</v>
          </cell>
          <cell r="G229">
            <v>45359</v>
          </cell>
          <cell r="H229">
            <v>0</v>
          </cell>
          <cell r="I229" t="str">
            <v>N/A</v>
          </cell>
          <cell r="J229">
            <v>45370</v>
          </cell>
          <cell r="K229">
            <v>45370</v>
          </cell>
          <cell r="L229">
            <v>0</v>
          </cell>
          <cell r="M229" t="str">
            <v>N/A</v>
          </cell>
          <cell r="N229" t="str">
            <v>N/A</v>
          </cell>
          <cell r="O229">
            <v>45372</v>
          </cell>
          <cell r="P229">
            <v>0</v>
          </cell>
          <cell r="Q229">
            <v>0</v>
          </cell>
          <cell r="R229">
            <v>0</v>
          </cell>
          <cell r="S229">
            <v>45376</v>
          </cell>
          <cell r="T229">
            <v>45419</v>
          </cell>
          <cell r="U229">
            <v>45422</v>
          </cell>
          <cell r="V229">
            <v>0</v>
          </cell>
          <cell r="W229">
            <v>0</v>
          </cell>
          <cell r="X229">
            <v>45376</v>
          </cell>
          <cell r="Y229">
            <v>45376</v>
          </cell>
          <cell r="Z229">
            <v>0</v>
          </cell>
          <cell r="AA229">
            <v>251000</v>
          </cell>
          <cell r="AB229">
            <v>0</v>
          </cell>
          <cell r="AC229">
            <v>251000</v>
          </cell>
          <cell r="AD229">
            <v>251000</v>
          </cell>
          <cell r="AE229">
            <v>0</v>
          </cell>
          <cell r="AF229">
            <v>251000</v>
          </cell>
          <cell r="AG229" t="str">
            <v>C</v>
          </cell>
          <cell r="AH229" t="str">
            <v>ENGR. MICHAEL C. SALARDA
MS. LEONARDA M. LATOR
MS. CARMENCITA VALDEZ
MS. SORAYA P. VERGARA</v>
          </cell>
          <cell r="AI229" t="str">
            <v>N/A</v>
          </cell>
          <cell r="AJ229" t="str">
            <v>N/A</v>
          </cell>
          <cell r="AK229" t="str">
            <v>N/A</v>
          </cell>
          <cell r="AL229" t="str">
            <v>N/A</v>
          </cell>
          <cell r="AM229" t="str">
            <v>N/A</v>
          </cell>
          <cell r="AN229" t="str">
            <v>N/A</v>
          </cell>
          <cell r="AO229" t="str">
            <v>COMPLETED</v>
          </cell>
        </row>
        <row r="230">
          <cell r="A230" t="str">
            <v>24-C0990</v>
          </cell>
          <cell r="B230" t="str">
            <v>FOOD/CATERING SERVICES</v>
          </cell>
          <cell r="C230" t="str">
            <v>PENRO</v>
          </cell>
          <cell r="D230" t="str">
            <v>No</v>
          </cell>
          <cell r="E230" t="str">
            <v>NP-53.9 - Small Value Procurement</v>
          </cell>
          <cell r="F230">
            <v>45356</v>
          </cell>
          <cell r="G230">
            <v>45359</v>
          </cell>
          <cell r="H230">
            <v>0</v>
          </cell>
          <cell r="I230" t="str">
            <v>N/A</v>
          </cell>
          <cell r="J230">
            <v>45370</v>
          </cell>
          <cell r="K230">
            <v>45370</v>
          </cell>
          <cell r="L230">
            <v>0</v>
          </cell>
          <cell r="M230" t="str">
            <v>N/A</v>
          </cell>
          <cell r="N230" t="str">
            <v>N/A</v>
          </cell>
          <cell r="O230">
            <v>45372</v>
          </cell>
          <cell r="P230">
            <v>0</v>
          </cell>
          <cell r="Q230">
            <v>0</v>
          </cell>
          <cell r="R230">
            <v>0</v>
          </cell>
          <cell r="S230">
            <v>45376</v>
          </cell>
          <cell r="T230">
            <v>45390</v>
          </cell>
          <cell r="U230">
            <v>45393</v>
          </cell>
          <cell r="V230">
            <v>0</v>
          </cell>
          <cell r="W230">
            <v>0</v>
          </cell>
          <cell r="X230">
            <v>45428</v>
          </cell>
          <cell r="Y230">
            <v>45428</v>
          </cell>
          <cell r="Z230">
            <v>0</v>
          </cell>
          <cell r="AA230">
            <v>160260</v>
          </cell>
          <cell r="AB230">
            <v>0</v>
          </cell>
          <cell r="AC230">
            <v>160260</v>
          </cell>
          <cell r="AD230">
            <v>160260</v>
          </cell>
          <cell r="AE230">
            <v>0</v>
          </cell>
          <cell r="AF230">
            <v>160260</v>
          </cell>
          <cell r="AG230" t="str">
            <v>C</v>
          </cell>
          <cell r="AH230" t="str">
            <v>ENGR. MICHAEL C. SALARDA
MS. LEONARDA M. LATOR
MS. CARMENCITA VALDEZ
MS. SORAYA P. VERGARA</v>
          </cell>
          <cell r="AI230" t="str">
            <v>N/A</v>
          </cell>
          <cell r="AJ230" t="str">
            <v>N/A</v>
          </cell>
          <cell r="AK230" t="str">
            <v>N/A</v>
          </cell>
          <cell r="AL230" t="str">
            <v>N/A</v>
          </cell>
          <cell r="AM230" t="str">
            <v>N/A</v>
          </cell>
          <cell r="AN230" t="str">
            <v>N/A</v>
          </cell>
          <cell r="AO230" t="str">
            <v>COMPLETED</v>
          </cell>
        </row>
        <row r="231">
          <cell r="A231" t="str">
            <v>24-C0996</v>
          </cell>
          <cell r="B231" t="str">
            <v>FOOD/CATERING SERVICES</v>
          </cell>
          <cell r="C231" t="str">
            <v>PHRMDO</v>
          </cell>
          <cell r="D231" t="str">
            <v>No</v>
          </cell>
          <cell r="E231" t="str">
            <v>NP-53.9 - Small Value Procurement</v>
          </cell>
          <cell r="F231">
            <v>45356</v>
          </cell>
          <cell r="G231">
            <v>45359</v>
          </cell>
          <cell r="H231">
            <v>0</v>
          </cell>
          <cell r="I231" t="str">
            <v>N/A</v>
          </cell>
          <cell r="J231">
            <v>45370</v>
          </cell>
          <cell r="K231">
            <v>45370</v>
          </cell>
          <cell r="L231">
            <v>0</v>
          </cell>
          <cell r="M231" t="str">
            <v>N/A</v>
          </cell>
          <cell r="N231" t="str">
            <v>N/A</v>
          </cell>
          <cell r="O231">
            <v>45372</v>
          </cell>
          <cell r="P231">
            <v>0</v>
          </cell>
          <cell r="Q231">
            <v>0</v>
          </cell>
          <cell r="R231">
            <v>0</v>
          </cell>
          <cell r="S231">
            <v>45376</v>
          </cell>
          <cell r="T231">
            <v>45385</v>
          </cell>
          <cell r="U231">
            <v>45385</v>
          </cell>
          <cell r="V231">
            <v>0</v>
          </cell>
          <cell r="W231">
            <v>0</v>
          </cell>
          <cell r="X231">
            <v>45377</v>
          </cell>
          <cell r="Y231">
            <v>45377</v>
          </cell>
          <cell r="Z231">
            <v>0</v>
          </cell>
          <cell r="AA231">
            <v>242990</v>
          </cell>
          <cell r="AB231">
            <v>0</v>
          </cell>
          <cell r="AC231">
            <v>242990</v>
          </cell>
          <cell r="AD231">
            <v>242990</v>
          </cell>
          <cell r="AE231">
            <v>0</v>
          </cell>
          <cell r="AF231">
            <v>242990</v>
          </cell>
          <cell r="AG231" t="str">
            <v>C</v>
          </cell>
          <cell r="AH231" t="str">
            <v>ENGR. MICHAEL C. SALARDA
MS. LEONARDA M. LATOR
MS. CARMENCITA VALDEZ
MS. SORAYA P. VERGARA</v>
          </cell>
          <cell r="AI231" t="str">
            <v>N/A</v>
          </cell>
          <cell r="AJ231" t="str">
            <v>N/A</v>
          </cell>
          <cell r="AK231" t="str">
            <v>N/A</v>
          </cell>
          <cell r="AL231" t="str">
            <v>N/A</v>
          </cell>
          <cell r="AM231" t="str">
            <v>N/A</v>
          </cell>
          <cell r="AN231" t="str">
            <v>N/A</v>
          </cell>
          <cell r="AO231" t="str">
            <v>COMPLETED</v>
          </cell>
        </row>
        <row r="232">
          <cell r="A232" t="str">
            <v>24-1451</v>
          </cell>
          <cell r="B232" t="str">
            <v>WATER</v>
          </cell>
          <cell r="C232" t="str">
            <v>PLO</v>
          </cell>
          <cell r="D232" t="str">
            <v>No</v>
          </cell>
          <cell r="E232" t="str">
            <v>NP-53.9 - Small Value Procurement</v>
          </cell>
          <cell r="F232" t="str">
            <v>N/A</v>
          </cell>
          <cell r="G232">
            <v>45359</v>
          </cell>
          <cell r="H232">
            <v>0</v>
          </cell>
          <cell r="I232" t="str">
            <v>N/A</v>
          </cell>
          <cell r="J232">
            <v>45370</v>
          </cell>
          <cell r="K232">
            <v>45370</v>
          </cell>
          <cell r="L232">
            <v>0</v>
          </cell>
          <cell r="M232" t="str">
            <v>N/A</v>
          </cell>
          <cell r="N232" t="str">
            <v>N/A</v>
          </cell>
          <cell r="O232">
            <v>45372</v>
          </cell>
          <cell r="P232">
            <v>0</v>
          </cell>
          <cell r="Q232">
            <v>0</v>
          </cell>
          <cell r="R232">
            <v>0</v>
          </cell>
          <cell r="S232" t="str">
            <v>N/A</v>
          </cell>
          <cell r="T232">
            <v>45387</v>
          </cell>
          <cell r="U232">
            <v>45393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2870</v>
          </cell>
          <cell r="AB232">
            <v>2870</v>
          </cell>
          <cell r="AC232">
            <v>0</v>
          </cell>
          <cell r="AD232">
            <v>2800</v>
          </cell>
          <cell r="AE232">
            <v>2800</v>
          </cell>
          <cell r="AF232">
            <v>0</v>
          </cell>
          <cell r="AG232" t="str">
            <v>M</v>
          </cell>
          <cell r="AH232" t="str">
            <v>ENGR. MICHAEL C. SALARDA
MS. LEONARDA M. LATOR
MS. CARMENCITA VALDEZ
MS. SORAYA P. VERGARA</v>
          </cell>
          <cell r="AI232" t="str">
            <v>N/A</v>
          </cell>
          <cell r="AJ232" t="str">
            <v>N/A</v>
          </cell>
          <cell r="AK232" t="str">
            <v>N/A</v>
          </cell>
          <cell r="AL232" t="str">
            <v>N/A</v>
          </cell>
          <cell r="AM232" t="str">
            <v>N/A</v>
          </cell>
          <cell r="AN232" t="str">
            <v>N/A</v>
          </cell>
          <cell r="AO232">
            <v>0</v>
          </cell>
        </row>
        <row r="233">
          <cell r="A233" t="str">
            <v>24-C0947</v>
          </cell>
          <cell r="B233" t="str">
            <v>MINERAL WATER</v>
          </cell>
          <cell r="C233" t="str">
            <v>PGO</v>
          </cell>
          <cell r="D233" t="str">
            <v>No</v>
          </cell>
          <cell r="E233" t="str">
            <v>NP-53.9 - Small Value Procurement</v>
          </cell>
          <cell r="F233">
            <v>45356</v>
          </cell>
          <cell r="G233">
            <v>45359</v>
          </cell>
          <cell r="H233">
            <v>0</v>
          </cell>
          <cell r="I233" t="str">
            <v>N/A</v>
          </cell>
          <cell r="J233">
            <v>45370</v>
          </cell>
          <cell r="K233">
            <v>45370</v>
          </cell>
          <cell r="L233">
            <v>0</v>
          </cell>
          <cell r="M233" t="str">
            <v>N/A</v>
          </cell>
          <cell r="N233" t="str">
            <v>N/A</v>
          </cell>
          <cell r="O233">
            <v>45372</v>
          </cell>
          <cell r="P233">
            <v>0</v>
          </cell>
          <cell r="Q233">
            <v>0</v>
          </cell>
          <cell r="R233">
            <v>0</v>
          </cell>
          <cell r="S233">
            <v>45376</v>
          </cell>
          <cell r="T233">
            <v>45405</v>
          </cell>
          <cell r="U233">
            <v>45412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160802</v>
          </cell>
          <cell r="AB233">
            <v>160802</v>
          </cell>
          <cell r="AC233">
            <v>0</v>
          </cell>
          <cell r="AD233">
            <v>156880</v>
          </cell>
          <cell r="AE233">
            <v>156880</v>
          </cell>
          <cell r="AF233">
            <v>0</v>
          </cell>
          <cell r="AG233" t="str">
            <v>M</v>
          </cell>
          <cell r="AH233" t="str">
            <v>ENGR. MICHAEL C. SALARDA
MS. LEONARDA M. LATOR
MS. CARMENCITA VALDEZ
MS. SORAYA P. VERGARA</v>
          </cell>
          <cell r="AI233" t="str">
            <v>N/A</v>
          </cell>
          <cell r="AJ233" t="str">
            <v>N/A</v>
          </cell>
          <cell r="AK233" t="str">
            <v>N/A</v>
          </cell>
          <cell r="AL233" t="str">
            <v>N/A</v>
          </cell>
          <cell r="AM233" t="str">
            <v>N/A</v>
          </cell>
          <cell r="AN233" t="str">
            <v>N/A</v>
          </cell>
          <cell r="AO233">
            <v>0</v>
          </cell>
        </row>
        <row r="234">
          <cell r="A234" t="str">
            <v>24-0924</v>
          </cell>
          <cell r="B234" t="str">
            <v>FOOD/CATERING SERVICES</v>
          </cell>
          <cell r="C234" t="str">
            <v>PGSO</v>
          </cell>
          <cell r="D234" t="str">
            <v>No</v>
          </cell>
          <cell r="E234" t="str">
            <v>NP-53.9 - Small Value Procurement</v>
          </cell>
          <cell r="F234" t="str">
            <v>N/A</v>
          </cell>
          <cell r="G234">
            <v>45359</v>
          </cell>
          <cell r="H234">
            <v>0</v>
          </cell>
          <cell r="I234" t="str">
            <v>N/A</v>
          </cell>
          <cell r="J234">
            <v>45370</v>
          </cell>
          <cell r="K234">
            <v>45370</v>
          </cell>
          <cell r="L234">
            <v>0</v>
          </cell>
          <cell r="M234" t="str">
            <v>N/A</v>
          </cell>
          <cell r="N234" t="str">
            <v>N/A</v>
          </cell>
          <cell r="O234">
            <v>45372</v>
          </cell>
          <cell r="P234">
            <v>0</v>
          </cell>
          <cell r="Q234">
            <v>0</v>
          </cell>
          <cell r="R234">
            <v>0</v>
          </cell>
          <cell r="S234" t="str">
            <v>N/A</v>
          </cell>
          <cell r="T234">
            <v>45407</v>
          </cell>
          <cell r="U234">
            <v>45414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7500</v>
          </cell>
          <cell r="AB234">
            <v>0</v>
          </cell>
          <cell r="AC234">
            <v>7500</v>
          </cell>
          <cell r="AD234">
            <v>7200</v>
          </cell>
          <cell r="AE234">
            <v>0</v>
          </cell>
          <cell r="AF234">
            <v>7200</v>
          </cell>
          <cell r="AG234" t="str">
            <v>C</v>
          </cell>
          <cell r="AH234" t="str">
            <v>ENGR. MICHAEL C. SALARDA
MS. LEONARDA M. LATOR
MS. CARMENCITA VALDEZ
MS. SORAYA P. VERGARA</v>
          </cell>
          <cell r="AI234" t="str">
            <v>N/A</v>
          </cell>
          <cell r="AJ234" t="str">
            <v>N/A</v>
          </cell>
          <cell r="AK234" t="str">
            <v>N/A</v>
          </cell>
          <cell r="AL234" t="str">
            <v>N/A</v>
          </cell>
          <cell r="AM234" t="str">
            <v>N/A</v>
          </cell>
          <cell r="AN234" t="str">
            <v>N/A</v>
          </cell>
          <cell r="AO234">
            <v>0</v>
          </cell>
        </row>
        <row r="235">
          <cell r="A235" t="str">
            <v>24-1406</v>
          </cell>
          <cell r="B235" t="str">
            <v>FOOD/CATERING SERVICES</v>
          </cell>
          <cell r="C235" t="str">
            <v>PGO</v>
          </cell>
          <cell r="D235" t="str">
            <v>No</v>
          </cell>
          <cell r="E235" t="str">
            <v>NP-53.9 - Small Value Procurement</v>
          </cell>
          <cell r="F235" t="str">
            <v>N/A</v>
          </cell>
          <cell r="G235">
            <v>45359</v>
          </cell>
          <cell r="H235">
            <v>0</v>
          </cell>
          <cell r="I235" t="str">
            <v>N/A</v>
          </cell>
          <cell r="J235">
            <v>45370</v>
          </cell>
          <cell r="K235">
            <v>45370</v>
          </cell>
          <cell r="L235">
            <v>0</v>
          </cell>
          <cell r="M235" t="str">
            <v>N/A</v>
          </cell>
          <cell r="N235" t="str">
            <v>N/A</v>
          </cell>
          <cell r="O235">
            <v>45372</v>
          </cell>
          <cell r="P235">
            <v>0</v>
          </cell>
          <cell r="Q235">
            <v>0</v>
          </cell>
          <cell r="R235">
            <v>0</v>
          </cell>
          <cell r="S235" t="str">
            <v>N/A</v>
          </cell>
          <cell r="T235">
            <v>45386</v>
          </cell>
          <cell r="U235">
            <v>45390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4500</v>
          </cell>
          <cell r="AB235">
            <v>0</v>
          </cell>
          <cell r="AC235">
            <v>4500</v>
          </cell>
          <cell r="AD235">
            <v>4477.5</v>
          </cell>
          <cell r="AE235">
            <v>0</v>
          </cell>
          <cell r="AF235">
            <v>4477.5</v>
          </cell>
          <cell r="AG235" t="str">
            <v>C</v>
          </cell>
          <cell r="AH235" t="str">
            <v>ENGR. MICHAEL C. SALARDA
MS. LEONARDA M. LATOR
MS. CARMENCITA VALDEZ
MS. SORAYA P. VERGARA</v>
          </cell>
          <cell r="AI235" t="str">
            <v>N/A</v>
          </cell>
          <cell r="AJ235" t="str">
            <v>N/A</v>
          </cell>
          <cell r="AK235" t="str">
            <v>N/A</v>
          </cell>
          <cell r="AL235" t="str">
            <v>N/A</v>
          </cell>
          <cell r="AM235" t="str">
            <v>N/A</v>
          </cell>
          <cell r="AN235" t="str">
            <v>N/A</v>
          </cell>
          <cell r="AO235">
            <v>0</v>
          </cell>
        </row>
        <row r="236">
          <cell r="A236" t="str">
            <v>24-1391</v>
          </cell>
          <cell r="B236" t="str">
            <v>FOOD CATERING/SERVICES</v>
          </cell>
          <cell r="C236" t="str">
            <v>PGO</v>
          </cell>
          <cell r="D236" t="str">
            <v>No</v>
          </cell>
          <cell r="E236" t="str">
            <v>NP-53.9 - Small Value Procurement</v>
          </cell>
          <cell r="F236" t="str">
            <v>N/A</v>
          </cell>
          <cell r="G236">
            <v>45359</v>
          </cell>
          <cell r="H236">
            <v>0</v>
          </cell>
          <cell r="I236" t="str">
            <v>N/A</v>
          </cell>
          <cell r="J236">
            <v>45370</v>
          </cell>
          <cell r="K236">
            <v>45370</v>
          </cell>
          <cell r="L236">
            <v>0</v>
          </cell>
          <cell r="M236" t="str">
            <v>N/A</v>
          </cell>
          <cell r="N236" t="str">
            <v>N/A</v>
          </cell>
          <cell r="O236">
            <v>45372</v>
          </cell>
          <cell r="P236">
            <v>0</v>
          </cell>
          <cell r="Q236">
            <v>0</v>
          </cell>
          <cell r="R236">
            <v>0</v>
          </cell>
          <cell r="S236">
            <v>45385</v>
          </cell>
          <cell r="T236">
            <v>45386</v>
          </cell>
          <cell r="U236">
            <v>45397</v>
          </cell>
          <cell r="V236">
            <v>0</v>
          </cell>
          <cell r="W236">
            <v>0</v>
          </cell>
          <cell r="X236">
            <v>45421</v>
          </cell>
          <cell r="Y236">
            <v>45421</v>
          </cell>
          <cell r="Z236">
            <v>0</v>
          </cell>
          <cell r="AA236">
            <v>180000</v>
          </cell>
          <cell r="AB236">
            <v>180000</v>
          </cell>
          <cell r="AC236">
            <v>0</v>
          </cell>
          <cell r="AD236">
            <v>179798.75</v>
          </cell>
          <cell r="AE236">
            <v>179798.75</v>
          </cell>
          <cell r="AF236">
            <v>0</v>
          </cell>
          <cell r="AG236" t="str">
            <v>M</v>
          </cell>
          <cell r="AH236" t="str">
            <v>ENGR. MICHAEL C. SALARDA
MS. LEONARDA M. LATOR
MS. CARMENCITA VALDEZ
MS. SORAYA P. VERGARA</v>
          </cell>
          <cell r="AI236" t="str">
            <v>N/A</v>
          </cell>
          <cell r="AJ236" t="str">
            <v>N/A</v>
          </cell>
          <cell r="AK236" t="str">
            <v>N/A</v>
          </cell>
          <cell r="AL236" t="str">
            <v>N/A</v>
          </cell>
          <cell r="AM236" t="str">
            <v>N/A</v>
          </cell>
          <cell r="AN236" t="str">
            <v>N/A</v>
          </cell>
          <cell r="AO236" t="str">
            <v>COMPLETED</v>
          </cell>
        </row>
        <row r="237">
          <cell r="A237" t="str">
            <v>24-1381</v>
          </cell>
          <cell r="B237" t="str">
            <v>FOOD CATERING/SERVICES</v>
          </cell>
          <cell r="C237" t="str">
            <v>PGO</v>
          </cell>
          <cell r="D237" t="str">
            <v>No</v>
          </cell>
          <cell r="E237" t="str">
            <v>NP-53.9 - Small Value Procurement</v>
          </cell>
          <cell r="F237">
            <v>45356</v>
          </cell>
          <cell r="G237">
            <v>45359</v>
          </cell>
          <cell r="H237">
            <v>0</v>
          </cell>
          <cell r="I237" t="str">
            <v>N/A</v>
          </cell>
          <cell r="J237">
            <v>45370</v>
          </cell>
          <cell r="K237">
            <v>45370</v>
          </cell>
          <cell r="L237">
            <v>0</v>
          </cell>
          <cell r="M237" t="str">
            <v>N/A</v>
          </cell>
          <cell r="N237" t="str">
            <v>N/A</v>
          </cell>
          <cell r="O237">
            <v>45372</v>
          </cell>
          <cell r="P237">
            <v>0</v>
          </cell>
          <cell r="Q237">
            <v>0</v>
          </cell>
          <cell r="R237">
            <v>0</v>
          </cell>
          <cell r="S237">
            <v>45385</v>
          </cell>
          <cell r="T237">
            <v>45386</v>
          </cell>
          <cell r="U237">
            <v>45397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52000</v>
          </cell>
          <cell r="AB237">
            <v>0</v>
          </cell>
          <cell r="AC237">
            <v>52000</v>
          </cell>
          <cell r="AD237">
            <v>51920</v>
          </cell>
          <cell r="AE237">
            <v>0</v>
          </cell>
          <cell r="AF237">
            <v>51920</v>
          </cell>
          <cell r="AG237" t="str">
            <v>C</v>
          </cell>
          <cell r="AH237" t="str">
            <v>ENGR. MICHAEL C. SALARDA
MS. LEONARDA M. LATOR
MS. CARMENCITA VALDEZ
MS. SORAYA P. VERGARA</v>
          </cell>
          <cell r="AI237" t="str">
            <v>N/A</v>
          </cell>
          <cell r="AJ237" t="str">
            <v>N/A</v>
          </cell>
          <cell r="AK237" t="str">
            <v>N/A</v>
          </cell>
          <cell r="AL237" t="str">
            <v>N/A</v>
          </cell>
          <cell r="AM237" t="str">
            <v>N/A</v>
          </cell>
          <cell r="AN237" t="str">
            <v>N/A</v>
          </cell>
          <cell r="AO237">
            <v>0</v>
          </cell>
        </row>
        <row r="238">
          <cell r="A238" t="str">
            <v>24-C1127</v>
          </cell>
          <cell r="B238" t="str">
            <v>FOOD CATERING/SERVICES</v>
          </cell>
          <cell r="C238" t="str">
            <v>PTO</v>
          </cell>
          <cell r="D238" t="str">
            <v>No</v>
          </cell>
          <cell r="E238" t="str">
            <v>NP-53.9 - Small Value Procurement</v>
          </cell>
          <cell r="F238">
            <v>45356</v>
          </cell>
          <cell r="G238">
            <v>45359</v>
          </cell>
          <cell r="H238">
            <v>0</v>
          </cell>
          <cell r="I238" t="str">
            <v>N/A</v>
          </cell>
          <cell r="J238">
            <v>45370</v>
          </cell>
          <cell r="K238">
            <v>45370</v>
          </cell>
          <cell r="L238">
            <v>0</v>
          </cell>
          <cell r="M238" t="str">
            <v>N/A</v>
          </cell>
          <cell r="N238" t="str">
            <v>N/A</v>
          </cell>
          <cell r="O238">
            <v>45372</v>
          </cell>
          <cell r="P238">
            <v>0</v>
          </cell>
          <cell r="Q238">
            <v>0</v>
          </cell>
          <cell r="R238">
            <v>0</v>
          </cell>
          <cell r="S238">
            <v>45376</v>
          </cell>
          <cell r="T238">
            <v>45387</v>
          </cell>
          <cell r="U238">
            <v>45397</v>
          </cell>
          <cell r="V238">
            <v>0</v>
          </cell>
          <cell r="W238">
            <v>0</v>
          </cell>
          <cell r="X238">
            <v>45435</v>
          </cell>
          <cell r="Y238">
            <v>45435</v>
          </cell>
          <cell r="Z238">
            <v>0</v>
          </cell>
          <cell r="AA238">
            <v>117300</v>
          </cell>
          <cell r="AB238">
            <v>117300</v>
          </cell>
          <cell r="AC238">
            <v>0</v>
          </cell>
          <cell r="AD238">
            <v>117300</v>
          </cell>
          <cell r="AE238">
            <v>117300</v>
          </cell>
          <cell r="AF238">
            <v>0</v>
          </cell>
          <cell r="AG238" t="str">
            <v>M</v>
          </cell>
          <cell r="AH238" t="str">
            <v>ENGR. MICHAEL C. SALARDA
MS. LEONARDA M. LATOR
MS. CARMENCITA VALDEZ
MS. SORAYA P. VERGARA</v>
          </cell>
          <cell r="AI238" t="str">
            <v>N/A</v>
          </cell>
          <cell r="AJ238" t="str">
            <v>N/A</v>
          </cell>
          <cell r="AK238" t="str">
            <v>N/A</v>
          </cell>
          <cell r="AL238" t="str">
            <v>N/A</v>
          </cell>
          <cell r="AM238" t="str">
            <v>N/A</v>
          </cell>
          <cell r="AN238" t="str">
            <v>N/A</v>
          </cell>
          <cell r="AO238" t="str">
            <v>COMPLETED</v>
          </cell>
        </row>
        <row r="239">
          <cell r="A239" t="str">
            <v>24-0676</v>
          </cell>
          <cell r="B239" t="str">
            <v>FOOD CATERING/SERVICES</v>
          </cell>
          <cell r="C239" t="str">
            <v>PHRMDO</v>
          </cell>
          <cell r="D239" t="str">
            <v>No</v>
          </cell>
          <cell r="E239" t="str">
            <v>NP-53.9 - Small Value Procurement</v>
          </cell>
          <cell r="F239">
            <v>45356</v>
          </cell>
          <cell r="G239">
            <v>45359</v>
          </cell>
          <cell r="H239">
            <v>0</v>
          </cell>
          <cell r="I239" t="str">
            <v>N/A</v>
          </cell>
          <cell r="J239">
            <v>45370</v>
          </cell>
          <cell r="K239">
            <v>45370</v>
          </cell>
          <cell r="L239">
            <v>0</v>
          </cell>
          <cell r="M239" t="str">
            <v>N/A</v>
          </cell>
          <cell r="N239" t="str">
            <v>N/A</v>
          </cell>
          <cell r="O239">
            <v>45372</v>
          </cell>
          <cell r="P239">
            <v>0</v>
          </cell>
          <cell r="Q239">
            <v>0</v>
          </cell>
          <cell r="R239">
            <v>0</v>
          </cell>
          <cell r="S239">
            <v>45376</v>
          </cell>
          <cell r="T239">
            <v>45378</v>
          </cell>
          <cell r="U239">
            <v>45384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115800</v>
          </cell>
          <cell r="AB239">
            <v>0</v>
          </cell>
          <cell r="AC239">
            <v>115800</v>
          </cell>
          <cell r="AD239">
            <v>111360</v>
          </cell>
          <cell r="AE239">
            <v>0</v>
          </cell>
          <cell r="AF239">
            <v>111360</v>
          </cell>
          <cell r="AG239" t="str">
            <v>C</v>
          </cell>
          <cell r="AH239" t="str">
            <v>ENGR. MICHAEL C. SALARDA
MS. LEONARDA M. LATOR
MS. CARMENCITA VALDEZ
MS. SORAYA P. VERGARA</v>
          </cell>
          <cell r="AI239" t="str">
            <v>N/A</v>
          </cell>
          <cell r="AJ239" t="str">
            <v>N/A</v>
          </cell>
          <cell r="AK239" t="str">
            <v>N/A</v>
          </cell>
          <cell r="AL239" t="str">
            <v>N/A</v>
          </cell>
          <cell r="AM239" t="str">
            <v>N/A</v>
          </cell>
          <cell r="AN239" t="str">
            <v>N/A</v>
          </cell>
          <cell r="AO239">
            <v>0</v>
          </cell>
        </row>
        <row r="240">
          <cell r="A240" t="str">
            <v>24-1053</v>
          </cell>
          <cell r="B240" t="str">
            <v>FOOD/CATERING SERVICES</v>
          </cell>
          <cell r="C240" t="str">
            <v>PHO</v>
          </cell>
          <cell r="D240" t="str">
            <v>No</v>
          </cell>
          <cell r="E240" t="str">
            <v>NP-53.9 - Small Value Procurement</v>
          </cell>
          <cell r="F240" t="str">
            <v>N/A</v>
          </cell>
          <cell r="G240">
            <v>45359</v>
          </cell>
          <cell r="H240">
            <v>0</v>
          </cell>
          <cell r="I240" t="str">
            <v>N/A</v>
          </cell>
          <cell r="J240">
            <v>45370</v>
          </cell>
          <cell r="K240">
            <v>45370</v>
          </cell>
          <cell r="L240">
            <v>0</v>
          </cell>
          <cell r="M240" t="str">
            <v>N/A</v>
          </cell>
          <cell r="N240" t="str">
            <v>N/A</v>
          </cell>
          <cell r="O240">
            <v>45372</v>
          </cell>
          <cell r="P240">
            <v>0</v>
          </cell>
          <cell r="Q240">
            <v>0</v>
          </cell>
          <cell r="R240">
            <v>0</v>
          </cell>
          <cell r="S240" t="str">
            <v>N/A</v>
          </cell>
          <cell r="T240">
            <v>45387</v>
          </cell>
          <cell r="U240">
            <v>45394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35000</v>
          </cell>
          <cell r="AB240">
            <v>0</v>
          </cell>
          <cell r="AC240">
            <v>35000</v>
          </cell>
          <cell r="AD240">
            <v>32500</v>
          </cell>
          <cell r="AE240">
            <v>0</v>
          </cell>
          <cell r="AF240">
            <v>32500</v>
          </cell>
          <cell r="AG240" t="str">
            <v>C</v>
          </cell>
          <cell r="AH240" t="str">
            <v>ENGR. MICHAEL C. SALARDA
MS. LEONARDA M. LATOR
MS. CARMENCITA VALDEZ
MS. SORAYA P. VERGARA</v>
          </cell>
          <cell r="AI240" t="str">
            <v>N/A</v>
          </cell>
          <cell r="AJ240" t="str">
            <v>N/A</v>
          </cell>
          <cell r="AK240" t="str">
            <v>N/A</v>
          </cell>
          <cell r="AL240" t="str">
            <v>N/A</v>
          </cell>
          <cell r="AM240" t="str">
            <v>N/A</v>
          </cell>
          <cell r="AN240" t="str">
            <v>N/A</v>
          </cell>
          <cell r="AO240">
            <v>0</v>
          </cell>
        </row>
        <row r="241">
          <cell r="A241" t="str">
            <v>24-0250</v>
          </cell>
          <cell r="B241" t="str">
            <v>FOOD/CATERING SERVICES</v>
          </cell>
          <cell r="C241" t="str">
            <v>PPDO</v>
          </cell>
          <cell r="D241" t="str">
            <v>No</v>
          </cell>
          <cell r="E241" t="str">
            <v>NP-53.9 - Small Value Procurement</v>
          </cell>
          <cell r="F241" t="str">
            <v>N/A</v>
          </cell>
          <cell r="G241">
            <v>45359</v>
          </cell>
          <cell r="H241">
            <v>0</v>
          </cell>
          <cell r="I241" t="str">
            <v>N/A</v>
          </cell>
          <cell r="J241">
            <v>45370</v>
          </cell>
          <cell r="K241">
            <v>45370</v>
          </cell>
          <cell r="L241">
            <v>0</v>
          </cell>
          <cell r="M241" t="str">
            <v>N/A</v>
          </cell>
          <cell r="N241" t="str">
            <v>N/A</v>
          </cell>
          <cell r="O241">
            <v>45372</v>
          </cell>
          <cell r="P241">
            <v>0</v>
          </cell>
          <cell r="Q241">
            <v>0</v>
          </cell>
          <cell r="R241">
            <v>0</v>
          </cell>
          <cell r="S241">
            <v>45376</v>
          </cell>
          <cell r="T241">
            <v>45390</v>
          </cell>
          <cell r="U241">
            <v>45394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52500</v>
          </cell>
          <cell r="AB241">
            <v>0</v>
          </cell>
          <cell r="AC241">
            <v>52500</v>
          </cell>
          <cell r="AD241">
            <v>52500</v>
          </cell>
          <cell r="AE241">
            <v>0</v>
          </cell>
          <cell r="AF241">
            <v>52500</v>
          </cell>
          <cell r="AG241" t="str">
            <v>C</v>
          </cell>
          <cell r="AH241" t="str">
            <v>ENGR. MICHAEL C. SALARDA
MS. LEONARDA M. LATOR
MS. CARMENCITA VALDEZ
MS. SORAYA P. VERGARA</v>
          </cell>
          <cell r="AI241" t="str">
            <v>N/A</v>
          </cell>
          <cell r="AJ241" t="str">
            <v>N/A</v>
          </cell>
          <cell r="AK241" t="str">
            <v>N/A</v>
          </cell>
          <cell r="AL241" t="str">
            <v>N/A</v>
          </cell>
          <cell r="AM241" t="str">
            <v>N/A</v>
          </cell>
          <cell r="AN241" t="str">
            <v>N/A</v>
          </cell>
          <cell r="AO241">
            <v>0</v>
          </cell>
        </row>
        <row r="242">
          <cell r="A242" t="str">
            <v>24-C1116</v>
          </cell>
          <cell r="B242" t="str">
            <v>JANITORIAL SUPPLIES</v>
          </cell>
          <cell r="C242" t="str">
            <v>PDRRMO</v>
          </cell>
          <cell r="D242" t="str">
            <v>No</v>
          </cell>
          <cell r="E242" t="str">
            <v>NP-53.9 - Small Value Procurement</v>
          </cell>
          <cell r="F242">
            <v>45356</v>
          </cell>
          <cell r="G242">
            <v>45359</v>
          </cell>
          <cell r="H242">
            <v>0</v>
          </cell>
          <cell r="I242" t="str">
            <v>N/A</v>
          </cell>
          <cell r="J242">
            <v>45370</v>
          </cell>
          <cell r="K242">
            <v>45370</v>
          </cell>
          <cell r="L242">
            <v>0</v>
          </cell>
          <cell r="M242" t="str">
            <v>N/A</v>
          </cell>
          <cell r="N242" t="str">
            <v>N/A</v>
          </cell>
          <cell r="O242">
            <v>45372</v>
          </cell>
          <cell r="P242">
            <v>0</v>
          </cell>
          <cell r="Q242">
            <v>0</v>
          </cell>
          <cell r="R242">
            <v>0</v>
          </cell>
          <cell r="S242">
            <v>45383</v>
          </cell>
          <cell r="T242">
            <v>45387</v>
          </cell>
          <cell r="U242">
            <v>45394</v>
          </cell>
          <cell r="V242">
            <v>0</v>
          </cell>
          <cell r="W242">
            <v>0</v>
          </cell>
          <cell r="X242">
            <v>45406</v>
          </cell>
          <cell r="Y242">
            <v>45406</v>
          </cell>
          <cell r="Z242">
            <v>0</v>
          </cell>
          <cell r="AA242">
            <v>174490</v>
          </cell>
          <cell r="AB242">
            <v>0</v>
          </cell>
          <cell r="AC242">
            <v>174490</v>
          </cell>
          <cell r="AD242">
            <v>174240</v>
          </cell>
          <cell r="AE242">
            <v>0</v>
          </cell>
          <cell r="AF242">
            <v>174240</v>
          </cell>
          <cell r="AG242" t="str">
            <v>C</v>
          </cell>
          <cell r="AH242" t="str">
            <v>ENGR. MICHAEL C. SALARDA
MS. LEONARDA M. LATOR
MS. CARMENCITA VALDEZ
MS. SORAYA P. VERGARA</v>
          </cell>
          <cell r="AI242" t="str">
            <v>N/A</v>
          </cell>
          <cell r="AJ242" t="str">
            <v>N/A</v>
          </cell>
          <cell r="AK242" t="str">
            <v>N/A</v>
          </cell>
          <cell r="AL242" t="str">
            <v>N/A</v>
          </cell>
          <cell r="AM242" t="str">
            <v>N/A</v>
          </cell>
          <cell r="AN242" t="str">
            <v>N/A</v>
          </cell>
          <cell r="AO242" t="str">
            <v>COMPLETED</v>
          </cell>
        </row>
        <row r="243">
          <cell r="A243" t="str">
            <v>24-1555</v>
          </cell>
          <cell r="B243" t="str">
            <v>OFFICE EQUIPMENT</v>
          </cell>
          <cell r="C243" t="str">
            <v>PGO</v>
          </cell>
          <cell r="D243" t="str">
            <v>No</v>
          </cell>
          <cell r="E243" t="str">
            <v>NP-53.9 - Small Value Procurement</v>
          </cell>
          <cell r="F243" t="str">
            <v>N/A</v>
          </cell>
          <cell r="G243">
            <v>45363</v>
          </cell>
          <cell r="H243">
            <v>0</v>
          </cell>
          <cell r="I243" t="str">
            <v>N/A</v>
          </cell>
          <cell r="J243">
            <v>45370</v>
          </cell>
          <cell r="K243">
            <v>45370</v>
          </cell>
          <cell r="L243">
            <v>0</v>
          </cell>
          <cell r="M243" t="str">
            <v>N/A</v>
          </cell>
          <cell r="N243" t="str">
            <v>N/A</v>
          </cell>
          <cell r="O243">
            <v>45372</v>
          </cell>
          <cell r="P243">
            <v>0</v>
          </cell>
          <cell r="Q243">
            <v>0</v>
          </cell>
          <cell r="R243">
            <v>0</v>
          </cell>
          <cell r="S243" t="str">
            <v>N/A</v>
          </cell>
          <cell r="T243">
            <v>45386</v>
          </cell>
          <cell r="U243">
            <v>45394</v>
          </cell>
          <cell r="V243">
            <v>0</v>
          </cell>
          <cell r="W243">
            <v>0</v>
          </cell>
          <cell r="X243">
            <v>45406</v>
          </cell>
          <cell r="Y243">
            <v>45406</v>
          </cell>
          <cell r="Z243">
            <v>0</v>
          </cell>
          <cell r="AA243">
            <v>26400</v>
          </cell>
          <cell r="AB243">
            <v>0</v>
          </cell>
          <cell r="AC243">
            <v>26400</v>
          </cell>
          <cell r="AD243">
            <v>26200</v>
          </cell>
          <cell r="AE243">
            <v>0</v>
          </cell>
          <cell r="AF243">
            <v>26200</v>
          </cell>
          <cell r="AG243" t="str">
            <v>C</v>
          </cell>
          <cell r="AH243" t="str">
            <v>ENGR. MICHAEL C. SALARDA
MS. LEONARDA M. LATOR
MS. CARMENCITA VALDEZ
MS. SORAYA P. VERGARA</v>
          </cell>
          <cell r="AI243" t="str">
            <v>N/A</v>
          </cell>
          <cell r="AJ243" t="str">
            <v>N/A</v>
          </cell>
          <cell r="AK243" t="str">
            <v>N/A</v>
          </cell>
          <cell r="AL243" t="str">
            <v>N/A</v>
          </cell>
          <cell r="AM243" t="str">
            <v>N/A</v>
          </cell>
          <cell r="AN243" t="str">
            <v>N/A</v>
          </cell>
          <cell r="AO243" t="str">
            <v>COMPLETED</v>
          </cell>
        </row>
        <row r="244">
          <cell r="A244" t="str">
            <v>24-C1078</v>
          </cell>
          <cell r="B244" t="str">
            <v>JANITORIAL SUPPLIES</v>
          </cell>
          <cell r="C244" t="str">
            <v>PAO-ADMIN</v>
          </cell>
          <cell r="D244" t="str">
            <v>No</v>
          </cell>
          <cell r="E244" t="str">
            <v>NP-53.9 - Small Value Procurement</v>
          </cell>
          <cell r="F244" t="str">
            <v>N/A</v>
          </cell>
          <cell r="G244">
            <v>45359</v>
          </cell>
          <cell r="H244">
            <v>0</v>
          </cell>
          <cell r="I244" t="str">
            <v>N/A</v>
          </cell>
          <cell r="J244">
            <v>45370</v>
          </cell>
          <cell r="K244">
            <v>45370</v>
          </cell>
          <cell r="L244">
            <v>0</v>
          </cell>
          <cell r="M244" t="str">
            <v>N/A</v>
          </cell>
          <cell r="N244" t="str">
            <v>N/A</v>
          </cell>
          <cell r="O244">
            <v>45372</v>
          </cell>
          <cell r="P244">
            <v>0</v>
          </cell>
          <cell r="Q244">
            <v>0</v>
          </cell>
          <cell r="R244">
            <v>0</v>
          </cell>
          <cell r="S244">
            <v>45378</v>
          </cell>
          <cell r="T244">
            <v>45387</v>
          </cell>
          <cell r="U244">
            <v>45394</v>
          </cell>
          <cell r="V244">
            <v>0</v>
          </cell>
          <cell r="W244">
            <v>0</v>
          </cell>
          <cell r="X244">
            <v>45407</v>
          </cell>
          <cell r="Y244">
            <v>45407</v>
          </cell>
          <cell r="Z244">
            <v>0</v>
          </cell>
          <cell r="AA244">
            <v>54864</v>
          </cell>
          <cell r="AB244">
            <v>54864</v>
          </cell>
          <cell r="AC244">
            <v>0</v>
          </cell>
          <cell r="AD244">
            <v>54665</v>
          </cell>
          <cell r="AE244">
            <v>54665</v>
          </cell>
          <cell r="AF244">
            <v>0</v>
          </cell>
          <cell r="AG244" t="str">
            <v>M</v>
          </cell>
          <cell r="AH244" t="str">
            <v>ENGR. MICHAEL C. SALARDA
MS. LEONARDA M. LATOR
MS. CARMENCITA VALDEZ
MS. SORAYA P. VERGARA</v>
          </cell>
          <cell r="AI244" t="str">
            <v>N/A</v>
          </cell>
          <cell r="AJ244" t="str">
            <v>N/A</v>
          </cell>
          <cell r="AK244" t="str">
            <v>N/A</v>
          </cell>
          <cell r="AL244" t="str">
            <v>N/A</v>
          </cell>
          <cell r="AM244" t="str">
            <v>N/A</v>
          </cell>
          <cell r="AN244" t="str">
            <v>N/A</v>
          </cell>
          <cell r="AO244" t="str">
            <v>COMPLETED</v>
          </cell>
        </row>
        <row r="245">
          <cell r="A245" t="str">
            <v>24-C1111</v>
          </cell>
          <cell r="B245" t="str">
            <v>COMPUTER SUPPLIES</v>
          </cell>
          <cell r="C245" t="str">
            <v>PENRO</v>
          </cell>
          <cell r="D245" t="str">
            <v>No</v>
          </cell>
          <cell r="E245" t="str">
            <v>NP-53.9 - Small Value Procurement</v>
          </cell>
          <cell r="F245" t="str">
            <v>N/A</v>
          </cell>
          <cell r="G245">
            <v>45352</v>
          </cell>
          <cell r="H245">
            <v>0</v>
          </cell>
          <cell r="I245" t="str">
            <v>N/A</v>
          </cell>
          <cell r="J245">
            <v>45370</v>
          </cell>
          <cell r="K245">
            <v>45370</v>
          </cell>
          <cell r="L245">
            <v>0</v>
          </cell>
          <cell r="M245" t="str">
            <v>N/A</v>
          </cell>
          <cell r="N245" t="str">
            <v>N/A</v>
          </cell>
          <cell r="O245">
            <v>45372</v>
          </cell>
          <cell r="P245">
            <v>0</v>
          </cell>
          <cell r="Q245">
            <v>0</v>
          </cell>
          <cell r="R245">
            <v>0</v>
          </cell>
          <cell r="S245" t="str">
            <v>N/A</v>
          </cell>
          <cell r="T245">
            <v>45387</v>
          </cell>
          <cell r="U245">
            <v>45394</v>
          </cell>
          <cell r="V245">
            <v>0</v>
          </cell>
          <cell r="W245">
            <v>0</v>
          </cell>
          <cell r="X245">
            <v>45440</v>
          </cell>
          <cell r="Y245">
            <v>45440</v>
          </cell>
          <cell r="Z245">
            <v>0</v>
          </cell>
          <cell r="AA245">
            <v>18995</v>
          </cell>
          <cell r="AB245">
            <v>0</v>
          </cell>
          <cell r="AC245">
            <v>18995</v>
          </cell>
          <cell r="AD245">
            <v>18991</v>
          </cell>
          <cell r="AE245">
            <v>0</v>
          </cell>
          <cell r="AF245">
            <v>18991</v>
          </cell>
          <cell r="AG245" t="str">
            <v>C</v>
          </cell>
          <cell r="AH245" t="str">
            <v>ENGR. MICHAEL C. SALARDA
MS. LEONARDA M. LATOR
MS. CARMENCITA VALDEZ
MS. SORAYA P. VERGARA</v>
          </cell>
          <cell r="AI245" t="str">
            <v>N/A</v>
          </cell>
          <cell r="AJ245" t="str">
            <v>N/A</v>
          </cell>
          <cell r="AK245" t="str">
            <v>N/A</v>
          </cell>
          <cell r="AL245" t="str">
            <v>N/A</v>
          </cell>
          <cell r="AM245" t="str">
            <v>N/A</v>
          </cell>
          <cell r="AN245" t="str">
            <v>N/A</v>
          </cell>
          <cell r="AO245" t="str">
            <v>COMPLETED</v>
          </cell>
        </row>
        <row r="246">
          <cell r="A246" t="str">
            <v>24-0148</v>
          </cell>
          <cell r="B246" t="str">
            <v>OFFICE EQUIPMENT</v>
          </cell>
          <cell r="C246" t="str">
            <v>PPDO</v>
          </cell>
          <cell r="D246" t="str">
            <v>No</v>
          </cell>
          <cell r="E246" t="str">
            <v>NP-53.9 - Small Value Procurement</v>
          </cell>
          <cell r="F246">
            <v>45356</v>
          </cell>
          <cell r="G246">
            <v>45359</v>
          </cell>
          <cell r="H246">
            <v>0</v>
          </cell>
          <cell r="I246" t="str">
            <v>N/A</v>
          </cell>
          <cell r="J246">
            <v>45370</v>
          </cell>
          <cell r="K246">
            <v>45370</v>
          </cell>
          <cell r="L246">
            <v>0</v>
          </cell>
          <cell r="M246" t="str">
            <v>N/A</v>
          </cell>
          <cell r="N246" t="str">
            <v>N/A</v>
          </cell>
          <cell r="O246">
            <v>45372</v>
          </cell>
          <cell r="P246">
            <v>0</v>
          </cell>
          <cell r="Q246">
            <v>0</v>
          </cell>
          <cell r="R246">
            <v>0</v>
          </cell>
          <cell r="S246" t="str">
            <v>N/A</v>
          </cell>
          <cell r="T246">
            <v>45390</v>
          </cell>
          <cell r="U246">
            <v>45394</v>
          </cell>
          <cell r="V246">
            <v>0</v>
          </cell>
          <cell r="W246">
            <v>0</v>
          </cell>
          <cell r="X246">
            <v>45440</v>
          </cell>
          <cell r="Y246">
            <v>45440</v>
          </cell>
          <cell r="Z246">
            <v>0</v>
          </cell>
          <cell r="AA246">
            <v>26840</v>
          </cell>
          <cell r="AB246">
            <v>26840</v>
          </cell>
          <cell r="AC246">
            <v>0</v>
          </cell>
          <cell r="AD246">
            <v>26840</v>
          </cell>
          <cell r="AE246">
            <v>26840</v>
          </cell>
          <cell r="AF246">
            <v>0</v>
          </cell>
          <cell r="AG246" t="str">
            <v>M</v>
          </cell>
          <cell r="AH246" t="str">
            <v>ENGR. MICHAEL C. SALARDA
MS. LEONARDA M. LATOR
MS. CARMENCITA VALDEZ
MS. SORAYA P. VERGARA</v>
          </cell>
          <cell r="AI246" t="str">
            <v>N/A</v>
          </cell>
          <cell r="AJ246" t="str">
            <v>N/A</v>
          </cell>
          <cell r="AK246" t="str">
            <v>N/A</v>
          </cell>
          <cell r="AL246" t="str">
            <v>N/A</v>
          </cell>
          <cell r="AM246" t="str">
            <v>N/A</v>
          </cell>
          <cell r="AN246" t="str">
            <v>N/A</v>
          </cell>
          <cell r="AO246" t="str">
            <v>COMPLETED</v>
          </cell>
        </row>
        <row r="247">
          <cell r="A247" t="str">
            <v>24-0539</v>
          </cell>
          <cell r="B247" t="str">
            <v>OTHER SUPPLIES/MATERIALS</v>
          </cell>
          <cell r="C247" t="str">
            <v>PDRRMO</v>
          </cell>
          <cell r="D247" t="str">
            <v>No</v>
          </cell>
          <cell r="E247" t="str">
            <v>NP-53.9 - Small Value Procurement</v>
          </cell>
          <cell r="F247" t="str">
            <v>N/A</v>
          </cell>
          <cell r="G247">
            <v>45359</v>
          </cell>
          <cell r="H247">
            <v>0</v>
          </cell>
          <cell r="I247" t="str">
            <v>N/A</v>
          </cell>
          <cell r="J247">
            <v>45370</v>
          </cell>
          <cell r="K247">
            <v>45370</v>
          </cell>
          <cell r="L247">
            <v>0</v>
          </cell>
          <cell r="M247" t="str">
            <v>N/A</v>
          </cell>
          <cell r="N247" t="str">
            <v>N/A</v>
          </cell>
          <cell r="O247">
            <v>45372</v>
          </cell>
          <cell r="P247">
            <v>0</v>
          </cell>
          <cell r="Q247">
            <v>0</v>
          </cell>
          <cell r="R247">
            <v>0</v>
          </cell>
          <cell r="S247" t="str">
            <v>N/A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25000</v>
          </cell>
          <cell r="AB247">
            <v>25000</v>
          </cell>
          <cell r="AC247">
            <v>0</v>
          </cell>
          <cell r="AD247">
            <v>25000</v>
          </cell>
          <cell r="AE247">
            <v>25000</v>
          </cell>
          <cell r="AF247">
            <v>0</v>
          </cell>
          <cell r="AG247" t="e">
            <v>#N/A</v>
          </cell>
          <cell r="AH247" t="str">
            <v>ENGR. MICHAEL C. SALARDA
MS. LEONARDA M. LATOR
MS. CARMENCITA VALDEZ
MS. SORAYA P. VERGARA</v>
          </cell>
          <cell r="AI247" t="str">
            <v>N/A</v>
          </cell>
          <cell r="AJ247" t="str">
            <v>N/A</v>
          </cell>
          <cell r="AK247" t="str">
            <v>N/A</v>
          </cell>
          <cell r="AL247" t="str">
            <v>N/A</v>
          </cell>
          <cell r="AM247" t="str">
            <v>N/A</v>
          </cell>
          <cell r="AN247" t="str">
            <v>N/A</v>
          </cell>
          <cell r="AO247">
            <v>0</v>
          </cell>
        </row>
        <row r="248">
          <cell r="A248" t="str">
            <v>24-1346</v>
          </cell>
          <cell r="B248" t="str">
            <v>OFFICE EQUIPMENT</v>
          </cell>
          <cell r="C248" t="str">
            <v>PPDO</v>
          </cell>
          <cell r="D248" t="str">
            <v>No</v>
          </cell>
          <cell r="E248" t="str">
            <v>NP-53.9 - Small Value Procurement</v>
          </cell>
          <cell r="F248">
            <v>45356</v>
          </cell>
          <cell r="G248">
            <v>45359</v>
          </cell>
          <cell r="H248">
            <v>0</v>
          </cell>
          <cell r="I248" t="str">
            <v>N/A</v>
          </cell>
          <cell r="J248">
            <v>45370</v>
          </cell>
          <cell r="K248">
            <v>45370</v>
          </cell>
          <cell r="L248">
            <v>0</v>
          </cell>
          <cell r="M248" t="str">
            <v>N/A</v>
          </cell>
          <cell r="N248" t="str">
            <v>N/A</v>
          </cell>
          <cell r="O248">
            <v>45372</v>
          </cell>
          <cell r="P248">
            <v>0</v>
          </cell>
          <cell r="Q248">
            <v>0</v>
          </cell>
          <cell r="R248">
            <v>0</v>
          </cell>
          <cell r="S248" t="str">
            <v>N/A</v>
          </cell>
          <cell r="T248">
            <v>45390</v>
          </cell>
          <cell r="U248">
            <v>45394</v>
          </cell>
          <cell r="V248">
            <v>0</v>
          </cell>
          <cell r="W248">
            <v>0</v>
          </cell>
          <cell r="X248">
            <v>45408</v>
          </cell>
          <cell r="Y248">
            <v>45408</v>
          </cell>
          <cell r="Z248">
            <v>0</v>
          </cell>
          <cell r="AA248">
            <v>7800</v>
          </cell>
          <cell r="AB248">
            <v>7800</v>
          </cell>
          <cell r="AC248">
            <v>0</v>
          </cell>
          <cell r="AD248">
            <v>7800</v>
          </cell>
          <cell r="AE248">
            <v>7800</v>
          </cell>
          <cell r="AF248">
            <v>0</v>
          </cell>
          <cell r="AG248" t="str">
            <v>M</v>
          </cell>
          <cell r="AH248" t="str">
            <v>ENGR. MICHAEL C. SALARDA
MS. LEONARDA M. LATOR
MS. CARMENCITA VALDEZ
MS. SORAYA P. VERGARA</v>
          </cell>
          <cell r="AI248" t="str">
            <v>N/A</v>
          </cell>
          <cell r="AJ248" t="str">
            <v>N/A</v>
          </cell>
          <cell r="AK248" t="str">
            <v>N/A</v>
          </cell>
          <cell r="AL248" t="str">
            <v>N/A</v>
          </cell>
          <cell r="AM248" t="str">
            <v>N/A</v>
          </cell>
          <cell r="AN248" t="str">
            <v>N/A</v>
          </cell>
          <cell r="AO248" t="str">
            <v>COMPLETED</v>
          </cell>
        </row>
        <row r="249">
          <cell r="A249" t="str">
            <v>24-1450</v>
          </cell>
          <cell r="B249" t="str">
            <v>JANITORIAL SUPPLIES/HOUSEKEEPING</v>
          </cell>
          <cell r="C249" t="str">
            <v>PLO</v>
          </cell>
          <cell r="D249" t="str">
            <v>No</v>
          </cell>
          <cell r="E249" t="str">
            <v>NP-53.9 - Small Value Procurement</v>
          </cell>
          <cell r="F249" t="str">
            <v>N/A</v>
          </cell>
          <cell r="G249">
            <v>45359</v>
          </cell>
          <cell r="H249">
            <v>0</v>
          </cell>
          <cell r="I249" t="str">
            <v>N/A</v>
          </cell>
          <cell r="J249">
            <v>45370</v>
          </cell>
          <cell r="K249">
            <v>45370</v>
          </cell>
          <cell r="L249">
            <v>0</v>
          </cell>
          <cell r="M249" t="str">
            <v>N/A</v>
          </cell>
          <cell r="N249" t="str">
            <v>N/A</v>
          </cell>
          <cell r="O249">
            <v>45372</v>
          </cell>
          <cell r="P249">
            <v>0</v>
          </cell>
          <cell r="Q249">
            <v>0</v>
          </cell>
          <cell r="R249">
            <v>0</v>
          </cell>
          <cell r="S249" t="str">
            <v>N/A</v>
          </cell>
          <cell r="T249">
            <v>45387</v>
          </cell>
          <cell r="U249">
            <v>45394</v>
          </cell>
          <cell r="V249">
            <v>0</v>
          </cell>
          <cell r="W249">
            <v>0</v>
          </cell>
          <cell r="X249">
            <v>45407</v>
          </cell>
          <cell r="Y249">
            <v>45407</v>
          </cell>
          <cell r="Z249">
            <v>0</v>
          </cell>
          <cell r="AA249">
            <v>15193</v>
          </cell>
          <cell r="AB249">
            <v>15193</v>
          </cell>
          <cell r="AC249">
            <v>0</v>
          </cell>
          <cell r="AD249">
            <v>15141</v>
          </cell>
          <cell r="AE249">
            <v>15141</v>
          </cell>
          <cell r="AF249">
            <v>0</v>
          </cell>
          <cell r="AG249" t="str">
            <v>M</v>
          </cell>
          <cell r="AH249" t="str">
            <v>ENGR. MICHAEL C. SALARDA
MS. LEONARDA M. LATOR
MS. CARMENCITA VALDEZ
MS. SORAYA P. VERGARA</v>
          </cell>
          <cell r="AI249" t="str">
            <v>N/A</v>
          </cell>
          <cell r="AJ249" t="str">
            <v>N/A</v>
          </cell>
          <cell r="AK249" t="str">
            <v>N/A</v>
          </cell>
          <cell r="AL249" t="str">
            <v>N/A</v>
          </cell>
          <cell r="AM249" t="str">
            <v>N/A</v>
          </cell>
          <cell r="AN249" t="str">
            <v>N/A</v>
          </cell>
          <cell r="AO249" t="str">
            <v>COMPLETED</v>
          </cell>
        </row>
        <row r="250">
          <cell r="A250" t="str">
            <v>24-C1117</v>
          </cell>
          <cell r="B250" t="str">
            <v>SAFETY GEARS</v>
          </cell>
          <cell r="C250" t="str">
            <v>PENRO</v>
          </cell>
          <cell r="D250" t="str">
            <v>No</v>
          </cell>
          <cell r="E250" t="str">
            <v>NP-53.9 - Small Value Procurement</v>
          </cell>
          <cell r="F250" t="str">
            <v>N/A</v>
          </cell>
          <cell r="G250">
            <v>45359</v>
          </cell>
          <cell r="H250">
            <v>0</v>
          </cell>
          <cell r="I250" t="str">
            <v>N/A</v>
          </cell>
          <cell r="J250">
            <v>45370</v>
          </cell>
          <cell r="K250">
            <v>45370</v>
          </cell>
          <cell r="L250">
            <v>0</v>
          </cell>
          <cell r="M250" t="str">
            <v>N/A</v>
          </cell>
          <cell r="N250" t="str">
            <v>N/A</v>
          </cell>
          <cell r="O250">
            <v>45372</v>
          </cell>
          <cell r="P250">
            <v>0</v>
          </cell>
          <cell r="Q250">
            <v>0</v>
          </cell>
          <cell r="R250">
            <v>0</v>
          </cell>
          <cell r="S250" t="str">
            <v>N/A</v>
          </cell>
          <cell r="T250">
            <v>45386</v>
          </cell>
          <cell r="U250">
            <v>45397</v>
          </cell>
          <cell r="V250">
            <v>0</v>
          </cell>
          <cell r="W250">
            <v>0</v>
          </cell>
          <cell r="X250">
            <v>45420</v>
          </cell>
          <cell r="Y250">
            <v>45420</v>
          </cell>
          <cell r="Z250">
            <v>0</v>
          </cell>
          <cell r="AA250">
            <v>46680</v>
          </cell>
          <cell r="AB250">
            <v>0</v>
          </cell>
          <cell r="AC250">
            <v>46680</v>
          </cell>
          <cell r="AD250">
            <v>46331</v>
          </cell>
          <cell r="AE250">
            <v>0</v>
          </cell>
          <cell r="AF250">
            <v>46331</v>
          </cell>
          <cell r="AG250" t="str">
            <v>C</v>
          </cell>
          <cell r="AH250" t="str">
            <v>ENGR. MICHAEL C. SALARDA
MS. LEONARDA M. LATOR
MS. CARMENCITA VALDEZ
MS. SORAYA P. VERGARA</v>
          </cell>
          <cell r="AI250" t="str">
            <v>N/A</v>
          </cell>
          <cell r="AJ250" t="str">
            <v>N/A</v>
          </cell>
          <cell r="AK250" t="str">
            <v>N/A</v>
          </cell>
          <cell r="AL250" t="str">
            <v>N/A</v>
          </cell>
          <cell r="AM250" t="str">
            <v>N/A</v>
          </cell>
          <cell r="AN250" t="str">
            <v>N/A</v>
          </cell>
          <cell r="AO250" t="str">
            <v>COMPLETED</v>
          </cell>
        </row>
        <row r="251">
          <cell r="A251" t="str">
            <v>24-1858</v>
          </cell>
          <cell r="B251" t="str">
            <v>GARMENTS</v>
          </cell>
          <cell r="C251" t="str">
            <v>PGO</v>
          </cell>
          <cell r="D251" t="str">
            <v>No</v>
          </cell>
          <cell r="E251" t="str">
            <v>NP-53.9 - Small Value Procurement</v>
          </cell>
          <cell r="F251" t="str">
            <v>N/A</v>
          </cell>
          <cell r="G251">
            <v>45366</v>
          </cell>
          <cell r="H251">
            <v>0</v>
          </cell>
          <cell r="I251" t="str">
            <v>N/A</v>
          </cell>
          <cell r="J251">
            <v>45370</v>
          </cell>
          <cell r="K251">
            <v>45370</v>
          </cell>
          <cell r="L251">
            <v>0</v>
          </cell>
          <cell r="M251" t="str">
            <v>N/A</v>
          </cell>
          <cell r="N251" t="str">
            <v>N/A</v>
          </cell>
          <cell r="O251">
            <v>45370</v>
          </cell>
          <cell r="P251">
            <v>0</v>
          </cell>
          <cell r="Q251">
            <v>0</v>
          </cell>
          <cell r="R251">
            <v>0</v>
          </cell>
          <cell r="S251">
            <v>45370</v>
          </cell>
          <cell r="T251">
            <v>45370</v>
          </cell>
          <cell r="U251">
            <v>45370</v>
          </cell>
          <cell r="V251">
            <v>0</v>
          </cell>
          <cell r="W251">
            <v>0</v>
          </cell>
          <cell r="X251">
            <v>45378</v>
          </cell>
          <cell r="Y251">
            <v>45378</v>
          </cell>
          <cell r="Z251">
            <v>0</v>
          </cell>
          <cell r="AA251">
            <v>25000</v>
          </cell>
          <cell r="AB251">
            <v>0</v>
          </cell>
          <cell r="AC251">
            <v>25000</v>
          </cell>
          <cell r="AD251">
            <v>25000</v>
          </cell>
          <cell r="AE251">
            <v>0</v>
          </cell>
          <cell r="AF251">
            <v>25000</v>
          </cell>
          <cell r="AG251" t="str">
            <v>C</v>
          </cell>
          <cell r="AH251" t="str">
            <v>ENGR. MICHAEL C. SALARDA
MS. LEONARDA M. LATOR
MS. CARMENCITA VALDEZ
MS. SORAYA P. VERGARA</v>
          </cell>
          <cell r="AI251" t="str">
            <v>N/A</v>
          </cell>
          <cell r="AJ251" t="str">
            <v>N/A</v>
          </cell>
          <cell r="AK251" t="str">
            <v>N/A</v>
          </cell>
          <cell r="AL251" t="str">
            <v>N/A</v>
          </cell>
          <cell r="AM251" t="str">
            <v>N/A</v>
          </cell>
          <cell r="AN251" t="str">
            <v>N/A</v>
          </cell>
          <cell r="AO251" t="str">
            <v>COMPLETED</v>
          </cell>
        </row>
        <row r="252">
          <cell r="A252" t="str">
            <v>24-0781</v>
          </cell>
          <cell r="B252" t="str">
            <v>PRINTED FORMS</v>
          </cell>
          <cell r="C252" t="str">
            <v>PTO</v>
          </cell>
          <cell r="D252" t="str">
            <v>No</v>
          </cell>
          <cell r="E252" t="str">
            <v>NP-53.5 Agency-to-Agency</v>
          </cell>
          <cell r="F252">
            <v>45342</v>
          </cell>
          <cell r="G252">
            <v>45352</v>
          </cell>
          <cell r="H252">
            <v>0</v>
          </cell>
          <cell r="I252" t="str">
            <v>N/A</v>
          </cell>
          <cell r="J252">
            <v>45370</v>
          </cell>
          <cell r="K252">
            <v>45370</v>
          </cell>
          <cell r="L252">
            <v>0</v>
          </cell>
          <cell r="M252" t="str">
            <v>N/A</v>
          </cell>
          <cell r="N252" t="str">
            <v>N/A</v>
          </cell>
          <cell r="O252">
            <v>45372</v>
          </cell>
          <cell r="P252">
            <v>0</v>
          </cell>
          <cell r="Q252">
            <v>0</v>
          </cell>
          <cell r="R252">
            <v>0</v>
          </cell>
          <cell r="S252">
            <v>45383</v>
          </cell>
          <cell r="T252">
            <v>45390</v>
          </cell>
          <cell r="U252">
            <v>45412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3635000</v>
          </cell>
          <cell r="AB252">
            <v>0</v>
          </cell>
          <cell r="AC252">
            <v>3635000</v>
          </cell>
          <cell r="AD252">
            <v>3070000</v>
          </cell>
          <cell r="AE252">
            <v>0</v>
          </cell>
          <cell r="AF252">
            <v>3070000</v>
          </cell>
          <cell r="AG252" t="str">
            <v>C</v>
          </cell>
          <cell r="AH252" t="str">
            <v>ENGR. MICHAEL C. SALARDA
MS. LEONARDA M. LATOR
MS. CARMENCITA VALDEZ
MS. SORAYA P. VERGARA</v>
          </cell>
          <cell r="AI252" t="str">
            <v>N/A</v>
          </cell>
          <cell r="AJ252" t="str">
            <v>N/A</v>
          </cell>
          <cell r="AK252" t="str">
            <v>N/A</v>
          </cell>
          <cell r="AL252" t="str">
            <v>N/A</v>
          </cell>
          <cell r="AM252" t="str">
            <v>N/A</v>
          </cell>
          <cell r="AN252" t="str">
            <v>N/A</v>
          </cell>
          <cell r="AO252">
            <v>0</v>
          </cell>
        </row>
        <row r="253">
          <cell r="A253" t="str">
            <v>23-C0803
LOT 1</v>
          </cell>
          <cell r="B253" t="str">
            <v>FOOD/CATERING SERVICES</v>
          </cell>
          <cell r="C253" t="str">
            <v>PAGRO</v>
          </cell>
          <cell r="D253" t="str">
            <v>No</v>
          </cell>
          <cell r="E253" t="str">
            <v>NP-53.1 Two Failed Biddings</v>
          </cell>
          <cell r="F253" t="str">
            <v>N/A</v>
          </cell>
          <cell r="G253">
            <v>45331</v>
          </cell>
          <cell r="H253">
            <v>0</v>
          </cell>
          <cell r="I253" t="str">
            <v>N/A</v>
          </cell>
          <cell r="J253">
            <v>45370</v>
          </cell>
          <cell r="K253">
            <v>45370</v>
          </cell>
          <cell r="L253">
            <v>0</v>
          </cell>
          <cell r="M253" t="str">
            <v>N/A</v>
          </cell>
          <cell r="N253" t="str">
            <v>N/A</v>
          </cell>
          <cell r="O253">
            <v>45372</v>
          </cell>
          <cell r="P253">
            <v>0</v>
          </cell>
          <cell r="Q253">
            <v>0</v>
          </cell>
          <cell r="R253">
            <v>0</v>
          </cell>
          <cell r="S253">
            <v>45376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351500</v>
          </cell>
          <cell r="AB253">
            <v>0</v>
          </cell>
          <cell r="AC253">
            <v>351500</v>
          </cell>
          <cell r="AD253">
            <v>316750</v>
          </cell>
          <cell r="AE253">
            <v>0</v>
          </cell>
          <cell r="AF253">
            <v>316750</v>
          </cell>
          <cell r="AG253" t="e">
            <v>#N/A</v>
          </cell>
          <cell r="AH253" t="str">
            <v>ENGR. MICHAEL C. SALARDA
MS. LEONARDA M. LATOR
MS. CARMENCITA VALDEZ
MS. SORAYA P. VERGARA</v>
          </cell>
          <cell r="AI253" t="str">
            <v>N/A</v>
          </cell>
          <cell r="AJ253" t="str">
            <v>N/A</v>
          </cell>
          <cell r="AK253" t="str">
            <v>N/A</v>
          </cell>
          <cell r="AL253" t="str">
            <v>N/A</v>
          </cell>
          <cell r="AM253" t="str">
            <v>N/A</v>
          </cell>
          <cell r="AN253" t="str">
            <v>N/A</v>
          </cell>
          <cell r="AO253">
            <v>0</v>
          </cell>
        </row>
        <row r="254">
          <cell r="A254" t="str">
            <v>24-C1035</v>
          </cell>
          <cell r="B254" t="str">
            <v>OFFICE SUPPLIES</v>
          </cell>
          <cell r="C254" t="str">
            <v>PEO-GA</v>
          </cell>
          <cell r="D254" t="str">
            <v>No</v>
          </cell>
          <cell r="E254" t="str">
            <v>Shopping 52.1(b) - Regular Office Supplies and Equipment no available in PS</v>
          </cell>
          <cell r="F254" t="str">
            <v>N/A</v>
          </cell>
          <cell r="G254">
            <v>45352</v>
          </cell>
          <cell r="H254">
            <v>0</v>
          </cell>
          <cell r="I254" t="str">
            <v>N/A</v>
          </cell>
          <cell r="J254">
            <v>45370</v>
          </cell>
          <cell r="K254">
            <v>45370</v>
          </cell>
          <cell r="L254">
            <v>0</v>
          </cell>
          <cell r="M254" t="str">
            <v>N/A</v>
          </cell>
          <cell r="N254" t="str">
            <v>N/A</v>
          </cell>
          <cell r="O254">
            <v>45372</v>
          </cell>
          <cell r="P254">
            <v>0</v>
          </cell>
          <cell r="Q254">
            <v>0</v>
          </cell>
          <cell r="R254">
            <v>0</v>
          </cell>
          <cell r="S254">
            <v>45378</v>
          </cell>
          <cell r="T254">
            <v>45405</v>
          </cell>
          <cell r="U254">
            <v>45408</v>
          </cell>
          <cell r="V254">
            <v>0</v>
          </cell>
          <cell r="W254">
            <v>0</v>
          </cell>
          <cell r="X254">
            <v>45418</v>
          </cell>
          <cell r="Y254">
            <v>45418</v>
          </cell>
          <cell r="Z254">
            <v>0</v>
          </cell>
          <cell r="AA254">
            <v>70535</v>
          </cell>
          <cell r="AB254">
            <v>70535</v>
          </cell>
          <cell r="AC254">
            <v>0</v>
          </cell>
          <cell r="AD254">
            <v>69128</v>
          </cell>
          <cell r="AE254">
            <v>69128</v>
          </cell>
          <cell r="AF254">
            <v>0</v>
          </cell>
          <cell r="AG254" t="str">
            <v>M</v>
          </cell>
          <cell r="AH254" t="str">
            <v>ENGR. MICHAEL C. SALARDA
MS. LEONARDA M. LATOR
MS. CARMENCITA VALDEZ
MS. SORAYA P. VERGARA</v>
          </cell>
          <cell r="AI254" t="str">
            <v>N/A</v>
          </cell>
          <cell r="AJ254" t="str">
            <v>N/A</v>
          </cell>
          <cell r="AK254" t="str">
            <v>N/A</v>
          </cell>
          <cell r="AL254" t="str">
            <v>N/A</v>
          </cell>
          <cell r="AM254" t="str">
            <v>N/A</v>
          </cell>
          <cell r="AN254" t="str">
            <v>N/A</v>
          </cell>
          <cell r="AO254" t="str">
            <v>COMPLETED</v>
          </cell>
        </row>
        <row r="255">
          <cell r="A255" t="str">
            <v>24-1332</v>
          </cell>
          <cell r="B255" t="str">
            <v>OFFICE SUPPLIES</v>
          </cell>
          <cell r="C255" t="str">
            <v>PGO</v>
          </cell>
          <cell r="D255" t="str">
            <v>No</v>
          </cell>
          <cell r="E255" t="str">
            <v>Shopping 52.1(b) - Regular Office Supplies and Equipment no available in PS</v>
          </cell>
          <cell r="F255">
            <v>45356</v>
          </cell>
          <cell r="G255">
            <v>45359</v>
          </cell>
          <cell r="H255">
            <v>0</v>
          </cell>
          <cell r="I255" t="str">
            <v>N/A</v>
          </cell>
          <cell r="J255">
            <v>45370</v>
          </cell>
          <cell r="K255">
            <v>45370</v>
          </cell>
          <cell r="L255">
            <v>0</v>
          </cell>
          <cell r="M255" t="str">
            <v>N/A</v>
          </cell>
          <cell r="N255" t="str">
            <v>N/A</v>
          </cell>
          <cell r="O255">
            <v>45372</v>
          </cell>
          <cell r="P255">
            <v>0</v>
          </cell>
          <cell r="Q255">
            <v>0</v>
          </cell>
          <cell r="R255">
            <v>0</v>
          </cell>
          <cell r="S255" t="str">
            <v>N/A</v>
          </cell>
          <cell r="T255">
            <v>45393</v>
          </cell>
          <cell r="U255">
            <v>45394</v>
          </cell>
          <cell r="V255">
            <v>0</v>
          </cell>
          <cell r="W255">
            <v>0</v>
          </cell>
          <cell r="X255">
            <v>45411</v>
          </cell>
          <cell r="Y255">
            <v>45411</v>
          </cell>
          <cell r="Z255">
            <v>0</v>
          </cell>
          <cell r="AA255">
            <v>28060</v>
          </cell>
          <cell r="AB255">
            <v>28060</v>
          </cell>
          <cell r="AC255">
            <v>0</v>
          </cell>
          <cell r="AD255">
            <v>28020</v>
          </cell>
          <cell r="AE255">
            <v>28020</v>
          </cell>
          <cell r="AF255">
            <v>0</v>
          </cell>
          <cell r="AG255" t="str">
            <v>M</v>
          </cell>
          <cell r="AH255" t="str">
            <v>ENGR. MICHAEL C. SALARDA
MS. LEONARDA M. LATOR
MS. CARMENCITA VALDEZ
MS. SORAYA P. VERGARA</v>
          </cell>
          <cell r="AI255" t="str">
            <v>N/A</v>
          </cell>
          <cell r="AJ255" t="str">
            <v>N/A</v>
          </cell>
          <cell r="AK255" t="str">
            <v>N/A</v>
          </cell>
          <cell r="AL255" t="str">
            <v>N/A</v>
          </cell>
          <cell r="AM255" t="str">
            <v>N/A</v>
          </cell>
          <cell r="AN255" t="str">
            <v>N/A</v>
          </cell>
          <cell r="AO255" t="str">
            <v>COMPLETED</v>
          </cell>
        </row>
        <row r="256">
          <cell r="A256" t="str">
            <v>24-C1092</v>
          </cell>
          <cell r="B256" t="str">
            <v>OFFICE SUPPLIES</v>
          </cell>
          <cell r="C256" t="str">
            <v>PICTO</v>
          </cell>
          <cell r="D256" t="str">
            <v>No</v>
          </cell>
          <cell r="E256" t="str">
            <v>Shopping 52.1(b) - Regular Office Supplies and Equipment no available in PS</v>
          </cell>
          <cell r="F256">
            <v>45356</v>
          </cell>
          <cell r="G256">
            <v>45359</v>
          </cell>
          <cell r="H256">
            <v>0</v>
          </cell>
          <cell r="I256" t="str">
            <v>N/A</v>
          </cell>
          <cell r="J256">
            <v>45370</v>
          </cell>
          <cell r="K256">
            <v>45370</v>
          </cell>
          <cell r="L256">
            <v>0</v>
          </cell>
          <cell r="M256" t="str">
            <v>N/A</v>
          </cell>
          <cell r="N256" t="str">
            <v>N/A</v>
          </cell>
          <cell r="O256">
            <v>45372</v>
          </cell>
          <cell r="P256">
            <v>0</v>
          </cell>
          <cell r="Q256">
            <v>0</v>
          </cell>
          <cell r="R256">
            <v>0</v>
          </cell>
          <cell r="S256">
            <v>45383</v>
          </cell>
          <cell r="T256">
            <v>45387</v>
          </cell>
          <cell r="U256">
            <v>45394</v>
          </cell>
          <cell r="V256">
            <v>0</v>
          </cell>
          <cell r="W256">
            <v>0</v>
          </cell>
          <cell r="X256">
            <v>45411</v>
          </cell>
          <cell r="Y256">
            <v>45411</v>
          </cell>
          <cell r="Z256">
            <v>0</v>
          </cell>
          <cell r="AA256">
            <v>76638</v>
          </cell>
          <cell r="AB256">
            <v>76638</v>
          </cell>
          <cell r="AC256">
            <v>0</v>
          </cell>
          <cell r="AD256">
            <v>76525</v>
          </cell>
          <cell r="AE256">
            <v>76525</v>
          </cell>
          <cell r="AF256">
            <v>0</v>
          </cell>
          <cell r="AG256" t="str">
            <v>M</v>
          </cell>
          <cell r="AH256" t="str">
            <v>ENGR. MICHAEL C. SALARDA
MS. LEONARDA M. LATOR
MS. CARMENCITA VALDEZ
MS. SORAYA P. VERGARA</v>
          </cell>
          <cell r="AI256" t="str">
            <v>N/A</v>
          </cell>
          <cell r="AJ256" t="str">
            <v>N/A</v>
          </cell>
          <cell r="AK256" t="str">
            <v>N/A</v>
          </cell>
          <cell r="AL256" t="str">
            <v>N/A</v>
          </cell>
          <cell r="AM256" t="str">
            <v>N/A</v>
          </cell>
          <cell r="AN256" t="str">
            <v>N/A</v>
          </cell>
          <cell r="AO256" t="str">
            <v>COMPLETED</v>
          </cell>
        </row>
        <row r="257">
          <cell r="A257" t="str">
            <v>24-0887</v>
          </cell>
          <cell r="B257" t="str">
            <v>OFFICE SUPPLIES</v>
          </cell>
          <cell r="C257" t="str">
            <v>PVGO</v>
          </cell>
          <cell r="D257" t="str">
            <v>No</v>
          </cell>
          <cell r="E257" t="str">
            <v>Shopping 52.1(b) - Regular Office Supplies and Equipment no available in PS</v>
          </cell>
          <cell r="F257" t="str">
            <v>N/A</v>
          </cell>
          <cell r="G257">
            <v>45344</v>
          </cell>
          <cell r="H257">
            <v>0</v>
          </cell>
          <cell r="I257" t="str">
            <v>N/A</v>
          </cell>
          <cell r="J257">
            <v>45370</v>
          </cell>
          <cell r="K257">
            <v>45370</v>
          </cell>
          <cell r="L257">
            <v>0</v>
          </cell>
          <cell r="M257" t="str">
            <v>N/A</v>
          </cell>
          <cell r="N257" t="str">
            <v>N/A</v>
          </cell>
          <cell r="O257">
            <v>45372</v>
          </cell>
          <cell r="P257">
            <v>0</v>
          </cell>
          <cell r="Q257">
            <v>0</v>
          </cell>
          <cell r="R257">
            <v>0</v>
          </cell>
          <cell r="S257" t="str">
            <v>N/A</v>
          </cell>
          <cell r="T257">
            <v>45442</v>
          </cell>
          <cell r="U257">
            <v>45446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39995</v>
          </cell>
          <cell r="AB257">
            <v>39995</v>
          </cell>
          <cell r="AC257">
            <v>0</v>
          </cell>
          <cell r="AD257">
            <v>39995</v>
          </cell>
          <cell r="AE257">
            <v>39995</v>
          </cell>
          <cell r="AF257">
            <v>0</v>
          </cell>
          <cell r="AG257" t="str">
            <v>M</v>
          </cell>
          <cell r="AH257" t="str">
            <v>ENGR. MICHAEL C. SALARDA
MS. LEONARDA M. LATOR
MS. CARMENCITA VALDEZ
MS. SORAYA P. VERGARA</v>
          </cell>
          <cell r="AI257" t="str">
            <v>N/A</v>
          </cell>
          <cell r="AJ257" t="str">
            <v>N/A</v>
          </cell>
          <cell r="AK257" t="str">
            <v>N/A</v>
          </cell>
          <cell r="AL257" t="str">
            <v>N/A</v>
          </cell>
          <cell r="AM257" t="str">
            <v>N/A</v>
          </cell>
          <cell r="AN257" t="str">
            <v>N/A</v>
          </cell>
          <cell r="AO257">
            <v>0</v>
          </cell>
        </row>
        <row r="258">
          <cell r="A258" t="str">
            <v>24-1376</v>
          </cell>
          <cell r="B258" t="str">
            <v>OFFICE SUPPLIES</v>
          </cell>
          <cell r="C258" t="str">
            <v>PGO</v>
          </cell>
          <cell r="D258" t="str">
            <v>No</v>
          </cell>
          <cell r="E258" t="str">
            <v>Shopping 52.1(b) - Regular Office Supplies and Equipment no available in PS</v>
          </cell>
          <cell r="F258" t="str">
            <v>N/A</v>
          </cell>
          <cell r="G258">
            <v>45359</v>
          </cell>
          <cell r="H258">
            <v>0</v>
          </cell>
          <cell r="I258" t="str">
            <v>N/A</v>
          </cell>
          <cell r="J258">
            <v>45370</v>
          </cell>
          <cell r="K258">
            <v>45370</v>
          </cell>
          <cell r="L258">
            <v>0</v>
          </cell>
          <cell r="M258" t="str">
            <v>N/A</v>
          </cell>
          <cell r="N258" t="str">
            <v>N/A</v>
          </cell>
          <cell r="O258">
            <v>45372</v>
          </cell>
          <cell r="P258">
            <v>0</v>
          </cell>
          <cell r="Q258">
            <v>0</v>
          </cell>
          <cell r="R258">
            <v>0</v>
          </cell>
          <cell r="S258" t="str">
            <v>N/A</v>
          </cell>
          <cell r="T258">
            <v>45387</v>
          </cell>
          <cell r="U258">
            <v>45394</v>
          </cell>
          <cell r="V258">
            <v>0</v>
          </cell>
          <cell r="W258">
            <v>0</v>
          </cell>
          <cell r="X258">
            <v>45408</v>
          </cell>
          <cell r="Y258">
            <v>45408</v>
          </cell>
          <cell r="Z258">
            <v>0</v>
          </cell>
          <cell r="AA258">
            <v>5540</v>
          </cell>
          <cell r="AB258">
            <v>0</v>
          </cell>
          <cell r="AC258">
            <v>5540</v>
          </cell>
          <cell r="AD258">
            <v>5540</v>
          </cell>
          <cell r="AE258">
            <v>0</v>
          </cell>
          <cell r="AF258">
            <v>5540</v>
          </cell>
          <cell r="AG258" t="str">
            <v>C</v>
          </cell>
          <cell r="AH258" t="str">
            <v>ENGR. MICHAEL C. SALARDA
MS. LEONARDA M. LATOR
MS. CARMENCITA VALDEZ
MS. SORAYA P. VERGARA</v>
          </cell>
          <cell r="AI258" t="str">
            <v>N/A</v>
          </cell>
          <cell r="AJ258" t="str">
            <v>N/A</v>
          </cell>
          <cell r="AK258" t="str">
            <v>N/A</v>
          </cell>
          <cell r="AL258" t="str">
            <v>N/A</v>
          </cell>
          <cell r="AM258" t="str">
            <v>N/A</v>
          </cell>
          <cell r="AN258" t="str">
            <v>N/A</v>
          </cell>
          <cell r="AO258" t="str">
            <v>COMPLETED</v>
          </cell>
        </row>
        <row r="259">
          <cell r="A259" t="str">
            <v>24-1331</v>
          </cell>
          <cell r="B259" t="str">
            <v>OFFICE SUPPLIES</v>
          </cell>
          <cell r="C259" t="str">
            <v>PGO</v>
          </cell>
          <cell r="D259" t="str">
            <v>No</v>
          </cell>
          <cell r="E259" t="str">
            <v>Shopping 52.1(b) - Regular Office Supplies and Equipment no available in PS</v>
          </cell>
          <cell r="F259">
            <v>45356</v>
          </cell>
          <cell r="G259">
            <v>45359</v>
          </cell>
          <cell r="H259">
            <v>0</v>
          </cell>
          <cell r="I259" t="str">
            <v>N/A</v>
          </cell>
          <cell r="J259">
            <v>45370</v>
          </cell>
          <cell r="K259">
            <v>45370</v>
          </cell>
          <cell r="L259">
            <v>0</v>
          </cell>
          <cell r="M259" t="str">
            <v>N/A</v>
          </cell>
          <cell r="N259" t="str">
            <v>N/A</v>
          </cell>
          <cell r="O259">
            <v>45372</v>
          </cell>
          <cell r="P259">
            <v>0</v>
          </cell>
          <cell r="Q259">
            <v>0</v>
          </cell>
          <cell r="R259">
            <v>0</v>
          </cell>
          <cell r="S259">
            <v>45383</v>
          </cell>
          <cell r="T259">
            <v>45393</v>
          </cell>
          <cell r="U259">
            <v>45394</v>
          </cell>
          <cell r="V259">
            <v>0</v>
          </cell>
          <cell r="W259">
            <v>0</v>
          </cell>
          <cell r="X259">
            <v>45418</v>
          </cell>
          <cell r="Y259">
            <v>45418</v>
          </cell>
          <cell r="Z259">
            <v>0</v>
          </cell>
          <cell r="AA259">
            <v>68168</v>
          </cell>
          <cell r="AB259">
            <v>68168</v>
          </cell>
          <cell r="AC259">
            <v>0</v>
          </cell>
          <cell r="AD259">
            <v>67949</v>
          </cell>
          <cell r="AE259">
            <v>67949</v>
          </cell>
          <cell r="AF259">
            <v>0</v>
          </cell>
          <cell r="AG259" t="str">
            <v>M</v>
          </cell>
          <cell r="AH259" t="str">
            <v>ENGR. MICHAEL C. SALARDA
MS. LEONARDA M. LATOR
MS. CARMENCITA VALDEZ
MS. SORAYA P. VERGARA</v>
          </cell>
          <cell r="AI259" t="str">
            <v>N/A</v>
          </cell>
          <cell r="AJ259" t="str">
            <v>N/A</v>
          </cell>
          <cell r="AK259" t="str">
            <v>N/A</v>
          </cell>
          <cell r="AL259" t="str">
            <v>N/A</v>
          </cell>
          <cell r="AM259" t="str">
            <v>N/A</v>
          </cell>
          <cell r="AN259" t="str">
            <v>N/A</v>
          </cell>
          <cell r="AO259" t="str">
            <v>COMPLETED</v>
          </cell>
        </row>
        <row r="260">
          <cell r="A260" t="str">
            <v>24-C1096</v>
          </cell>
          <cell r="B260" t="str">
            <v>OFFICE SUPPLIES</v>
          </cell>
          <cell r="C260" t="str">
            <v>PGO</v>
          </cell>
          <cell r="D260" t="str">
            <v>No</v>
          </cell>
          <cell r="E260" t="str">
            <v>Shopping 52.1(b) - Regular Office Supplies and Equipment no available in PS</v>
          </cell>
          <cell r="F260" t="str">
            <v>N/A</v>
          </cell>
          <cell r="G260">
            <v>45359</v>
          </cell>
          <cell r="H260">
            <v>0</v>
          </cell>
          <cell r="I260" t="str">
            <v>N/A</v>
          </cell>
          <cell r="J260">
            <v>45370</v>
          </cell>
          <cell r="K260">
            <v>45370</v>
          </cell>
          <cell r="L260">
            <v>0</v>
          </cell>
          <cell r="M260" t="str">
            <v>N/A</v>
          </cell>
          <cell r="N260" t="str">
            <v>N/A</v>
          </cell>
          <cell r="O260">
            <v>45372</v>
          </cell>
          <cell r="P260">
            <v>0</v>
          </cell>
          <cell r="Q260">
            <v>0</v>
          </cell>
          <cell r="R260">
            <v>0</v>
          </cell>
          <cell r="S260">
            <v>45383</v>
          </cell>
          <cell r="T260">
            <v>45393</v>
          </cell>
          <cell r="U260">
            <v>45397</v>
          </cell>
          <cell r="V260">
            <v>0</v>
          </cell>
          <cell r="W260">
            <v>0</v>
          </cell>
          <cell r="X260">
            <v>45404</v>
          </cell>
          <cell r="Y260">
            <v>45404</v>
          </cell>
          <cell r="Z260">
            <v>0</v>
          </cell>
          <cell r="AA260">
            <v>94976</v>
          </cell>
          <cell r="AB260">
            <v>0</v>
          </cell>
          <cell r="AC260">
            <v>94976</v>
          </cell>
          <cell r="AD260">
            <v>93273</v>
          </cell>
          <cell r="AE260">
            <v>0</v>
          </cell>
          <cell r="AF260">
            <v>93273</v>
          </cell>
          <cell r="AG260" t="str">
            <v>C</v>
          </cell>
          <cell r="AH260" t="str">
            <v>ENGR. MICHAEL C. SALARDA
MS. LEONARDA M. LATOR
MS. CARMENCITA VALDEZ
MS. SORAYA P. VERGARA</v>
          </cell>
          <cell r="AI260" t="str">
            <v>N/A</v>
          </cell>
          <cell r="AJ260" t="str">
            <v>N/A</v>
          </cell>
          <cell r="AK260" t="str">
            <v>N/A</v>
          </cell>
          <cell r="AL260" t="str">
            <v>N/A</v>
          </cell>
          <cell r="AM260" t="str">
            <v>N/A</v>
          </cell>
          <cell r="AN260" t="str">
            <v>N/A</v>
          </cell>
          <cell r="AO260" t="str">
            <v>COMPLETED</v>
          </cell>
        </row>
        <row r="261">
          <cell r="A261" t="str">
            <v>24-0877</v>
          </cell>
          <cell r="B261" t="str">
            <v>SPAREPARTS (PHOTOCOPIER MACHINE)</v>
          </cell>
          <cell r="C261" t="str">
            <v>SPO</v>
          </cell>
          <cell r="D261" t="str">
            <v>No</v>
          </cell>
          <cell r="E261" t="str">
            <v>Direct Contracting</v>
          </cell>
          <cell r="F261">
            <v>45356</v>
          </cell>
          <cell r="G261">
            <v>45359</v>
          </cell>
          <cell r="H261">
            <v>0</v>
          </cell>
          <cell r="I261" t="str">
            <v>N/A</v>
          </cell>
          <cell r="J261">
            <v>45370</v>
          </cell>
          <cell r="K261">
            <v>45370</v>
          </cell>
          <cell r="L261">
            <v>0</v>
          </cell>
          <cell r="M261" t="str">
            <v>N/A</v>
          </cell>
          <cell r="N261" t="str">
            <v>N/A</v>
          </cell>
          <cell r="O261">
            <v>45372</v>
          </cell>
          <cell r="P261">
            <v>0</v>
          </cell>
          <cell r="Q261">
            <v>0</v>
          </cell>
          <cell r="R261">
            <v>0</v>
          </cell>
          <cell r="S261" t="str">
            <v>N/A</v>
          </cell>
          <cell r="T261">
            <v>45398</v>
          </cell>
          <cell r="U261">
            <v>45405</v>
          </cell>
          <cell r="V261">
            <v>0</v>
          </cell>
          <cell r="W261">
            <v>0</v>
          </cell>
          <cell r="X261">
            <v>45428</v>
          </cell>
          <cell r="Y261">
            <v>45428</v>
          </cell>
          <cell r="Z261">
            <v>0</v>
          </cell>
          <cell r="AA261">
            <v>3750</v>
          </cell>
          <cell r="AB261">
            <v>3750</v>
          </cell>
          <cell r="AC261">
            <v>0</v>
          </cell>
          <cell r="AD261">
            <v>3750</v>
          </cell>
          <cell r="AE261">
            <v>3750</v>
          </cell>
          <cell r="AF261">
            <v>0</v>
          </cell>
          <cell r="AG261" t="str">
            <v>MM</v>
          </cell>
          <cell r="AH261" t="str">
            <v>ENGR. MICHAEL C. SALARDA
MS. LEONARDA M. LATOR
MS. CARMENCITA VALDEZ
MS. SORAYA P. VERGARA</v>
          </cell>
          <cell r="AI261" t="str">
            <v>N/A</v>
          </cell>
          <cell r="AJ261" t="str">
            <v>N/A</v>
          </cell>
          <cell r="AK261" t="str">
            <v>N/A</v>
          </cell>
          <cell r="AL261" t="str">
            <v>N/A</v>
          </cell>
          <cell r="AM261" t="str">
            <v>N/A</v>
          </cell>
          <cell r="AN261" t="str">
            <v>N/A</v>
          </cell>
          <cell r="AO261" t="str">
            <v>COMPLETED</v>
          </cell>
        </row>
        <row r="262">
          <cell r="A262" t="str">
            <v>24-0073</v>
          </cell>
          <cell r="B262" t="str">
            <v>DUPLICATING PRODUCTS/SPAREPARTS</v>
          </cell>
          <cell r="C262" t="str">
            <v>PACCO</v>
          </cell>
          <cell r="D262" t="str">
            <v>No</v>
          </cell>
          <cell r="E262" t="str">
            <v>Direct Contracting</v>
          </cell>
          <cell r="F262" t="str">
            <v>N/A</v>
          </cell>
          <cell r="G262">
            <v>45352</v>
          </cell>
          <cell r="H262">
            <v>0</v>
          </cell>
          <cell r="I262" t="str">
            <v>N/A</v>
          </cell>
          <cell r="J262">
            <v>45370</v>
          </cell>
          <cell r="K262">
            <v>45370</v>
          </cell>
          <cell r="L262">
            <v>0</v>
          </cell>
          <cell r="M262" t="str">
            <v>N/A</v>
          </cell>
          <cell r="N262" t="str">
            <v>N/A</v>
          </cell>
          <cell r="O262">
            <v>45372</v>
          </cell>
          <cell r="P262">
            <v>0</v>
          </cell>
          <cell r="Q262">
            <v>0</v>
          </cell>
          <cell r="R262">
            <v>0</v>
          </cell>
          <cell r="S262" t="str">
            <v>N/A</v>
          </cell>
          <cell r="T262">
            <v>45405</v>
          </cell>
          <cell r="U262">
            <v>45412</v>
          </cell>
          <cell r="V262">
            <v>0</v>
          </cell>
          <cell r="W262">
            <v>0</v>
          </cell>
          <cell r="X262">
            <v>45414</v>
          </cell>
          <cell r="Y262">
            <v>45414</v>
          </cell>
          <cell r="Z262">
            <v>0</v>
          </cell>
          <cell r="AA262">
            <v>35400</v>
          </cell>
          <cell r="AB262">
            <v>35400</v>
          </cell>
          <cell r="AC262">
            <v>0</v>
          </cell>
          <cell r="AD262">
            <v>35400</v>
          </cell>
          <cell r="AE262">
            <v>35400</v>
          </cell>
          <cell r="AF262">
            <v>0</v>
          </cell>
          <cell r="AG262" t="str">
            <v>M</v>
          </cell>
          <cell r="AH262" t="str">
            <v>ENGR. MICHAEL C. SALARDA
MS. LEONARDA M. LATOR
MS. CARMENCITA VALDEZ
MS. SORAYA P. VERGARA</v>
          </cell>
          <cell r="AI262" t="str">
            <v>N/A</v>
          </cell>
          <cell r="AJ262" t="str">
            <v>N/A</v>
          </cell>
          <cell r="AK262" t="str">
            <v>N/A</v>
          </cell>
          <cell r="AL262" t="str">
            <v>N/A</v>
          </cell>
          <cell r="AM262" t="str">
            <v>N/A</v>
          </cell>
          <cell r="AN262" t="str">
            <v>N/A</v>
          </cell>
          <cell r="AO262" t="str">
            <v>COMPLETED</v>
          </cell>
        </row>
        <row r="263">
          <cell r="A263" t="str">
            <v>24-0896</v>
          </cell>
          <cell r="B263" t="str">
            <v>JANITORIAL SUPPLIES</v>
          </cell>
          <cell r="C263" t="str">
            <v>PVGO</v>
          </cell>
          <cell r="D263" t="str">
            <v>No</v>
          </cell>
          <cell r="E263" t="str">
            <v>NP-53.9 - Small Value Procurement</v>
          </cell>
          <cell r="F263" t="str">
            <v>N/A</v>
          </cell>
          <cell r="G263">
            <v>45344</v>
          </cell>
          <cell r="H263">
            <v>0</v>
          </cell>
          <cell r="I263" t="str">
            <v>N/A</v>
          </cell>
          <cell r="J263">
            <v>45373</v>
          </cell>
          <cell r="K263">
            <v>45373</v>
          </cell>
          <cell r="L263">
            <v>0</v>
          </cell>
          <cell r="M263" t="str">
            <v>N/A</v>
          </cell>
          <cell r="N263" t="str">
            <v>N/A</v>
          </cell>
          <cell r="O263">
            <v>45376</v>
          </cell>
          <cell r="P263">
            <v>0</v>
          </cell>
          <cell r="Q263">
            <v>0</v>
          </cell>
          <cell r="R263">
            <v>0</v>
          </cell>
          <cell r="S263" t="str">
            <v>N/A</v>
          </cell>
          <cell r="T263">
            <v>45439</v>
          </cell>
          <cell r="U263">
            <v>45456</v>
          </cell>
          <cell r="V263">
            <v>0</v>
          </cell>
          <cell r="W263">
            <v>0</v>
          </cell>
          <cell r="X263">
            <v>45464</v>
          </cell>
          <cell r="Y263">
            <v>45464</v>
          </cell>
          <cell r="Z263">
            <v>0</v>
          </cell>
          <cell r="AA263">
            <v>39995</v>
          </cell>
          <cell r="AB263">
            <v>39995</v>
          </cell>
          <cell r="AC263">
            <v>0</v>
          </cell>
          <cell r="AD263">
            <v>39830</v>
          </cell>
          <cell r="AE263">
            <v>39830</v>
          </cell>
          <cell r="AF263">
            <v>0</v>
          </cell>
          <cell r="AG263" t="str">
            <v>M</v>
          </cell>
          <cell r="AH263" t="str">
            <v>ENGR. MICHAEL C. SALARDA
MS. LEONARDA M. LATOR
MS. CARMENCITA VALDEZ
MS. SORAYA P. VERGARA</v>
          </cell>
          <cell r="AI263" t="str">
            <v>N/A</v>
          </cell>
          <cell r="AJ263" t="str">
            <v>N/A</v>
          </cell>
          <cell r="AK263" t="str">
            <v>N/A</v>
          </cell>
          <cell r="AL263" t="str">
            <v>N/A</v>
          </cell>
          <cell r="AM263" t="str">
            <v>N/A</v>
          </cell>
          <cell r="AN263" t="str">
            <v>N/A</v>
          </cell>
          <cell r="AO263" t="str">
            <v>COMPLETED</v>
          </cell>
        </row>
        <row r="264">
          <cell r="A264" t="str">
            <v>24-1051</v>
          </cell>
          <cell r="B264" t="str">
            <v>SPORTS SUPPLIES &amp; EQUIPMENT</v>
          </cell>
          <cell r="C264" t="str">
            <v>SEF</v>
          </cell>
          <cell r="D264" t="str">
            <v>No</v>
          </cell>
          <cell r="E264" t="str">
            <v>NP-53.9 - Small Value Procurement</v>
          </cell>
          <cell r="F264" t="str">
            <v>N/A</v>
          </cell>
          <cell r="G264">
            <v>45344</v>
          </cell>
          <cell r="H264">
            <v>0</v>
          </cell>
          <cell r="I264" t="str">
            <v>N/A</v>
          </cell>
          <cell r="J264">
            <v>45373</v>
          </cell>
          <cell r="K264">
            <v>45373</v>
          </cell>
          <cell r="L264">
            <v>0</v>
          </cell>
          <cell r="M264" t="str">
            <v>N/A</v>
          </cell>
          <cell r="N264" t="str">
            <v>N/A</v>
          </cell>
          <cell r="O264">
            <v>45376</v>
          </cell>
          <cell r="P264">
            <v>0</v>
          </cell>
          <cell r="Q264">
            <v>0</v>
          </cell>
          <cell r="R264">
            <v>0</v>
          </cell>
          <cell r="S264">
            <v>45384</v>
          </cell>
          <cell r="T264">
            <v>45425</v>
          </cell>
          <cell r="U264">
            <v>45432</v>
          </cell>
          <cell r="V264">
            <v>0</v>
          </cell>
          <cell r="W264">
            <v>0</v>
          </cell>
          <cell r="X264">
            <v>45464</v>
          </cell>
          <cell r="Y264">
            <v>45464</v>
          </cell>
          <cell r="Z264">
            <v>0</v>
          </cell>
          <cell r="AA264">
            <v>381709</v>
          </cell>
          <cell r="AB264">
            <v>0</v>
          </cell>
          <cell r="AC264">
            <v>381709</v>
          </cell>
          <cell r="AD264">
            <v>380983</v>
          </cell>
          <cell r="AE264">
            <v>0</v>
          </cell>
          <cell r="AF264">
            <v>380983</v>
          </cell>
          <cell r="AG264" t="str">
            <v>C</v>
          </cell>
          <cell r="AH264" t="str">
            <v>ENGR. MICHAEL C. SALARDA
MS. LEONARDA M. LATOR
MS. CARMENCITA VALDEZ
MS. SORAYA P. VERGARA</v>
          </cell>
          <cell r="AI264" t="str">
            <v>N/A</v>
          </cell>
          <cell r="AJ264" t="str">
            <v>N/A</v>
          </cell>
          <cell r="AK264" t="str">
            <v>N/A</v>
          </cell>
          <cell r="AL264" t="str">
            <v>N/A</v>
          </cell>
          <cell r="AM264" t="str">
            <v>N/A</v>
          </cell>
          <cell r="AN264" t="str">
            <v>N/A</v>
          </cell>
          <cell r="AO264" t="str">
            <v>COMPLETED</v>
          </cell>
        </row>
        <row r="265">
          <cell r="A265" t="str">
            <v>24-C1097</v>
          </cell>
          <cell r="B265" t="str">
            <v>JANITORIAL SUPPLIES</v>
          </cell>
          <cell r="C265" t="str">
            <v>PGO</v>
          </cell>
          <cell r="D265" t="str">
            <v>No</v>
          </cell>
          <cell r="E265" t="str">
            <v>NP-53.9 - Small Value Procurement</v>
          </cell>
          <cell r="F265" t="str">
            <v>N/A</v>
          </cell>
          <cell r="G265">
            <v>45344</v>
          </cell>
          <cell r="H265">
            <v>0</v>
          </cell>
          <cell r="I265" t="str">
            <v>N/A</v>
          </cell>
          <cell r="J265">
            <v>45373</v>
          </cell>
          <cell r="K265">
            <v>45373</v>
          </cell>
          <cell r="L265">
            <v>0</v>
          </cell>
          <cell r="M265" t="str">
            <v>N/A</v>
          </cell>
          <cell r="N265" t="str">
            <v>N/A</v>
          </cell>
          <cell r="O265">
            <v>45376</v>
          </cell>
          <cell r="P265">
            <v>0</v>
          </cell>
          <cell r="Q265">
            <v>0</v>
          </cell>
          <cell r="R265">
            <v>0</v>
          </cell>
          <cell r="S265">
            <v>45384</v>
          </cell>
          <cell r="T265">
            <v>45393</v>
          </cell>
          <cell r="U265">
            <v>45405</v>
          </cell>
          <cell r="V265">
            <v>0</v>
          </cell>
          <cell r="W265">
            <v>0</v>
          </cell>
          <cell r="X265">
            <v>45440</v>
          </cell>
          <cell r="Y265">
            <v>45440</v>
          </cell>
          <cell r="Z265">
            <v>0</v>
          </cell>
          <cell r="AA265">
            <v>60718.5</v>
          </cell>
          <cell r="AB265">
            <v>60718.5</v>
          </cell>
          <cell r="AC265">
            <v>0</v>
          </cell>
          <cell r="AD265">
            <v>60256</v>
          </cell>
          <cell r="AE265">
            <v>60256</v>
          </cell>
          <cell r="AF265">
            <v>0</v>
          </cell>
          <cell r="AG265" t="str">
            <v>M</v>
          </cell>
          <cell r="AH265" t="str">
            <v>ENGR. MICHAEL C. SALARDA
MS. LEONARDA M. LATOR
MS. CARMENCITA VALDEZ
MS. SORAYA P. VERGARA</v>
          </cell>
          <cell r="AI265" t="str">
            <v>N/A</v>
          </cell>
          <cell r="AJ265" t="str">
            <v>N/A</v>
          </cell>
          <cell r="AK265" t="str">
            <v>N/A</v>
          </cell>
          <cell r="AL265" t="str">
            <v>N/A</v>
          </cell>
          <cell r="AM265" t="str">
            <v>N/A</v>
          </cell>
          <cell r="AN265" t="str">
            <v>N/A</v>
          </cell>
          <cell r="AO265" t="str">
            <v>COMPLETED</v>
          </cell>
        </row>
        <row r="266">
          <cell r="A266" t="str">
            <v>24-C1063</v>
          </cell>
          <cell r="B266" t="str">
            <v>TARPAULIN</v>
          </cell>
          <cell r="C266" t="str">
            <v>PSWDO</v>
          </cell>
          <cell r="D266" t="str">
            <v>No</v>
          </cell>
          <cell r="E266" t="str">
            <v>NP-53.9 - Small Value Procurement</v>
          </cell>
          <cell r="F266" t="str">
            <v>N/A</v>
          </cell>
          <cell r="G266">
            <v>45363</v>
          </cell>
          <cell r="H266">
            <v>0</v>
          </cell>
          <cell r="I266" t="str">
            <v>N/A</v>
          </cell>
          <cell r="J266">
            <v>45373</v>
          </cell>
          <cell r="K266">
            <v>45373</v>
          </cell>
          <cell r="L266">
            <v>0</v>
          </cell>
          <cell r="M266" t="str">
            <v>N/A</v>
          </cell>
          <cell r="N266" t="str">
            <v>N/A</v>
          </cell>
          <cell r="O266">
            <v>45376</v>
          </cell>
          <cell r="P266">
            <v>0</v>
          </cell>
          <cell r="Q266">
            <v>0</v>
          </cell>
          <cell r="R266">
            <v>0</v>
          </cell>
          <cell r="S266" t="str">
            <v>N/A</v>
          </cell>
          <cell r="T266">
            <v>45390</v>
          </cell>
          <cell r="U266">
            <v>45394</v>
          </cell>
          <cell r="V266">
            <v>0</v>
          </cell>
          <cell r="W266">
            <v>0</v>
          </cell>
          <cell r="X266">
            <v>45462</v>
          </cell>
          <cell r="Y266">
            <v>45462</v>
          </cell>
          <cell r="Z266">
            <v>0</v>
          </cell>
          <cell r="AA266">
            <v>34692</v>
          </cell>
          <cell r="AB266">
            <v>34692</v>
          </cell>
          <cell r="AC266">
            <v>0</v>
          </cell>
          <cell r="AD266">
            <v>34692</v>
          </cell>
          <cell r="AE266">
            <v>34692</v>
          </cell>
          <cell r="AF266">
            <v>0</v>
          </cell>
          <cell r="AG266" t="str">
            <v>M</v>
          </cell>
          <cell r="AH266" t="str">
            <v>ENGR. MICHAEL C. SALARDA
MS. LEONARDA M. LATOR
MS. CARMENCITA VALDEZ
MS. SORAYA P. VERGARA</v>
          </cell>
          <cell r="AI266" t="str">
            <v>N/A</v>
          </cell>
          <cell r="AJ266" t="str">
            <v>N/A</v>
          </cell>
          <cell r="AK266" t="str">
            <v>N/A</v>
          </cell>
          <cell r="AL266" t="str">
            <v>N/A</v>
          </cell>
          <cell r="AM266" t="str">
            <v>N/A</v>
          </cell>
          <cell r="AN266" t="str">
            <v>N/A</v>
          </cell>
          <cell r="AO266" t="str">
            <v>COMPLETED</v>
          </cell>
        </row>
        <row r="267">
          <cell r="A267" t="str">
            <v>24-C1012</v>
          </cell>
          <cell r="B267" t="str">
            <v>PLUMBING SUPPLIES</v>
          </cell>
          <cell r="C267" t="str">
            <v>PEEMO</v>
          </cell>
          <cell r="D267" t="str">
            <v>No</v>
          </cell>
          <cell r="E267" t="str">
            <v>NP-53.9 - Small Value Procurement</v>
          </cell>
          <cell r="F267" t="str">
            <v>N/A</v>
          </cell>
          <cell r="G267">
            <v>45359</v>
          </cell>
          <cell r="H267">
            <v>0</v>
          </cell>
          <cell r="I267" t="str">
            <v>N/A</v>
          </cell>
          <cell r="J267">
            <v>45373</v>
          </cell>
          <cell r="K267">
            <v>45373</v>
          </cell>
          <cell r="L267">
            <v>0</v>
          </cell>
          <cell r="M267" t="str">
            <v>N/A</v>
          </cell>
          <cell r="N267" t="str">
            <v>N/A</v>
          </cell>
          <cell r="O267">
            <v>45376</v>
          </cell>
          <cell r="P267">
            <v>0</v>
          </cell>
          <cell r="Q267">
            <v>0</v>
          </cell>
          <cell r="R267">
            <v>0</v>
          </cell>
          <cell r="S267">
            <v>45386</v>
          </cell>
          <cell r="T267">
            <v>45394</v>
          </cell>
          <cell r="U267">
            <v>45407</v>
          </cell>
          <cell r="V267">
            <v>0</v>
          </cell>
          <cell r="W267">
            <v>0</v>
          </cell>
          <cell r="X267">
            <v>45422</v>
          </cell>
          <cell r="Y267">
            <v>45422</v>
          </cell>
          <cell r="Z267">
            <v>0</v>
          </cell>
          <cell r="AA267">
            <v>62860</v>
          </cell>
          <cell r="AB267">
            <v>62860</v>
          </cell>
          <cell r="AC267">
            <v>0</v>
          </cell>
          <cell r="AD267">
            <v>62504</v>
          </cell>
          <cell r="AE267">
            <v>62504</v>
          </cell>
          <cell r="AF267">
            <v>0</v>
          </cell>
          <cell r="AG267" t="str">
            <v>M</v>
          </cell>
          <cell r="AH267" t="str">
            <v>ENGR. MICHAEL C. SALARDA
MS. LEONARDA M. LATOR
MS. CARMENCITA VALDEZ
MS. SORAYA P. VERGARA</v>
          </cell>
          <cell r="AI267" t="str">
            <v>N/A</v>
          </cell>
          <cell r="AJ267" t="str">
            <v>N/A</v>
          </cell>
          <cell r="AK267" t="str">
            <v>N/A</v>
          </cell>
          <cell r="AL267" t="str">
            <v>N/A</v>
          </cell>
          <cell r="AM267" t="str">
            <v>N/A</v>
          </cell>
          <cell r="AN267" t="str">
            <v>N/A</v>
          </cell>
          <cell r="AO267" t="str">
            <v>COMPLETED</v>
          </cell>
        </row>
        <row r="268">
          <cell r="A268" t="str">
            <v>24-C1112</v>
          </cell>
          <cell r="B268" t="str">
            <v>LAMINATING MACHINE</v>
          </cell>
          <cell r="C268" t="str">
            <v>PENRO</v>
          </cell>
          <cell r="D268" t="str">
            <v>No</v>
          </cell>
          <cell r="E268" t="str">
            <v>NP-53.9 - Small Value Procurement</v>
          </cell>
          <cell r="F268" t="str">
            <v>N/A</v>
          </cell>
          <cell r="G268">
            <v>45359</v>
          </cell>
          <cell r="H268">
            <v>0</v>
          </cell>
          <cell r="I268" t="str">
            <v>N/A</v>
          </cell>
          <cell r="J268">
            <v>45373</v>
          </cell>
          <cell r="K268">
            <v>45373</v>
          </cell>
          <cell r="L268">
            <v>0</v>
          </cell>
          <cell r="M268" t="str">
            <v>N/A</v>
          </cell>
          <cell r="N268" t="str">
            <v>N/A</v>
          </cell>
          <cell r="O268">
            <v>45376</v>
          </cell>
          <cell r="P268">
            <v>0</v>
          </cell>
          <cell r="Q268">
            <v>0</v>
          </cell>
          <cell r="R268">
            <v>0</v>
          </cell>
          <cell r="S268">
            <v>45386</v>
          </cell>
          <cell r="T268">
            <v>45387</v>
          </cell>
          <cell r="U268">
            <v>45397</v>
          </cell>
          <cell r="V268">
            <v>0</v>
          </cell>
          <cell r="W268">
            <v>0</v>
          </cell>
          <cell r="X268">
            <v>45406</v>
          </cell>
          <cell r="Y268">
            <v>45406</v>
          </cell>
          <cell r="Z268">
            <v>0</v>
          </cell>
          <cell r="AA268">
            <v>51070</v>
          </cell>
          <cell r="AB268">
            <v>51070</v>
          </cell>
          <cell r="AC268">
            <v>0</v>
          </cell>
          <cell r="AD268">
            <v>51000</v>
          </cell>
          <cell r="AE268">
            <v>51000</v>
          </cell>
          <cell r="AF268">
            <v>0</v>
          </cell>
          <cell r="AG268" t="str">
            <v>M</v>
          </cell>
          <cell r="AH268" t="str">
            <v>ENGR. MICHAEL C. SALARDA
MS. LEONARDA M. LATOR
MS. CARMENCITA VALDEZ
MS. SORAYA P. VERGARA</v>
          </cell>
          <cell r="AI268" t="str">
            <v>N/A</v>
          </cell>
          <cell r="AJ268" t="str">
            <v>N/A</v>
          </cell>
          <cell r="AK268" t="str">
            <v>N/A</v>
          </cell>
          <cell r="AL268" t="str">
            <v>N/A</v>
          </cell>
          <cell r="AM268" t="str">
            <v>N/A</v>
          </cell>
          <cell r="AN268" t="str">
            <v>N/A</v>
          </cell>
          <cell r="AO268" t="str">
            <v>COMPLETED</v>
          </cell>
        </row>
        <row r="269">
          <cell r="A269" t="str">
            <v>24-1703</v>
          </cell>
          <cell r="B269" t="str">
            <v>COMPUTER SUPPLIES/SPAREPARTS</v>
          </cell>
          <cell r="C269" t="str">
            <v>PGO</v>
          </cell>
          <cell r="D269" t="str">
            <v>No</v>
          </cell>
          <cell r="E269" t="str">
            <v>NP-53.9 - Small Value Procurement</v>
          </cell>
          <cell r="F269" t="str">
            <v>N/A</v>
          </cell>
          <cell r="G269">
            <v>45363</v>
          </cell>
          <cell r="H269">
            <v>0</v>
          </cell>
          <cell r="I269" t="str">
            <v>N/A</v>
          </cell>
          <cell r="J269">
            <v>45373</v>
          </cell>
          <cell r="K269">
            <v>45373</v>
          </cell>
          <cell r="L269">
            <v>0</v>
          </cell>
          <cell r="M269" t="str">
            <v>N/A</v>
          </cell>
          <cell r="N269" t="str">
            <v>N/A</v>
          </cell>
          <cell r="O269">
            <v>45376</v>
          </cell>
          <cell r="P269">
            <v>0</v>
          </cell>
          <cell r="Q269">
            <v>0</v>
          </cell>
          <cell r="R269">
            <v>0</v>
          </cell>
          <cell r="S269" t="str">
            <v>N/A</v>
          </cell>
          <cell r="T269">
            <v>45393</v>
          </cell>
          <cell r="U269">
            <v>45397</v>
          </cell>
          <cell r="V269">
            <v>0</v>
          </cell>
          <cell r="W269">
            <v>0</v>
          </cell>
          <cell r="X269">
            <v>45411</v>
          </cell>
          <cell r="Y269">
            <v>45411</v>
          </cell>
          <cell r="Z269">
            <v>0</v>
          </cell>
          <cell r="AA269">
            <v>13312</v>
          </cell>
          <cell r="AB269">
            <v>0</v>
          </cell>
          <cell r="AC269">
            <v>13312</v>
          </cell>
          <cell r="AD269">
            <v>13280</v>
          </cell>
          <cell r="AE269">
            <v>0</v>
          </cell>
          <cell r="AF269">
            <v>13280</v>
          </cell>
          <cell r="AG269" t="str">
            <v>C</v>
          </cell>
          <cell r="AH269" t="str">
            <v>ENGR. MICHAEL C. SALARDA
MS. LEONARDA M. LATOR
MS. CARMENCITA VALDEZ
MS. SORAYA P. VERGARA</v>
          </cell>
          <cell r="AI269" t="str">
            <v>N/A</v>
          </cell>
          <cell r="AJ269" t="str">
            <v>N/A</v>
          </cell>
          <cell r="AK269" t="str">
            <v>N/A</v>
          </cell>
          <cell r="AL269" t="str">
            <v>N/A</v>
          </cell>
          <cell r="AM269" t="str">
            <v>N/A</v>
          </cell>
          <cell r="AN269" t="str">
            <v>N/A</v>
          </cell>
          <cell r="AO269" t="str">
            <v>COMPLETED</v>
          </cell>
        </row>
        <row r="270">
          <cell r="A270" t="str">
            <v>24-1669</v>
          </cell>
          <cell r="B270" t="str">
            <v>JANITORIAL SUPPLIES/HOUSEKEEPING</v>
          </cell>
          <cell r="C270" t="str">
            <v>PAO</v>
          </cell>
          <cell r="D270" t="str">
            <v>No</v>
          </cell>
          <cell r="E270" t="str">
            <v>NP-53.9 - Small Value Procurement</v>
          </cell>
          <cell r="F270" t="str">
            <v>N/A</v>
          </cell>
          <cell r="G270">
            <v>45363</v>
          </cell>
          <cell r="H270">
            <v>0</v>
          </cell>
          <cell r="I270" t="str">
            <v>N/A</v>
          </cell>
          <cell r="J270">
            <v>45373</v>
          </cell>
          <cell r="K270">
            <v>45373</v>
          </cell>
          <cell r="L270">
            <v>0</v>
          </cell>
          <cell r="M270" t="str">
            <v>N/A</v>
          </cell>
          <cell r="N270" t="str">
            <v>N/A</v>
          </cell>
          <cell r="O270">
            <v>45376</v>
          </cell>
          <cell r="P270">
            <v>0</v>
          </cell>
          <cell r="Q270">
            <v>0</v>
          </cell>
          <cell r="R270">
            <v>0</v>
          </cell>
          <cell r="S270" t="str">
            <v>N/A</v>
          </cell>
          <cell r="T270">
            <v>45393</v>
          </cell>
          <cell r="U270">
            <v>45397</v>
          </cell>
          <cell r="V270">
            <v>0</v>
          </cell>
          <cell r="W270">
            <v>0</v>
          </cell>
          <cell r="X270">
            <v>45404</v>
          </cell>
          <cell r="Y270">
            <v>45404</v>
          </cell>
          <cell r="Z270">
            <v>0</v>
          </cell>
          <cell r="AA270">
            <v>6048</v>
          </cell>
          <cell r="AB270">
            <v>0</v>
          </cell>
          <cell r="AC270">
            <v>6048</v>
          </cell>
          <cell r="AD270">
            <v>5878</v>
          </cell>
          <cell r="AE270">
            <v>0</v>
          </cell>
          <cell r="AF270">
            <v>5878</v>
          </cell>
          <cell r="AG270" t="str">
            <v>C</v>
          </cell>
          <cell r="AH270" t="str">
            <v>ENGR. MICHAEL C. SALARDA
MS. LEONARDA M. LATOR
MS. CARMENCITA VALDEZ
MS. SORAYA P. VERGARA</v>
          </cell>
          <cell r="AI270" t="str">
            <v>N/A</v>
          </cell>
          <cell r="AJ270" t="str">
            <v>N/A</v>
          </cell>
          <cell r="AK270" t="str">
            <v>N/A</v>
          </cell>
          <cell r="AL270" t="str">
            <v>N/A</v>
          </cell>
          <cell r="AM270" t="str">
            <v>N/A</v>
          </cell>
          <cell r="AN270" t="str">
            <v>N/A</v>
          </cell>
          <cell r="AO270" t="str">
            <v>COMPLETED</v>
          </cell>
        </row>
        <row r="271">
          <cell r="A271" t="str">
            <v>24-C1170</v>
          </cell>
          <cell r="B271" t="str">
            <v>COMPUTER SUPPLIES</v>
          </cell>
          <cell r="C271" t="str">
            <v>PAO</v>
          </cell>
          <cell r="D271" t="str">
            <v>No</v>
          </cell>
          <cell r="E271" t="str">
            <v>NP-53.9 - Small Value Procurement</v>
          </cell>
          <cell r="F271" t="str">
            <v>N/A</v>
          </cell>
          <cell r="G271">
            <v>45363</v>
          </cell>
          <cell r="H271">
            <v>0</v>
          </cell>
          <cell r="I271" t="str">
            <v>N/A</v>
          </cell>
          <cell r="J271">
            <v>45373</v>
          </cell>
          <cell r="K271">
            <v>45373</v>
          </cell>
          <cell r="L271">
            <v>0</v>
          </cell>
          <cell r="M271" t="str">
            <v>N/A</v>
          </cell>
          <cell r="N271" t="str">
            <v>N/A</v>
          </cell>
          <cell r="O271">
            <v>45376</v>
          </cell>
          <cell r="P271">
            <v>0</v>
          </cell>
          <cell r="Q271">
            <v>0</v>
          </cell>
          <cell r="R271">
            <v>0</v>
          </cell>
          <cell r="S271" t="str">
            <v>N/A</v>
          </cell>
          <cell r="T271">
            <v>45393</v>
          </cell>
          <cell r="U271">
            <v>45397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13740</v>
          </cell>
          <cell r="AB271">
            <v>0</v>
          </cell>
          <cell r="AC271">
            <v>13740</v>
          </cell>
          <cell r="AD271">
            <v>13690</v>
          </cell>
          <cell r="AE271">
            <v>0</v>
          </cell>
          <cell r="AF271">
            <v>13690</v>
          </cell>
          <cell r="AG271" t="str">
            <v>C</v>
          </cell>
          <cell r="AH271" t="str">
            <v>ENGR. MICHAEL C. SALARDA
MS. LEONARDA M. LATOR
MS. CARMENCITA VALDEZ
MS. SORAYA P. VERGARA</v>
          </cell>
          <cell r="AI271" t="str">
            <v>N/A</v>
          </cell>
          <cell r="AJ271" t="str">
            <v>N/A</v>
          </cell>
          <cell r="AK271" t="str">
            <v>N/A</v>
          </cell>
          <cell r="AL271" t="str">
            <v>N/A</v>
          </cell>
          <cell r="AM271" t="str">
            <v>N/A</v>
          </cell>
          <cell r="AN271" t="str">
            <v>N/A</v>
          </cell>
          <cell r="AO271">
            <v>0</v>
          </cell>
        </row>
        <row r="272">
          <cell r="A272" t="str">
            <v>24-C1138</v>
          </cell>
          <cell r="B272" t="str">
            <v>MINERAL WATER</v>
          </cell>
          <cell r="C272" t="str">
            <v>PSWDO</v>
          </cell>
          <cell r="D272" t="str">
            <v>No</v>
          </cell>
          <cell r="E272" t="str">
            <v>NP-53.9 - Small Value Procurement</v>
          </cell>
          <cell r="F272" t="str">
            <v>N/A</v>
          </cell>
          <cell r="G272">
            <v>45363</v>
          </cell>
          <cell r="H272">
            <v>0</v>
          </cell>
          <cell r="I272" t="str">
            <v>N/A</v>
          </cell>
          <cell r="J272">
            <v>45373</v>
          </cell>
          <cell r="K272">
            <v>45373</v>
          </cell>
          <cell r="L272">
            <v>0</v>
          </cell>
          <cell r="M272" t="str">
            <v>N/A</v>
          </cell>
          <cell r="N272" t="str">
            <v>N/A</v>
          </cell>
          <cell r="O272">
            <v>45376</v>
          </cell>
          <cell r="P272">
            <v>0</v>
          </cell>
          <cell r="Q272">
            <v>0</v>
          </cell>
          <cell r="R272">
            <v>0</v>
          </cell>
          <cell r="S272" t="str">
            <v>N/A</v>
          </cell>
          <cell r="T272">
            <v>45393</v>
          </cell>
          <cell r="U272">
            <v>45397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8979</v>
          </cell>
          <cell r="AB272">
            <v>8979</v>
          </cell>
          <cell r="AC272">
            <v>0</v>
          </cell>
          <cell r="AD272">
            <v>8760</v>
          </cell>
          <cell r="AE272">
            <v>8760</v>
          </cell>
          <cell r="AF272">
            <v>0</v>
          </cell>
          <cell r="AG272" t="str">
            <v>M</v>
          </cell>
          <cell r="AH272" t="str">
            <v>ENGR. MICHAEL C. SALARDA
MS. LEONARDA M. LATOR
MS. CARMENCITA VALDEZ
MS. SORAYA P. VERGARA</v>
          </cell>
          <cell r="AI272" t="str">
            <v>N/A</v>
          </cell>
          <cell r="AJ272" t="str">
            <v>N/A</v>
          </cell>
          <cell r="AK272" t="str">
            <v>N/A</v>
          </cell>
          <cell r="AL272" t="str">
            <v>N/A</v>
          </cell>
          <cell r="AM272" t="str">
            <v>N/A</v>
          </cell>
          <cell r="AN272" t="str">
            <v>N/A</v>
          </cell>
          <cell r="AO272">
            <v>0</v>
          </cell>
        </row>
        <row r="273">
          <cell r="A273" t="str">
            <v>24-1466</v>
          </cell>
          <cell r="B273" t="str">
            <v>WATER</v>
          </cell>
          <cell r="C273" t="str">
            <v>PGO</v>
          </cell>
          <cell r="D273" t="str">
            <v>No</v>
          </cell>
          <cell r="E273" t="str">
            <v>NP-53.9 - Small Value Procurement</v>
          </cell>
          <cell r="F273" t="str">
            <v>N/A</v>
          </cell>
          <cell r="G273">
            <v>45363</v>
          </cell>
          <cell r="H273">
            <v>0</v>
          </cell>
          <cell r="I273" t="str">
            <v>N/A</v>
          </cell>
          <cell r="J273">
            <v>45373</v>
          </cell>
          <cell r="K273">
            <v>45373</v>
          </cell>
          <cell r="L273">
            <v>0</v>
          </cell>
          <cell r="M273" t="str">
            <v>N/A</v>
          </cell>
          <cell r="N273" t="str">
            <v>N/A</v>
          </cell>
          <cell r="O273">
            <v>45376</v>
          </cell>
          <cell r="P273">
            <v>0</v>
          </cell>
          <cell r="Q273">
            <v>0</v>
          </cell>
          <cell r="R273">
            <v>0</v>
          </cell>
          <cell r="S273" t="str">
            <v>N/A</v>
          </cell>
          <cell r="T273">
            <v>45387</v>
          </cell>
          <cell r="U273">
            <v>45393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1845</v>
          </cell>
          <cell r="AB273">
            <v>0</v>
          </cell>
          <cell r="AC273">
            <v>1845</v>
          </cell>
          <cell r="AD273">
            <v>1800</v>
          </cell>
          <cell r="AE273">
            <v>0</v>
          </cell>
          <cell r="AF273">
            <v>1800</v>
          </cell>
          <cell r="AG273" t="str">
            <v>C</v>
          </cell>
          <cell r="AH273" t="str">
            <v>ENGR. MICHAEL C. SALARDA
MS. LEONARDA M. LATOR
MS. CARMENCITA VALDEZ
MS. SORAYA P. VERGARA</v>
          </cell>
          <cell r="AI273" t="str">
            <v>N/A</v>
          </cell>
          <cell r="AJ273" t="str">
            <v>N/A</v>
          </cell>
          <cell r="AK273" t="str">
            <v>N/A</v>
          </cell>
          <cell r="AL273" t="str">
            <v>N/A</v>
          </cell>
          <cell r="AM273" t="str">
            <v>N/A</v>
          </cell>
          <cell r="AN273" t="str">
            <v>N/A</v>
          </cell>
          <cell r="AO273">
            <v>0</v>
          </cell>
        </row>
        <row r="274">
          <cell r="A274" t="str">
            <v>24-1454</v>
          </cell>
          <cell r="B274" t="str">
            <v>GEMELINA LUMBER</v>
          </cell>
          <cell r="C274" t="str">
            <v>PEO-GA</v>
          </cell>
          <cell r="D274" t="str">
            <v>No</v>
          </cell>
          <cell r="E274" t="str">
            <v>NP-53.9 - Small Value Procurement</v>
          </cell>
          <cell r="F274">
            <v>45356</v>
          </cell>
          <cell r="G274">
            <v>45359</v>
          </cell>
          <cell r="H274">
            <v>0</v>
          </cell>
          <cell r="I274" t="str">
            <v>N/A</v>
          </cell>
          <cell r="J274">
            <v>45373</v>
          </cell>
          <cell r="K274">
            <v>45373</v>
          </cell>
          <cell r="L274">
            <v>0</v>
          </cell>
          <cell r="M274" t="str">
            <v>N/A</v>
          </cell>
          <cell r="N274" t="str">
            <v>N/A</v>
          </cell>
          <cell r="O274">
            <v>45376</v>
          </cell>
          <cell r="P274">
            <v>0</v>
          </cell>
          <cell r="Q274">
            <v>0</v>
          </cell>
          <cell r="R274">
            <v>0</v>
          </cell>
          <cell r="S274" t="str">
            <v>N/A</v>
          </cell>
          <cell r="T274">
            <v>45394</v>
          </cell>
          <cell r="U274">
            <v>45407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2256</v>
          </cell>
          <cell r="AB274">
            <v>0</v>
          </cell>
          <cell r="AC274">
            <v>2256</v>
          </cell>
          <cell r="AD274">
            <v>2244</v>
          </cell>
          <cell r="AE274">
            <v>0</v>
          </cell>
          <cell r="AF274">
            <v>2244</v>
          </cell>
          <cell r="AG274" t="str">
            <v>C</v>
          </cell>
          <cell r="AH274" t="str">
            <v>ENGR. MICHAEL C. SALARDA
MS. LEONARDA M. LATOR
MS. CARMENCITA VALDEZ
MS. SORAYA P. VERGARA</v>
          </cell>
          <cell r="AI274" t="str">
            <v>N/A</v>
          </cell>
          <cell r="AJ274" t="str">
            <v>N/A</v>
          </cell>
          <cell r="AK274" t="str">
            <v>N/A</v>
          </cell>
          <cell r="AL274" t="str">
            <v>N/A</v>
          </cell>
          <cell r="AM274" t="str">
            <v>N/A</v>
          </cell>
          <cell r="AN274" t="str">
            <v>N/A</v>
          </cell>
          <cell r="AO274">
            <v>0</v>
          </cell>
        </row>
        <row r="275">
          <cell r="A275" t="str">
            <v>24-C1103</v>
          </cell>
          <cell r="B275" t="str">
            <v>SPAREPARTS  AND BATTERY FOR GEN SET</v>
          </cell>
          <cell r="C275" t="str">
            <v>PHO</v>
          </cell>
          <cell r="D275" t="str">
            <v>No</v>
          </cell>
          <cell r="E275" t="str">
            <v>NP-53.9 - Small Value Procurement</v>
          </cell>
          <cell r="F275" t="str">
            <v>N/A</v>
          </cell>
          <cell r="G275">
            <v>45363</v>
          </cell>
          <cell r="H275">
            <v>0</v>
          </cell>
          <cell r="I275" t="str">
            <v>N/A</v>
          </cell>
          <cell r="J275">
            <v>45373</v>
          </cell>
          <cell r="K275">
            <v>45373</v>
          </cell>
          <cell r="L275">
            <v>0</v>
          </cell>
          <cell r="M275" t="str">
            <v>N/A</v>
          </cell>
          <cell r="N275" t="str">
            <v>N/A</v>
          </cell>
          <cell r="O275">
            <v>45376</v>
          </cell>
          <cell r="P275">
            <v>0</v>
          </cell>
          <cell r="Q275">
            <v>0</v>
          </cell>
          <cell r="R275">
            <v>0</v>
          </cell>
          <cell r="S275" t="str">
            <v>N/A</v>
          </cell>
          <cell r="T275">
            <v>45390</v>
          </cell>
          <cell r="U275">
            <v>45394</v>
          </cell>
          <cell r="V275">
            <v>0</v>
          </cell>
          <cell r="W275">
            <v>0</v>
          </cell>
          <cell r="X275">
            <v>45428</v>
          </cell>
          <cell r="Y275">
            <v>45428</v>
          </cell>
          <cell r="Z275">
            <v>0</v>
          </cell>
          <cell r="AA275">
            <v>19239.32</v>
          </cell>
          <cell r="AB275">
            <v>19239.32</v>
          </cell>
          <cell r="AC275">
            <v>0</v>
          </cell>
          <cell r="AD275">
            <v>19221.400000000001</v>
          </cell>
          <cell r="AE275">
            <v>19221.400000000001</v>
          </cell>
          <cell r="AF275">
            <v>0</v>
          </cell>
          <cell r="AG275" t="str">
            <v>M</v>
          </cell>
          <cell r="AH275" t="str">
            <v>ENGR. MICHAEL C. SALARDA
MS. LEONARDA M. LATOR
MS. CARMENCITA VALDEZ
MS. SORAYA P. VERGARA</v>
          </cell>
          <cell r="AI275" t="str">
            <v>N/A</v>
          </cell>
          <cell r="AJ275" t="str">
            <v>N/A</v>
          </cell>
          <cell r="AK275" t="str">
            <v>N/A</v>
          </cell>
          <cell r="AL275" t="str">
            <v>N/A</v>
          </cell>
          <cell r="AM275" t="str">
            <v>N/A</v>
          </cell>
          <cell r="AN275" t="str">
            <v>N/A</v>
          </cell>
          <cell r="AO275" t="str">
            <v>COMPLETED</v>
          </cell>
        </row>
        <row r="276">
          <cell r="A276" t="str">
            <v>24-C1118</v>
          </cell>
          <cell r="B276" t="str">
            <v>PORTLAND CEMENT &amp; PULLITUFF BODY FILLER</v>
          </cell>
          <cell r="C276" t="str">
            <v>PDRRMO</v>
          </cell>
          <cell r="D276" t="str">
            <v>No</v>
          </cell>
          <cell r="E276" t="str">
            <v>NP-53.9 - Small Value Procurement</v>
          </cell>
          <cell r="F276" t="str">
            <v>N/A</v>
          </cell>
          <cell r="G276">
            <v>45359</v>
          </cell>
          <cell r="H276">
            <v>0</v>
          </cell>
          <cell r="I276" t="str">
            <v>N/A</v>
          </cell>
          <cell r="J276">
            <v>45373</v>
          </cell>
          <cell r="K276">
            <v>45373</v>
          </cell>
          <cell r="L276">
            <v>0</v>
          </cell>
          <cell r="M276" t="str">
            <v>N/A</v>
          </cell>
          <cell r="N276" t="str">
            <v>N/A</v>
          </cell>
          <cell r="O276">
            <v>45376</v>
          </cell>
          <cell r="P276">
            <v>0</v>
          </cell>
          <cell r="Q276">
            <v>0</v>
          </cell>
          <cell r="R276">
            <v>0</v>
          </cell>
          <cell r="S276" t="str">
            <v>N/A</v>
          </cell>
          <cell r="T276">
            <v>45390</v>
          </cell>
          <cell r="U276">
            <v>45394</v>
          </cell>
          <cell r="V276">
            <v>0</v>
          </cell>
          <cell r="W276">
            <v>0</v>
          </cell>
          <cell r="X276">
            <v>45428</v>
          </cell>
          <cell r="Y276">
            <v>45428</v>
          </cell>
          <cell r="Z276">
            <v>0</v>
          </cell>
          <cell r="AA276">
            <v>7780</v>
          </cell>
          <cell r="AB276">
            <v>0</v>
          </cell>
          <cell r="AC276">
            <v>7780</v>
          </cell>
          <cell r="AD276">
            <v>7770.5</v>
          </cell>
          <cell r="AE276">
            <v>0</v>
          </cell>
          <cell r="AF276">
            <v>7770.5</v>
          </cell>
          <cell r="AG276" t="str">
            <v>C</v>
          </cell>
          <cell r="AH276" t="str">
            <v>ENGR. MICHAEL C. SALARDA
MS. LEONARDA M. LATOR
MS. CARMENCITA VALDEZ
MS. SORAYA P. VERGARA</v>
          </cell>
          <cell r="AI276" t="str">
            <v>N/A</v>
          </cell>
          <cell r="AJ276" t="str">
            <v>N/A</v>
          </cell>
          <cell r="AK276" t="str">
            <v>N/A</v>
          </cell>
          <cell r="AL276" t="str">
            <v>N/A</v>
          </cell>
          <cell r="AM276" t="str">
            <v>N/A</v>
          </cell>
          <cell r="AN276" t="str">
            <v>N/A</v>
          </cell>
          <cell r="AO276" t="str">
            <v>COMPLETED</v>
          </cell>
        </row>
        <row r="277">
          <cell r="A277" t="str">
            <v>24-1708</v>
          </cell>
          <cell r="B277" t="str">
            <v>PADLOCK</v>
          </cell>
          <cell r="C277" t="str">
            <v>PGO</v>
          </cell>
          <cell r="D277" t="str">
            <v>No</v>
          </cell>
          <cell r="E277" t="str">
            <v>NP-53.9 - Small Value Procurement</v>
          </cell>
          <cell r="F277" t="str">
            <v>N/A</v>
          </cell>
          <cell r="G277">
            <v>45363</v>
          </cell>
          <cell r="H277">
            <v>0</v>
          </cell>
          <cell r="I277" t="str">
            <v>N/A</v>
          </cell>
          <cell r="J277">
            <v>45373</v>
          </cell>
          <cell r="K277">
            <v>45373</v>
          </cell>
          <cell r="L277">
            <v>0</v>
          </cell>
          <cell r="M277" t="str">
            <v>N/A</v>
          </cell>
          <cell r="N277" t="str">
            <v>N/A</v>
          </cell>
          <cell r="O277">
            <v>45376</v>
          </cell>
          <cell r="P277">
            <v>0</v>
          </cell>
          <cell r="Q277">
            <v>0</v>
          </cell>
          <cell r="R277">
            <v>0</v>
          </cell>
          <cell r="S277" t="str">
            <v>N/A</v>
          </cell>
          <cell r="T277">
            <v>45393</v>
          </cell>
          <cell r="U277">
            <v>45394</v>
          </cell>
          <cell r="V277">
            <v>0</v>
          </cell>
          <cell r="W277">
            <v>0</v>
          </cell>
          <cell r="X277">
            <v>45428</v>
          </cell>
          <cell r="Y277">
            <v>45428</v>
          </cell>
          <cell r="Z277">
            <v>0</v>
          </cell>
          <cell r="AA277">
            <v>2200</v>
          </cell>
          <cell r="AB277">
            <v>0</v>
          </cell>
          <cell r="AC277">
            <v>2200</v>
          </cell>
          <cell r="AD277">
            <v>2198</v>
          </cell>
          <cell r="AE277">
            <v>0</v>
          </cell>
          <cell r="AF277">
            <v>2198</v>
          </cell>
          <cell r="AG277" t="str">
            <v>C</v>
          </cell>
          <cell r="AH277" t="str">
            <v>ENGR. MICHAEL C. SALARDA
MS. LEONARDA M. LATOR
MS. CARMENCITA VALDEZ
MS. SORAYA P. VERGARA</v>
          </cell>
          <cell r="AI277" t="str">
            <v>N/A</v>
          </cell>
          <cell r="AJ277" t="str">
            <v>N/A</v>
          </cell>
          <cell r="AK277" t="str">
            <v>N/A</v>
          </cell>
          <cell r="AL277" t="str">
            <v>N/A</v>
          </cell>
          <cell r="AM277" t="str">
            <v>N/A</v>
          </cell>
          <cell r="AN277" t="str">
            <v>N/A</v>
          </cell>
          <cell r="AO277" t="str">
            <v>COMPLETED</v>
          </cell>
        </row>
        <row r="278">
          <cell r="A278" t="str">
            <v>24-1309</v>
          </cell>
          <cell r="B278" t="str">
            <v>TARPAULIN</v>
          </cell>
          <cell r="C278" t="str">
            <v>PDRRMO</v>
          </cell>
          <cell r="D278" t="str">
            <v>No</v>
          </cell>
          <cell r="E278" t="str">
            <v>NP-53.9 - Small Value Procurement</v>
          </cell>
          <cell r="F278">
            <v>45356</v>
          </cell>
          <cell r="G278">
            <v>45359</v>
          </cell>
          <cell r="H278">
            <v>0</v>
          </cell>
          <cell r="I278" t="str">
            <v>N/A</v>
          </cell>
          <cell r="J278">
            <v>45373</v>
          </cell>
          <cell r="K278">
            <v>45373</v>
          </cell>
          <cell r="L278">
            <v>0</v>
          </cell>
          <cell r="M278" t="str">
            <v>N/A</v>
          </cell>
          <cell r="N278" t="str">
            <v>N/A</v>
          </cell>
          <cell r="O278">
            <v>45376</v>
          </cell>
          <cell r="P278">
            <v>0</v>
          </cell>
          <cell r="Q278">
            <v>0</v>
          </cell>
          <cell r="R278">
            <v>0</v>
          </cell>
          <cell r="S278">
            <v>45384</v>
          </cell>
          <cell r="T278">
            <v>45390</v>
          </cell>
          <cell r="U278">
            <v>45394</v>
          </cell>
          <cell r="V278">
            <v>0</v>
          </cell>
          <cell r="W278">
            <v>0</v>
          </cell>
          <cell r="X278">
            <v>45448</v>
          </cell>
          <cell r="Y278">
            <v>45448</v>
          </cell>
          <cell r="Z278">
            <v>0</v>
          </cell>
          <cell r="AA278">
            <v>140000</v>
          </cell>
          <cell r="AB278">
            <v>0</v>
          </cell>
          <cell r="AC278">
            <v>140000</v>
          </cell>
          <cell r="AD278">
            <v>125000</v>
          </cell>
          <cell r="AE278">
            <v>0</v>
          </cell>
          <cell r="AF278">
            <v>125000</v>
          </cell>
          <cell r="AG278" t="str">
            <v>C</v>
          </cell>
          <cell r="AH278" t="str">
            <v>ENGR. MICHAEL C. SALARDA
MS. LEONARDA M. LATOR
MS. CARMENCITA VALDEZ
MS. SORAYA P. VERGARA</v>
          </cell>
          <cell r="AI278" t="str">
            <v>N/A</v>
          </cell>
          <cell r="AJ278" t="str">
            <v>N/A</v>
          </cell>
          <cell r="AK278" t="str">
            <v>N/A</v>
          </cell>
          <cell r="AL278" t="str">
            <v>N/A</v>
          </cell>
          <cell r="AM278" t="str">
            <v>N/A</v>
          </cell>
          <cell r="AN278" t="str">
            <v>N/A</v>
          </cell>
          <cell r="AO278" t="str">
            <v>COMPLETED</v>
          </cell>
        </row>
        <row r="279">
          <cell r="A279" t="str">
            <v>24-C1051</v>
          </cell>
          <cell r="B279" t="str">
            <v>OFFICE SUPPLIES</v>
          </cell>
          <cell r="C279" t="str">
            <v>PHRMDO</v>
          </cell>
          <cell r="D279" t="str">
            <v>No</v>
          </cell>
          <cell r="E279" t="str">
            <v>Shopping 52.1(b) - Regular Office Supplies and Equipment no available in PS</v>
          </cell>
          <cell r="F279">
            <v>45342</v>
          </cell>
          <cell r="G279">
            <v>45344</v>
          </cell>
          <cell r="H279">
            <v>0</v>
          </cell>
          <cell r="I279" t="str">
            <v>N/A</v>
          </cell>
          <cell r="J279">
            <v>45373</v>
          </cell>
          <cell r="K279">
            <v>45373</v>
          </cell>
          <cell r="L279">
            <v>0</v>
          </cell>
          <cell r="M279" t="str">
            <v>N/A</v>
          </cell>
          <cell r="N279" t="str">
            <v>N/A</v>
          </cell>
          <cell r="O279">
            <v>45376</v>
          </cell>
          <cell r="P279">
            <v>0</v>
          </cell>
          <cell r="Q279">
            <v>0</v>
          </cell>
          <cell r="R279">
            <v>0</v>
          </cell>
          <cell r="S279">
            <v>45384</v>
          </cell>
          <cell r="T279">
            <v>45387</v>
          </cell>
          <cell r="U279">
            <v>45394</v>
          </cell>
          <cell r="V279">
            <v>0</v>
          </cell>
          <cell r="W279">
            <v>0</v>
          </cell>
          <cell r="X279">
            <v>45412</v>
          </cell>
          <cell r="Y279">
            <v>45412</v>
          </cell>
          <cell r="Z279">
            <v>0</v>
          </cell>
          <cell r="AA279">
            <v>270846</v>
          </cell>
          <cell r="AB279">
            <v>0</v>
          </cell>
          <cell r="AC279">
            <v>270846</v>
          </cell>
          <cell r="AD279">
            <v>266761.95</v>
          </cell>
          <cell r="AE279">
            <v>0</v>
          </cell>
          <cell r="AF279">
            <v>266761.95</v>
          </cell>
          <cell r="AG279" t="str">
            <v>C</v>
          </cell>
          <cell r="AH279" t="str">
            <v>ENGR. MICHAEL C. SALARDA
MS. LEONARDA M. LATOR
MS. CARMENCITA VALDEZ
MS. SORAYA P. VERGARA</v>
          </cell>
          <cell r="AI279" t="str">
            <v>N/A</v>
          </cell>
          <cell r="AJ279" t="str">
            <v>N/A</v>
          </cell>
          <cell r="AK279" t="str">
            <v>N/A</v>
          </cell>
          <cell r="AL279" t="str">
            <v>N/A</v>
          </cell>
          <cell r="AM279" t="str">
            <v>N/A</v>
          </cell>
          <cell r="AN279" t="str">
            <v>N/A</v>
          </cell>
          <cell r="AO279" t="str">
            <v>COMPLETED</v>
          </cell>
        </row>
        <row r="280">
          <cell r="A280" t="str">
            <v>24-C1055</v>
          </cell>
          <cell r="B280" t="str">
            <v>OFFICE SUPPLIES</v>
          </cell>
          <cell r="C280" t="str">
            <v>PSWDO</v>
          </cell>
          <cell r="D280" t="str">
            <v>No</v>
          </cell>
          <cell r="E280" t="str">
            <v>Shopping 52.1(b) - Regular Office Supplies and Equipment no available in PS</v>
          </cell>
          <cell r="F280" t="str">
            <v>N/A</v>
          </cell>
          <cell r="G280">
            <v>45344</v>
          </cell>
          <cell r="H280">
            <v>0</v>
          </cell>
          <cell r="I280" t="str">
            <v>N/A</v>
          </cell>
          <cell r="J280">
            <v>45373</v>
          </cell>
          <cell r="K280">
            <v>45373</v>
          </cell>
          <cell r="L280">
            <v>0</v>
          </cell>
          <cell r="M280" t="str">
            <v>N/A</v>
          </cell>
          <cell r="N280" t="str">
            <v>N/A</v>
          </cell>
          <cell r="O280">
            <v>45376</v>
          </cell>
          <cell r="P280">
            <v>0</v>
          </cell>
          <cell r="Q280">
            <v>0</v>
          </cell>
          <cell r="R280">
            <v>0</v>
          </cell>
          <cell r="S280">
            <v>45386</v>
          </cell>
          <cell r="T280">
            <v>45390</v>
          </cell>
          <cell r="U280">
            <v>45397</v>
          </cell>
          <cell r="V280">
            <v>0</v>
          </cell>
          <cell r="W280">
            <v>0</v>
          </cell>
          <cell r="X280">
            <v>45406</v>
          </cell>
          <cell r="Y280">
            <v>45406</v>
          </cell>
          <cell r="Z280">
            <v>0</v>
          </cell>
          <cell r="AA280">
            <v>57597.4</v>
          </cell>
          <cell r="AB280">
            <v>57597.4</v>
          </cell>
          <cell r="AC280">
            <v>0</v>
          </cell>
          <cell r="AD280">
            <v>56023</v>
          </cell>
          <cell r="AE280">
            <v>56023</v>
          </cell>
          <cell r="AF280">
            <v>0</v>
          </cell>
          <cell r="AG280" t="str">
            <v>M</v>
          </cell>
          <cell r="AH280" t="str">
            <v>ENGR. MICHAEL C. SALARDA
MS. LEONARDA M. LATOR
MS. CARMENCITA VALDEZ
MS. SORAYA P. VERGARA</v>
          </cell>
          <cell r="AI280" t="str">
            <v>N/A</v>
          </cell>
          <cell r="AJ280" t="str">
            <v>N/A</v>
          </cell>
          <cell r="AK280" t="str">
            <v>N/A</v>
          </cell>
          <cell r="AL280" t="str">
            <v>N/A</v>
          </cell>
          <cell r="AM280" t="str">
            <v>N/A</v>
          </cell>
          <cell r="AN280" t="str">
            <v>N/A</v>
          </cell>
          <cell r="AO280" t="str">
            <v>COMPLETED</v>
          </cell>
        </row>
        <row r="281">
          <cell r="A281" t="str">
            <v>24-0114</v>
          </cell>
          <cell r="B281" t="str">
            <v>OFFICE SUPPLIES</v>
          </cell>
          <cell r="C281" t="str">
            <v>PGO</v>
          </cell>
          <cell r="D281" t="str">
            <v>No</v>
          </cell>
          <cell r="E281" t="str">
            <v>Shopping 52.1(b) - Regular Office Supplies and Equipment no available in PS</v>
          </cell>
          <cell r="F281" t="str">
            <v>N/A</v>
          </cell>
          <cell r="G281">
            <v>45344</v>
          </cell>
          <cell r="H281">
            <v>0</v>
          </cell>
          <cell r="I281" t="str">
            <v>N/A</v>
          </cell>
          <cell r="J281">
            <v>45373</v>
          </cell>
          <cell r="K281">
            <v>45373</v>
          </cell>
          <cell r="L281">
            <v>0</v>
          </cell>
          <cell r="M281" t="str">
            <v>N/A</v>
          </cell>
          <cell r="N281" t="str">
            <v>N/A</v>
          </cell>
          <cell r="O281">
            <v>45376</v>
          </cell>
          <cell r="P281">
            <v>0</v>
          </cell>
          <cell r="Q281">
            <v>0</v>
          </cell>
          <cell r="R281">
            <v>0</v>
          </cell>
          <cell r="S281" t="str">
            <v>N/A</v>
          </cell>
          <cell r="T281">
            <v>45387</v>
          </cell>
          <cell r="U281">
            <v>45397</v>
          </cell>
          <cell r="V281">
            <v>0</v>
          </cell>
          <cell r="W281">
            <v>0</v>
          </cell>
          <cell r="X281">
            <v>45404</v>
          </cell>
          <cell r="Y281">
            <v>45404</v>
          </cell>
          <cell r="Z281">
            <v>0</v>
          </cell>
          <cell r="AA281">
            <v>5414</v>
          </cell>
          <cell r="AB281">
            <v>0</v>
          </cell>
          <cell r="AC281">
            <v>5414</v>
          </cell>
          <cell r="AD281">
            <v>5260</v>
          </cell>
          <cell r="AE281">
            <v>0</v>
          </cell>
          <cell r="AF281">
            <v>5260</v>
          </cell>
          <cell r="AG281" t="str">
            <v>C</v>
          </cell>
          <cell r="AH281" t="str">
            <v>ENGR. MICHAEL C. SALARDA
MS. LEONARDA M. LATOR
MS. CARMENCITA VALDEZ
MS. SORAYA P. VERGARA</v>
          </cell>
          <cell r="AI281" t="str">
            <v>N/A</v>
          </cell>
          <cell r="AJ281" t="str">
            <v>N/A</v>
          </cell>
          <cell r="AK281" t="str">
            <v>N/A</v>
          </cell>
          <cell r="AL281" t="str">
            <v>N/A</v>
          </cell>
          <cell r="AM281" t="str">
            <v>N/A</v>
          </cell>
          <cell r="AN281" t="str">
            <v>N/A</v>
          </cell>
          <cell r="AO281" t="str">
            <v>COMPLETED</v>
          </cell>
        </row>
        <row r="282">
          <cell r="A282" t="str">
            <v>24-C1135</v>
          </cell>
          <cell r="B282" t="str">
            <v>OFFICE SUPPLIES</v>
          </cell>
          <cell r="C282" t="str">
            <v>PSWDO</v>
          </cell>
          <cell r="D282" t="str">
            <v>No</v>
          </cell>
          <cell r="E282" t="str">
            <v>Shopping 52.1(b) - Regular Office Supplies and Equipment no available in PS</v>
          </cell>
          <cell r="F282">
            <v>45356</v>
          </cell>
          <cell r="G282">
            <v>45359</v>
          </cell>
          <cell r="H282">
            <v>0</v>
          </cell>
          <cell r="I282" t="str">
            <v>N/A</v>
          </cell>
          <cell r="J282">
            <v>45373</v>
          </cell>
          <cell r="K282">
            <v>45373</v>
          </cell>
          <cell r="L282">
            <v>0</v>
          </cell>
          <cell r="M282" t="str">
            <v>N/A</v>
          </cell>
          <cell r="N282" t="str">
            <v>N/A</v>
          </cell>
          <cell r="O282">
            <v>45376</v>
          </cell>
          <cell r="P282">
            <v>0</v>
          </cell>
          <cell r="Q282">
            <v>0</v>
          </cell>
          <cell r="R282">
            <v>0</v>
          </cell>
          <cell r="S282">
            <v>45384</v>
          </cell>
          <cell r="T282">
            <v>45390</v>
          </cell>
          <cell r="U282">
            <v>45394</v>
          </cell>
          <cell r="V282">
            <v>0</v>
          </cell>
          <cell r="W282">
            <v>0</v>
          </cell>
          <cell r="X282">
            <v>45408</v>
          </cell>
          <cell r="Y282">
            <v>45408</v>
          </cell>
          <cell r="Z282">
            <v>0</v>
          </cell>
          <cell r="AA282">
            <v>80912</v>
          </cell>
          <cell r="AB282">
            <v>0</v>
          </cell>
          <cell r="AC282">
            <v>80912</v>
          </cell>
          <cell r="AD282">
            <v>80912</v>
          </cell>
          <cell r="AE282">
            <v>0</v>
          </cell>
          <cell r="AF282">
            <v>80912</v>
          </cell>
          <cell r="AG282" t="str">
            <v>C</v>
          </cell>
          <cell r="AH282" t="str">
            <v>ENGR. MICHAEL C. SALARDA
MS. LEONARDA M. LATOR
MS. CARMENCITA VALDEZ
MS. SORAYA P. VERGARA</v>
          </cell>
          <cell r="AI282" t="str">
            <v>N/A</v>
          </cell>
          <cell r="AJ282" t="str">
            <v>N/A</v>
          </cell>
          <cell r="AK282" t="str">
            <v>N/A</v>
          </cell>
          <cell r="AL282" t="str">
            <v>N/A</v>
          </cell>
          <cell r="AM282" t="str">
            <v>N/A</v>
          </cell>
          <cell r="AN282" t="str">
            <v>N/A</v>
          </cell>
          <cell r="AO282" t="str">
            <v>COMPLETED</v>
          </cell>
        </row>
        <row r="283">
          <cell r="A283" t="str">
            <v>24-C1109</v>
          </cell>
          <cell r="B283" t="str">
            <v>OFFICE SUPPLIES</v>
          </cell>
          <cell r="C283" t="str">
            <v>PDRRMO</v>
          </cell>
          <cell r="D283" t="str">
            <v>No</v>
          </cell>
          <cell r="E283" t="str">
            <v>Shopping 52.1(b) - Regular Office Supplies and Equipment no available in PS</v>
          </cell>
          <cell r="F283" t="str">
            <v>N/A</v>
          </cell>
          <cell r="G283">
            <v>45363</v>
          </cell>
          <cell r="H283">
            <v>0</v>
          </cell>
          <cell r="I283" t="str">
            <v>N/A</v>
          </cell>
          <cell r="J283">
            <v>45373</v>
          </cell>
          <cell r="K283">
            <v>45373</v>
          </cell>
          <cell r="L283">
            <v>0</v>
          </cell>
          <cell r="M283" t="str">
            <v>N/A</v>
          </cell>
          <cell r="N283" t="str">
            <v>N/A</v>
          </cell>
          <cell r="O283">
            <v>45376</v>
          </cell>
          <cell r="P283">
            <v>0</v>
          </cell>
          <cell r="Q283">
            <v>0</v>
          </cell>
          <cell r="R283">
            <v>0</v>
          </cell>
          <cell r="S283" t="str">
            <v>N/A</v>
          </cell>
          <cell r="T283">
            <v>45386</v>
          </cell>
          <cell r="U283">
            <v>45397</v>
          </cell>
          <cell r="V283">
            <v>0</v>
          </cell>
          <cell r="W283">
            <v>0</v>
          </cell>
          <cell r="X283">
            <v>45406</v>
          </cell>
          <cell r="Y283">
            <v>45406</v>
          </cell>
          <cell r="Z283">
            <v>0</v>
          </cell>
          <cell r="AA283">
            <v>21336</v>
          </cell>
          <cell r="AB283">
            <v>0</v>
          </cell>
          <cell r="AC283">
            <v>21336</v>
          </cell>
          <cell r="AD283">
            <v>21268</v>
          </cell>
          <cell r="AE283">
            <v>0</v>
          </cell>
          <cell r="AF283">
            <v>21268</v>
          </cell>
          <cell r="AG283" t="str">
            <v>C</v>
          </cell>
          <cell r="AH283" t="str">
            <v>ENGR. MICHAEL C. SALARDA
MS. LEONARDA M. LATOR
MS. CARMENCITA VALDEZ
MS. SORAYA P. VERGARA</v>
          </cell>
          <cell r="AI283" t="str">
            <v>N/A</v>
          </cell>
          <cell r="AJ283" t="str">
            <v>N/A</v>
          </cell>
          <cell r="AK283" t="str">
            <v>N/A</v>
          </cell>
          <cell r="AL283" t="str">
            <v>N/A</v>
          </cell>
          <cell r="AM283" t="str">
            <v>N/A</v>
          </cell>
          <cell r="AN283" t="str">
            <v>N/A</v>
          </cell>
          <cell r="AO283" t="str">
            <v>COMPLETED</v>
          </cell>
        </row>
        <row r="284">
          <cell r="A284" t="str">
            <v>24-C1166</v>
          </cell>
          <cell r="B284" t="str">
            <v>OFFICE SUPPLIES</v>
          </cell>
          <cell r="C284" t="str">
            <v>PBO</v>
          </cell>
          <cell r="D284" t="str">
            <v>No</v>
          </cell>
          <cell r="E284" t="str">
            <v>Shopping 52.1(b) - Regular Office Supplies and Equipment no available in PS</v>
          </cell>
          <cell r="F284" t="str">
            <v>N/A</v>
          </cell>
          <cell r="G284">
            <v>45363</v>
          </cell>
          <cell r="H284">
            <v>0</v>
          </cell>
          <cell r="I284" t="str">
            <v>N/A</v>
          </cell>
          <cell r="J284">
            <v>45373</v>
          </cell>
          <cell r="K284">
            <v>45373</v>
          </cell>
          <cell r="L284">
            <v>0</v>
          </cell>
          <cell r="M284" t="str">
            <v>N/A</v>
          </cell>
          <cell r="N284" t="str">
            <v>N/A</v>
          </cell>
          <cell r="O284">
            <v>45376</v>
          </cell>
          <cell r="P284">
            <v>0</v>
          </cell>
          <cell r="Q284">
            <v>0</v>
          </cell>
          <cell r="R284">
            <v>0</v>
          </cell>
          <cell r="S284" t="str">
            <v>N/A</v>
          </cell>
          <cell r="T284">
            <v>45390</v>
          </cell>
          <cell r="U284">
            <v>45397</v>
          </cell>
          <cell r="V284">
            <v>0</v>
          </cell>
          <cell r="W284">
            <v>0</v>
          </cell>
          <cell r="X284">
            <v>45408</v>
          </cell>
          <cell r="Y284">
            <v>45408</v>
          </cell>
          <cell r="Z284">
            <v>0</v>
          </cell>
          <cell r="AA284">
            <v>27301</v>
          </cell>
          <cell r="AB284">
            <v>27301</v>
          </cell>
          <cell r="AC284">
            <v>0</v>
          </cell>
          <cell r="AD284">
            <v>27046</v>
          </cell>
          <cell r="AE284">
            <v>27046</v>
          </cell>
          <cell r="AF284">
            <v>0</v>
          </cell>
          <cell r="AG284" t="str">
            <v>M</v>
          </cell>
          <cell r="AH284" t="str">
            <v>ENGR. MICHAEL C. SALARDA
MS. LEONARDA M. LATOR
MS. CARMENCITA VALDEZ
MS. SORAYA P. VERGARA</v>
          </cell>
          <cell r="AI284" t="str">
            <v>N/A</v>
          </cell>
          <cell r="AJ284" t="str">
            <v>N/A</v>
          </cell>
          <cell r="AK284" t="str">
            <v>N/A</v>
          </cell>
          <cell r="AL284" t="str">
            <v>N/A</v>
          </cell>
          <cell r="AM284" t="str">
            <v>N/A</v>
          </cell>
          <cell r="AN284" t="str">
            <v>N/A</v>
          </cell>
          <cell r="AO284" t="str">
            <v>COMPLETED</v>
          </cell>
        </row>
        <row r="285">
          <cell r="A285" t="str">
            <v>24-C1162</v>
          </cell>
          <cell r="B285" t="str">
            <v>OFFICE SUPPLIES</v>
          </cell>
          <cell r="C285" t="str">
            <v>PLO</v>
          </cell>
          <cell r="D285" t="str">
            <v>No</v>
          </cell>
          <cell r="E285" t="str">
            <v>Shopping 52.1(b) - Regular Office Supplies and Equipment no available in PS</v>
          </cell>
          <cell r="F285" t="str">
            <v>N/A</v>
          </cell>
          <cell r="G285">
            <v>45363</v>
          </cell>
          <cell r="H285">
            <v>0</v>
          </cell>
          <cell r="I285" t="str">
            <v>N/A</v>
          </cell>
          <cell r="J285">
            <v>45373</v>
          </cell>
          <cell r="K285">
            <v>45373</v>
          </cell>
          <cell r="L285">
            <v>0</v>
          </cell>
          <cell r="M285" t="str">
            <v>N/A</v>
          </cell>
          <cell r="N285" t="str">
            <v>N/A</v>
          </cell>
          <cell r="O285">
            <v>45376</v>
          </cell>
          <cell r="P285">
            <v>0</v>
          </cell>
          <cell r="Q285">
            <v>0</v>
          </cell>
          <cell r="R285">
            <v>0</v>
          </cell>
          <cell r="S285">
            <v>45377</v>
          </cell>
          <cell r="T285">
            <v>45387</v>
          </cell>
          <cell r="U285">
            <v>45397</v>
          </cell>
          <cell r="V285">
            <v>0</v>
          </cell>
          <cell r="W285">
            <v>0</v>
          </cell>
          <cell r="X285">
            <v>45406</v>
          </cell>
          <cell r="Y285">
            <v>45406</v>
          </cell>
          <cell r="Z285">
            <v>0</v>
          </cell>
          <cell r="AA285">
            <v>78020</v>
          </cell>
          <cell r="AB285">
            <v>78020</v>
          </cell>
          <cell r="AC285">
            <v>0</v>
          </cell>
          <cell r="AD285">
            <v>76924</v>
          </cell>
          <cell r="AE285">
            <v>76924</v>
          </cell>
          <cell r="AF285">
            <v>0</v>
          </cell>
          <cell r="AG285" t="str">
            <v>M</v>
          </cell>
          <cell r="AH285" t="str">
            <v>ENGR. MICHAEL C. SALARDA
MS. LEONARDA M. LATOR
MS. CARMENCITA VALDEZ
MS. SORAYA P. VERGARA</v>
          </cell>
          <cell r="AI285" t="str">
            <v>N/A</v>
          </cell>
          <cell r="AJ285" t="str">
            <v>N/A</v>
          </cell>
          <cell r="AK285" t="str">
            <v>N/A</v>
          </cell>
          <cell r="AL285" t="str">
            <v>N/A</v>
          </cell>
          <cell r="AM285" t="str">
            <v>N/A</v>
          </cell>
          <cell r="AN285" t="str">
            <v>N/A</v>
          </cell>
          <cell r="AO285" t="str">
            <v>COMPLETED</v>
          </cell>
        </row>
        <row r="286">
          <cell r="A286" t="str">
            <v>24-C1145</v>
          </cell>
          <cell r="B286" t="str">
            <v>OFFICE SUPPLIES</v>
          </cell>
          <cell r="C286" t="str">
            <v>PGO</v>
          </cell>
          <cell r="D286" t="str">
            <v>No</v>
          </cell>
          <cell r="E286" t="str">
            <v>Shopping 52.1(b) - Regular Office Supplies and Equipment no available in PS</v>
          </cell>
          <cell r="F286" t="str">
            <v>N/A</v>
          </cell>
          <cell r="G286">
            <v>45363</v>
          </cell>
          <cell r="H286">
            <v>0</v>
          </cell>
          <cell r="I286" t="str">
            <v>N/A</v>
          </cell>
          <cell r="J286">
            <v>45373</v>
          </cell>
          <cell r="K286">
            <v>45373</v>
          </cell>
          <cell r="L286">
            <v>0</v>
          </cell>
          <cell r="M286" t="str">
            <v>N/A</v>
          </cell>
          <cell r="N286" t="str">
            <v>N/A</v>
          </cell>
          <cell r="O286">
            <v>45376</v>
          </cell>
          <cell r="P286">
            <v>0</v>
          </cell>
          <cell r="Q286">
            <v>0</v>
          </cell>
          <cell r="R286">
            <v>0</v>
          </cell>
          <cell r="S286">
            <v>45383</v>
          </cell>
          <cell r="T286">
            <v>45419</v>
          </cell>
          <cell r="U286">
            <v>45422</v>
          </cell>
          <cell r="V286">
            <v>0</v>
          </cell>
          <cell r="W286">
            <v>0</v>
          </cell>
          <cell r="X286">
            <v>45425</v>
          </cell>
          <cell r="Y286">
            <v>45425</v>
          </cell>
          <cell r="Z286">
            <v>0</v>
          </cell>
          <cell r="AA286">
            <v>66552</v>
          </cell>
          <cell r="AB286">
            <v>0</v>
          </cell>
          <cell r="AC286">
            <v>66552</v>
          </cell>
          <cell r="AD286">
            <v>64724</v>
          </cell>
          <cell r="AE286">
            <v>0</v>
          </cell>
          <cell r="AF286">
            <v>64724</v>
          </cell>
          <cell r="AG286" t="str">
            <v>C</v>
          </cell>
          <cell r="AH286" t="str">
            <v>ENGR. MICHAEL C. SALARDA
MS. LEONARDA M. LATOR
MS. CARMENCITA VALDEZ
MS. SORAYA P. VERGARA</v>
          </cell>
          <cell r="AI286" t="str">
            <v>N/A</v>
          </cell>
          <cell r="AJ286" t="str">
            <v>N/A</v>
          </cell>
          <cell r="AK286" t="str">
            <v>N/A</v>
          </cell>
          <cell r="AL286" t="str">
            <v>N/A</v>
          </cell>
          <cell r="AM286" t="str">
            <v>N/A</v>
          </cell>
          <cell r="AN286" t="str">
            <v>N/A</v>
          </cell>
          <cell r="AO286" t="str">
            <v>COMPLETED</v>
          </cell>
        </row>
        <row r="287">
          <cell r="A287" t="str">
            <v>24-1713</v>
          </cell>
          <cell r="B287" t="str">
            <v>JOB OUT</v>
          </cell>
          <cell r="C287" t="str">
            <v>PGSO</v>
          </cell>
          <cell r="D287" t="str">
            <v>No</v>
          </cell>
          <cell r="E287" t="str">
            <v>Shopping 52.1(a) - Unforeseen Contingency</v>
          </cell>
          <cell r="F287" t="str">
            <v>N/A</v>
          </cell>
          <cell r="G287">
            <v>45376</v>
          </cell>
          <cell r="H287">
            <v>0</v>
          </cell>
          <cell r="I287" t="str">
            <v>N/A</v>
          </cell>
          <cell r="J287">
            <v>45384</v>
          </cell>
          <cell r="K287">
            <v>45384</v>
          </cell>
          <cell r="L287">
            <v>45384</v>
          </cell>
          <cell r="M287" t="str">
            <v>N/A</v>
          </cell>
          <cell r="N287" t="str">
            <v>N/A</v>
          </cell>
          <cell r="O287">
            <v>45386</v>
          </cell>
          <cell r="P287">
            <v>0</v>
          </cell>
          <cell r="Q287">
            <v>0</v>
          </cell>
          <cell r="R287">
            <v>0</v>
          </cell>
          <cell r="S287" t="str">
            <v>N/A</v>
          </cell>
          <cell r="T287">
            <v>45394</v>
          </cell>
          <cell r="U287">
            <v>45420</v>
          </cell>
          <cell r="V287">
            <v>0</v>
          </cell>
          <cell r="W287">
            <v>0</v>
          </cell>
          <cell r="X287">
            <v>45420</v>
          </cell>
          <cell r="Y287">
            <v>45420</v>
          </cell>
          <cell r="Z287">
            <v>0</v>
          </cell>
          <cell r="AA287">
            <v>3500</v>
          </cell>
          <cell r="AB287">
            <v>3500</v>
          </cell>
          <cell r="AC287">
            <v>0</v>
          </cell>
          <cell r="AD287">
            <v>3500</v>
          </cell>
          <cell r="AE287">
            <v>3500</v>
          </cell>
          <cell r="AF287">
            <v>0</v>
          </cell>
          <cell r="AG287" t="str">
            <v>M</v>
          </cell>
          <cell r="AH287" t="str">
            <v>ENGR. MICHAEL C. SALARDA
MS. LEONARDA M. LATOR
MS. CARMENCITA VALDEZ
MS. SORAYA P. VERGARA</v>
          </cell>
          <cell r="AI287" t="str">
            <v>N/A</v>
          </cell>
          <cell r="AJ287" t="str">
            <v>N/A</v>
          </cell>
          <cell r="AK287" t="str">
            <v>N/A</v>
          </cell>
          <cell r="AL287" t="str">
            <v>N/A</v>
          </cell>
          <cell r="AM287" t="str">
            <v>N/A</v>
          </cell>
          <cell r="AN287" t="str">
            <v>N/A</v>
          </cell>
          <cell r="AO287" t="str">
            <v>COMPLETED</v>
          </cell>
        </row>
        <row r="288">
          <cell r="A288" t="str">
            <v>24-1786</v>
          </cell>
          <cell r="B288" t="str">
            <v>SPAREPARTS (HEAVY EQUIPT)</v>
          </cell>
          <cell r="C288" t="str">
            <v>PGSO</v>
          </cell>
          <cell r="D288" t="str">
            <v>No</v>
          </cell>
          <cell r="E288" t="str">
            <v>Shopping 52.1(a) - Unforeseen Contingency</v>
          </cell>
          <cell r="F288" t="str">
            <v>N/A</v>
          </cell>
          <cell r="G288">
            <v>45376</v>
          </cell>
          <cell r="H288">
            <v>0</v>
          </cell>
          <cell r="I288" t="str">
            <v>N/A</v>
          </cell>
          <cell r="J288">
            <v>45384</v>
          </cell>
          <cell r="K288">
            <v>45384</v>
          </cell>
          <cell r="L288">
            <v>45384</v>
          </cell>
          <cell r="M288" t="str">
            <v>N/A</v>
          </cell>
          <cell r="N288" t="str">
            <v>N/A</v>
          </cell>
          <cell r="O288">
            <v>45386</v>
          </cell>
          <cell r="P288">
            <v>0</v>
          </cell>
          <cell r="Q288">
            <v>0</v>
          </cell>
          <cell r="R288">
            <v>0</v>
          </cell>
          <cell r="S288" t="str">
            <v>N/A</v>
          </cell>
          <cell r="T288">
            <v>45394</v>
          </cell>
          <cell r="U288">
            <v>45420</v>
          </cell>
          <cell r="V288">
            <v>0</v>
          </cell>
          <cell r="W288">
            <v>0</v>
          </cell>
          <cell r="X288">
            <v>45420</v>
          </cell>
          <cell r="Y288">
            <v>45420</v>
          </cell>
          <cell r="Z288">
            <v>0</v>
          </cell>
          <cell r="AA288">
            <v>1500</v>
          </cell>
          <cell r="AB288">
            <v>1500</v>
          </cell>
          <cell r="AC288">
            <v>0</v>
          </cell>
          <cell r="AD288">
            <v>1500</v>
          </cell>
          <cell r="AE288">
            <v>1500</v>
          </cell>
          <cell r="AF288">
            <v>0</v>
          </cell>
          <cell r="AG288" t="str">
            <v>M</v>
          </cell>
          <cell r="AH288" t="str">
            <v>ENGR. MICHAEL C. SALARDA
MS. LEONARDA M. LATOR
MS. CARMENCITA VALDEZ
MS. SORAYA P. VERGARA</v>
          </cell>
          <cell r="AI288" t="str">
            <v>N/A</v>
          </cell>
          <cell r="AJ288" t="str">
            <v>N/A</v>
          </cell>
          <cell r="AK288" t="str">
            <v>N/A</v>
          </cell>
          <cell r="AL288" t="str">
            <v>N/A</v>
          </cell>
          <cell r="AM288" t="str">
            <v>N/A</v>
          </cell>
          <cell r="AN288" t="str">
            <v>N/A</v>
          </cell>
          <cell r="AO288" t="str">
            <v>COMPLETED</v>
          </cell>
        </row>
        <row r="289">
          <cell r="A289" t="str">
            <v>24-1234</v>
          </cell>
          <cell r="B289" t="str">
            <v>SPAREPARTS (MOTORCYCLE)</v>
          </cell>
          <cell r="C289" t="str">
            <v>SPO</v>
          </cell>
          <cell r="D289" t="str">
            <v>No</v>
          </cell>
          <cell r="E289" t="str">
            <v>Shopping 52.1(a) - Unforeseen Contingency</v>
          </cell>
          <cell r="F289" t="str">
            <v>N/A</v>
          </cell>
          <cell r="G289">
            <v>45376</v>
          </cell>
          <cell r="H289">
            <v>0</v>
          </cell>
          <cell r="I289" t="str">
            <v>N/A</v>
          </cell>
          <cell r="J289">
            <v>45384</v>
          </cell>
          <cell r="K289">
            <v>45384</v>
          </cell>
          <cell r="L289">
            <v>45384</v>
          </cell>
          <cell r="M289" t="str">
            <v>N/A</v>
          </cell>
          <cell r="N289" t="str">
            <v>N/A</v>
          </cell>
          <cell r="O289">
            <v>45386</v>
          </cell>
          <cell r="P289">
            <v>0</v>
          </cell>
          <cell r="Q289">
            <v>0</v>
          </cell>
          <cell r="R289">
            <v>0</v>
          </cell>
          <cell r="S289" t="str">
            <v>N/A</v>
          </cell>
          <cell r="T289">
            <v>45406</v>
          </cell>
          <cell r="U289">
            <v>45412</v>
          </cell>
          <cell r="V289">
            <v>0</v>
          </cell>
          <cell r="W289">
            <v>0</v>
          </cell>
          <cell r="X289">
            <v>45412</v>
          </cell>
          <cell r="Y289">
            <v>45412</v>
          </cell>
          <cell r="Z289">
            <v>0</v>
          </cell>
          <cell r="AA289">
            <v>1100</v>
          </cell>
          <cell r="AB289">
            <v>1100</v>
          </cell>
          <cell r="AC289">
            <v>0</v>
          </cell>
          <cell r="AD289">
            <v>1100</v>
          </cell>
          <cell r="AE289">
            <v>1100</v>
          </cell>
          <cell r="AF289">
            <v>0</v>
          </cell>
          <cell r="AG289" t="str">
            <v>M</v>
          </cell>
          <cell r="AH289" t="str">
            <v>ENGR. MICHAEL C. SALARDA
MS. LEONARDA M. LATOR
MS. CARMENCITA VALDEZ
MS. SORAYA P. VERGARA</v>
          </cell>
          <cell r="AI289" t="str">
            <v>N/A</v>
          </cell>
          <cell r="AJ289" t="str">
            <v>N/A</v>
          </cell>
          <cell r="AK289" t="str">
            <v>N/A</v>
          </cell>
          <cell r="AL289" t="str">
            <v>N/A</v>
          </cell>
          <cell r="AM289" t="str">
            <v>N/A</v>
          </cell>
          <cell r="AN289" t="str">
            <v>N/A</v>
          </cell>
          <cell r="AO289" t="str">
            <v>COMPLETED</v>
          </cell>
        </row>
        <row r="290">
          <cell r="A290" t="str">
            <v>24-0264</v>
          </cell>
          <cell r="B290" t="str">
            <v>BOX FILE TOP AND SIDE OPENING</v>
          </cell>
          <cell r="C290" t="str">
            <v>PGO</v>
          </cell>
          <cell r="D290" t="str">
            <v>No</v>
          </cell>
          <cell r="E290" t="str">
            <v>NP-53.9 - Small Value Procurement</v>
          </cell>
          <cell r="F290" t="str">
            <v>N/A</v>
          </cell>
          <cell r="G290">
            <v>45344</v>
          </cell>
          <cell r="H290">
            <v>0</v>
          </cell>
          <cell r="I290" t="str">
            <v>N/A</v>
          </cell>
          <cell r="J290">
            <v>45384</v>
          </cell>
          <cell r="K290">
            <v>45384</v>
          </cell>
          <cell r="L290">
            <v>45384</v>
          </cell>
          <cell r="M290" t="str">
            <v>N/A</v>
          </cell>
          <cell r="N290" t="str">
            <v>N/A</v>
          </cell>
          <cell r="O290">
            <v>45386</v>
          </cell>
          <cell r="P290">
            <v>0</v>
          </cell>
          <cell r="Q290">
            <v>0</v>
          </cell>
          <cell r="R290">
            <v>0</v>
          </cell>
          <cell r="S290" t="str">
            <v>N/A</v>
          </cell>
          <cell r="T290">
            <v>45406</v>
          </cell>
          <cell r="U290">
            <v>45419</v>
          </cell>
          <cell r="V290">
            <v>0</v>
          </cell>
          <cell r="W290">
            <v>0</v>
          </cell>
          <cell r="X290">
            <v>45464</v>
          </cell>
          <cell r="Y290">
            <v>45464</v>
          </cell>
          <cell r="Z290">
            <v>0</v>
          </cell>
          <cell r="AA290">
            <v>1180</v>
          </cell>
          <cell r="AB290">
            <v>0</v>
          </cell>
          <cell r="AC290">
            <v>1180</v>
          </cell>
          <cell r="AD290">
            <v>1178</v>
          </cell>
          <cell r="AE290">
            <v>0</v>
          </cell>
          <cell r="AF290">
            <v>1178</v>
          </cell>
          <cell r="AG290" t="str">
            <v>C</v>
          </cell>
          <cell r="AH290" t="str">
            <v>ENGR. MICHAEL C. SALARDA
MS. LEONARDA M. LATOR
MS. CARMENCITA VALDEZ
MS. SORAYA P. VERGARA</v>
          </cell>
          <cell r="AI290" t="str">
            <v>N/A</v>
          </cell>
          <cell r="AJ290" t="str">
            <v>N/A</v>
          </cell>
          <cell r="AK290" t="str">
            <v>N/A</v>
          </cell>
          <cell r="AL290" t="str">
            <v>N/A</v>
          </cell>
          <cell r="AM290" t="str">
            <v>N/A</v>
          </cell>
          <cell r="AN290" t="str">
            <v>N/A</v>
          </cell>
          <cell r="AO290" t="str">
            <v>COMPLETED</v>
          </cell>
        </row>
        <row r="291">
          <cell r="A291" t="str">
            <v>24-C1099</v>
          </cell>
          <cell r="B291" t="str">
            <v>JANITORIAL SUPPLIES</v>
          </cell>
          <cell r="C291" t="str">
            <v>PASSO</v>
          </cell>
          <cell r="D291" t="str">
            <v>No</v>
          </cell>
          <cell r="E291" t="str">
            <v>NP-53.9 - Small Value Procurement</v>
          </cell>
          <cell r="F291" t="str">
            <v>N/A</v>
          </cell>
          <cell r="G291">
            <v>45352</v>
          </cell>
          <cell r="H291">
            <v>0</v>
          </cell>
          <cell r="I291" t="str">
            <v>N/A</v>
          </cell>
          <cell r="J291">
            <v>45384</v>
          </cell>
          <cell r="K291">
            <v>45384</v>
          </cell>
          <cell r="L291">
            <v>45384</v>
          </cell>
          <cell r="M291" t="str">
            <v>N/A</v>
          </cell>
          <cell r="N291" t="str">
            <v>N/A</v>
          </cell>
          <cell r="O291">
            <v>45386</v>
          </cell>
          <cell r="P291">
            <v>0</v>
          </cell>
          <cell r="Q291">
            <v>0</v>
          </cell>
          <cell r="R291">
            <v>0</v>
          </cell>
          <cell r="S291" t="str">
            <v>N/A</v>
          </cell>
          <cell r="T291">
            <v>45405</v>
          </cell>
          <cell r="U291">
            <v>45422</v>
          </cell>
          <cell r="V291">
            <v>0</v>
          </cell>
          <cell r="W291">
            <v>0</v>
          </cell>
          <cell r="X291">
            <v>45464</v>
          </cell>
          <cell r="Y291">
            <v>45464</v>
          </cell>
          <cell r="Z291">
            <v>0</v>
          </cell>
          <cell r="AA291">
            <v>41732</v>
          </cell>
          <cell r="AB291">
            <v>0</v>
          </cell>
          <cell r="AC291">
            <v>41732</v>
          </cell>
          <cell r="AD291">
            <v>41610.5</v>
          </cell>
          <cell r="AE291">
            <v>0</v>
          </cell>
          <cell r="AF291">
            <v>41610.5</v>
          </cell>
          <cell r="AG291" t="str">
            <v>C</v>
          </cell>
          <cell r="AH291" t="str">
            <v>ENGR. MICHAEL C. SALARDA
MS. LEONARDA M. LATOR
MS. CARMENCITA VALDEZ
MS. SORAYA P. VERGARA</v>
          </cell>
          <cell r="AI291" t="str">
            <v>N/A</v>
          </cell>
          <cell r="AJ291" t="str">
            <v>N/A</v>
          </cell>
          <cell r="AK291" t="str">
            <v>N/A</v>
          </cell>
          <cell r="AL291" t="str">
            <v>N/A</v>
          </cell>
          <cell r="AM291" t="str">
            <v>N/A</v>
          </cell>
          <cell r="AN291" t="str">
            <v>N/A</v>
          </cell>
          <cell r="AO291" t="str">
            <v>COMPLETED</v>
          </cell>
        </row>
        <row r="292">
          <cell r="A292" t="str">
            <v>24-0527</v>
          </cell>
          <cell r="B292" t="str">
            <v>GLOVES, LAUNDRY</v>
          </cell>
          <cell r="C292" t="str">
            <v>PDRRMO</v>
          </cell>
          <cell r="D292" t="str">
            <v>No</v>
          </cell>
          <cell r="E292" t="str">
            <v>NP-53.9 - Small Value Procurement</v>
          </cell>
          <cell r="F292" t="str">
            <v>N/A</v>
          </cell>
          <cell r="G292">
            <v>45352</v>
          </cell>
          <cell r="H292">
            <v>0</v>
          </cell>
          <cell r="I292" t="str">
            <v>N/A</v>
          </cell>
          <cell r="J292">
            <v>45384</v>
          </cell>
          <cell r="K292">
            <v>45384</v>
          </cell>
          <cell r="L292">
            <v>45384</v>
          </cell>
          <cell r="M292" t="str">
            <v>N/A</v>
          </cell>
          <cell r="N292" t="str">
            <v>N/A</v>
          </cell>
          <cell r="O292">
            <v>45386</v>
          </cell>
          <cell r="P292">
            <v>0</v>
          </cell>
          <cell r="Q292">
            <v>0</v>
          </cell>
          <cell r="R292">
            <v>0</v>
          </cell>
          <cell r="S292" t="str">
            <v>N/A</v>
          </cell>
          <cell r="T292">
            <v>45406</v>
          </cell>
          <cell r="U292">
            <v>45419</v>
          </cell>
          <cell r="V292">
            <v>0</v>
          </cell>
          <cell r="W292">
            <v>0</v>
          </cell>
          <cell r="X292">
            <v>45440</v>
          </cell>
          <cell r="Y292">
            <v>45440</v>
          </cell>
          <cell r="Z292">
            <v>0</v>
          </cell>
          <cell r="AA292">
            <v>1104</v>
          </cell>
          <cell r="AB292">
            <v>0</v>
          </cell>
          <cell r="AC292">
            <v>1104</v>
          </cell>
          <cell r="AD292">
            <v>1080</v>
          </cell>
          <cell r="AE292">
            <v>0</v>
          </cell>
          <cell r="AF292">
            <v>1080</v>
          </cell>
          <cell r="AG292" t="str">
            <v>C</v>
          </cell>
          <cell r="AH292" t="str">
            <v>ENGR. MICHAEL C. SALARDA
MS. LEONARDA M. LATOR
MS. CARMENCITA VALDEZ
MS. SORAYA P. VERGARA</v>
          </cell>
          <cell r="AI292" t="str">
            <v>N/A</v>
          </cell>
          <cell r="AJ292" t="str">
            <v>N/A</v>
          </cell>
          <cell r="AK292" t="str">
            <v>N/A</v>
          </cell>
          <cell r="AL292" t="str">
            <v>N/A</v>
          </cell>
          <cell r="AM292" t="str">
            <v>N/A</v>
          </cell>
          <cell r="AN292" t="str">
            <v>N/A</v>
          </cell>
          <cell r="AO292" t="str">
            <v>COMPLETED</v>
          </cell>
        </row>
        <row r="293">
          <cell r="A293" t="str">
            <v>24-0031</v>
          </cell>
          <cell r="B293" t="str">
            <v>TRAINING FOLDING TABLE</v>
          </cell>
          <cell r="C293" t="str">
            <v>PTO</v>
          </cell>
          <cell r="D293" t="str">
            <v>No</v>
          </cell>
          <cell r="E293" t="str">
            <v>NP-53.9 - Small Value Procurement</v>
          </cell>
          <cell r="F293" t="str">
            <v>N/A</v>
          </cell>
          <cell r="G293">
            <v>45352</v>
          </cell>
          <cell r="H293">
            <v>0</v>
          </cell>
          <cell r="I293" t="str">
            <v>N/A</v>
          </cell>
          <cell r="J293">
            <v>45384</v>
          </cell>
          <cell r="K293">
            <v>45384</v>
          </cell>
          <cell r="L293">
            <v>45384</v>
          </cell>
          <cell r="M293" t="str">
            <v>N/A</v>
          </cell>
          <cell r="N293" t="str">
            <v>N/A</v>
          </cell>
          <cell r="O293">
            <v>45386</v>
          </cell>
          <cell r="P293">
            <v>0</v>
          </cell>
          <cell r="Q293">
            <v>0</v>
          </cell>
          <cell r="R293">
            <v>0</v>
          </cell>
          <cell r="S293" t="str">
            <v>N/A</v>
          </cell>
          <cell r="T293">
            <v>45399</v>
          </cell>
          <cell r="U293">
            <v>45419</v>
          </cell>
          <cell r="V293">
            <v>0</v>
          </cell>
          <cell r="W293">
            <v>0</v>
          </cell>
          <cell r="X293">
            <v>45440</v>
          </cell>
          <cell r="Y293">
            <v>45440</v>
          </cell>
          <cell r="Z293">
            <v>0</v>
          </cell>
          <cell r="AA293">
            <v>13860</v>
          </cell>
          <cell r="AB293">
            <v>13860</v>
          </cell>
          <cell r="AC293">
            <v>0</v>
          </cell>
          <cell r="AD293">
            <v>13500</v>
          </cell>
          <cell r="AE293">
            <v>13500</v>
          </cell>
          <cell r="AF293">
            <v>0</v>
          </cell>
          <cell r="AG293" t="str">
            <v>M</v>
          </cell>
          <cell r="AH293" t="str">
            <v>ENGR. MICHAEL C. SALARDA
MS. LEONARDA M. LATOR
MS. CARMENCITA VALDEZ
MS. SORAYA P. VERGARA</v>
          </cell>
          <cell r="AI293" t="str">
            <v>N/A</v>
          </cell>
          <cell r="AJ293" t="str">
            <v>N/A</v>
          </cell>
          <cell r="AK293" t="str">
            <v>N/A</v>
          </cell>
          <cell r="AL293" t="str">
            <v>N/A</v>
          </cell>
          <cell r="AM293" t="str">
            <v>N/A</v>
          </cell>
          <cell r="AN293" t="str">
            <v>N/A</v>
          </cell>
          <cell r="AO293" t="str">
            <v>COMPLETED</v>
          </cell>
        </row>
        <row r="294">
          <cell r="A294" t="str">
            <v>24-C1086</v>
          </cell>
          <cell r="B294" t="str">
            <v xml:space="preserve">BRAKE FLUID </v>
          </cell>
          <cell r="C294" t="str">
            <v>PDRRMO</v>
          </cell>
          <cell r="D294" t="str">
            <v>No</v>
          </cell>
          <cell r="E294" t="str">
            <v>NP-53.9 - Small Value Procurement</v>
          </cell>
          <cell r="F294" t="str">
            <v>N/A</v>
          </cell>
          <cell r="G294">
            <v>45352</v>
          </cell>
          <cell r="H294">
            <v>0</v>
          </cell>
          <cell r="I294" t="str">
            <v>N/A</v>
          </cell>
          <cell r="J294">
            <v>45384</v>
          </cell>
          <cell r="K294">
            <v>45384</v>
          </cell>
          <cell r="L294">
            <v>45384</v>
          </cell>
          <cell r="M294" t="str">
            <v>N/A</v>
          </cell>
          <cell r="N294" t="str">
            <v>N/A</v>
          </cell>
          <cell r="O294">
            <v>45386</v>
          </cell>
          <cell r="P294">
            <v>0</v>
          </cell>
          <cell r="Q294">
            <v>0</v>
          </cell>
          <cell r="R294">
            <v>0</v>
          </cell>
          <cell r="S294" t="str">
            <v>N/A</v>
          </cell>
          <cell r="T294">
            <v>45406</v>
          </cell>
          <cell r="U294">
            <v>45412</v>
          </cell>
          <cell r="V294">
            <v>0</v>
          </cell>
          <cell r="W294">
            <v>0</v>
          </cell>
          <cell r="X294">
            <v>45428</v>
          </cell>
          <cell r="Y294">
            <v>45428</v>
          </cell>
          <cell r="Z294">
            <v>0</v>
          </cell>
          <cell r="AA294">
            <v>19592</v>
          </cell>
          <cell r="AB294">
            <v>0</v>
          </cell>
          <cell r="AC294">
            <v>19592</v>
          </cell>
          <cell r="AD294">
            <v>19260</v>
          </cell>
          <cell r="AE294">
            <v>0</v>
          </cell>
          <cell r="AF294">
            <v>19260</v>
          </cell>
          <cell r="AG294" t="str">
            <v>C</v>
          </cell>
          <cell r="AH294" t="str">
            <v>ENGR. MICHAEL C. SALARDA
MS. LEONARDA M. LATOR
MS. CARMENCITA VALDEZ
MS. SORAYA P. VERGARA</v>
          </cell>
          <cell r="AI294" t="str">
            <v>N/A</v>
          </cell>
          <cell r="AJ294" t="str">
            <v>N/A</v>
          </cell>
          <cell r="AK294" t="str">
            <v>N/A</v>
          </cell>
          <cell r="AL294" t="str">
            <v>N/A</v>
          </cell>
          <cell r="AM294" t="str">
            <v>N/A</v>
          </cell>
          <cell r="AN294" t="str">
            <v>N/A</v>
          </cell>
          <cell r="AO294" t="str">
            <v>COMPLETED</v>
          </cell>
        </row>
        <row r="295">
          <cell r="A295" t="str">
            <v>24-1698</v>
          </cell>
          <cell r="B295" t="str">
            <v>PRINTING</v>
          </cell>
          <cell r="C295" t="str">
            <v>PAO</v>
          </cell>
          <cell r="D295" t="str">
            <v>No</v>
          </cell>
          <cell r="E295" t="str">
            <v>NP-53.9 - Small Value Procurement</v>
          </cell>
          <cell r="F295" t="str">
            <v>N/A</v>
          </cell>
          <cell r="G295">
            <v>45371</v>
          </cell>
          <cell r="H295">
            <v>0</v>
          </cell>
          <cell r="I295" t="str">
            <v>N/A</v>
          </cell>
          <cell r="J295">
            <v>45384</v>
          </cell>
          <cell r="K295">
            <v>45384</v>
          </cell>
          <cell r="L295">
            <v>45384</v>
          </cell>
          <cell r="M295" t="str">
            <v>N/A</v>
          </cell>
          <cell r="N295" t="str">
            <v>N/A</v>
          </cell>
          <cell r="O295">
            <v>45386</v>
          </cell>
          <cell r="P295">
            <v>0</v>
          </cell>
          <cell r="Q295">
            <v>0</v>
          </cell>
          <cell r="R295">
            <v>0</v>
          </cell>
          <cell r="S295">
            <v>45387</v>
          </cell>
          <cell r="T295">
            <v>45406</v>
          </cell>
          <cell r="U295">
            <v>45422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120000</v>
          </cell>
          <cell r="AB295">
            <v>0</v>
          </cell>
          <cell r="AC295">
            <v>120000</v>
          </cell>
          <cell r="AD295">
            <v>118500</v>
          </cell>
          <cell r="AE295">
            <v>0</v>
          </cell>
          <cell r="AF295">
            <v>118500</v>
          </cell>
          <cell r="AG295" t="str">
            <v>C</v>
          </cell>
          <cell r="AH295" t="str">
            <v>ENGR. MICHAEL C. SALARDA
MS. LEONARDA M. LATOR
MS. CARMENCITA VALDEZ
MS. SORAYA P. VERGARA</v>
          </cell>
          <cell r="AI295" t="str">
            <v>N/A</v>
          </cell>
          <cell r="AJ295" t="str">
            <v>N/A</v>
          </cell>
          <cell r="AK295" t="str">
            <v>N/A</v>
          </cell>
          <cell r="AL295" t="str">
            <v>N/A</v>
          </cell>
          <cell r="AM295" t="str">
            <v>N/A</v>
          </cell>
          <cell r="AN295" t="str">
            <v>N/A</v>
          </cell>
          <cell r="AO295">
            <v>0</v>
          </cell>
        </row>
        <row r="296">
          <cell r="A296" t="str">
            <v>24-0269</v>
          </cell>
          <cell r="B296" t="str">
            <v>GARMENTS</v>
          </cell>
          <cell r="C296" t="str">
            <v>PENRO</v>
          </cell>
          <cell r="D296" t="str">
            <v>No</v>
          </cell>
          <cell r="E296" t="str">
            <v>NP-53.9 - Small Value Procurement</v>
          </cell>
          <cell r="F296" t="str">
            <v>N/A</v>
          </cell>
          <cell r="G296">
            <v>45371</v>
          </cell>
          <cell r="H296">
            <v>0</v>
          </cell>
          <cell r="I296" t="str">
            <v>N/A</v>
          </cell>
          <cell r="J296">
            <v>45384</v>
          </cell>
          <cell r="K296">
            <v>45384</v>
          </cell>
          <cell r="L296">
            <v>45384</v>
          </cell>
          <cell r="M296" t="str">
            <v>N/A</v>
          </cell>
          <cell r="N296" t="str">
            <v>N/A</v>
          </cell>
          <cell r="O296">
            <v>45386</v>
          </cell>
          <cell r="P296">
            <v>0</v>
          </cell>
          <cell r="Q296">
            <v>0</v>
          </cell>
          <cell r="R296">
            <v>0</v>
          </cell>
          <cell r="S296" t="str">
            <v>N/A</v>
          </cell>
          <cell r="T296">
            <v>45406</v>
          </cell>
          <cell r="U296">
            <v>45412</v>
          </cell>
          <cell r="V296">
            <v>0</v>
          </cell>
          <cell r="W296">
            <v>0</v>
          </cell>
          <cell r="X296">
            <v>45439</v>
          </cell>
          <cell r="Y296">
            <v>45439</v>
          </cell>
          <cell r="Z296">
            <v>0</v>
          </cell>
          <cell r="AA296">
            <v>12000</v>
          </cell>
          <cell r="AB296">
            <v>12000</v>
          </cell>
          <cell r="AC296">
            <v>0</v>
          </cell>
          <cell r="AD296">
            <v>11400</v>
          </cell>
          <cell r="AE296">
            <v>11400</v>
          </cell>
          <cell r="AF296">
            <v>0</v>
          </cell>
          <cell r="AG296" t="str">
            <v>M</v>
          </cell>
          <cell r="AH296" t="str">
            <v>ENGR. MICHAEL C. SALARDA
MS. LEONARDA M. LATOR
MS. CARMENCITA VALDEZ
MS. SORAYA P. VERGARA</v>
          </cell>
          <cell r="AI296" t="str">
            <v>N/A</v>
          </cell>
          <cell r="AJ296" t="str">
            <v>N/A</v>
          </cell>
          <cell r="AK296" t="str">
            <v>N/A</v>
          </cell>
          <cell r="AL296" t="str">
            <v>N/A</v>
          </cell>
          <cell r="AM296" t="str">
            <v>N/A</v>
          </cell>
          <cell r="AN296" t="str">
            <v>N/A</v>
          </cell>
          <cell r="AO296" t="str">
            <v>COMPLETED</v>
          </cell>
        </row>
        <row r="297">
          <cell r="A297" t="str">
            <v>24-0987</v>
          </cell>
          <cell r="B297" t="str">
            <v>PLAQUE/TROPHIES/MEDAL</v>
          </cell>
          <cell r="C297" t="str">
            <v>PAGRO</v>
          </cell>
          <cell r="D297" t="str">
            <v>No</v>
          </cell>
          <cell r="E297" t="str">
            <v>NP-53.9 - Small Value Procurement</v>
          </cell>
          <cell r="F297" t="str">
            <v>N/A</v>
          </cell>
          <cell r="G297">
            <v>45371</v>
          </cell>
          <cell r="H297">
            <v>0</v>
          </cell>
          <cell r="I297" t="str">
            <v>N/A</v>
          </cell>
          <cell r="J297">
            <v>45384</v>
          </cell>
          <cell r="K297">
            <v>45384</v>
          </cell>
          <cell r="L297">
            <v>45384</v>
          </cell>
          <cell r="M297" t="str">
            <v>N/A</v>
          </cell>
          <cell r="N297" t="str">
            <v>N/A</v>
          </cell>
          <cell r="O297">
            <v>45386</v>
          </cell>
          <cell r="P297">
            <v>0</v>
          </cell>
          <cell r="Q297">
            <v>0</v>
          </cell>
          <cell r="R297">
            <v>0</v>
          </cell>
          <cell r="S297" t="str">
            <v>N/A</v>
          </cell>
          <cell r="T297">
            <v>45406</v>
          </cell>
          <cell r="U297">
            <v>45412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8250</v>
          </cell>
          <cell r="AB297">
            <v>0</v>
          </cell>
          <cell r="AC297">
            <v>8250</v>
          </cell>
          <cell r="AD297">
            <v>6500</v>
          </cell>
          <cell r="AE297">
            <v>0</v>
          </cell>
          <cell r="AF297">
            <v>6500</v>
          </cell>
          <cell r="AG297" t="str">
            <v>C</v>
          </cell>
          <cell r="AH297" t="str">
            <v>ENGR. MICHAEL C. SALARDA
MS. LEONARDA M. LATOR
MS. CARMENCITA VALDEZ
MS. SORAYA P. VERGARA</v>
          </cell>
          <cell r="AI297" t="str">
            <v>N/A</v>
          </cell>
          <cell r="AJ297" t="str">
            <v>N/A</v>
          </cell>
          <cell r="AK297" t="str">
            <v>N/A</v>
          </cell>
          <cell r="AL297" t="str">
            <v>N/A</v>
          </cell>
          <cell r="AM297" t="str">
            <v>N/A</v>
          </cell>
          <cell r="AN297" t="str">
            <v>N/A</v>
          </cell>
          <cell r="AO297">
            <v>0</v>
          </cell>
        </row>
        <row r="298">
          <cell r="A298" t="str">
            <v>24-0997</v>
          </cell>
          <cell r="B298" t="str">
            <v>PRINTING</v>
          </cell>
          <cell r="C298" t="str">
            <v>PAGRO</v>
          </cell>
          <cell r="D298" t="str">
            <v>No</v>
          </cell>
          <cell r="E298" t="str">
            <v>NP-53.9 - Small Value Procurement</v>
          </cell>
          <cell r="F298" t="str">
            <v>N/A</v>
          </cell>
          <cell r="G298">
            <v>45371</v>
          </cell>
          <cell r="H298">
            <v>0</v>
          </cell>
          <cell r="I298" t="str">
            <v>N/A</v>
          </cell>
          <cell r="J298">
            <v>45384</v>
          </cell>
          <cell r="K298">
            <v>45384</v>
          </cell>
          <cell r="L298">
            <v>45384</v>
          </cell>
          <cell r="M298" t="str">
            <v>N/A</v>
          </cell>
          <cell r="N298" t="str">
            <v>N/A</v>
          </cell>
          <cell r="O298">
            <v>45386</v>
          </cell>
          <cell r="P298">
            <v>0</v>
          </cell>
          <cell r="Q298">
            <v>0</v>
          </cell>
          <cell r="R298">
            <v>0</v>
          </cell>
          <cell r="S298" t="str">
            <v>N/A</v>
          </cell>
          <cell r="T298">
            <v>45406</v>
          </cell>
          <cell r="U298">
            <v>45412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3500</v>
          </cell>
          <cell r="AB298">
            <v>0</v>
          </cell>
          <cell r="AC298">
            <v>3500</v>
          </cell>
          <cell r="AD298">
            <v>3500</v>
          </cell>
          <cell r="AE298">
            <v>0</v>
          </cell>
          <cell r="AF298">
            <v>3500</v>
          </cell>
          <cell r="AG298" t="str">
            <v>C</v>
          </cell>
          <cell r="AH298" t="str">
            <v>ENGR. MICHAEL C. SALARDA
MS. LEONARDA M. LATOR
MS. CARMENCITA VALDEZ
MS. SORAYA P. VERGARA</v>
          </cell>
          <cell r="AI298" t="str">
            <v>N/A</v>
          </cell>
          <cell r="AJ298" t="str">
            <v>N/A</v>
          </cell>
          <cell r="AK298" t="str">
            <v>N/A</v>
          </cell>
          <cell r="AL298" t="str">
            <v>N/A</v>
          </cell>
          <cell r="AM298" t="str">
            <v>N/A</v>
          </cell>
          <cell r="AN298" t="str">
            <v>N/A</v>
          </cell>
          <cell r="AO298">
            <v>0</v>
          </cell>
        </row>
        <row r="299">
          <cell r="A299" t="str">
            <v>24-1756</v>
          </cell>
          <cell r="B299" t="str">
            <v>FOOD/CATERING SERVICES</v>
          </cell>
          <cell r="C299" t="str">
            <v>PAO</v>
          </cell>
          <cell r="D299" t="str">
            <v>No</v>
          </cell>
          <cell r="E299" t="str">
            <v>NP-53.9 - Small Value Procurement</v>
          </cell>
          <cell r="F299" t="str">
            <v>N/A</v>
          </cell>
          <cell r="G299">
            <v>45371</v>
          </cell>
          <cell r="H299">
            <v>0</v>
          </cell>
          <cell r="I299" t="str">
            <v>N/A</v>
          </cell>
          <cell r="J299">
            <v>45384</v>
          </cell>
          <cell r="K299">
            <v>45384</v>
          </cell>
          <cell r="L299">
            <v>45384</v>
          </cell>
          <cell r="M299" t="str">
            <v>N/A</v>
          </cell>
          <cell r="N299" t="str">
            <v>N/A</v>
          </cell>
          <cell r="O299">
            <v>45386</v>
          </cell>
          <cell r="P299">
            <v>0</v>
          </cell>
          <cell r="Q299">
            <v>0</v>
          </cell>
          <cell r="R299">
            <v>0</v>
          </cell>
          <cell r="S299" t="str">
            <v>N/A</v>
          </cell>
          <cell r="T299">
            <v>45400</v>
          </cell>
          <cell r="U299">
            <v>45400</v>
          </cell>
          <cell r="V299">
            <v>0</v>
          </cell>
          <cell r="W299">
            <v>0</v>
          </cell>
          <cell r="X299">
            <v>45440</v>
          </cell>
          <cell r="Y299">
            <v>45440</v>
          </cell>
          <cell r="Z299">
            <v>0</v>
          </cell>
          <cell r="AA299">
            <v>30000</v>
          </cell>
          <cell r="AB299">
            <v>30000</v>
          </cell>
          <cell r="AC299">
            <v>0</v>
          </cell>
          <cell r="AD299">
            <v>30000</v>
          </cell>
          <cell r="AE299">
            <v>30000</v>
          </cell>
          <cell r="AF299">
            <v>0</v>
          </cell>
          <cell r="AG299" t="str">
            <v>M</v>
          </cell>
          <cell r="AH299" t="str">
            <v>ENGR. MICHAEL C. SALARDA
MS. LEONARDA M. LATOR
MS. CARMENCITA VALDEZ
MS. SORAYA P. VERGARA</v>
          </cell>
          <cell r="AI299" t="str">
            <v>N/A</v>
          </cell>
          <cell r="AJ299" t="str">
            <v>N/A</v>
          </cell>
          <cell r="AK299" t="str">
            <v>N/A</v>
          </cell>
          <cell r="AL299" t="str">
            <v>N/A</v>
          </cell>
          <cell r="AM299" t="str">
            <v>N/A</v>
          </cell>
          <cell r="AN299" t="str">
            <v>N/A</v>
          </cell>
          <cell r="AO299" t="str">
            <v>COMPLETED</v>
          </cell>
        </row>
        <row r="300">
          <cell r="A300" t="str">
            <v>24-C0965</v>
          </cell>
          <cell r="B300" t="str">
            <v>FOOD/CATERING SERVICES</v>
          </cell>
          <cell r="C300" t="str">
            <v>PASSO</v>
          </cell>
          <cell r="D300" t="str">
            <v>No</v>
          </cell>
          <cell r="E300" t="str">
            <v>NP-53.9 - Small Value Procurement</v>
          </cell>
          <cell r="F300" t="str">
            <v>N/A</v>
          </cell>
          <cell r="G300">
            <v>45371</v>
          </cell>
          <cell r="H300">
            <v>0</v>
          </cell>
          <cell r="I300" t="str">
            <v>N/A</v>
          </cell>
          <cell r="J300">
            <v>45384</v>
          </cell>
          <cell r="K300">
            <v>45384</v>
          </cell>
          <cell r="L300">
            <v>45384</v>
          </cell>
          <cell r="M300" t="str">
            <v>N/A</v>
          </cell>
          <cell r="N300" t="str">
            <v>N/A</v>
          </cell>
          <cell r="O300">
            <v>45386</v>
          </cell>
          <cell r="P300">
            <v>0</v>
          </cell>
          <cell r="Q300">
            <v>0</v>
          </cell>
          <cell r="R300">
            <v>0</v>
          </cell>
          <cell r="S300" t="str">
            <v>N/A</v>
          </cell>
          <cell r="T300">
            <v>45411</v>
          </cell>
          <cell r="U300">
            <v>45415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36250</v>
          </cell>
          <cell r="AB300">
            <v>0</v>
          </cell>
          <cell r="AC300">
            <v>36250</v>
          </cell>
          <cell r="AD300">
            <v>36250</v>
          </cell>
          <cell r="AE300">
            <v>0</v>
          </cell>
          <cell r="AF300">
            <v>36250</v>
          </cell>
          <cell r="AG300" t="str">
            <v>C</v>
          </cell>
          <cell r="AH300" t="str">
            <v>ENGR. MICHAEL C. SALARDA
MS. LEONARDA M. LATOR
MS. CARMENCITA VALDEZ
MS. SORAYA P. VERGARA</v>
          </cell>
          <cell r="AI300" t="str">
            <v>N/A</v>
          </cell>
          <cell r="AJ300" t="str">
            <v>N/A</v>
          </cell>
          <cell r="AK300" t="str">
            <v>N/A</v>
          </cell>
          <cell r="AL300" t="str">
            <v>N/A</v>
          </cell>
          <cell r="AM300" t="str">
            <v>N/A</v>
          </cell>
          <cell r="AN300" t="str">
            <v>N/A</v>
          </cell>
          <cell r="AO300">
            <v>0</v>
          </cell>
        </row>
        <row r="301">
          <cell r="A301" t="str">
            <v>24-1735</v>
          </cell>
          <cell r="B301" t="str">
            <v>FOOD/CATERING SERVICES</v>
          </cell>
          <cell r="C301" t="str">
            <v>PAO</v>
          </cell>
          <cell r="D301" t="str">
            <v>No</v>
          </cell>
          <cell r="E301" t="str">
            <v>NP-53.9 - Small Value Procurement</v>
          </cell>
          <cell r="F301" t="str">
            <v>N/A</v>
          </cell>
          <cell r="G301">
            <v>45371</v>
          </cell>
          <cell r="H301">
            <v>0</v>
          </cell>
          <cell r="I301" t="str">
            <v>N/A</v>
          </cell>
          <cell r="J301">
            <v>45384</v>
          </cell>
          <cell r="K301">
            <v>45384</v>
          </cell>
          <cell r="L301">
            <v>45384</v>
          </cell>
          <cell r="M301" t="str">
            <v>N/A</v>
          </cell>
          <cell r="N301" t="str">
            <v>N/A</v>
          </cell>
          <cell r="O301">
            <v>45386</v>
          </cell>
          <cell r="P301">
            <v>0</v>
          </cell>
          <cell r="Q301">
            <v>0</v>
          </cell>
          <cell r="R301">
            <v>0</v>
          </cell>
          <cell r="S301">
            <v>45390</v>
          </cell>
          <cell r="T301">
            <v>45401</v>
          </cell>
          <cell r="U301">
            <v>45419</v>
          </cell>
          <cell r="V301">
            <v>0</v>
          </cell>
          <cell r="W301">
            <v>0</v>
          </cell>
          <cell r="X301">
            <v>45456</v>
          </cell>
          <cell r="Y301">
            <v>45456</v>
          </cell>
          <cell r="Z301">
            <v>0</v>
          </cell>
          <cell r="AA301">
            <v>150000</v>
          </cell>
          <cell r="AB301">
            <v>0</v>
          </cell>
          <cell r="AC301">
            <v>150000</v>
          </cell>
          <cell r="AD301">
            <v>148250</v>
          </cell>
          <cell r="AE301">
            <v>0</v>
          </cell>
          <cell r="AF301">
            <v>148250</v>
          </cell>
          <cell r="AG301" t="str">
            <v>C</v>
          </cell>
          <cell r="AH301" t="str">
            <v>ENGR. MICHAEL C. SALARDA
MS. LEONARDA M. LATOR
MS. CARMENCITA VALDEZ
MS. SORAYA P. VERGARA</v>
          </cell>
          <cell r="AI301" t="str">
            <v>N/A</v>
          </cell>
          <cell r="AJ301" t="str">
            <v>N/A</v>
          </cell>
          <cell r="AK301" t="str">
            <v>N/A</v>
          </cell>
          <cell r="AL301" t="str">
            <v>N/A</v>
          </cell>
          <cell r="AM301" t="str">
            <v>N/A</v>
          </cell>
          <cell r="AN301" t="str">
            <v>N/A</v>
          </cell>
          <cell r="AO301" t="str">
            <v>COMPLETED</v>
          </cell>
        </row>
        <row r="302">
          <cell r="A302" t="str">
            <v>24-1212</v>
          </cell>
          <cell r="B302" t="str">
            <v>ELECTRICAL SUPPLIES</v>
          </cell>
          <cell r="C302" t="str">
            <v>PHO</v>
          </cell>
          <cell r="D302" t="str">
            <v>No</v>
          </cell>
          <cell r="E302" t="str">
            <v>NP-53.9 - Small Value Procurement</v>
          </cell>
          <cell r="F302" t="str">
            <v>N/A</v>
          </cell>
          <cell r="G302">
            <v>45371</v>
          </cell>
          <cell r="H302">
            <v>0</v>
          </cell>
          <cell r="I302" t="str">
            <v>N/A</v>
          </cell>
          <cell r="J302">
            <v>45384</v>
          </cell>
          <cell r="K302">
            <v>45384</v>
          </cell>
          <cell r="L302">
            <v>45384</v>
          </cell>
          <cell r="M302" t="str">
            <v>N/A</v>
          </cell>
          <cell r="N302" t="str">
            <v>N/A</v>
          </cell>
          <cell r="O302">
            <v>45386</v>
          </cell>
          <cell r="P302">
            <v>0</v>
          </cell>
          <cell r="Q302">
            <v>0</v>
          </cell>
          <cell r="R302">
            <v>0</v>
          </cell>
          <cell r="S302">
            <v>45393</v>
          </cell>
          <cell r="T302">
            <v>45405</v>
          </cell>
          <cell r="U302">
            <v>45426</v>
          </cell>
          <cell r="V302">
            <v>0</v>
          </cell>
          <cell r="W302">
            <v>0</v>
          </cell>
          <cell r="X302">
            <v>45426</v>
          </cell>
          <cell r="Y302">
            <v>45426</v>
          </cell>
          <cell r="Z302">
            <v>0</v>
          </cell>
          <cell r="AA302">
            <v>65650</v>
          </cell>
          <cell r="AB302">
            <v>65650</v>
          </cell>
          <cell r="AC302">
            <v>0</v>
          </cell>
          <cell r="AD302">
            <v>40400</v>
          </cell>
          <cell r="AE302">
            <v>40400</v>
          </cell>
          <cell r="AF302">
            <v>0</v>
          </cell>
          <cell r="AG302" t="str">
            <v>M</v>
          </cell>
          <cell r="AH302" t="str">
            <v>ENGR. MICHAEL C. SALARDA
MS. LEONARDA M. LATOR
MS. CARMENCITA VALDEZ
MS. SORAYA P. VERGARA</v>
          </cell>
          <cell r="AI302" t="str">
            <v>N/A</v>
          </cell>
          <cell r="AJ302" t="str">
            <v>N/A</v>
          </cell>
          <cell r="AK302" t="str">
            <v>N/A</v>
          </cell>
          <cell r="AL302" t="str">
            <v>N/A</v>
          </cell>
          <cell r="AM302" t="str">
            <v>N/A</v>
          </cell>
          <cell r="AN302" t="str">
            <v>N/A</v>
          </cell>
          <cell r="AO302" t="str">
            <v>COMPLETED</v>
          </cell>
        </row>
        <row r="303">
          <cell r="A303" t="str">
            <v>24-1798</v>
          </cell>
          <cell r="B303" t="str">
            <v>FOOD/CATERING SERVICES</v>
          </cell>
          <cell r="C303" t="str">
            <v>PIAO</v>
          </cell>
          <cell r="D303" t="str">
            <v>No</v>
          </cell>
          <cell r="E303" t="str">
            <v>NP-53.9 - Small Value Procurement</v>
          </cell>
          <cell r="F303" t="str">
            <v>N/A</v>
          </cell>
          <cell r="G303">
            <v>45371</v>
          </cell>
          <cell r="H303">
            <v>0</v>
          </cell>
          <cell r="I303" t="str">
            <v>N/A</v>
          </cell>
          <cell r="J303">
            <v>45384</v>
          </cell>
          <cell r="K303">
            <v>45384</v>
          </cell>
          <cell r="L303">
            <v>45384</v>
          </cell>
          <cell r="M303" t="str">
            <v>N/A</v>
          </cell>
          <cell r="N303" t="str">
            <v>N/A</v>
          </cell>
          <cell r="O303">
            <v>45386</v>
          </cell>
          <cell r="P303">
            <v>0</v>
          </cell>
          <cell r="Q303">
            <v>0</v>
          </cell>
          <cell r="R303">
            <v>0</v>
          </cell>
          <cell r="S303" t="str">
            <v>N/A</v>
          </cell>
          <cell r="T303">
            <v>45405</v>
          </cell>
          <cell r="U303">
            <v>45407</v>
          </cell>
          <cell r="V303">
            <v>0</v>
          </cell>
          <cell r="W303">
            <v>0</v>
          </cell>
          <cell r="X303">
            <v>45461</v>
          </cell>
          <cell r="Y303">
            <v>45461</v>
          </cell>
          <cell r="Z303">
            <v>0</v>
          </cell>
          <cell r="AA303">
            <v>17000</v>
          </cell>
          <cell r="AB303">
            <v>17000</v>
          </cell>
          <cell r="AC303">
            <v>0</v>
          </cell>
          <cell r="AD303">
            <v>16500</v>
          </cell>
          <cell r="AE303">
            <v>16500</v>
          </cell>
          <cell r="AF303">
            <v>0</v>
          </cell>
          <cell r="AG303" t="str">
            <v>M</v>
          </cell>
          <cell r="AH303" t="str">
            <v>ENGR. MICHAEL C. SALARDA
MS. LEONARDA M. LATOR
MS. CARMENCITA VALDEZ
MS. SORAYA P. VERGARA</v>
          </cell>
          <cell r="AI303" t="str">
            <v>N/A</v>
          </cell>
          <cell r="AJ303" t="str">
            <v>N/A</v>
          </cell>
          <cell r="AK303" t="str">
            <v>N/A</v>
          </cell>
          <cell r="AL303" t="str">
            <v>N/A</v>
          </cell>
          <cell r="AM303" t="str">
            <v>N/A</v>
          </cell>
          <cell r="AN303" t="str">
            <v>N/A</v>
          </cell>
          <cell r="AO303" t="str">
            <v>COMPLETED</v>
          </cell>
        </row>
        <row r="304">
          <cell r="A304" t="str">
            <v>24-1523</v>
          </cell>
          <cell r="B304" t="str">
            <v>KITCHENWARE &amp; UTENSILS</v>
          </cell>
          <cell r="C304" t="str">
            <v>PAO</v>
          </cell>
          <cell r="D304" t="str">
            <v>No</v>
          </cell>
          <cell r="E304" t="str">
            <v>NP-53.9 - Small Value Procurement</v>
          </cell>
          <cell r="F304" t="str">
            <v>N/A</v>
          </cell>
          <cell r="G304">
            <v>45371</v>
          </cell>
          <cell r="H304">
            <v>0</v>
          </cell>
          <cell r="I304" t="str">
            <v>N/A</v>
          </cell>
          <cell r="J304">
            <v>45384</v>
          </cell>
          <cell r="K304">
            <v>45384</v>
          </cell>
          <cell r="L304">
            <v>45384</v>
          </cell>
          <cell r="M304" t="str">
            <v>N/A</v>
          </cell>
          <cell r="N304" t="str">
            <v>N/A</v>
          </cell>
          <cell r="O304">
            <v>45386</v>
          </cell>
          <cell r="P304">
            <v>0</v>
          </cell>
          <cell r="Q304">
            <v>0</v>
          </cell>
          <cell r="R304">
            <v>0</v>
          </cell>
          <cell r="S304" t="str">
            <v>N/A</v>
          </cell>
          <cell r="T304">
            <v>45406</v>
          </cell>
          <cell r="U304">
            <v>45408</v>
          </cell>
          <cell r="V304">
            <v>0</v>
          </cell>
          <cell r="W304">
            <v>0</v>
          </cell>
          <cell r="X304">
            <v>45418</v>
          </cell>
          <cell r="Y304">
            <v>45418</v>
          </cell>
          <cell r="Z304">
            <v>0</v>
          </cell>
          <cell r="AA304">
            <v>17680</v>
          </cell>
          <cell r="AB304">
            <v>17680</v>
          </cell>
          <cell r="AC304">
            <v>0</v>
          </cell>
          <cell r="AD304">
            <v>17670</v>
          </cell>
          <cell r="AE304">
            <v>17670</v>
          </cell>
          <cell r="AF304">
            <v>0</v>
          </cell>
          <cell r="AG304" t="str">
            <v>M</v>
          </cell>
          <cell r="AH304" t="str">
            <v>ENGR. MICHAEL C. SALARDA
MS. LEONARDA M. LATOR
MS. CARMENCITA VALDEZ
MS. SORAYA P. VERGARA</v>
          </cell>
          <cell r="AI304" t="str">
            <v>N/A</v>
          </cell>
          <cell r="AJ304" t="str">
            <v>N/A</v>
          </cell>
          <cell r="AK304" t="str">
            <v>N/A</v>
          </cell>
          <cell r="AL304" t="str">
            <v>N/A</v>
          </cell>
          <cell r="AM304" t="str">
            <v>N/A</v>
          </cell>
          <cell r="AN304" t="str">
            <v>N/A</v>
          </cell>
          <cell r="AO304" t="str">
            <v>COMPLETED</v>
          </cell>
        </row>
        <row r="305">
          <cell r="A305" t="str">
            <v>24-C1108</v>
          </cell>
          <cell r="B305" t="str">
            <v>AGRICULTURAL SUPPLIES</v>
          </cell>
          <cell r="C305" t="str">
            <v>PDRRMO</v>
          </cell>
          <cell r="D305" t="str">
            <v>No</v>
          </cell>
          <cell r="E305" t="str">
            <v>NP-53.9 - Small Value Procurement</v>
          </cell>
          <cell r="F305" t="str">
            <v>N/A</v>
          </cell>
          <cell r="G305">
            <v>45371</v>
          </cell>
          <cell r="H305">
            <v>0</v>
          </cell>
          <cell r="I305" t="str">
            <v>N/A</v>
          </cell>
          <cell r="J305">
            <v>45384</v>
          </cell>
          <cell r="K305">
            <v>45384</v>
          </cell>
          <cell r="L305">
            <v>45384</v>
          </cell>
          <cell r="M305" t="str">
            <v>N/A</v>
          </cell>
          <cell r="N305" t="str">
            <v>N/A</v>
          </cell>
          <cell r="O305">
            <v>45386</v>
          </cell>
          <cell r="P305">
            <v>0</v>
          </cell>
          <cell r="Q305">
            <v>0</v>
          </cell>
          <cell r="R305">
            <v>0</v>
          </cell>
          <cell r="S305" t="str">
            <v>N/A</v>
          </cell>
          <cell r="T305">
            <v>45406</v>
          </cell>
          <cell r="U305">
            <v>45408</v>
          </cell>
          <cell r="V305">
            <v>0</v>
          </cell>
          <cell r="W305">
            <v>0</v>
          </cell>
          <cell r="X305">
            <v>45440</v>
          </cell>
          <cell r="Y305">
            <v>45440</v>
          </cell>
          <cell r="Z305">
            <v>0</v>
          </cell>
          <cell r="AA305">
            <v>12320</v>
          </cell>
          <cell r="AB305">
            <v>0</v>
          </cell>
          <cell r="AC305">
            <v>12320</v>
          </cell>
          <cell r="AD305">
            <v>12316</v>
          </cell>
          <cell r="AE305">
            <v>0</v>
          </cell>
          <cell r="AF305">
            <v>12316</v>
          </cell>
          <cell r="AG305" t="str">
            <v>C</v>
          </cell>
          <cell r="AH305" t="str">
            <v>ENGR. MICHAEL C. SALARDA
MS. LEONARDA M. LATOR
MS. CARMENCITA VALDEZ
MS. SORAYA P. VERGARA</v>
          </cell>
          <cell r="AI305" t="str">
            <v>N/A</v>
          </cell>
          <cell r="AJ305" t="str">
            <v>N/A</v>
          </cell>
          <cell r="AK305" t="str">
            <v>N/A</v>
          </cell>
          <cell r="AL305" t="str">
            <v>N/A</v>
          </cell>
          <cell r="AM305" t="str">
            <v>N/A</v>
          </cell>
          <cell r="AN305" t="str">
            <v>N/A</v>
          </cell>
          <cell r="AO305" t="str">
            <v>COMPLETED</v>
          </cell>
        </row>
        <row r="306">
          <cell r="A306" t="str">
            <v>24-C1188</v>
          </cell>
          <cell r="B306" t="str">
            <v>VETERINARY DRUGS AND BIOLOGICS</v>
          </cell>
          <cell r="C306" t="str">
            <v>PGO</v>
          </cell>
          <cell r="D306" t="str">
            <v>No</v>
          </cell>
          <cell r="E306" t="str">
            <v>NP-53.9 - Small Value Procurement</v>
          </cell>
          <cell r="F306" t="str">
            <v>N/A</v>
          </cell>
          <cell r="G306">
            <v>45371</v>
          </cell>
          <cell r="H306">
            <v>0</v>
          </cell>
          <cell r="I306" t="str">
            <v>N/A</v>
          </cell>
          <cell r="J306">
            <v>45384</v>
          </cell>
          <cell r="K306">
            <v>45384</v>
          </cell>
          <cell r="L306">
            <v>45384</v>
          </cell>
          <cell r="M306" t="str">
            <v>N/A</v>
          </cell>
          <cell r="N306" t="str">
            <v>N/A</v>
          </cell>
          <cell r="O306">
            <v>45386</v>
          </cell>
          <cell r="P306">
            <v>0</v>
          </cell>
          <cell r="Q306">
            <v>0</v>
          </cell>
          <cell r="R306">
            <v>0</v>
          </cell>
          <cell r="S306">
            <v>45387</v>
          </cell>
          <cell r="T306">
            <v>45394</v>
          </cell>
          <cell r="U306">
            <v>45422</v>
          </cell>
          <cell r="V306">
            <v>0</v>
          </cell>
          <cell r="W306">
            <v>0</v>
          </cell>
          <cell r="X306">
            <v>45446</v>
          </cell>
          <cell r="Y306">
            <v>45446</v>
          </cell>
          <cell r="Z306">
            <v>0</v>
          </cell>
          <cell r="AA306">
            <v>83500</v>
          </cell>
          <cell r="AB306">
            <v>0</v>
          </cell>
          <cell r="AC306">
            <v>83500</v>
          </cell>
          <cell r="AD306">
            <v>83266</v>
          </cell>
          <cell r="AE306">
            <v>0</v>
          </cell>
          <cell r="AF306">
            <v>83266</v>
          </cell>
          <cell r="AG306" t="str">
            <v>C</v>
          </cell>
          <cell r="AH306" t="str">
            <v>ENGR. MICHAEL C. SALARDA
MS. LEONARDA M. LATOR
MS. CARMENCITA VALDEZ
MS. SORAYA P. VERGARA</v>
          </cell>
          <cell r="AI306" t="str">
            <v>N/A</v>
          </cell>
          <cell r="AJ306" t="str">
            <v>N/A</v>
          </cell>
          <cell r="AK306" t="str">
            <v>N/A</v>
          </cell>
          <cell r="AL306" t="str">
            <v>N/A</v>
          </cell>
          <cell r="AM306" t="str">
            <v>N/A</v>
          </cell>
          <cell r="AN306" t="str">
            <v>N/A</v>
          </cell>
          <cell r="AO306" t="str">
            <v>COMPLETED</v>
          </cell>
        </row>
        <row r="307">
          <cell r="A307" t="str">
            <v>24-1617</v>
          </cell>
          <cell r="B307" t="str">
            <v>FOOD/CATERING SERVICES</v>
          </cell>
          <cell r="C307" t="str">
            <v>PBO</v>
          </cell>
          <cell r="D307" t="str">
            <v>No</v>
          </cell>
          <cell r="E307" t="str">
            <v>NP-53.9 - Small Value Procurement</v>
          </cell>
          <cell r="F307" t="str">
            <v>N/A</v>
          </cell>
          <cell r="G307">
            <v>45371</v>
          </cell>
          <cell r="H307">
            <v>0</v>
          </cell>
          <cell r="I307" t="str">
            <v>N/A</v>
          </cell>
          <cell r="J307">
            <v>45384</v>
          </cell>
          <cell r="K307">
            <v>45384</v>
          </cell>
          <cell r="L307">
            <v>45384</v>
          </cell>
          <cell r="M307" t="str">
            <v>N/A</v>
          </cell>
          <cell r="N307" t="str">
            <v>N/A</v>
          </cell>
          <cell r="O307">
            <v>45386</v>
          </cell>
          <cell r="P307">
            <v>0</v>
          </cell>
          <cell r="Q307">
            <v>0</v>
          </cell>
          <cell r="R307">
            <v>0</v>
          </cell>
          <cell r="S307" t="str">
            <v>N/A</v>
          </cell>
          <cell r="T307">
            <v>45406</v>
          </cell>
          <cell r="U307">
            <v>45411</v>
          </cell>
          <cell r="V307">
            <v>0</v>
          </cell>
          <cell r="W307">
            <v>0</v>
          </cell>
          <cell r="X307">
            <v>45464</v>
          </cell>
          <cell r="Y307">
            <v>45464</v>
          </cell>
          <cell r="Z307">
            <v>0</v>
          </cell>
          <cell r="AA307">
            <v>25500</v>
          </cell>
          <cell r="AB307">
            <v>25500</v>
          </cell>
          <cell r="AC307">
            <v>0</v>
          </cell>
          <cell r="AD307">
            <v>24975</v>
          </cell>
          <cell r="AE307">
            <v>24975</v>
          </cell>
          <cell r="AF307">
            <v>0</v>
          </cell>
          <cell r="AG307" t="str">
            <v>M</v>
          </cell>
          <cell r="AH307" t="str">
            <v>ENGR. MICHAEL C. SALARDA
MS. LEONARDA M. LATOR
MS. CARMENCITA VALDEZ
MS. SORAYA P. VERGARA</v>
          </cell>
          <cell r="AI307" t="str">
            <v>N/A</v>
          </cell>
          <cell r="AJ307" t="str">
            <v>N/A</v>
          </cell>
          <cell r="AK307" t="str">
            <v>N/A</v>
          </cell>
          <cell r="AL307" t="str">
            <v>N/A</v>
          </cell>
          <cell r="AM307" t="str">
            <v>N/A</v>
          </cell>
          <cell r="AN307" t="str">
            <v>N/A</v>
          </cell>
          <cell r="AO307" t="str">
            <v>COMPLETED</v>
          </cell>
        </row>
        <row r="308">
          <cell r="A308" t="str">
            <v>24-1297</v>
          </cell>
          <cell r="B308" t="str">
            <v>ELECTRICAL SUPPLIES</v>
          </cell>
          <cell r="C308" t="str">
            <v>PGSO</v>
          </cell>
          <cell r="D308" t="str">
            <v>No</v>
          </cell>
          <cell r="E308" t="str">
            <v>NP-53.9 - Small Value Procurement</v>
          </cell>
          <cell r="F308" t="str">
            <v>N/A</v>
          </cell>
          <cell r="G308">
            <v>45371</v>
          </cell>
          <cell r="H308">
            <v>0</v>
          </cell>
          <cell r="I308" t="str">
            <v>N/A</v>
          </cell>
          <cell r="J308">
            <v>45384</v>
          </cell>
          <cell r="K308">
            <v>45384</v>
          </cell>
          <cell r="L308">
            <v>45384</v>
          </cell>
          <cell r="M308" t="str">
            <v>N/A</v>
          </cell>
          <cell r="N308" t="str">
            <v>N/A</v>
          </cell>
          <cell r="O308">
            <v>45386</v>
          </cell>
          <cell r="P308">
            <v>0</v>
          </cell>
          <cell r="Q308">
            <v>0</v>
          </cell>
          <cell r="R308">
            <v>0</v>
          </cell>
          <cell r="S308" t="str">
            <v>N/A</v>
          </cell>
          <cell r="T308">
            <v>45405</v>
          </cell>
          <cell r="U308">
            <v>45418</v>
          </cell>
          <cell r="V308">
            <v>0</v>
          </cell>
          <cell r="W308">
            <v>0</v>
          </cell>
          <cell r="X308">
            <v>45443</v>
          </cell>
          <cell r="Y308">
            <v>45443</v>
          </cell>
          <cell r="Z308">
            <v>0</v>
          </cell>
          <cell r="AA308">
            <v>20400</v>
          </cell>
          <cell r="AB308">
            <v>20400</v>
          </cell>
          <cell r="AC308">
            <v>0</v>
          </cell>
          <cell r="AD308">
            <v>20388</v>
          </cell>
          <cell r="AE308">
            <v>20388</v>
          </cell>
          <cell r="AF308">
            <v>0</v>
          </cell>
          <cell r="AG308" t="str">
            <v>M</v>
          </cell>
          <cell r="AH308" t="str">
            <v>ENGR. MICHAEL C. SALARDA
MS. LEONARDA M. LATOR
MS. CARMENCITA VALDEZ
MS. SORAYA P. VERGARA</v>
          </cell>
          <cell r="AI308" t="str">
            <v>N/A</v>
          </cell>
          <cell r="AJ308" t="str">
            <v>N/A</v>
          </cell>
          <cell r="AK308" t="str">
            <v>N/A</v>
          </cell>
          <cell r="AL308" t="str">
            <v>N/A</v>
          </cell>
          <cell r="AM308" t="str">
            <v>N/A</v>
          </cell>
          <cell r="AN308" t="str">
            <v>N/A</v>
          </cell>
          <cell r="AO308" t="str">
            <v>COMPLETED</v>
          </cell>
        </row>
        <row r="309">
          <cell r="A309" t="str">
            <v>24-C1131</v>
          </cell>
          <cell r="B309" t="str">
            <v>SAFETY GEARS</v>
          </cell>
          <cell r="C309" t="str">
            <v>PGSO</v>
          </cell>
          <cell r="D309" t="str">
            <v>No</v>
          </cell>
          <cell r="E309" t="str">
            <v>NP-53.9 - Small Value Procurement</v>
          </cell>
          <cell r="F309" t="str">
            <v>N/A</v>
          </cell>
          <cell r="G309">
            <v>45371</v>
          </cell>
          <cell r="H309">
            <v>0</v>
          </cell>
          <cell r="I309" t="str">
            <v>N/A</v>
          </cell>
          <cell r="J309">
            <v>45384</v>
          </cell>
          <cell r="K309">
            <v>45384</v>
          </cell>
          <cell r="L309">
            <v>45384</v>
          </cell>
          <cell r="M309" t="str">
            <v>N/A</v>
          </cell>
          <cell r="N309" t="str">
            <v>N/A</v>
          </cell>
          <cell r="O309">
            <v>45386</v>
          </cell>
          <cell r="P309">
            <v>0</v>
          </cell>
          <cell r="Q309">
            <v>0</v>
          </cell>
          <cell r="R309">
            <v>0</v>
          </cell>
          <cell r="S309" t="str">
            <v>N/A</v>
          </cell>
          <cell r="T309">
            <v>45405</v>
          </cell>
          <cell r="U309">
            <v>45420</v>
          </cell>
          <cell r="V309">
            <v>0</v>
          </cell>
          <cell r="W309">
            <v>0</v>
          </cell>
          <cell r="X309">
            <v>45453</v>
          </cell>
          <cell r="Y309">
            <v>45453</v>
          </cell>
          <cell r="Z309">
            <v>0</v>
          </cell>
          <cell r="AA309">
            <v>37641.300000000003</v>
          </cell>
          <cell r="AB309">
            <v>37641.300000000003</v>
          </cell>
          <cell r="AC309">
            <v>0</v>
          </cell>
          <cell r="AD309">
            <v>24750</v>
          </cell>
          <cell r="AE309">
            <v>24750</v>
          </cell>
          <cell r="AF309">
            <v>0</v>
          </cell>
          <cell r="AG309" t="str">
            <v>M</v>
          </cell>
          <cell r="AH309" t="str">
            <v>ENGR. MICHAEL C. SALARDA
MS. LEONARDA M. LATOR
MS. CARMENCITA VALDEZ
MS. SORAYA P. VERGARA</v>
          </cell>
          <cell r="AI309" t="str">
            <v>N/A</v>
          </cell>
          <cell r="AJ309" t="str">
            <v>N/A</v>
          </cell>
          <cell r="AK309" t="str">
            <v>N/A</v>
          </cell>
          <cell r="AL309" t="str">
            <v>N/A</v>
          </cell>
          <cell r="AM309" t="str">
            <v>N/A</v>
          </cell>
          <cell r="AN309" t="str">
            <v>N/A</v>
          </cell>
          <cell r="AO309" t="str">
            <v>COMPLETED</v>
          </cell>
        </row>
        <row r="310">
          <cell r="A310" t="str">
            <v>24-1473</v>
          </cell>
          <cell r="B310" t="str">
            <v>FURNITURE &amp; FIXTURES</v>
          </cell>
          <cell r="C310" t="str">
            <v>PAO</v>
          </cell>
          <cell r="D310" t="str">
            <v>No</v>
          </cell>
          <cell r="E310" t="str">
            <v>NP-53.9 - Small Value Procurement</v>
          </cell>
          <cell r="F310" t="str">
            <v>N/A</v>
          </cell>
          <cell r="G310">
            <v>45363</v>
          </cell>
          <cell r="H310">
            <v>0</v>
          </cell>
          <cell r="I310" t="str">
            <v>N/A</v>
          </cell>
          <cell r="J310">
            <v>45384</v>
          </cell>
          <cell r="K310">
            <v>45384</v>
          </cell>
          <cell r="L310">
            <v>0</v>
          </cell>
          <cell r="M310" t="str">
            <v>N/A</v>
          </cell>
          <cell r="N310" t="str">
            <v>N/A</v>
          </cell>
          <cell r="O310">
            <v>45386</v>
          </cell>
          <cell r="P310">
            <v>0</v>
          </cell>
          <cell r="Q310">
            <v>0</v>
          </cell>
          <cell r="R310">
            <v>0</v>
          </cell>
          <cell r="S310">
            <v>45394</v>
          </cell>
          <cell r="T310">
            <v>45406</v>
          </cell>
          <cell r="U310">
            <v>45426</v>
          </cell>
          <cell r="V310">
            <v>0</v>
          </cell>
          <cell r="W310">
            <v>0</v>
          </cell>
          <cell r="X310">
            <v>45434</v>
          </cell>
          <cell r="Y310">
            <v>45434</v>
          </cell>
          <cell r="Z310">
            <v>0</v>
          </cell>
          <cell r="AA310">
            <v>64400</v>
          </cell>
          <cell r="AB310">
            <v>0</v>
          </cell>
          <cell r="AC310">
            <v>64400</v>
          </cell>
          <cell r="AD310">
            <v>64395</v>
          </cell>
          <cell r="AE310">
            <v>0</v>
          </cell>
          <cell r="AF310">
            <v>64395</v>
          </cell>
          <cell r="AG310" t="str">
            <v>C</v>
          </cell>
          <cell r="AH310" t="str">
            <v>ENGR. MICHAEL C. SALARDA
MS. LEONARDA M. LATOR
MS. CARMENCITA VALDEZ
MS. SORAYA P. VERGARA</v>
          </cell>
          <cell r="AI310" t="str">
            <v>N/A</v>
          </cell>
          <cell r="AJ310" t="str">
            <v>N/A</v>
          </cell>
          <cell r="AK310" t="str">
            <v>N/A</v>
          </cell>
          <cell r="AL310" t="str">
            <v>N/A</v>
          </cell>
          <cell r="AM310" t="str">
            <v>N/A</v>
          </cell>
          <cell r="AN310" t="str">
            <v>N/A</v>
          </cell>
          <cell r="AO310" t="str">
            <v>COMPLETED</v>
          </cell>
        </row>
        <row r="311">
          <cell r="A311" t="str">
            <v>24-1652</v>
          </cell>
          <cell r="B311" t="str">
            <v>JANITORIAL SUPPLIES/HOUSEKEEPING</v>
          </cell>
          <cell r="C311" t="str">
            <v>PTO</v>
          </cell>
          <cell r="D311" t="str">
            <v>No</v>
          </cell>
          <cell r="E311" t="str">
            <v>NP-53.9 - Small Value Procurement</v>
          </cell>
          <cell r="F311" t="str">
            <v>N/A</v>
          </cell>
          <cell r="G311">
            <v>45371</v>
          </cell>
          <cell r="H311">
            <v>0</v>
          </cell>
          <cell r="I311" t="str">
            <v>N/A</v>
          </cell>
          <cell r="J311">
            <v>45384</v>
          </cell>
          <cell r="K311">
            <v>45384</v>
          </cell>
          <cell r="L311">
            <v>0</v>
          </cell>
          <cell r="M311" t="str">
            <v>N/A</v>
          </cell>
          <cell r="N311" t="str">
            <v>N/A</v>
          </cell>
          <cell r="O311">
            <v>45386</v>
          </cell>
          <cell r="P311">
            <v>0</v>
          </cell>
          <cell r="Q311">
            <v>0</v>
          </cell>
          <cell r="R311">
            <v>0</v>
          </cell>
          <cell r="S311" t="str">
            <v>N/A</v>
          </cell>
          <cell r="T311">
            <v>45394</v>
          </cell>
          <cell r="U311">
            <v>45408</v>
          </cell>
          <cell r="V311">
            <v>0</v>
          </cell>
          <cell r="W311">
            <v>0</v>
          </cell>
          <cell r="X311">
            <v>45418</v>
          </cell>
          <cell r="Y311">
            <v>45418</v>
          </cell>
          <cell r="Z311">
            <v>0</v>
          </cell>
          <cell r="AA311">
            <v>14457</v>
          </cell>
          <cell r="AB311">
            <v>14457</v>
          </cell>
          <cell r="AC311">
            <v>0</v>
          </cell>
          <cell r="AD311">
            <v>14077</v>
          </cell>
          <cell r="AE311">
            <v>14077</v>
          </cell>
          <cell r="AF311">
            <v>0</v>
          </cell>
          <cell r="AG311" t="str">
            <v>M</v>
          </cell>
          <cell r="AH311" t="str">
            <v>ENGR. MICHAEL C. SALARDA
MS. LEONARDA M. LATOR
MS. CARMENCITA VALDEZ
MS. SORAYA P. VERGARA</v>
          </cell>
          <cell r="AI311" t="str">
            <v>N/A</v>
          </cell>
          <cell r="AJ311" t="str">
            <v>N/A</v>
          </cell>
          <cell r="AK311" t="str">
            <v>N/A</v>
          </cell>
          <cell r="AL311" t="str">
            <v>N/A</v>
          </cell>
          <cell r="AM311" t="str">
            <v>N/A</v>
          </cell>
          <cell r="AN311" t="str">
            <v>N/A</v>
          </cell>
          <cell r="AO311" t="str">
            <v>COMPLETED</v>
          </cell>
        </row>
        <row r="312">
          <cell r="A312" t="str">
            <v>24-C1069</v>
          </cell>
          <cell r="B312" t="str">
            <v>LUBRICANTS</v>
          </cell>
          <cell r="C312" t="str">
            <v>PDRRMO</v>
          </cell>
          <cell r="D312" t="str">
            <v>No</v>
          </cell>
          <cell r="E312" t="str">
            <v>NP-53.9 - Small Value Procurement</v>
          </cell>
          <cell r="F312">
            <v>45356</v>
          </cell>
          <cell r="G312">
            <v>45359</v>
          </cell>
          <cell r="H312">
            <v>0</v>
          </cell>
          <cell r="I312" t="str">
            <v>N/A</v>
          </cell>
          <cell r="J312">
            <v>45384</v>
          </cell>
          <cell r="K312">
            <v>45384</v>
          </cell>
          <cell r="L312">
            <v>0</v>
          </cell>
          <cell r="M312" t="str">
            <v>N/A</v>
          </cell>
          <cell r="N312" t="str">
            <v>N/A</v>
          </cell>
          <cell r="O312">
            <v>45386</v>
          </cell>
          <cell r="P312">
            <v>0</v>
          </cell>
          <cell r="Q312">
            <v>0</v>
          </cell>
          <cell r="R312">
            <v>0</v>
          </cell>
          <cell r="S312">
            <v>45390</v>
          </cell>
          <cell r="T312">
            <v>45406</v>
          </cell>
          <cell r="U312">
            <v>45419</v>
          </cell>
          <cell r="V312">
            <v>0</v>
          </cell>
          <cell r="W312">
            <v>0</v>
          </cell>
          <cell r="X312">
            <v>45426</v>
          </cell>
          <cell r="Y312">
            <v>45426</v>
          </cell>
          <cell r="Z312">
            <v>0</v>
          </cell>
          <cell r="AA312">
            <v>133717</v>
          </cell>
          <cell r="AB312">
            <v>133717</v>
          </cell>
          <cell r="AC312">
            <v>0</v>
          </cell>
          <cell r="AD312">
            <v>131105</v>
          </cell>
          <cell r="AE312">
            <v>131105</v>
          </cell>
          <cell r="AF312">
            <v>0</v>
          </cell>
          <cell r="AG312" t="str">
            <v>M</v>
          </cell>
          <cell r="AH312" t="str">
            <v>ENGR. MICHAEL C. SALARDA
MS. LEONARDA M. LATOR
MS. CARMENCITA VALDEZ
MS. SORAYA P. VERGARA</v>
          </cell>
          <cell r="AI312" t="str">
            <v>N/A</v>
          </cell>
          <cell r="AJ312" t="str">
            <v>N/A</v>
          </cell>
          <cell r="AK312" t="str">
            <v>N/A</v>
          </cell>
          <cell r="AL312" t="str">
            <v>N/A</v>
          </cell>
          <cell r="AM312" t="str">
            <v>N/A</v>
          </cell>
          <cell r="AN312" t="str">
            <v>N/A</v>
          </cell>
          <cell r="AO312" t="str">
            <v>COMPLETED</v>
          </cell>
        </row>
        <row r="313">
          <cell r="A313" t="str">
            <v>24-C1182</v>
          </cell>
          <cell r="B313" t="str">
            <v>BATTERY  &amp; EXTENSION WIRE</v>
          </cell>
          <cell r="C313" t="str">
            <v>PAGRO</v>
          </cell>
          <cell r="D313" t="str">
            <v>No</v>
          </cell>
          <cell r="E313" t="str">
            <v>NP-53.9 - Small Value Procurement</v>
          </cell>
          <cell r="F313" t="str">
            <v>N/A</v>
          </cell>
          <cell r="G313">
            <v>45371</v>
          </cell>
          <cell r="H313">
            <v>0</v>
          </cell>
          <cell r="I313" t="str">
            <v>N/A</v>
          </cell>
          <cell r="J313">
            <v>45384</v>
          </cell>
          <cell r="K313">
            <v>45384</v>
          </cell>
          <cell r="L313">
            <v>0</v>
          </cell>
          <cell r="M313" t="str">
            <v>N/A</v>
          </cell>
          <cell r="N313" t="str">
            <v>N/A</v>
          </cell>
          <cell r="O313">
            <v>45386</v>
          </cell>
          <cell r="P313">
            <v>0</v>
          </cell>
          <cell r="Q313">
            <v>0</v>
          </cell>
          <cell r="R313">
            <v>0</v>
          </cell>
          <cell r="S313" t="str">
            <v>N/A</v>
          </cell>
          <cell r="T313">
            <v>45401</v>
          </cell>
          <cell r="U313">
            <v>45405</v>
          </cell>
          <cell r="V313">
            <v>0</v>
          </cell>
          <cell r="W313">
            <v>0</v>
          </cell>
          <cell r="X313">
            <v>45415</v>
          </cell>
          <cell r="Y313">
            <v>45415</v>
          </cell>
          <cell r="Z313">
            <v>0</v>
          </cell>
          <cell r="AA313">
            <v>5004</v>
          </cell>
          <cell r="AB313">
            <v>0</v>
          </cell>
          <cell r="AC313">
            <v>5004</v>
          </cell>
          <cell r="AD313">
            <v>4978</v>
          </cell>
          <cell r="AE313">
            <v>0</v>
          </cell>
          <cell r="AF313">
            <v>4978</v>
          </cell>
          <cell r="AG313" t="str">
            <v>C</v>
          </cell>
          <cell r="AH313" t="str">
            <v>ENGR. MICHAEL C. SALARDA
MS. LEONARDA M. LATOR
MS. CARMENCITA VALDEZ
MS. SORAYA P. VERGARA</v>
          </cell>
          <cell r="AI313" t="str">
            <v>N/A</v>
          </cell>
          <cell r="AJ313" t="str">
            <v>N/A</v>
          </cell>
          <cell r="AK313" t="str">
            <v>N/A</v>
          </cell>
          <cell r="AL313" t="str">
            <v>N/A</v>
          </cell>
          <cell r="AM313" t="str">
            <v>N/A</v>
          </cell>
          <cell r="AN313" t="str">
            <v>N/A</v>
          </cell>
          <cell r="AO313" t="str">
            <v>COMPLETED</v>
          </cell>
        </row>
        <row r="314">
          <cell r="A314" t="str">
            <v>24-1801</v>
          </cell>
          <cell r="B314" t="str">
            <v>JANITORIAL SUPPLIES/HOUSEKEEPING</v>
          </cell>
          <cell r="C314" t="str">
            <v>PIAO</v>
          </cell>
          <cell r="D314" t="str">
            <v>No</v>
          </cell>
          <cell r="E314" t="str">
            <v>NP-53.9 - Small Value Procurement</v>
          </cell>
          <cell r="F314" t="str">
            <v>N/A</v>
          </cell>
          <cell r="G314">
            <v>45371</v>
          </cell>
          <cell r="H314">
            <v>0</v>
          </cell>
          <cell r="I314" t="str">
            <v>N/A</v>
          </cell>
          <cell r="J314">
            <v>45384</v>
          </cell>
          <cell r="K314">
            <v>45384</v>
          </cell>
          <cell r="L314">
            <v>0</v>
          </cell>
          <cell r="M314" t="str">
            <v>N/A</v>
          </cell>
          <cell r="N314" t="str">
            <v>N/A</v>
          </cell>
          <cell r="O314">
            <v>45386</v>
          </cell>
          <cell r="P314">
            <v>0</v>
          </cell>
          <cell r="Q314">
            <v>0</v>
          </cell>
          <cell r="R314">
            <v>0</v>
          </cell>
          <cell r="S314" t="str">
            <v>N/A</v>
          </cell>
          <cell r="T314">
            <v>45406</v>
          </cell>
          <cell r="U314">
            <v>45408</v>
          </cell>
          <cell r="V314">
            <v>0</v>
          </cell>
          <cell r="W314">
            <v>0</v>
          </cell>
          <cell r="X314">
            <v>45415</v>
          </cell>
          <cell r="Y314">
            <v>45415</v>
          </cell>
          <cell r="Z314">
            <v>0</v>
          </cell>
          <cell r="AA314">
            <v>6397</v>
          </cell>
          <cell r="AB314">
            <v>6397</v>
          </cell>
          <cell r="AC314">
            <v>0</v>
          </cell>
          <cell r="AD314">
            <v>6170</v>
          </cell>
          <cell r="AE314">
            <v>6170</v>
          </cell>
          <cell r="AF314">
            <v>0</v>
          </cell>
          <cell r="AG314" t="str">
            <v>M</v>
          </cell>
          <cell r="AH314" t="str">
            <v>ENGR. MICHAEL C. SALARDA
MS. LEONARDA M. LATOR
MS. CARMENCITA VALDEZ
MS. SORAYA P. VERGARA</v>
          </cell>
          <cell r="AI314" t="str">
            <v>N/A</v>
          </cell>
          <cell r="AJ314" t="str">
            <v>N/A</v>
          </cell>
          <cell r="AK314" t="str">
            <v>N/A</v>
          </cell>
          <cell r="AL314" t="str">
            <v>N/A</v>
          </cell>
          <cell r="AM314" t="str">
            <v>N/A</v>
          </cell>
          <cell r="AN314" t="str">
            <v>N/A</v>
          </cell>
          <cell r="AO314" t="str">
            <v>COMPLETED</v>
          </cell>
        </row>
        <row r="315">
          <cell r="A315" t="str">
            <v>24-1684</v>
          </cell>
          <cell r="B315" t="str">
            <v>JANITORIAL SUPPLIES/HOUSEKEEPING</v>
          </cell>
          <cell r="C315" t="str">
            <v>PAO</v>
          </cell>
          <cell r="D315" t="str">
            <v>No</v>
          </cell>
          <cell r="E315" t="str">
            <v>NP-53.9 - Small Value Procurement</v>
          </cell>
          <cell r="F315" t="str">
            <v>N/A</v>
          </cell>
          <cell r="G315">
            <v>45371</v>
          </cell>
          <cell r="H315">
            <v>0</v>
          </cell>
          <cell r="I315" t="str">
            <v>N/A</v>
          </cell>
          <cell r="J315">
            <v>45384</v>
          </cell>
          <cell r="K315">
            <v>45384</v>
          </cell>
          <cell r="L315">
            <v>0</v>
          </cell>
          <cell r="M315" t="str">
            <v>N/A</v>
          </cell>
          <cell r="N315" t="str">
            <v>N/A</v>
          </cell>
          <cell r="O315">
            <v>45386</v>
          </cell>
          <cell r="P315">
            <v>0</v>
          </cell>
          <cell r="Q315">
            <v>0</v>
          </cell>
          <cell r="R315">
            <v>0</v>
          </cell>
          <cell r="S315" t="str">
            <v>N/A</v>
          </cell>
          <cell r="T315">
            <v>45406</v>
          </cell>
          <cell r="U315">
            <v>45408</v>
          </cell>
          <cell r="V315">
            <v>0</v>
          </cell>
          <cell r="W315">
            <v>0</v>
          </cell>
          <cell r="X315">
            <v>45415</v>
          </cell>
          <cell r="Y315">
            <v>45415</v>
          </cell>
          <cell r="Z315">
            <v>0</v>
          </cell>
          <cell r="AA315">
            <v>8120.5</v>
          </cell>
          <cell r="AB315">
            <v>8120.5</v>
          </cell>
          <cell r="AC315">
            <v>0</v>
          </cell>
          <cell r="AD315">
            <v>8055</v>
          </cell>
          <cell r="AE315">
            <v>8055</v>
          </cell>
          <cell r="AF315">
            <v>0</v>
          </cell>
          <cell r="AG315" t="str">
            <v>M</v>
          </cell>
          <cell r="AH315" t="str">
            <v>ENGR. MICHAEL C. SALARDA
MS. LEONARDA M. LATOR
MS. CARMENCITA VALDEZ
MS. SORAYA P. VERGARA</v>
          </cell>
          <cell r="AI315" t="str">
            <v>N/A</v>
          </cell>
          <cell r="AJ315" t="str">
            <v>N/A</v>
          </cell>
          <cell r="AK315" t="str">
            <v>N/A</v>
          </cell>
          <cell r="AL315" t="str">
            <v>N/A</v>
          </cell>
          <cell r="AM315" t="str">
            <v>N/A</v>
          </cell>
          <cell r="AN315" t="str">
            <v>N/A</v>
          </cell>
          <cell r="AO315" t="str">
            <v>COMPLETED</v>
          </cell>
        </row>
        <row r="316">
          <cell r="A316" t="str">
            <v>24-1686</v>
          </cell>
          <cell r="B316" t="str">
            <v>CONSTRUCTION SUPPLIES</v>
          </cell>
          <cell r="C316" t="str">
            <v>PAO</v>
          </cell>
          <cell r="D316" t="str">
            <v>No</v>
          </cell>
          <cell r="E316" t="str">
            <v>NP-53.9 - Small Value Procurement</v>
          </cell>
          <cell r="F316" t="str">
            <v>N/A</v>
          </cell>
          <cell r="G316">
            <v>45371</v>
          </cell>
          <cell r="H316">
            <v>0</v>
          </cell>
          <cell r="I316" t="str">
            <v>N/A</v>
          </cell>
          <cell r="J316">
            <v>45384</v>
          </cell>
          <cell r="K316">
            <v>45384</v>
          </cell>
          <cell r="L316">
            <v>0</v>
          </cell>
          <cell r="M316" t="str">
            <v>N/A</v>
          </cell>
          <cell r="N316" t="str">
            <v>N/A</v>
          </cell>
          <cell r="O316">
            <v>45386</v>
          </cell>
          <cell r="P316">
            <v>0</v>
          </cell>
          <cell r="Q316">
            <v>0</v>
          </cell>
          <cell r="R316">
            <v>0</v>
          </cell>
          <cell r="S316" t="str">
            <v>N/A</v>
          </cell>
          <cell r="T316">
            <v>45406</v>
          </cell>
          <cell r="U316">
            <v>45408</v>
          </cell>
          <cell r="V316">
            <v>0</v>
          </cell>
          <cell r="W316">
            <v>0</v>
          </cell>
          <cell r="X316">
            <v>45415</v>
          </cell>
          <cell r="Y316">
            <v>45415</v>
          </cell>
          <cell r="Z316">
            <v>0</v>
          </cell>
          <cell r="AA316">
            <v>1350</v>
          </cell>
          <cell r="AB316">
            <v>1350</v>
          </cell>
          <cell r="AC316">
            <v>0</v>
          </cell>
          <cell r="AD316">
            <v>1340</v>
          </cell>
          <cell r="AE316">
            <v>1340</v>
          </cell>
          <cell r="AF316">
            <v>0</v>
          </cell>
          <cell r="AG316" t="str">
            <v>M</v>
          </cell>
          <cell r="AH316" t="str">
            <v>ENGR. MICHAEL C. SALARDA
MS. LEONARDA M. LATOR
MS. CARMENCITA VALDEZ
MS. SORAYA P. VERGARA</v>
          </cell>
          <cell r="AI316" t="str">
            <v>N/A</v>
          </cell>
          <cell r="AJ316" t="str">
            <v>N/A</v>
          </cell>
          <cell r="AK316" t="str">
            <v>N/A</v>
          </cell>
          <cell r="AL316" t="str">
            <v>N/A</v>
          </cell>
          <cell r="AM316" t="str">
            <v>N/A</v>
          </cell>
          <cell r="AN316" t="str">
            <v>N/A</v>
          </cell>
          <cell r="AO316" t="str">
            <v>COMPLETED</v>
          </cell>
        </row>
        <row r="317">
          <cell r="A317" t="str">
            <v>24-C1100</v>
          </cell>
          <cell r="B317" t="str">
            <v>CONSTRUCTION SUPPLIES</v>
          </cell>
          <cell r="C317" t="str">
            <v>PAGRO</v>
          </cell>
          <cell r="D317" t="str">
            <v>No</v>
          </cell>
          <cell r="E317" t="str">
            <v>NP-53.9 - Small Value Procurement</v>
          </cell>
          <cell r="F317" t="str">
            <v>N/A</v>
          </cell>
          <cell r="G317">
            <v>45371</v>
          </cell>
          <cell r="H317">
            <v>0</v>
          </cell>
          <cell r="I317" t="str">
            <v>N/A</v>
          </cell>
          <cell r="J317">
            <v>45384</v>
          </cell>
          <cell r="K317">
            <v>45384</v>
          </cell>
          <cell r="L317">
            <v>0</v>
          </cell>
          <cell r="M317" t="str">
            <v>N/A</v>
          </cell>
          <cell r="N317" t="str">
            <v>N/A</v>
          </cell>
          <cell r="O317">
            <v>45386</v>
          </cell>
          <cell r="P317">
            <v>0</v>
          </cell>
          <cell r="Q317">
            <v>0</v>
          </cell>
          <cell r="R317">
            <v>0</v>
          </cell>
          <cell r="S317" t="str">
            <v>N/A</v>
          </cell>
          <cell r="T317">
            <v>45406</v>
          </cell>
          <cell r="U317">
            <v>45408</v>
          </cell>
          <cell r="V317">
            <v>0</v>
          </cell>
          <cell r="W317">
            <v>0</v>
          </cell>
          <cell r="X317">
            <v>45418</v>
          </cell>
          <cell r="Y317">
            <v>45418</v>
          </cell>
          <cell r="Z317">
            <v>0</v>
          </cell>
          <cell r="AA317">
            <v>5905</v>
          </cell>
          <cell r="AB317">
            <v>5905</v>
          </cell>
          <cell r="AC317">
            <v>0</v>
          </cell>
          <cell r="AD317">
            <v>5773</v>
          </cell>
          <cell r="AE317">
            <v>5773</v>
          </cell>
          <cell r="AF317">
            <v>0</v>
          </cell>
          <cell r="AG317" t="str">
            <v>M</v>
          </cell>
          <cell r="AH317" t="str">
            <v>ENGR. MICHAEL C. SALARDA
MS. LEONARDA M. LATOR
MS. CARMENCITA VALDEZ
MS. SORAYA P. VERGARA</v>
          </cell>
          <cell r="AI317" t="str">
            <v>N/A</v>
          </cell>
          <cell r="AJ317" t="str">
            <v>N/A</v>
          </cell>
          <cell r="AK317" t="str">
            <v>N/A</v>
          </cell>
          <cell r="AL317" t="str">
            <v>N/A</v>
          </cell>
          <cell r="AM317" t="str">
            <v>N/A</v>
          </cell>
          <cell r="AN317" t="str">
            <v>N/A</v>
          </cell>
          <cell r="AO317" t="str">
            <v>COMPLETED</v>
          </cell>
        </row>
        <row r="318">
          <cell r="A318" t="str">
            <v>24-C1187</v>
          </cell>
          <cell r="B318" t="str">
            <v>FAUCET &amp; SILICONE GASKET</v>
          </cell>
          <cell r="C318" t="str">
            <v>PDRRMO</v>
          </cell>
          <cell r="D318" t="str">
            <v>No</v>
          </cell>
          <cell r="E318" t="str">
            <v>NP-53.9 - Small Value Procurement</v>
          </cell>
          <cell r="F318" t="str">
            <v>N/A</v>
          </cell>
          <cell r="G318">
            <v>45371</v>
          </cell>
          <cell r="H318">
            <v>0</v>
          </cell>
          <cell r="I318" t="str">
            <v>N/A</v>
          </cell>
          <cell r="J318">
            <v>45384</v>
          </cell>
          <cell r="K318">
            <v>45384</v>
          </cell>
          <cell r="L318">
            <v>0</v>
          </cell>
          <cell r="M318" t="str">
            <v>N/A</v>
          </cell>
          <cell r="N318" t="str">
            <v>N/A</v>
          </cell>
          <cell r="O318">
            <v>45386</v>
          </cell>
          <cell r="P318">
            <v>0</v>
          </cell>
          <cell r="Q318">
            <v>0</v>
          </cell>
          <cell r="R318">
            <v>0</v>
          </cell>
          <cell r="S318" t="str">
            <v>N/A</v>
          </cell>
          <cell r="T318">
            <v>45406</v>
          </cell>
          <cell r="U318">
            <v>45408</v>
          </cell>
          <cell r="V318">
            <v>0</v>
          </cell>
          <cell r="W318">
            <v>0</v>
          </cell>
          <cell r="X318">
            <v>45415</v>
          </cell>
          <cell r="Y318">
            <v>45415</v>
          </cell>
          <cell r="Z318">
            <v>0</v>
          </cell>
          <cell r="AA318">
            <v>3940</v>
          </cell>
          <cell r="AB318">
            <v>0</v>
          </cell>
          <cell r="AC318">
            <v>3940</v>
          </cell>
          <cell r="AD318">
            <v>3905</v>
          </cell>
          <cell r="AE318">
            <v>0</v>
          </cell>
          <cell r="AF318">
            <v>3905</v>
          </cell>
          <cell r="AG318" t="str">
            <v>C</v>
          </cell>
          <cell r="AH318" t="str">
            <v>ENGR. MICHAEL C. SALARDA
MS. LEONARDA M. LATOR
MS. CARMENCITA VALDEZ
MS. SORAYA P. VERGARA</v>
          </cell>
          <cell r="AI318" t="str">
            <v>N/A</v>
          </cell>
          <cell r="AJ318" t="str">
            <v>N/A</v>
          </cell>
          <cell r="AK318" t="str">
            <v>N/A</v>
          </cell>
          <cell r="AL318" t="str">
            <v>N/A</v>
          </cell>
          <cell r="AM318" t="str">
            <v>N/A</v>
          </cell>
          <cell r="AN318" t="str">
            <v>N/A</v>
          </cell>
          <cell r="AO318" t="str">
            <v>COMPLETED</v>
          </cell>
        </row>
        <row r="319">
          <cell r="A319" t="str">
            <v>24-1678</v>
          </cell>
          <cell r="B319" t="str">
            <v>KITCHENWARE &amp; UTENSILS</v>
          </cell>
          <cell r="C319" t="str">
            <v>PAO</v>
          </cell>
          <cell r="D319" t="str">
            <v>No</v>
          </cell>
          <cell r="E319" t="str">
            <v>NP-53.9 - Small Value Procurement</v>
          </cell>
          <cell r="F319" t="str">
            <v>N/A</v>
          </cell>
          <cell r="G319">
            <v>45371</v>
          </cell>
          <cell r="H319">
            <v>0</v>
          </cell>
          <cell r="I319" t="str">
            <v>N/A</v>
          </cell>
          <cell r="J319">
            <v>45384</v>
          </cell>
          <cell r="K319">
            <v>45384</v>
          </cell>
          <cell r="L319">
            <v>0</v>
          </cell>
          <cell r="M319" t="str">
            <v>N/A</v>
          </cell>
          <cell r="N319" t="str">
            <v>N/A</v>
          </cell>
          <cell r="O319">
            <v>45386</v>
          </cell>
          <cell r="P319">
            <v>0</v>
          </cell>
          <cell r="Q319">
            <v>0</v>
          </cell>
          <cell r="R319">
            <v>0</v>
          </cell>
          <cell r="S319" t="str">
            <v>N/A</v>
          </cell>
          <cell r="T319">
            <v>45406</v>
          </cell>
          <cell r="U319">
            <v>45408</v>
          </cell>
          <cell r="V319">
            <v>0</v>
          </cell>
          <cell r="W319">
            <v>0</v>
          </cell>
          <cell r="X319">
            <v>45415</v>
          </cell>
          <cell r="Y319">
            <v>45415</v>
          </cell>
          <cell r="Z319">
            <v>0</v>
          </cell>
          <cell r="AA319">
            <v>4675</v>
          </cell>
          <cell r="AB319">
            <v>4675</v>
          </cell>
          <cell r="AC319">
            <v>0</v>
          </cell>
          <cell r="AD319">
            <v>4665</v>
          </cell>
          <cell r="AE319">
            <v>4665</v>
          </cell>
          <cell r="AF319">
            <v>0</v>
          </cell>
          <cell r="AG319" t="str">
            <v>M</v>
          </cell>
          <cell r="AH319" t="str">
            <v>ENGR. MICHAEL C. SALARDA
MS. LEONARDA M. LATOR
MS. CARMENCITA VALDEZ
MS. SORAYA P. VERGARA</v>
          </cell>
          <cell r="AI319" t="str">
            <v>N/A</v>
          </cell>
          <cell r="AJ319" t="str">
            <v>N/A</v>
          </cell>
          <cell r="AK319" t="str">
            <v>N/A</v>
          </cell>
          <cell r="AL319" t="str">
            <v>N/A</v>
          </cell>
          <cell r="AM319" t="str">
            <v>N/A</v>
          </cell>
          <cell r="AN319" t="str">
            <v>N/A</v>
          </cell>
          <cell r="AO319" t="str">
            <v>COMPLETED</v>
          </cell>
        </row>
        <row r="320">
          <cell r="A320" t="str">
            <v>24-1661</v>
          </cell>
          <cell r="B320" t="str">
            <v>PADLOCK (BIG) HEAVY DUTY</v>
          </cell>
          <cell r="C320" t="str">
            <v>PTO</v>
          </cell>
          <cell r="D320" t="str">
            <v>No</v>
          </cell>
          <cell r="E320" t="str">
            <v>NP-53.9 - Small Value Procurement</v>
          </cell>
          <cell r="F320" t="str">
            <v>N/A</v>
          </cell>
          <cell r="G320">
            <v>45371</v>
          </cell>
          <cell r="H320">
            <v>0</v>
          </cell>
          <cell r="I320" t="str">
            <v>N/A</v>
          </cell>
          <cell r="J320">
            <v>45384</v>
          </cell>
          <cell r="K320">
            <v>45384</v>
          </cell>
          <cell r="L320">
            <v>0</v>
          </cell>
          <cell r="M320" t="str">
            <v>N/A</v>
          </cell>
          <cell r="N320" t="str">
            <v>N/A</v>
          </cell>
          <cell r="O320">
            <v>45386</v>
          </cell>
          <cell r="P320">
            <v>0</v>
          </cell>
          <cell r="Q320">
            <v>0</v>
          </cell>
          <cell r="R320">
            <v>0</v>
          </cell>
          <cell r="S320" t="str">
            <v>N/A</v>
          </cell>
          <cell r="T320">
            <v>45399</v>
          </cell>
          <cell r="U320">
            <v>45408</v>
          </cell>
          <cell r="V320">
            <v>0</v>
          </cell>
          <cell r="W320">
            <v>0</v>
          </cell>
          <cell r="X320">
            <v>45415</v>
          </cell>
          <cell r="Y320">
            <v>45415</v>
          </cell>
          <cell r="Z320">
            <v>0</v>
          </cell>
          <cell r="AA320">
            <v>4400</v>
          </cell>
          <cell r="AB320">
            <v>4400</v>
          </cell>
          <cell r="AC320">
            <v>0</v>
          </cell>
          <cell r="AD320">
            <v>4360</v>
          </cell>
          <cell r="AE320">
            <v>4360</v>
          </cell>
          <cell r="AF320">
            <v>0</v>
          </cell>
          <cell r="AG320" t="str">
            <v>M</v>
          </cell>
          <cell r="AH320" t="str">
            <v>ENGR. MICHAEL C. SALARDA
MS. LEONARDA M. LATOR
MS. CARMENCITA VALDEZ
MS. SORAYA P. VERGARA</v>
          </cell>
          <cell r="AI320" t="str">
            <v>N/A</v>
          </cell>
          <cell r="AJ320" t="str">
            <v>N/A</v>
          </cell>
          <cell r="AK320" t="str">
            <v>N/A</v>
          </cell>
          <cell r="AL320" t="str">
            <v>N/A</v>
          </cell>
          <cell r="AM320" t="str">
            <v>N/A</v>
          </cell>
          <cell r="AN320" t="str">
            <v>N/A</v>
          </cell>
          <cell r="AO320" t="str">
            <v>COMPLETED</v>
          </cell>
        </row>
        <row r="321">
          <cell r="A321" t="str">
            <v>23-C0787</v>
          </cell>
          <cell r="B321" t="str">
            <v>MATERIAL TESTING APPARATUS/EQUIPMENT</v>
          </cell>
          <cell r="C321" t="str">
            <v>PEO</v>
          </cell>
          <cell r="D321" t="str">
            <v>No</v>
          </cell>
          <cell r="E321" t="str">
            <v>NP-53.1 Two Failed Biddings</v>
          </cell>
          <cell r="F321" t="str">
            <v>N/A</v>
          </cell>
          <cell r="G321">
            <v>45309</v>
          </cell>
          <cell r="H321">
            <v>0</v>
          </cell>
          <cell r="I321" t="str">
            <v>N/A</v>
          </cell>
          <cell r="J321">
            <v>45384</v>
          </cell>
          <cell r="K321">
            <v>45384</v>
          </cell>
          <cell r="L321">
            <v>0</v>
          </cell>
          <cell r="M321" t="str">
            <v>N/A</v>
          </cell>
          <cell r="N321" t="str">
            <v>N/A</v>
          </cell>
          <cell r="O321">
            <v>45386</v>
          </cell>
          <cell r="P321">
            <v>0</v>
          </cell>
          <cell r="Q321">
            <v>0</v>
          </cell>
          <cell r="R321">
            <v>0</v>
          </cell>
          <cell r="S321">
            <v>45387</v>
          </cell>
          <cell r="T321">
            <v>45401</v>
          </cell>
          <cell r="U321">
            <v>45463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471715</v>
          </cell>
          <cell r="AB321">
            <v>0</v>
          </cell>
          <cell r="AC321">
            <v>471715</v>
          </cell>
          <cell r="AD321">
            <v>460925</v>
          </cell>
          <cell r="AE321">
            <v>0</v>
          </cell>
          <cell r="AF321">
            <v>460925</v>
          </cell>
          <cell r="AG321" t="str">
            <v>C</v>
          </cell>
          <cell r="AH321" t="str">
            <v>ENGR. MICHAEL C. SALARDA
MS. LEONARDA M. LATOR
MS. CARMENCITA VALDEZ
MS. SORAYA P. VERGARA</v>
          </cell>
          <cell r="AI321" t="str">
            <v>N/A</v>
          </cell>
          <cell r="AJ321" t="str">
            <v>N/A</v>
          </cell>
          <cell r="AK321" t="str">
            <v>N/A</v>
          </cell>
          <cell r="AL321" t="str">
            <v>N/A</v>
          </cell>
          <cell r="AM321" t="str">
            <v>N/A</v>
          </cell>
          <cell r="AN321" t="str">
            <v>N/A</v>
          </cell>
          <cell r="AO321">
            <v>0</v>
          </cell>
        </row>
        <row r="322">
          <cell r="A322" t="str">
            <v>24-C1156</v>
          </cell>
          <cell r="B322" t="str">
            <v>FOOD SUPPLIES</v>
          </cell>
          <cell r="C322" t="str">
            <v>PDRRMO</v>
          </cell>
          <cell r="D322" t="str">
            <v>No</v>
          </cell>
          <cell r="E322" t="str">
            <v>NP-53.2 Emergency Cases</v>
          </cell>
          <cell r="F322" t="str">
            <v>N/A</v>
          </cell>
          <cell r="G322">
            <v>45356</v>
          </cell>
          <cell r="H322">
            <v>0</v>
          </cell>
          <cell r="I322" t="str">
            <v>N/A</v>
          </cell>
          <cell r="J322">
            <v>45356</v>
          </cell>
          <cell r="K322">
            <v>45356</v>
          </cell>
          <cell r="L322">
            <v>0</v>
          </cell>
          <cell r="M322" t="str">
            <v>N/A</v>
          </cell>
          <cell r="N322" t="str">
            <v>N/A</v>
          </cell>
          <cell r="O322">
            <v>45357</v>
          </cell>
          <cell r="P322">
            <v>0</v>
          </cell>
          <cell r="Q322">
            <v>0</v>
          </cell>
          <cell r="R322">
            <v>0</v>
          </cell>
          <cell r="S322">
            <v>45358</v>
          </cell>
          <cell r="T322">
            <v>45358</v>
          </cell>
          <cell r="U322">
            <v>45361</v>
          </cell>
          <cell r="V322">
            <v>0</v>
          </cell>
          <cell r="W322">
            <v>0</v>
          </cell>
          <cell r="X322">
            <v>45361</v>
          </cell>
          <cell r="Y322">
            <v>45361</v>
          </cell>
          <cell r="Z322">
            <v>0</v>
          </cell>
          <cell r="AA322">
            <v>3104168</v>
          </cell>
          <cell r="AB322">
            <v>0</v>
          </cell>
          <cell r="AC322">
            <v>3104168</v>
          </cell>
          <cell r="AD322">
            <v>3076724</v>
          </cell>
          <cell r="AE322">
            <v>0</v>
          </cell>
          <cell r="AF322">
            <v>3076724</v>
          </cell>
          <cell r="AG322" t="str">
            <v>C</v>
          </cell>
          <cell r="AH322" t="str">
            <v>ENGR. MICHAEL C. SALARDA
MS. LEONARDA M. LATOR
MS. CARMENCITA VALDEZ
MS. SORAYA P. VERGARA</v>
          </cell>
          <cell r="AI322" t="str">
            <v>N/A</v>
          </cell>
          <cell r="AJ322" t="str">
            <v>N/A</v>
          </cell>
          <cell r="AK322" t="str">
            <v>N/A</v>
          </cell>
          <cell r="AL322" t="str">
            <v>N/A</v>
          </cell>
          <cell r="AM322" t="str">
            <v>N/A</v>
          </cell>
          <cell r="AN322" t="str">
            <v>N/A</v>
          </cell>
          <cell r="AO322" t="str">
            <v>COMPLETED</v>
          </cell>
        </row>
        <row r="323">
          <cell r="A323" t="str">
            <v>24-C1171</v>
          </cell>
          <cell r="B323" t="str">
            <v>OFFICE SUPPLIES</v>
          </cell>
          <cell r="C323" t="str">
            <v>PAGRO</v>
          </cell>
          <cell r="D323" t="str">
            <v>No</v>
          </cell>
          <cell r="E323" t="str">
            <v>Shopping 52.1(b) - Regular Office Supplies and Equipment no available in PS</v>
          </cell>
          <cell r="F323" t="str">
            <v>N/A</v>
          </cell>
          <cell r="G323">
            <v>45371</v>
          </cell>
          <cell r="H323">
            <v>0</v>
          </cell>
          <cell r="I323" t="str">
            <v>N/A</v>
          </cell>
          <cell r="J323">
            <v>45384</v>
          </cell>
          <cell r="K323">
            <v>45384</v>
          </cell>
          <cell r="L323">
            <v>0</v>
          </cell>
          <cell r="M323" t="str">
            <v>N/A</v>
          </cell>
          <cell r="N323" t="str">
            <v>N/A</v>
          </cell>
          <cell r="O323">
            <v>45386</v>
          </cell>
          <cell r="P323">
            <v>0</v>
          </cell>
          <cell r="Q323">
            <v>0</v>
          </cell>
          <cell r="R323">
            <v>0</v>
          </cell>
          <cell r="S323">
            <v>45387</v>
          </cell>
          <cell r="T323">
            <v>45406</v>
          </cell>
          <cell r="U323">
            <v>45408</v>
          </cell>
          <cell r="V323">
            <v>0</v>
          </cell>
          <cell r="W323">
            <v>0</v>
          </cell>
          <cell r="X323">
            <v>45426</v>
          </cell>
          <cell r="Y323">
            <v>45426</v>
          </cell>
          <cell r="Z323">
            <v>0</v>
          </cell>
          <cell r="AA323">
            <v>80031</v>
          </cell>
          <cell r="AB323">
            <v>0</v>
          </cell>
          <cell r="AC323">
            <v>80031</v>
          </cell>
          <cell r="AD323">
            <v>78316</v>
          </cell>
          <cell r="AE323">
            <v>0</v>
          </cell>
          <cell r="AF323">
            <v>78316</v>
          </cell>
          <cell r="AG323" t="str">
            <v>C</v>
          </cell>
          <cell r="AH323" t="str">
            <v>ENGR. MICHAEL C. SALARDA
MS. LEONARDA M. LATOR
MS. CARMENCITA VALDEZ
MS. SORAYA P. VERGARA</v>
          </cell>
          <cell r="AI323" t="str">
            <v>N/A</v>
          </cell>
          <cell r="AJ323" t="str">
            <v>N/A</v>
          </cell>
          <cell r="AK323" t="str">
            <v>N/A</v>
          </cell>
          <cell r="AL323" t="str">
            <v>N/A</v>
          </cell>
          <cell r="AM323" t="str">
            <v>N/A</v>
          </cell>
          <cell r="AN323" t="str">
            <v>N/A</v>
          </cell>
          <cell r="AO323" t="str">
            <v>COMPLETED</v>
          </cell>
        </row>
        <row r="324">
          <cell r="A324" t="str">
            <v>24-C0988</v>
          </cell>
          <cell r="B324" t="str">
            <v>HEMOGLOBIN A1C</v>
          </cell>
          <cell r="C324" t="str">
            <v>PEEMO</v>
          </cell>
          <cell r="D324" t="str">
            <v>No</v>
          </cell>
          <cell r="E324" t="str">
            <v>Direct Contracting</v>
          </cell>
          <cell r="F324" t="str">
            <v>N/A</v>
          </cell>
          <cell r="G324">
            <v>45371</v>
          </cell>
          <cell r="H324">
            <v>0</v>
          </cell>
          <cell r="I324" t="str">
            <v>N/A</v>
          </cell>
          <cell r="J324">
            <v>45384</v>
          </cell>
          <cell r="K324">
            <v>45384</v>
          </cell>
          <cell r="L324">
            <v>0</v>
          </cell>
          <cell r="M324" t="str">
            <v>N/A</v>
          </cell>
          <cell r="N324" t="str">
            <v>N/A</v>
          </cell>
          <cell r="O324">
            <v>45386</v>
          </cell>
          <cell r="P324">
            <v>0</v>
          </cell>
          <cell r="Q324">
            <v>0</v>
          </cell>
          <cell r="R324">
            <v>0</v>
          </cell>
          <cell r="S324" t="str">
            <v>N/A</v>
          </cell>
          <cell r="T324">
            <v>45411</v>
          </cell>
          <cell r="U324">
            <v>45436</v>
          </cell>
          <cell r="V324">
            <v>0</v>
          </cell>
          <cell r="W324">
            <v>0</v>
          </cell>
          <cell r="X324">
            <v>45450</v>
          </cell>
          <cell r="Y324">
            <v>45450</v>
          </cell>
          <cell r="Z324">
            <v>0</v>
          </cell>
          <cell r="AA324">
            <v>38340</v>
          </cell>
          <cell r="AB324">
            <v>38340</v>
          </cell>
          <cell r="AC324">
            <v>0</v>
          </cell>
          <cell r="AD324">
            <v>38340</v>
          </cell>
          <cell r="AE324">
            <v>38340</v>
          </cell>
          <cell r="AF324">
            <v>0</v>
          </cell>
          <cell r="AG324" t="str">
            <v>M</v>
          </cell>
          <cell r="AH324" t="str">
            <v>ENGR. MICHAEL C. SALARDA
MS. LEONARDA M. LATOR
MS. CARMENCITA VALDEZ
MS. SORAYA P. VERGARA</v>
          </cell>
          <cell r="AI324" t="str">
            <v>N/A</v>
          </cell>
          <cell r="AJ324" t="str">
            <v>N/A</v>
          </cell>
          <cell r="AK324" t="str">
            <v>N/A</v>
          </cell>
          <cell r="AL324" t="str">
            <v>N/A</v>
          </cell>
          <cell r="AM324" t="str">
            <v>N/A</v>
          </cell>
          <cell r="AN324" t="str">
            <v>N/A</v>
          </cell>
          <cell r="AO324" t="str">
            <v>COMPLETED</v>
          </cell>
        </row>
        <row r="325">
          <cell r="A325" t="str">
            <v>24-C0943</v>
          </cell>
          <cell r="B325" t="str">
            <v>SUPPLY AND DELIVERY OF JANITORIAL SUPPLIES</v>
          </cell>
          <cell r="C325" t="str">
            <v>PEEMO</v>
          </cell>
          <cell r="D325" t="str">
            <v>No</v>
          </cell>
          <cell r="E325" t="str">
            <v>Competitive Bidding</v>
          </cell>
          <cell r="F325">
            <v>45342</v>
          </cell>
          <cell r="G325">
            <v>45348</v>
          </cell>
          <cell r="H325">
            <v>0</v>
          </cell>
          <cell r="I325">
            <v>45356</v>
          </cell>
          <cell r="J325">
            <v>45370</v>
          </cell>
          <cell r="K325">
            <v>45370</v>
          </cell>
          <cell r="L325">
            <v>0</v>
          </cell>
          <cell r="M325">
            <v>45370</v>
          </cell>
          <cell r="N325">
            <v>45383</v>
          </cell>
          <cell r="O325">
            <v>45386</v>
          </cell>
          <cell r="P325">
            <v>0</v>
          </cell>
          <cell r="Q325">
            <v>0</v>
          </cell>
          <cell r="R325">
            <v>0</v>
          </cell>
          <cell r="S325">
            <v>45397</v>
          </cell>
          <cell r="T325">
            <v>45412</v>
          </cell>
          <cell r="U325">
            <v>45414</v>
          </cell>
          <cell r="V325">
            <v>0</v>
          </cell>
          <cell r="W325">
            <v>0</v>
          </cell>
          <cell r="X325">
            <v>45422</v>
          </cell>
          <cell r="Y325">
            <v>45422</v>
          </cell>
          <cell r="Z325">
            <v>0</v>
          </cell>
          <cell r="AA325">
            <v>1105816</v>
          </cell>
          <cell r="AB325">
            <v>1105816</v>
          </cell>
          <cell r="AC325">
            <v>0</v>
          </cell>
          <cell r="AD325">
            <v>1010945</v>
          </cell>
          <cell r="AE325">
            <v>1010945</v>
          </cell>
          <cell r="AF325">
            <v>0</v>
          </cell>
          <cell r="AG325" t="str">
            <v>M</v>
          </cell>
          <cell r="AH325" t="str">
            <v>ENGR. MICHAEL C. SALARDA
MS. LEONARDA M. LATOR
MS. CARMENCITA VALDEZ
MS. SORAYA P. VERGARA</v>
          </cell>
          <cell r="AI325">
            <v>45352</v>
          </cell>
          <cell r="AJ325">
            <v>45366</v>
          </cell>
          <cell r="AK325">
            <v>45366</v>
          </cell>
          <cell r="AL325">
            <v>45366</v>
          </cell>
          <cell r="AM325" t="str">
            <v>N/A</v>
          </cell>
          <cell r="AN325" t="str">
            <v>N/A</v>
          </cell>
          <cell r="AO325" t="str">
            <v>COMPLETED</v>
          </cell>
        </row>
        <row r="326">
          <cell r="A326" t="str">
            <v>24-C0999</v>
          </cell>
          <cell r="B326" t="str">
            <v>SUPPLY AND DELIVERY OF RICE (WELL-MILLED) 50KG/SACK</v>
          </cell>
          <cell r="C326" t="str">
            <v>PGO</v>
          </cell>
          <cell r="D326" t="str">
            <v>No</v>
          </cell>
          <cell r="E326" t="str">
            <v>Competitive Bidding</v>
          </cell>
          <cell r="F326">
            <v>45342</v>
          </cell>
          <cell r="G326">
            <v>45348</v>
          </cell>
          <cell r="H326">
            <v>0</v>
          </cell>
          <cell r="I326">
            <v>45356</v>
          </cell>
          <cell r="J326">
            <v>45370</v>
          </cell>
          <cell r="K326">
            <v>45370</v>
          </cell>
          <cell r="L326">
            <v>0</v>
          </cell>
          <cell r="M326">
            <v>45370</v>
          </cell>
          <cell r="N326">
            <v>45383</v>
          </cell>
          <cell r="O326">
            <v>45386</v>
          </cell>
          <cell r="P326">
            <v>0</v>
          </cell>
          <cell r="Q326">
            <v>0</v>
          </cell>
          <cell r="R326">
            <v>0</v>
          </cell>
          <cell r="S326">
            <v>45390</v>
          </cell>
          <cell r="T326">
            <v>45399</v>
          </cell>
          <cell r="U326">
            <v>45408</v>
          </cell>
          <cell r="V326">
            <v>0</v>
          </cell>
          <cell r="W326">
            <v>0</v>
          </cell>
          <cell r="X326">
            <v>45415</v>
          </cell>
          <cell r="Y326">
            <v>45415</v>
          </cell>
          <cell r="Z326">
            <v>0</v>
          </cell>
          <cell r="AA326">
            <v>2276010</v>
          </cell>
          <cell r="AB326">
            <v>0</v>
          </cell>
          <cell r="AC326">
            <v>2276010</v>
          </cell>
          <cell r="AD326">
            <v>2105400</v>
          </cell>
          <cell r="AE326">
            <v>0</v>
          </cell>
          <cell r="AF326">
            <v>2105400</v>
          </cell>
          <cell r="AG326" t="str">
            <v>C</v>
          </cell>
          <cell r="AH326" t="str">
            <v>ENGR. MICHAEL C. SALARDA
MS. LEONARDA M. LATOR
MS. CARMENCITA VALDEZ
MS. SORAYA P. VERGARA</v>
          </cell>
          <cell r="AI326">
            <v>45352</v>
          </cell>
          <cell r="AJ326">
            <v>45366</v>
          </cell>
          <cell r="AK326">
            <v>45366</v>
          </cell>
          <cell r="AL326">
            <v>45366</v>
          </cell>
          <cell r="AM326" t="str">
            <v>N/A</v>
          </cell>
          <cell r="AN326" t="str">
            <v>N/A</v>
          </cell>
          <cell r="AO326" t="str">
            <v>COMPLETED</v>
          </cell>
        </row>
        <row r="327">
          <cell r="A327" t="str">
            <v>24-C1022</v>
          </cell>
          <cell r="B327" t="str">
            <v>SUPPLY AND DELIVERY OF MEALS AND SNACKS</v>
          </cell>
          <cell r="C327" t="str">
            <v>PDRRMO</v>
          </cell>
          <cell r="D327" t="str">
            <v>No</v>
          </cell>
          <cell r="E327" t="str">
            <v>Competitive Bidding</v>
          </cell>
          <cell r="F327" t="str">
            <v>N/A</v>
          </cell>
          <cell r="G327">
            <v>45356</v>
          </cell>
          <cell r="H327">
            <v>0</v>
          </cell>
          <cell r="I327" t="str">
            <v>N/A</v>
          </cell>
          <cell r="J327">
            <v>45370</v>
          </cell>
          <cell r="K327">
            <v>45370</v>
          </cell>
          <cell r="L327">
            <v>0</v>
          </cell>
          <cell r="M327">
            <v>45370</v>
          </cell>
          <cell r="N327">
            <v>45383</v>
          </cell>
          <cell r="O327">
            <v>45386</v>
          </cell>
          <cell r="P327">
            <v>0</v>
          </cell>
          <cell r="Q327">
            <v>0</v>
          </cell>
          <cell r="R327">
            <v>0</v>
          </cell>
          <cell r="S327">
            <v>45386</v>
          </cell>
          <cell r="T327">
            <v>45406</v>
          </cell>
          <cell r="U327">
            <v>45411</v>
          </cell>
          <cell r="V327">
            <v>0</v>
          </cell>
          <cell r="W327">
            <v>0</v>
          </cell>
          <cell r="X327">
            <v>45457</v>
          </cell>
          <cell r="Y327">
            <v>45457</v>
          </cell>
          <cell r="Z327">
            <v>0</v>
          </cell>
          <cell r="AA327">
            <v>1130610</v>
          </cell>
          <cell r="AB327">
            <v>0</v>
          </cell>
          <cell r="AC327">
            <v>1130610</v>
          </cell>
          <cell r="AD327">
            <v>1117904</v>
          </cell>
          <cell r="AE327">
            <v>0</v>
          </cell>
          <cell r="AF327">
            <v>1117904</v>
          </cell>
          <cell r="AG327" t="str">
            <v>C</v>
          </cell>
          <cell r="AH327" t="str">
            <v>ENGR. MICHAEL C. SALARDA
MS. LEONARDA M. LATOR
MS. CARMENCITA VALDEZ
MS. SORAYA P. VERGARA</v>
          </cell>
          <cell r="AI327" t="str">
            <v>N/A</v>
          </cell>
          <cell r="AJ327">
            <v>45366</v>
          </cell>
          <cell r="AK327">
            <v>45366</v>
          </cell>
          <cell r="AL327">
            <v>45366</v>
          </cell>
          <cell r="AM327" t="str">
            <v>N/A</v>
          </cell>
          <cell r="AN327" t="str">
            <v>N/A</v>
          </cell>
          <cell r="AO327" t="str">
            <v>COMPLETED</v>
          </cell>
        </row>
        <row r="328">
          <cell r="A328" t="str">
            <v>24-1395</v>
          </cell>
          <cell r="B328" t="str">
            <v>SUPPLY AND DELIVERY OF MEALS AND SNACKS WITH ACCOMMODATION</v>
          </cell>
          <cell r="C328" t="str">
            <v>PWDO</v>
          </cell>
          <cell r="D328" t="str">
            <v>No</v>
          </cell>
          <cell r="E328" t="str">
            <v>Competitive Bidding</v>
          </cell>
          <cell r="F328" t="str">
            <v>N/A</v>
          </cell>
          <cell r="G328">
            <v>45362</v>
          </cell>
          <cell r="H328">
            <v>0</v>
          </cell>
          <cell r="I328" t="str">
            <v>N/A</v>
          </cell>
          <cell r="J328">
            <v>45370</v>
          </cell>
          <cell r="K328">
            <v>45370</v>
          </cell>
          <cell r="L328">
            <v>0</v>
          </cell>
          <cell r="M328">
            <v>45370</v>
          </cell>
          <cell r="N328">
            <v>45383</v>
          </cell>
          <cell r="O328">
            <v>45386</v>
          </cell>
          <cell r="P328">
            <v>0</v>
          </cell>
          <cell r="Q328">
            <v>0</v>
          </cell>
          <cell r="R328">
            <v>0</v>
          </cell>
          <cell r="S328">
            <v>45386</v>
          </cell>
          <cell r="T328">
            <v>45387</v>
          </cell>
          <cell r="U328">
            <v>45387</v>
          </cell>
          <cell r="V328">
            <v>0</v>
          </cell>
          <cell r="W328">
            <v>0</v>
          </cell>
          <cell r="X328">
            <v>45394</v>
          </cell>
          <cell r="Y328">
            <v>45394</v>
          </cell>
          <cell r="Z328">
            <v>0</v>
          </cell>
          <cell r="AA328">
            <v>653200</v>
          </cell>
          <cell r="AB328">
            <v>0</v>
          </cell>
          <cell r="AC328">
            <v>653200</v>
          </cell>
          <cell r="AD328">
            <v>651780</v>
          </cell>
          <cell r="AE328">
            <v>0</v>
          </cell>
          <cell r="AF328">
            <v>651780</v>
          </cell>
          <cell r="AG328" t="str">
            <v>C</v>
          </cell>
          <cell r="AH328" t="str">
            <v>ENGR. MICHAEL C. SALARDA
MS. LEONARDA M. LATOR
MS. CARMENCITA VALDEZ
MS. SORAYA P. VERGARA</v>
          </cell>
          <cell r="AI328" t="str">
            <v>N/A</v>
          </cell>
          <cell r="AJ328">
            <v>45366</v>
          </cell>
          <cell r="AK328">
            <v>45366</v>
          </cell>
          <cell r="AL328">
            <v>45366</v>
          </cell>
          <cell r="AM328" t="str">
            <v>N/A</v>
          </cell>
          <cell r="AN328" t="str">
            <v>N/A</v>
          </cell>
          <cell r="AO328" t="str">
            <v>COMPLETED</v>
          </cell>
        </row>
        <row r="329">
          <cell r="A329" t="str">
            <v>24-C1020</v>
          </cell>
          <cell r="B329" t="str">
            <v>SUPPLY AND DELIVERY OF MEALS AND SNACKS</v>
          </cell>
          <cell r="C329" t="str">
            <v>PVO</v>
          </cell>
          <cell r="D329" t="str">
            <v>No</v>
          </cell>
          <cell r="E329" t="str">
            <v>Competitive Bidding</v>
          </cell>
          <cell r="F329">
            <v>45356</v>
          </cell>
          <cell r="G329">
            <v>45362</v>
          </cell>
          <cell r="H329">
            <v>0</v>
          </cell>
          <cell r="I329" t="str">
            <v>N/A</v>
          </cell>
          <cell r="J329">
            <v>45370</v>
          </cell>
          <cell r="K329">
            <v>45370</v>
          </cell>
          <cell r="L329">
            <v>0</v>
          </cell>
          <cell r="M329">
            <v>45370</v>
          </cell>
          <cell r="N329">
            <v>45383</v>
          </cell>
          <cell r="O329">
            <v>45386</v>
          </cell>
          <cell r="P329">
            <v>0</v>
          </cell>
          <cell r="Q329">
            <v>0</v>
          </cell>
          <cell r="R329">
            <v>0</v>
          </cell>
          <cell r="S329">
            <v>45401</v>
          </cell>
          <cell r="T329">
            <v>45401</v>
          </cell>
          <cell r="U329">
            <v>45401</v>
          </cell>
          <cell r="V329">
            <v>0</v>
          </cell>
          <cell r="W329">
            <v>0</v>
          </cell>
          <cell r="X329">
            <v>45426</v>
          </cell>
          <cell r="Y329">
            <v>45426</v>
          </cell>
          <cell r="Z329">
            <v>0</v>
          </cell>
          <cell r="AA329">
            <v>802730</v>
          </cell>
          <cell r="AB329">
            <v>0</v>
          </cell>
          <cell r="AC329">
            <v>802730</v>
          </cell>
          <cell r="AD329">
            <v>790748</v>
          </cell>
          <cell r="AE329">
            <v>0</v>
          </cell>
          <cell r="AF329">
            <v>790748</v>
          </cell>
          <cell r="AG329" t="str">
            <v>C</v>
          </cell>
          <cell r="AH329" t="str">
            <v>ENGR. MICHAEL C. SALARDA
MS. LEONARDA M. LATOR
MS. CARMENCITA VALDEZ
MS. SORAYA P. VERGARA</v>
          </cell>
          <cell r="AI329" t="str">
            <v>N/A</v>
          </cell>
          <cell r="AJ329">
            <v>45366</v>
          </cell>
          <cell r="AK329">
            <v>45366</v>
          </cell>
          <cell r="AL329">
            <v>45366</v>
          </cell>
          <cell r="AM329" t="str">
            <v>N/A</v>
          </cell>
          <cell r="AN329" t="str">
            <v>N/A</v>
          </cell>
          <cell r="AO329" t="str">
            <v>COMPLETED</v>
          </cell>
        </row>
        <row r="330">
          <cell r="A330" t="str">
            <v>24-C1120</v>
          </cell>
          <cell r="B330" t="str">
            <v>SUPPLY AND DELIVERY OF MEALS AND SNACKS</v>
          </cell>
          <cell r="C330" t="str">
            <v>PSWDO</v>
          </cell>
          <cell r="D330" t="str">
            <v>No</v>
          </cell>
          <cell r="E330" t="str">
            <v>Competitive Bidding</v>
          </cell>
          <cell r="F330">
            <v>45356</v>
          </cell>
          <cell r="G330">
            <v>45362</v>
          </cell>
          <cell r="H330">
            <v>0</v>
          </cell>
          <cell r="I330" t="str">
            <v>N/A</v>
          </cell>
          <cell r="J330">
            <v>45370</v>
          </cell>
          <cell r="K330">
            <v>45370</v>
          </cell>
          <cell r="L330">
            <v>0</v>
          </cell>
          <cell r="M330">
            <v>45370</v>
          </cell>
          <cell r="N330">
            <v>45383</v>
          </cell>
          <cell r="O330">
            <v>45386</v>
          </cell>
          <cell r="P330">
            <v>0</v>
          </cell>
          <cell r="Q330">
            <v>0</v>
          </cell>
          <cell r="R330">
            <v>0</v>
          </cell>
          <cell r="S330">
            <v>45386</v>
          </cell>
          <cell r="T330">
            <v>45405</v>
          </cell>
          <cell r="U330">
            <v>45411</v>
          </cell>
          <cell r="V330">
            <v>0</v>
          </cell>
          <cell r="W330">
            <v>0</v>
          </cell>
          <cell r="X330">
            <v>45435</v>
          </cell>
          <cell r="Y330">
            <v>45435</v>
          </cell>
          <cell r="Z330">
            <v>0</v>
          </cell>
          <cell r="AA330">
            <v>795590</v>
          </cell>
          <cell r="AB330">
            <v>0</v>
          </cell>
          <cell r="AC330">
            <v>795590</v>
          </cell>
          <cell r="AD330">
            <v>784904</v>
          </cell>
          <cell r="AE330">
            <v>0</v>
          </cell>
          <cell r="AF330">
            <v>784904</v>
          </cell>
          <cell r="AG330" t="str">
            <v>C</v>
          </cell>
          <cell r="AH330" t="str">
            <v>ENGR. MICHAEL C. SALARDA
MS. LEONARDA M. LATOR
MS. CARMENCITA VALDEZ
MS. SORAYA P. VERGARA</v>
          </cell>
          <cell r="AI330" t="str">
            <v>N/A</v>
          </cell>
          <cell r="AJ330">
            <v>45366</v>
          </cell>
          <cell r="AK330">
            <v>45366</v>
          </cell>
          <cell r="AL330">
            <v>45366</v>
          </cell>
          <cell r="AM330" t="str">
            <v>N/A</v>
          </cell>
          <cell r="AN330" t="str">
            <v>N/A</v>
          </cell>
          <cell r="AO330" t="str">
            <v>COMPLETED</v>
          </cell>
        </row>
        <row r="331">
          <cell r="A331" t="str">
            <v>24-C1121</v>
          </cell>
          <cell r="B331" t="str">
            <v>SUPPLY AND DELIVERY OF MEALS AND SNACKS</v>
          </cell>
          <cell r="C331" t="str">
            <v>PGO</v>
          </cell>
          <cell r="D331" t="str">
            <v>No</v>
          </cell>
          <cell r="E331" t="str">
            <v>Competitive Bidding</v>
          </cell>
          <cell r="F331">
            <v>45356</v>
          </cell>
          <cell r="G331">
            <v>45362</v>
          </cell>
          <cell r="H331">
            <v>0</v>
          </cell>
          <cell r="I331" t="str">
            <v>N/A</v>
          </cell>
          <cell r="J331">
            <v>45370</v>
          </cell>
          <cell r="K331">
            <v>45370</v>
          </cell>
          <cell r="L331">
            <v>0</v>
          </cell>
          <cell r="M331">
            <v>45370</v>
          </cell>
          <cell r="N331">
            <v>45383</v>
          </cell>
          <cell r="O331">
            <v>45386</v>
          </cell>
          <cell r="P331">
            <v>0</v>
          </cell>
          <cell r="Q331">
            <v>0</v>
          </cell>
          <cell r="R331">
            <v>0</v>
          </cell>
          <cell r="S331">
            <v>45386</v>
          </cell>
          <cell r="T331">
            <v>45397</v>
          </cell>
          <cell r="U331">
            <v>45420</v>
          </cell>
          <cell r="V331">
            <v>0</v>
          </cell>
          <cell r="W331">
            <v>0</v>
          </cell>
          <cell r="X331">
            <v>45436</v>
          </cell>
          <cell r="Y331">
            <v>45436</v>
          </cell>
          <cell r="Z331">
            <v>0</v>
          </cell>
          <cell r="AA331">
            <v>414020</v>
          </cell>
          <cell r="AB331">
            <v>0</v>
          </cell>
          <cell r="AC331">
            <v>414020</v>
          </cell>
          <cell r="AD331">
            <v>408920</v>
          </cell>
          <cell r="AE331">
            <v>0</v>
          </cell>
          <cell r="AF331">
            <v>408920</v>
          </cell>
          <cell r="AG331" t="str">
            <v>C</v>
          </cell>
          <cell r="AH331" t="str">
            <v>ENGR. MICHAEL C. SALARDA
MS. LEONARDA M. LATOR
MS. CARMENCITA VALDEZ
MS. SORAYA P. VERGARA</v>
          </cell>
          <cell r="AI331" t="str">
            <v>N/A</v>
          </cell>
          <cell r="AJ331">
            <v>45366</v>
          </cell>
          <cell r="AK331">
            <v>45366</v>
          </cell>
          <cell r="AL331">
            <v>45366</v>
          </cell>
          <cell r="AM331" t="str">
            <v>N/A</v>
          </cell>
          <cell r="AN331" t="str">
            <v>N/A</v>
          </cell>
          <cell r="AO331" t="str">
            <v>COMPLETED</v>
          </cell>
        </row>
        <row r="332">
          <cell r="A332" t="str">
            <v>24-1339</v>
          </cell>
          <cell r="B332" t="str">
            <v>SUPPLY AND DELIVERY OF MEALS AND SNACKS</v>
          </cell>
          <cell r="C332" t="str">
            <v>PGO</v>
          </cell>
          <cell r="D332" t="str">
            <v>No</v>
          </cell>
          <cell r="E332" t="str">
            <v>Competitive Bidding</v>
          </cell>
          <cell r="F332">
            <v>45356</v>
          </cell>
          <cell r="G332">
            <v>45362</v>
          </cell>
          <cell r="H332">
            <v>0</v>
          </cell>
          <cell r="I332" t="str">
            <v>N/A</v>
          </cell>
          <cell r="J332">
            <v>45370</v>
          </cell>
          <cell r="K332">
            <v>45370</v>
          </cell>
          <cell r="L332">
            <v>0</v>
          </cell>
          <cell r="M332">
            <v>45370</v>
          </cell>
          <cell r="N332">
            <v>45383</v>
          </cell>
          <cell r="O332">
            <v>45386</v>
          </cell>
          <cell r="P332">
            <v>0</v>
          </cell>
          <cell r="Q332">
            <v>0</v>
          </cell>
          <cell r="R332">
            <v>0</v>
          </cell>
          <cell r="S332">
            <v>45386</v>
          </cell>
          <cell r="T332">
            <v>45397</v>
          </cell>
          <cell r="U332">
            <v>45401</v>
          </cell>
          <cell r="V332">
            <v>0</v>
          </cell>
          <cell r="W332">
            <v>0</v>
          </cell>
          <cell r="X332">
            <v>45454</v>
          </cell>
          <cell r="Y332">
            <v>45454</v>
          </cell>
          <cell r="Z332">
            <v>0</v>
          </cell>
          <cell r="AA332">
            <v>621000</v>
          </cell>
          <cell r="AB332">
            <v>0</v>
          </cell>
          <cell r="AC332">
            <v>621000</v>
          </cell>
          <cell r="AD332">
            <v>614960</v>
          </cell>
          <cell r="AE332">
            <v>0</v>
          </cell>
          <cell r="AF332">
            <v>614960</v>
          </cell>
          <cell r="AG332" t="str">
            <v>C</v>
          </cell>
          <cell r="AH332" t="str">
            <v>ENGR. MICHAEL C. SALARDA
MS. LEONARDA M. LATOR
MS. CARMENCITA VALDEZ
MS. SORAYA P. VERGARA</v>
          </cell>
          <cell r="AI332" t="str">
            <v>N/A</v>
          </cell>
          <cell r="AJ332">
            <v>45366</v>
          </cell>
          <cell r="AK332">
            <v>45366</v>
          </cell>
          <cell r="AL332">
            <v>45366</v>
          </cell>
          <cell r="AM332" t="str">
            <v>N/A</v>
          </cell>
          <cell r="AN332" t="str">
            <v>N/A</v>
          </cell>
          <cell r="AO332" t="str">
            <v>COMPLETED</v>
          </cell>
        </row>
        <row r="333">
          <cell r="A333" t="str">
            <v>24-C1106</v>
          </cell>
          <cell r="B333" t="str">
            <v>SUPPLY AND DELIVERY OF MEALS AND SNACKS</v>
          </cell>
          <cell r="C333" t="str">
            <v>PAGRO</v>
          </cell>
          <cell r="D333" t="str">
            <v>No</v>
          </cell>
          <cell r="E333" t="str">
            <v>Competitive Bidding</v>
          </cell>
          <cell r="F333" t="str">
            <v>N/A</v>
          </cell>
          <cell r="G333">
            <v>45362</v>
          </cell>
          <cell r="H333">
            <v>0</v>
          </cell>
          <cell r="I333" t="str">
            <v>N/A</v>
          </cell>
          <cell r="J333">
            <v>45370</v>
          </cell>
          <cell r="K333">
            <v>45370</v>
          </cell>
          <cell r="L333">
            <v>0</v>
          </cell>
          <cell r="M333">
            <v>45370</v>
          </cell>
          <cell r="N333">
            <v>45383</v>
          </cell>
          <cell r="O333">
            <v>45386</v>
          </cell>
          <cell r="P333">
            <v>0</v>
          </cell>
          <cell r="Q333">
            <v>0</v>
          </cell>
          <cell r="R333">
            <v>0</v>
          </cell>
          <cell r="S333">
            <v>45386</v>
          </cell>
          <cell r="T333">
            <v>45405</v>
          </cell>
          <cell r="U333">
            <v>45407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663580</v>
          </cell>
          <cell r="AB333">
            <v>663580</v>
          </cell>
          <cell r="AC333">
            <v>0</v>
          </cell>
          <cell r="AD333">
            <v>653602</v>
          </cell>
          <cell r="AE333">
            <v>653602</v>
          </cell>
          <cell r="AF333">
            <v>0</v>
          </cell>
          <cell r="AG333" t="str">
            <v>M</v>
          </cell>
          <cell r="AH333" t="str">
            <v>ENGR. MICHAEL C. SALARDA
MS. LEONARDA M. LATOR
MS. CARMENCITA VALDEZ
MS. SORAYA P. VERGARA</v>
          </cell>
          <cell r="AI333" t="str">
            <v>N/A</v>
          </cell>
          <cell r="AJ333">
            <v>45366</v>
          </cell>
          <cell r="AK333">
            <v>45366</v>
          </cell>
          <cell r="AL333">
            <v>45366</v>
          </cell>
          <cell r="AM333" t="str">
            <v>N/A</v>
          </cell>
          <cell r="AN333" t="str">
            <v>N/A</v>
          </cell>
          <cell r="AO333" t="str">
            <v>PARTIAL DELIVERY</v>
          </cell>
        </row>
        <row r="334">
          <cell r="A334" t="str">
            <v>24-C1074</v>
          </cell>
          <cell r="B334" t="str">
            <v>SUPPLY AND DELIVERY OF SEEDLINGS FOR THE USE OF PENRO</v>
          </cell>
          <cell r="C334" t="str">
            <v>PENRO</v>
          </cell>
          <cell r="D334" t="str">
            <v>No</v>
          </cell>
          <cell r="E334" t="str">
            <v>Competitive Bidding</v>
          </cell>
          <cell r="F334" t="str">
            <v>N/A</v>
          </cell>
          <cell r="G334">
            <v>45348</v>
          </cell>
          <cell r="H334">
            <v>0</v>
          </cell>
          <cell r="I334" t="str">
            <v>N/A</v>
          </cell>
          <cell r="J334">
            <v>45356</v>
          </cell>
          <cell r="K334">
            <v>45356</v>
          </cell>
          <cell r="L334">
            <v>0</v>
          </cell>
          <cell r="M334">
            <v>45356</v>
          </cell>
          <cell r="N334">
            <v>45383</v>
          </cell>
          <cell r="O334">
            <v>45386</v>
          </cell>
          <cell r="P334">
            <v>0</v>
          </cell>
          <cell r="Q334">
            <v>0</v>
          </cell>
          <cell r="R334">
            <v>0</v>
          </cell>
          <cell r="S334">
            <v>45386</v>
          </cell>
          <cell r="T334">
            <v>45406</v>
          </cell>
          <cell r="U334">
            <v>45425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879990</v>
          </cell>
          <cell r="AB334">
            <v>0</v>
          </cell>
          <cell r="AC334">
            <v>879990</v>
          </cell>
          <cell r="AD334">
            <v>844726</v>
          </cell>
          <cell r="AE334">
            <v>0</v>
          </cell>
          <cell r="AF334">
            <v>844726</v>
          </cell>
          <cell r="AG334" t="str">
            <v>C</v>
          </cell>
          <cell r="AH334" t="str">
            <v>ENGR. MICHAEL C. SALARDA
MS. LEONARDA M. LATOR
MS. CARMENCITA VALDEZ
MS. SORAYA P. VERGARA</v>
          </cell>
          <cell r="AI334" t="str">
            <v>N/A</v>
          </cell>
          <cell r="AJ334">
            <v>45352</v>
          </cell>
          <cell r="AK334">
            <v>45352</v>
          </cell>
          <cell r="AL334">
            <v>45352</v>
          </cell>
          <cell r="AM334" t="str">
            <v>N/A</v>
          </cell>
          <cell r="AN334" t="str">
            <v>N/A</v>
          </cell>
          <cell r="AO334">
            <v>0</v>
          </cell>
        </row>
        <row r="335">
          <cell r="A335" t="str">
            <v>24-C0936</v>
          </cell>
          <cell r="B335" t="str">
            <v>OFFICE SUPPLIES</v>
          </cell>
          <cell r="C335" t="str">
            <v>PPDO</v>
          </cell>
          <cell r="D335" t="str">
            <v>No</v>
          </cell>
          <cell r="E335" t="str">
            <v>Shopping 52.1(b) - Regular Office Supplies and Equipment no available in PS</v>
          </cell>
          <cell r="F335" t="str">
            <v>N/A</v>
          </cell>
          <cell r="G335">
            <v>45376</v>
          </cell>
          <cell r="H335">
            <v>0</v>
          </cell>
          <cell r="I335" t="str">
            <v>N/A</v>
          </cell>
          <cell r="J335">
            <v>45385</v>
          </cell>
          <cell r="K335">
            <v>45385</v>
          </cell>
          <cell r="L335">
            <v>0</v>
          </cell>
          <cell r="M335" t="str">
            <v>N/A</v>
          </cell>
          <cell r="N335" t="str">
            <v>N/A</v>
          </cell>
          <cell r="O335">
            <v>45386</v>
          </cell>
          <cell r="P335">
            <v>0</v>
          </cell>
          <cell r="Q335">
            <v>0</v>
          </cell>
          <cell r="R335">
            <v>0</v>
          </cell>
          <cell r="S335">
            <v>45387</v>
          </cell>
          <cell r="T335">
            <v>45406</v>
          </cell>
          <cell r="U335">
            <v>45408</v>
          </cell>
          <cell r="V335">
            <v>0</v>
          </cell>
          <cell r="W335">
            <v>0</v>
          </cell>
          <cell r="X335">
            <v>45420</v>
          </cell>
          <cell r="Y335">
            <v>45420</v>
          </cell>
          <cell r="Z335">
            <v>0</v>
          </cell>
          <cell r="AA335">
            <v>261449</v>
          </cell>
          <cell r="AB335">
            <v>261449</v>
          </cell>
          <cell r="AC335">
            <v>0</v>
          </cell>
          <cell r="AD335">
            <v>255010</v>
          </cell>
          <cell r="AE335">
            <v>255010</v>
          </cell>
          <cell r="AF335">
            <v>0</v>
          </cell>
          <cell r="AG335" t="str">
            <v>M</v>
          </cell>
          <cell r="AH335" t="str">
            <v>ENGR. MICHAEL C. SALARDA
MS. LEONARDA M. LATOR
MS. CARMENCITA VALDEZ
MS. SORAYA P. VERGARA</v>
          </cell>
          <cell r="AI335" t="str">
            <v>N/A</v>
          </cell>
          <cell r="AJ335" t="str">
            <v>N/A</v>
          </cell>
          <cell r="AK335" t="str">
            <v>N/A</v>
          </cell>
          <cell r="AL335" t="str">
            <v>N/A</v>
          </cell>
          <cell r="AM335" t="str">
            <v>N/A</v>
          </cell>
          <cell r="AN335" t="str">
            <v>N/A</v>
          </cell>
          <cell r="AO335" t="str">
            <v>COMPLETED</v>
          </cell>
        </row>
        <row r="336">
          <cell r="A336" t="str">
            <v>24-C1331</v>
          </cell>
          <cell r="B336" t="str">
            <v>CONSTRUCTION SUPPLIES</v>
          </cell>
          <cell r="C336" t="str">
            <v>PDRRMO</v>
          </cell>
          <cell r="D336" t="str">
            <v>No</v>
          </cell>
          <cell r="E336" t="str">
            <v>NP-53.2 Emergency Cases</v>
          </cell>
          <cell r="F336" t="str">
            <v>N/A</v>
          </cell>
          <cell r="G336">
            <v>45385</v>
          </cell>
          <cell r="H336">
            <v>0</v>
          </cell>
          <cell r="I336" t="str">
            <v>N/A</v>
          </cell>
          <cell r="J336">
            <v>45385</v>
          </cell>
          <cell r="K336">
            <v>45385</v>
          </cell>
          <cell r="L336">
            <v>0</v>
          </cell>
          <cell r="M336" t="str">
            <v>N/A</v>
          </cell>
          <cell r="N336" t="str">
            <v>N/A</v>
          </cell>
          <cell r="O336">
            <v>45386</v>
          </cell>
          <cell r="P336">
            <v>0</v>
          </cell>
          <cell r="Q336">
            <v>0</v>
          </cell>
          <cell r="R336">
            <v>0</v>
          </cell>
          <cell r="S336">
            <v>45386</v>
          </cell>
          <cell r="T336">
            <v>45387</v>
          </cell>
          <cell r="U336">
            <v>45390</v>
          </cell>
          <cell r="V336">
            <v>0</v>
          </cell>
          <cell r="W336">
            <v>0</v>
          </cell>
          <cell r="X336">
            <v>45427</v>
          </cell>
          <cell r="Y336">
            <v>45427</v>
          </cell>
          <cell r="Z336">
            <v>0</v>
          </cell>
          <cell r="AA336">
            <v>2599011.85</v>
          </cell>
          <cell r="AB336">
            <v>0</v>
          </cell>
          <cell r="AC336">
            <v>2599011.85</v>
          </cell>
          <cell r="AD336">
            <v>2594573.25</v>
          </cell>
          <cell r="AE336">
            <v>0</v>
          </cell>
          <cell r="AF336">
            <v>2594573.25</v>
          </cell>
          <cell r="AG336" t="str">
            <v>C</v>
          </cell>
          <cell r="AH336" t="str">
            <v>ENGR. MICHAEL C. SALARDA
MS. LEONARDA M. LATOR
MS. CARMENCITA VALDEZ
MS. SORAYA P. VERGARA</v>
          </cell>
          <cell r="AI336" t="str">
            <v>N/A</v>
          </cell>
          <cell r="AJ336" t="str">
            <v>N/A</v>
          </cell>
          <cell r="AK336" t="str">
            <v>N/A</v>
          </cell>
          <cell r="AL336" t="str">
            <v>N/A</v>
          </cell>
          <cell r="AM336" t="str">
            <v>N/A</v>
          </cell>
          <cell r="AN336" t="str">
            <v>N/A</v>
          </cell>
          <cell r="AO336" t="str">
            <v>COMPLETED</v>
          </cell>
        </row>
        <row r="337">
          <cell r="A337" t="str">
            <v>24-C1179</v>
          </cell>
          <cell r="B337" t="str">
            <v>TARPAULIN</v>
          </cell>
          <cell r="C337" t="str">
            <v>PHO</v>
          </cell>
          <cell r="D337" t="str">
            <v>No</v>
          </cell>
          <cell r="E337" t="str">
            <v>NP-53.9 - Small Value Procurement</v>
          </cell>
          <cell r="F337" t="str">
            <v>N/A</v>
          </cell>
          <cell r="G337">
            <v>45371</v>
          </cell>
          <cell r="H337">
            <v>0</v>
          </cell>
          <cell r="I337" t="str">
            <v>N/A</v>
          </cell>
          <cell r="J337">
            <v>45385</v>
          </cell>
          <cell r="K337">
            <v>45385</v>
          </cell>
          <cell r="L337">
            <v>0</v>
          </cell>
          <cell r="M337" t="str">
            <v>N/A</v>
          </cell>
          <cell r="N337" t="str">
            <v>N/A</v>
          </cell>
          <cell r="O337">
            <v>45386</v>
          </cell>
          <cell r="P337">
            <v>0</v>
          </cell>
          <cell r="Q337">
            <v>0</v>
          </cell>
          <cell r="R337">
            <v>0</v>
          </cell>
          <cell r="S337">
            <v>45393</v>
          </cell>
          <cell r="T337">
            <v>45411</v>
          </cell>
          <cell r="U337">
            <v>45422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71288</v>
          </cell>
          <cell r="AB337">
            <v>0</v>
          </cell>
          <cell r="AC337">
            <v>71288</v>
          </cell>
          <cell r="AD337">
            <v>63232.800000000003</v>
          </cell>
          <cell r="AE337">
            <v>0</v>
          </cell>
          <cell r="AF337">
            <v>63232.800000000003</v>
          </cell>
          <cell r="AG337" t="str">
            <v>C</v>
          </cell>
          <cell r="AH337" t="str">
            <v>ENGR. MICHAEL C. SALARDA
MS. LEONARDA M. LATOR
MS. CARMENCITA VALDEZ
MS. SORAYA P. VERGARA</v>
          </cell>
          <cell r="AI337" t="str">
            <v>N/A</v>
          </cell>
          <cell r="AJ337" t="str">
            <v>N/A</v>
          </cell>
          <cell r="AK337" t="str">
            <v>N/A</v>
          </cell>
          <cell r="AL337" t="str">
            <v>N/A</v>
          </cell>
          <cell r="AM337" t="str">
            <v>N/A</v>
          </cell>
          <cell r="AN337" t="str">
            <v>N/A</v>
          </cell>
          <cell r="AO337" t="str">
            <v>COMPLETED</v>
          </cell>
        </row>
        <row r="338">
          <cell r="A338" t="str">
            <v>24-C1203</v>
          </cell>
          <cell r="B338" t="str">
            <v>SPORTS SUPPLIES &amp; EQUIPMENT</v>
          </cell>
          <cell r="C338" t="str">
            <v>SEF</v>
          </cell>
          <cell r="D338" t="str">
            <v>No</v>
          </cell>
          <cell r="E338" t="str">
            <v>NP-53.9 - Small Value Procurement</v>
          </cell>
          <cell r="F338" t="str">
            <v>N/A</v>
          </cell>
          <cell r="G338">
            <v>45376</v>
          </cell>
          <cell r="H338">
            <v>0</v>
          </cell>
          <cell r="I338" t="str">
            <v>N/A</v>
          </cell>
          <cell r="J338">
            <v>45385</v>
          </cell>
          <cell r="K338">
            <v>45385</v>
          </cell>
          <cell r="L338">
            <v>0</v>
          </cell>
          <cell r="M338" t="str">
            <v>N/A</v>
          </cell>
          <cell r="N338" t="str">
            <v>N/A</v>
          </cell>
          <cell r="O338">
            <v>45386</v>
          </cell>
          <cell r="P338">
            <v>0</v>
          </cell>
          <cell r="Q338">
            <v>0</v>
          </cell>
          <cell r="R338">
            <v>0</v>
          </cell>
          <cell r="S338">
            <v>45387</v>
          </cell>
          <cell r="T338">
            <v>45415</v>
          </cell>
          <cell r="U338">
            <v>45418</v>
          </cell>
          <cell r="V338">
            <v>0</v>
          </cell>
          <cell r="W338">
            <v>0</v>
          </cell>
          <cell r="X338">
            <v>45446</v>
          </cell>
          <cell r="Y338">
            <v>45446</v>
          </cell>
          <cell r="Z338">
            <v>0</v>
          </cell>
          <cell r="AA338">
            <v>422848</v>
          </cell>
          <cell r="AB338">
            <v>0</v>
          </cell>
          <cell r="AC338">
            <v>422848</v>
          </cell>
          <cell r="AD338">
            <v>418361.5</v>
          </cell>
          <cell r="AE338">
            <v>0</v>
          </cell>
          <cell r="AF338">
            <v>418361.5</v>
          </cell>
          <cell r="AG338" t="str">
            <v>C</v>
          </cell>
          <cell r="AH338" t="str">
            <v>ENGR. MICHAEL C. SALARDA
MS. LEONARDA M. LATOR
MS. CARMENCITA VALDEZ
MS. SORAYA P. VERGARA</v>
          </cell>
          <cell r="AI338" t="str">
            <v>N/A</v>
          </cell>
          <cell r="AJ338" t="str">
            <v>N/A</v>
          </cell>
          <cell r="AK338" t="str">
            <v>N/A</v>
          </cell>
          <cell r="AL338" t="str">
            <v>N/A</v>
          </cell>
          <cell r="AM338" t="str">
            <v>N/A</v>
          </cell>
          <cell r="AN338" t="str">
            <v>N/A</v>
          </cell>
          <cell r="AO338" t="str">
            <v>COMPLETED</v>
          </cell>
        </row>
        <row r="339">
          <cell r="A339" t="str">
            <v>24-1414</v>
          </cell>
          <cell r="B339" t="str">
            <v>SPAREPARTS (GRASS CUTTER)</v>
          </cell>
          <cell r="C339" t="str">
            <v>PGSO</v>
          </cell>
          <cell r="D339" t="str">
            <v>No</v>
          </cell>
          <cell r="E339" t="str">
            <v>NP-53.9 - Small Value Procurement</v>
          </cell>
          <cell r="F339" t="str">
            <v>N/A</v>
          </cell>
          <cell r="G339">
            <v>45371</v>
          </cell>
          <cell r="H339">
            <v>0</v>
          </cell>
          <cell r="I339" t="str">
            <v>N/A</v>
          </cell>
          <cell r="J339">
            <v>45385</v>
          </cell>
          <cell r="K339">
            <v>45385</v>
          </cell>
          <cell r="L339">
            <v>0</v>
          </cell>
          <cell r="M339" t="str">
            <v>N/A</v>
          </cell>
          <cell r="N339" t="str">
            <v>N/A</v>
          </cell>
          <cell r="O339">
            <v>45386</v>
          </cell>
          <cell r="P339">
            <v>0</v>
          </cell>
          <cell r="Q339">
            <v>0</v>
          </cell>
          <cell r="R339">
            <v>0</v>
          </cell>
          <cell r="S339" t="str">
            <v>N/A</v>
          </cell>
          <cell r="T339">
            <v>45394</v>
          </cell>
          <cell r="U339">
            <v>45420</v>
          </cell>
          <cell r="V339">
            <v>0</v>
          </cell>
          <cell r="W339">
            <v>0</v>
          </cell>
          <cell r="X339">
            <v>45436</v>
          </cell>
          <cell r="Y339">
            <v>45436</v>
          </cell>
          <cell r="Z339">
            <v>0</v>
          </cell>
          <cell r="AA339">
            <v>15580</v>
          </cell>
          <cell r="AB339">
            <v>15580</v>
          </cell>
          <cell r="AC339">
            <v>0</v>
          </cell>
          <cell r="AD339">
            <v>15100</v>
          </cell>
          <cell r="AE339">
            <v>15100</v>
          </cell>
          <cell r="AF339">
            <v>0</v>
          </cell>
          <cell r="AG339" t="str">
            <v>M</v>
          </cell>
          <cell r="AH339" t="str">
            <v>ENGR. MICHAEL C. SALARDA
MS. LEONARDA M. LATOR
MS. CARMENCITA VALDEZ
MS. SORAYA P. VERGARA</v>
          </cell>
          <cell r="AI339" t="str">
            <v>N/A</v>
          </cell>
          <cell r="AJ339" t="str">
            <v>N/A</v>
          </cell>
          <cell r="AK339" t="str">
            <v>N/A</v>
          </cell>
          <cell r="AL339" t="str">
            <v>N/A</v>
          </cell>
          <cell r="AM339" t="str">
            <v>N/A</v>
          </cell>
          <cell r="AN339" t="str">
            <v>N/A</v>
          </cell>
          <cell r="AO339" t="str">
            <v>COMPLETED</v>
          </cell>
        </row>
        <row r="340">
          <cell r="A340" t="str">
            <v>24-1417</v>
          </cell>
          <cell r="B340" t="str">
            <v>SPAREPARTS (MOTORCYCLE)</v>
          </cell>
          <cell r="C340" t="str">
            <v>PGSO</v>
          </cell>
          <cell r="D340" t="str">
            <v>No</v>
          </cell>
          <cell r="E340" t="str">
            <v>NP-53.9 - Small Value Procurement</v>
          </cell>
          <cell r="F340">
            <v>45356</v>
          </cell>
          <cell r="G340">
            <v>45359</v>
          </cell>
          <cell r="H340">
            <v>0</v>
          </cell>
          <cell r="I340" t="str">
            <v>N/A</v>
          </cell>
          <cell r="J340">
            <v>45385</v>
          </cell>
          <cell r="K340">
            <v>45385</v>
          </cell>
          <cell r="L340">
            <v>0</v>
          </cell>
          <cell r="M340" t="str">
            <v>N/A</v>
          </cell>
          <cell r="N340" t="str">
            <v>N/A</v>
          </cell>
          <cell r="O340">
            <v>45386</v>
          </cell>
          <cell r="P340">
            <v>0</v>
          </cell>
          <cell r="Q340">
            <v>0</v>
          </cell>
          <cell r="R340">
            <v>0</v>
          </cell>
          <cell r="S340" t="str">
            <v>N/A</v>
          </cell>
          <cell r="T340">
            <v>45394</v>
          </cell>
          <cell r="U340">
            <v>45433</v>
          </cell>
          <cell r="V340">
            <v>0</v>
          </cell>
          <cell r="W340">
            <v>0</v>
          </cell>
          <cell r="X340">
            <v>45440</v>
          </cell>
          <cell r="Y340">
            <v>45440</v>
          </cell>
          <cell r="Z340">
            <v>0</v>
          </cell>
          <cell r="AA340">
            <v>810</v>
          </cell>
          <cell r="AB340">
            <v>810</v>
          </cell>
          <cell r="AC340">
            <v>0</v>
          </cell>
          <cell r="AD340">
            <v>810</v>
          </cell>
          <cell r="AE340">
            <v>810</v>
          </cell>
          <cell r="AF340">
            <v>0</v>
          </cell>
          <cell r="AG340" t="str">
            <v>M</v>
          </cell>
          <cell r="AH340" t="str">
            <v>ENGR. MICHAEL C. SALARDA
MS. LEONARDA M. LATOR
MS. CARMENCITA VALDEZ
MS. SORAYA P. VERGARA</v>
          </cell>
          <cell r="AI340" t="str">
            <v>N/A</v>
          </cell>
          <cell r="AJ340" t="str">
            <v>N/A</v>
          </cell>
          <cell r="AK340" t="str">
            <v>N/A</v>
          </cell>
          <cell r="AL340" t="str">
            <v>N/A</v>
          </cell>
          <cell r="AM340" t="str">
            <v>N/A</v>
          </cell>
          <cell r="AN340" t="str">
            <v>N/A</v>
          </cell>
          <cell r="AO340" t="str">
            <v>COMPLETED</v>
          </cell>
        </row>
        <row r="341">
          <cell r="A341" t="str">
            <v>24-C1054</v>
          </cell>
          <cell r="B341" t="str">
            <v>FOOD CATERING/SERVICES</v>
          </cell>
          <cell r="C341" t="str">
            <v>PHO</v>
          </cell>
          <cell r="D341" t="str">
            <v>No</v>
          </cell>
          <cell r="E341" t="str">
            <v>NP-53.9 - Small Value Procurement</v>
          </cell>
          <cell r="F341">
            <v>45370</v>
          </cell>
          <cell r="G341">
            <v>45376</v>
          </cell>
          <cell r="H341">
            <v>0</v>
          </cell>
          <cell r="I341" t="str">
            <v>N/A</v>
          </cell>
          <cell r="J341">
            <v>45385</v>
          </cell>
          <cell r="K341">
            <v>45385</v>
          </cell>
          <cell r="L341">
            <v>0</v>
          </cell>
          <cell r="M341" t="str">
            <v>N/A</v>
          </cell>
          <cell r="N341" t="str">
            <v>N/A</v>
          </cell>
          <cell r="O341">
            <v>45386</v>
          </cell>
          <cell r="P341">
            <v>0</v>
          </cell>
          <cell r="Q341">
            <v>0</v>
          </cell>
          <cell r="R341">
            <v>0</v>
          </cell>
          <cell r="S341">
            <v>45386</v>
          </cell>
          <cell r="T341">
            <v>45406</v>
          </cell>
          <cell r="U341">
            <v>45411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398530</v>
          </cell>
          <cell r="AB341">
            <v>0</v>
          </cell>
          <cell r="AC341">
            <v>398530</v>
          </cell>
          <cell r="AD341">
            <v>383530</v>
          </cell>
          <cell r="AE341">
            <v>0</v>
          </cell>
          <cell r="AF341">
            <v>383530</v>
          </cell>
          <cell r="AG341" t="str">
            <v>C</v>
          </cell>
          <cell r="AH341" t="str">
            <v>ENGR. MICHAEL C. SALARDA
MS. LEONARDA M. LATOR
MS. CARMENCITA VALDEZ
MS. SORAYA P. VERGARA</v>
          </cell>
          <cell r="AI341" t="str">
            <v>N/A</v>
          </cell>
          <cell r="AJ341" t="str">
            <v>N/A</v>
          </cell>
          <cell r="AK341" t="str">
            <v>N/A</v>
          </cell>
          <cell r="AL341" t="str">
            <v>N/A</v>
          </cell>
          <cell r="AM341" t="str">
            <v>N/A</v>
          </cell>
          <cell r="AN341" t="str">
            <v>N/A</v>
          </cell>
          <cell r="AO341" t="str">
            <v>PARTIAL DELIVERY</v>
          </cell>
        </row>
        <row r="342">
          <cell r="A342" t="str">
            <v>24-1421</v>
          </cell>
          <cell r="B342" t="str">
            <v>SPAREPARTS (MOTORCYCLE)</v>
          </cell>
          <cell r="C342" t="str">
            <v>PGSO</v>
          </cell>
          <cell r="D342" t="str">
            <v>No</v>
          </cell>
          <cell r="E342" t="str">
            <v>NP-53.9 - Small Value Procurement</v>
          </cell>
          <cell r="F342">
            <v>45356</v>
          </cell>
          <cell r="G342">
            <v>45359</v>
          </cell>
          <cell r="H342">
            <v>0</v>
          </cell>
          <cell r="I342" t="str">
            <v>N/A</v>
          </cell>
          <cell r="J342">
            <v>45385</v>
          </cell>
          <cell r="K342">
            <v>45385</v>
          </cell>
          <cell r="L342">
            <v>0</v>
          </cell>
          <cell r="M342" t="str">
            <v>N/A</v>
          </cell>
          <cell r="N342" t="str">
            <v>N/A</v>
          </cell>
          <cell r="O342">
            <v>45386</v>
          </cell>
          <cell r="P342">
            <v>0</v>
          </cell>
          <cell r="Q342">
            <v>0</v>
          </cell>
          <cell r="R342">
            <v>0</v>
          </cell>
          <cell r="S342" t="str">
            <v>N/A</v>
          </cell>
          <cell r="T342">
            <v>45394</v>
          </cell>
          <cell r="U342">
            <v>45433</v>
          </cell>
          <cell r="V342">
            <v>0</v>
          </cell>
          <cell r="W342">
            <v>0</v>
          </cell>
          <cell r="X342">
            <v>45440</v>
          </cell>
          <cell r="Y342">
            <v>45440</v>
          </cell>
          <cell r="Z342">
            <v>0</v>
          </cell>
          <cell r="AA342">
            <v>8400</v>
          </cell>
          <cell r="AB342">
            <v>8400</v>
          </cell>
          <cell r="AC342">
            <v>0</v>
          </cell>
          <cell r="AD342">
            <v>8400</v>
          </cell>
          <cell r="AE342">
            <v>8400</v>
          </cell>
          <cell r="AF342">
            <v>0</v>
          </cell>
          <cell r="AG342" t="str">
            <v>M</v>
          </cell>
          <cell r="AH342" t="str">
            <v>ENGR. MICHAEL C. SALARDA
MS. LEONARDA M. LATOR
MS. CARMENCITA VALDEZ
MS. SORAYA P. VERGARA</v>
          </cell>
          <cell r="AI342" t="str">
            <v>N/A</v>
          </cell>
          <cell r="AJ342" t="str">
            <v>N/A</v>
          </cell>
          <cell r="AK342" t="str">
            <v>N/A</v>
          </cell>
          <cell r="AL342" t="str">
            <v>N/A</v>
          </cell>
          <cell r="AM342" t="str">
            <v>N/A</v>
          </cell>
          <cell r="AN342" t="str">
            <v>N/A</v>
          </cell>
          <cell r="AO342" t="str">
            <v>COMPLETED</v>
          </cell>
        </row>
        <row r="343">
          <cell r="A343" t="str">
            <v>24-1279</v>
          </cell>
          <cell r="B343" t="str">
            <v>SPAREPARTS (MOTORCYCLE)</v>
          </cell>
          <cell r="C343" t="str">
            <v>PGSO</v>
          </cell>
          <cell r="D343" t="str">
            <v>No</v>
          </cell>
          <cell r="E343" t="str">
            <v>NP-53.9 - Small Value Procurement</v>
          </cell>
          <cell r="F343">
            <v>45356</v>
          </cell>
          <cell r="G343">
            <v>45359</v>
          </cell>
          <cell r="H343">
            <v>0</v>
          </cell>
          <cell r="I343" t="str">
            <v>N/A</v>
          </cell>
          <cell r="J343">
            <v>45385</v>
          </cell>
          <cell r="K343">
            <v>45385</v>
          </cell>
          <cell r="L343">
            <v>0</v>
          </cell>
          <cell r="M343" t="str">
            <v>N/A</v>
          </cell>
          <cell r="N343" t="str">
            <v>N/A</v>
          </cell>
          <cell r="O343">
            <v>45386</v>
          </cell>
          <cell r="P343">
            <v>0</v>
          </cell>
          <cell r="Q343">
            <v>0</v>
          </cell>
          <cell r="R343">
            <v>0</v>
          </cell>
          <cell r="S343" t="str">
            <v>N/A</v>
          </cell>
          <cell r="T343">
            <v>45394</v>
          </cell>
          <cell r="U343">
            <v>45433</v>
          </cell>
          <cell r="V343">
            <v>0</v>
          </cell>
          <cell r="W343">
            <v>0</v>
          </cell>
          <cell r="X343">
            <v>45440</v>
          </cell>
          <cell r="Y343">
            <v>45440</v>
          </cell>
          <cell r="Z343">
            <v>0</v>
          </cell>
          <cell r="AA343">
            <v>9850</v>
          </cell>
          <cell r="AB343">
            <v>9850</v>
          </cell>
          <cell r="AC343">
            <v>0</v>
          </cell>
          <cell r="AD343">
            <v>9850</v>
          </cell>
          <cell r="AE343">
            <v>9850</v>
          </cell>
          <cell r="AF343">
            <v>0</v>
          </cell>
          <cell r="AG343" t="str">
            <v>M</v>
          </cell>
          <cell r="AH343" t="str">
            <v>ENGR. MICHAEL C. SALARDA
MS. LEONARDA M. LATOR
MS. CARMENCITA VALDEZ
MS. SORAYA P. VERGARA</v>
          </cell>
          <cell r="AI343" t="str">
            <v>N/A</v>
          </cell>
          <cell r="AJ343" t="str">
            <v>N/A</v>
          </cell>
          <cell r="AK343" t="str">
            <v>N/A</v>
          </cell>
          <cell r="AL343" t="str">
            <v>N/A</v>
          </cell>
          <cell r="AM343" t="str">
            <v>N/A</v>
          </cell>
          <cell r="AN343" t="str">
            <v>N/A</v>
          </cell>
          <cell r="AO343" t="str">
            <v>COMPLETED</v>
          </cell>
        </row>
        <row r="344">
          <cell r="A344" t="str">
            <v>24-C1204</v>
          </cell>
          <cell r="B344" t="str">
            <v>SPORTS UNIFORM</v>
          </cell>
          <cell r="C344" t="str">
            <v>SEF</v>
          </cell>
          <cell r="D344" t="str">
            <v>No</v>
          </cell>
          <cell r="E344" t="str">
            <v>Competitive Bidding</v>
          </cell>
          <cell r="F344" t="str">
            <v>N/A</v>
          </cell>
          <cell r="G344">
            <v>45365</v>
          </cell>
          <cell r="H344">
            <v>0</v>
          </cell>
          <cell r="I344">
            <v>45373</v>
          </cell>
          <cell r="J344">
            <v>45385</v>
          </cell>
          <cell r="K344">
            <v>45385</v>
          </cell>
          <cell r="L344">
            <v>0</v>
          </cell>
          <cell r="M344">
            <v>45385</v>
          </cell>
          <cell r="N344">
            <v>45387</v>
          </cell>
          <cell r="O344">
            <v>45387</v>
          </cell>
          <cell r="P344">
            <v>0</v>
          </cell>
          <cell r="Q344">
            <v>0</v>
          </cell>
          <cell r="R344">
            <v>0</v>
          </cell>
          <cell r="S344">
            <v>45388</v>
          </cell>
          <cell r="T344">
            <v>45390</v>
          </cell>
          <cell r="U344">
            <v>45390</v>
          </cell>
          <cell r="V344">
            <v>0</v>
          </cell>
          <cell r="W344">
            <v>0</v>
          </cell>
          <cell r="X344">
            <v>45406</v>
          </cell>
          <cell r="Y344">
            <v>45406</v>
          </cell>
          <cell r="Z344">
            <v>0</v>
          </cell>
          <cell r="AA344">
            <v>1133060</v>
          </cell>
          <cell r="AB344">
            <v>0</v>
          </cell>
          <cell r="AC344">
            <v>1133060</v>
          </cell>
          <cell r="AD344">
            <v>1132791.75</v>
          </cell>
          <cell r="AE344">
            <v>0</v>
          </cell>
          <cell r="AF344">
            <v>1132791.75</v>
          </cell>
          <cell r="AG344" t="str">
            <v>C</v>
          </cell>
          <cell r="AH344" t="str">
            <v>ENGR. MICHAEL C. SALARDA
MS. LEONARDA M. LATOR
MS. CARMENCITA VALDEZ
MS. SORAYA P. VERGARA</v>
          </cell>
          <cell r="AI344">
            <v>45372</v>
          </cell>
          <cell r="AJ344">
            <v>45383</v>
          </cell>
          <cell r="AK344">
            <v>45383</v>
          </cell>
          <cell r="AL344">
            <v>45383</v>
          </cell>
          <cell r="AM344" t="str">
            <v>N/A</v>
          </cell>
          <cell r="AN344" t="str">
            <v>N/A</v>
          </cell>
          <cell r="AO344" t="str">
            <v>COMPLETED</v>
          </cell>
        </row>
        <row r="345">
          <cell r="A345" t="str">
            <v>24-C1146</v>
          </cell>
          <cell r="B345" t="str">
            <v>MEDICAL SUPPLIES</v>
          </cell>
          <cell r="C345" t="str">
            <v>PGO</v>
          </cell>
          <cell r="D345" t="str">
            <v>No</v>
          </cell>
          <cell r="E345" t="str">
            <v>Competitive Bidding</v>
          </cell>
          <cell r="F345" t="str">
            <v>N/A</v>
          </cell>
          <cell r="G345">
            <v>45362</v>
          </cell>
          <cell r="H345">
            <v>0</v>
          </cell>
          <cell r="I345" t="str">
            <v>N/A</v>
          </cell>
          <cell r="J345">
            <v>45370</v>
          </cell>
          <cell r="K345">
            <v>45370</v>
          </cell>
          <cell r="L345">
            <v>0</v>
          </cell>
          <cell r="M345">
            <v>45370</v>
          </cell>
          <cell r="N345">
            <v>45386</v>
          </cell>
          <cell r="O345">
            <v>45388</v>
          </cell>
          <cell r="P345">
            <v>0</v>
          </cell>
          <cell r="Q345">
            <v>0</v>
          </cell>
          <cell r="R345">
            <v>0</v>
          </cell>
          <cell r="S345">
            <v>45393</v>
          </cell>
          <cell r="T345">
            <v>45412</v>
          </cell>
          <cell r="U345">
            <v>45433</v>
          </cell>
          <cell r="V345">
            <v>0</v>
          </cell>
          <cell r="W345">
            <v>0</v>
          </cell>
          <cell r="X345">
            <v>45462</v>
          </cell>
          <cell r="Y345">
            <v>45462</v>
          </cell>
          <cell r="Z345">
            <v>0</v>
          </cell>
          <cell r="AA345">
            <v>323640</v>
          </cell>
          <cell r="AB345">
            <v>0</v>
          </cell>
          <cell r="AC345">
            <v>323640</v>
          </cell>
          <cell r="AD345">
            <v>152980</v>
          </cell>
          <cell r="AE345">
            <v>0</v>
          </cell>
          <cell r="AF345">
            <v>152980</v>
          </cell>
          <cell r="AG345" t="str">
            <v>C</v>
          </cell>
          <cell r="AH345" t="str">
            <v>ENGR. MICHAEL C. SALARDA
MS. LEONARDA M. LATOR
MS. CARMENCITA VALDEZ
MS. SORAYA P. VERGARA</v>
          </cell>
          <cell r="AI345" t="str">
            <v>N/A</v>
          </cell>
          <cell r="AJ345">
            <v>45366</v>
          </cell>
          <cell r="AK345">
            <v>45366</v>
          </cell>
          <cell r="AL345">
            <v>45366</v>
          </cell>
          <cell r="AM345" t="str">
            <v>N/A</v>
          </cell>
          <cell r="AN345" t="str">
            <v>N/A</v>
          </cell>
          <cell r="AO345" t="str">
            <v>COMPLETED</v>
          </cell>
        </row>
        <row r="346">
          <cell r="A346" t="str">
            <v>23-5532</v>
          </cell>
          <cell r="B346" t="str">
            <v xml:space="preserve">JOB ORDER (LABOR &amp; MATERIALS) </v>
          </cell>
          <cell r="C346" t="str">
            <v>DDOPH-Montevista</v>
          </cell>
          <cell r="D346" t="str">
            <v>No</v>
          </cell>
          <cell r="E346" t="str">
            <v>NP-53.1 Two Failed Biddings</v>
          </cell>
          <cell r="F346">
            <v>45279</v>
          </cell>
          <cell r="G346">
            <v>45359</v>
          </cell>
          <cell r="H346">
            <v>0</v>
          </cell>
          <cell r="I346" t="str">
            <v>N/A</v>
          </cell>
          <cell r="J346">
            <v>45387</v>
          </cell>
          <cell r="K346">
            <v>45387</v>
          </cell>
          <cell r="L346">
            <v>0</v>
          </cell>
          <cell r="M346" t="str">
            <v>N/A</v>
          </cell>
          <cell r="N346" t="str">
            <v>N/A</v>
          </cell>
          <cell r="O346">
            <v>45394</v>
          </cell>
          <cell r="P346">
            <v>0</v>
          </cell>
          <cell r="Q346">
            <v>0</v>
          </cell>
          <cell r="R346">
            <v>0</v>
          </cell>
          <cell r="S346">
            <v>45394</v>
          </cell>
          <cell r="T346">
            <v>45399</v>
          </cell>
          <cell r="U346">
            <v>45436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1500000</v>
          </cell>
          <cell r="AB346">
            <v>0</v>
          </cell>
          <cell r="AC346">
            <v>1500000</v>
          </cell>
          <cell r="AD346">
            <v>1388800</v>
          </cell>
          <cell r="AE346">
            <v>0</v>
          </cell>
          <cell r="AF346">
            <v>1388800</v>
          </cell>
          <cell r="AG346" t="str">
            <v>C</v>
          </cell>
          <cell r="AH346" t="str">
            <v>ENGR. MICHAEL C. SALARDA
MS. LEONARDA M. LATOR
MS. CARMENCITA VALDEZ
MS. SORAYA P. VERGARA</v>
          </cell>
          <cell r="AI346" t="str">
            <v>N/A</v>
          </cell>
          <cell r="AJ346" t="str">
            <v>N/A</v>
          </cell>
          <cell r="AK346" t="str">
            <v>N/A</v>
          </cell>
          <cell r="AL346" t="str">
            <v>N/A</v>
          </cell>
          <cell r="AM346" t="str">
            <v>N/A</v>
          </cell>
          <cell r="AN346" t="str">
            <v>N/A</v>
          </cell>
          <cell r="AO346">
            <v>0</v>
          </cell>
        </row>
        <row r="347">
          <cell r="A347" t="str">
            <v>24-1284</v>
          </cell>
          <cell r="B347" t="str">
            <v>SPAREPARTS (MOTORCYCLE)</v>
          </cell>
          <cell r="C347" t="str">
            <v>PGSO</v>
          </cell>
          <cell r="D347" t="str">
            <v>No</v>
          </cell>
          <cell r="E347" t="str">
            <v>Shopping 52.1(a) - Unforeseen Contingency</v>
          </cell>
          <cell r="F347">
            <v>45356</v>
          </cell>
          <cell r="G347">
            <v>45371</v>
          </cell>
          <cell r="H347">
            <v>0</v>
          </cell>
          <cell r="I347" t="str">
            <v>N/A</v>
          </cell>
          <cell r="J347">
            <v>45387</v>
          </cell>
          <cell r="K347">
            <v>45387</v>
          </cell>
          <cell r="L347">
            <v>0</v>
          </cell>
          <cell r="M347" t="str">
            <v>N/A</v>
          </cell>
          <cell r="N347" t="str">
            <v>N/A</v>
          </cell>
          <cell r="O347">
            <v>45394</v>
          </cell>
          <cell r="P347">
            <v>0</v>
          </cell>
          <cell r="Q347">
            <v>0</v>
          </cell>
          <cell r="R347">
            <v>0</v>
          </cell>
          <cell r="S347" t="str">
            <v>N/A</v>
          </cell>
          <cell r="T347">
            <v>45405</v>
          </cell>
          <cell r="U347">
            <v>45420</v>
          </cell>
          <cell r="V347">
            <v>0</v>
          </cell>
          <cell r="W347">
            <v>0</v>
          </cell>
          <cell r="X347">
            <v>45420</v>
          </cell>
          <cell r="Y347">
            <v>45420</v>
          </cell>
          <cell r="Z347">
            <v>0</v>
          </cell>
          <cell r="AA347">
            <v>31620</v>
          </cell>
          <cell r="AB347">
            <v>31620</v>
          </cell>
          <cell r="AC347">
            <v>0</v>
          </cell>
          <cell r="AD347">
            <v>31620</v>
          </cell>
          <cell r="AE347">
            <v>31620</v>
          </cell>
          <cell r="AF347">
            <v>0</v>
          </cell>
          <cell r="AG347" t="str">
            <v>M</v>
          </cell>
          <cell r="AH347" t="str">
            <v>ENGR. MICHAEL C. SALARDA
MS. LEONARDA M. LATOR
MS. CARMENCITA VALDEZ
MS. SORAYA P. VERGARA</v>
          </cell>
          <cell r="AI347" t="str">
            <v>N/A</v>
          </cell>
          <cell r="AJ347" t="str">
            <v>N/A</v>
          </cell>
          <cell r="AK347" t="str">
            <v>N/A</v>
          </cell>
          <cell r="AL347" t="str">
            <v>N/A</v>
          </cell>
          <cell r="AM347" t="str">
            <v>N/A</v>
          </cell>
          <cell r="AN347" t="str">
            <v>N/A</v>
          </cell>
          <cell r="AO347" t="str">
            <v>COMPLETED</v>
          </cell>
        </row>
        <row r="348">
          <cell r="A348" t="str">
            <v>24-1570</v>
          </cell>
          <cell r="B348" t="str">
            <v>SPAREPARTS (LIGHT VEHICLES)</v>
          </cell>
          <cell r="C348" t="str">
            <v>PGSO</v>
          </cell>
          <cell r="D348" t="str">
            <v>No</v>
          </cell>
          <cell r="E348" t="str">
            <v>Shopping 52.1(a) - Unforeseen Contingency</v>
          </cell>
          <cell r="F348" t="str">
            <v>N/A</v>
          </cell>
          <cell r="G348">
            <v>45371</v>
          </cell>
          <cell r="H348">
            <v>0</v>
          </cell>
          <cell r="I348" t="str">
            <v>N/A</v>
          </cell>
          <cell r="J348">
            <v>45387</v>
          </cell>
          <cell r="K348">
            <v>45387</v>
          </cell>
          <cell r="L348">
            <v>0</v>
          </cell>
          <cell r="M348" t="str">
            <v>N/A</v>
          </cell>
          <cell r="N348" t="str">
            <v>N/A</v>
          </cell>
          <cell r="O348">
            <v>45394</v>
          </cell>
          <cell r="P348">
            <v>0</v>
          </cell>
          <cell r="Q348">
            <v>0</v>
          </cell>
          <cell r="R348">
            <v>0</v>
          </cell>
          <cell r="S348" t="str">
            <v>N/A</v>
          </cell>
          <cell r="T348">
            <v>45405</v>
          </cell>
          <cell r="U348">
            <v>45420</v>
          </cell>
          <cell r="V348">
            <v>0</v>
          </cell>
          <cell r="W348">
            <v>0</v>
          </cell>
          <cell r="X348">
            <v>45420</v>
          </cell>
          <cell r="Y348">
            <v>45420</v>
          </cell>
          <cell r="Z348">
            <v>0</v>
          </cell>
          <cell r="AA348">
            <v>8700</v>
          </cell>
          <cell r="AB348">
            <v>8700</v>
          </cell>
          <cell r="AC348">
            <v>0</v>
          </cell>
          <cell r="AD348">
            <v>8700</v>
          </cell>
          <cell r="AE348">
            <v>8700</v>
          </cell>
          <cell r="AF348">
            <v>0</v>
          </cell>
          <cell r="AG348" t="str">
            <v>M</v>
          </cell>
          <cell r="AH348" t="str">
            <v>ENGR. MICHAEL C. SALARDA
MS. LEONARDA M. LATOR
MS. CARMENCITA VALDEZ
MS. SORAYA P. VERGARA</v>
          </cell>
          <cell r="AI348" t="str">
            <v>N/A</v>
          </cell>
          <cell r="AJ348" t="str">
            <v>N/A</v>
          </cell>
          <cell r="AK348" t="str">
            <v>N/A</v>
          </cell>
          <cell r="AL348" t="str">
            <v>N/A</v>
          </cell>
          <cell r="AM348" t="str">
            <v>N/A</v>
          </cell>
          <cell r="AN348" t="str">
            <v>N/A</v>
          </cell>
          <cell r="AO348" t="str">
            <v>COMPLETED</v>
          </cell>
        </row>
        <row r="349">
          <cell r="A349" t="str">
            <v>24-C1154</v>
          </cell>
          <cell r="B349" t="str">
            <v>SPAREPARTS (LIGHT VEHICLES)</v>
          </cell>
          <cell r="C349" t="str">
            <v>PGSO</v>
          </cell>
          <cell r="D349" t="str">
            <v>No</v>
          </cell>
          <cell r="E349" t="str">
            <v>Shopping 52.1(a) - Unforeseen Contingency</v>
          </cell>
          <cell r="F349" t="str">
            <v>N/A</v>
          </cell>
          <cell r="G349">
            <v>45371</v>
          </cell>
          <cell r="H349">
            <v>0</v>
          </cell>
          <cell r="I349" t="str">
            <v>N/A</v>
          </cell>
          <cell r="J349">
            <v>45387</v>
          </cell>
          <cell r="K349">
            <v>45387</v>
          </cell>
          <cell r="L349">
            <v>0</v>
          </cell>
          <cell r="M349" t="str">
            <v>N/A</v>
          </cell>
          <cell r="N349" t="str">
            <v>N/A</v>
          </cell>
          <cell r="O349">
            <v>45394</v>
          </cell>
          <cell r="P349">
            <v>0</v>
          </cell>
          <cell r="Q349">
            <v>0</v>
          </cell>
          <cell r="R349">
            <v>0</v>
          </cell>
          <cell r="S349" t="str">
            <v>N/A</v>
          </cell>
          <cell r="T349">
            <v>45405</v>
          </cell>
          <cell r="U349">
            <v>45426</v>
          </cell>
          <cell r="V349">
            <v>0</v>
          </cell>
          <cell r="W349">
            <v>0</v>
          </cell>
          <cell r="X349">
            <v>45426</v>
          </cell>
          <cell r="Y349">
            <v>45426</v>
          </cell>
          <cell r="Z349">
            <v>0</v>
          </cell>
          <cell r="AA349">
            <v>52550</v>
          </cell>
          <cell r="AB349">
            <v>52550</v>
          </cell>
          <cell r="AC349">
            <v>0</v>
          </cell>
          <cell r="AD349">
            <v>52550</v>
          </cell>
          <cell r="AE349">
            <v>52550</v>
          </cell>
          <cell r="AF349">
            <v>0</v>
          </cell>
          <cell r="AG349" t="str">
            <v>M</v>
          </cell>
          <cell r="AH349" t="str">
            <v>ENGR. MICHAEL C. SALARDA
MS. LEONARDA M. LATOR
MS. CARMENCITA VALDEZ
MS. SORAYA P. VERGARA</v>
          </cell>
          <cell r="AI349" t="str">
            <v>N/A</v>
          </cell>
          <cell r="AJ349" t="str">
            <v>N/A</v>
          </cell>
          <cell r="AK349" t="str">
            <v>N/A</v>
          </cell>
          <cell r="AL349" t="str">
            <v>N/A</v>
          </cell>
          <cell r="AM349" t="str">
            <v>N/A</v>
          </cell>
          <cell r="AN349" t="str">
            <v>N/A</v>
          </cell>
          <cell r="AO349" t="str">
            <v>COMPLETED</v>
          </cell>
        </row>
        <row r="350">
          <cell r="A350" t="str">
            <v>24-1685</v>
          </cell>
          <cell r="B350" t="str">
            <v>OFFICE SUPPLIES</v>
          </cell>
          <cell r="C350" t="str">
            <v>PGO</v>
          </cell>
          <cell r="D350" t="str">
            <v>No</v>
          </cell>
          <cell r="E350" t="str">
            <v>Shopping 52.1(b) - Regular Office Supplies and Equipment no available in PS</v>
          </cell>
          <cell r="F350" t="str">
            <v>N/A</v>
          </cell>
          <cell r="G350">
            <v>45363</v>
          </cell>
          <cell r="H350">
            <v>0</v>
          </cell>
          <cell r="I350" t="str">
            <v>N/A</v>
          </cell>
          <cell r="J350">
            <v>45387</v>
          </cell>
          <cell r="K350">
            <v>45387</v>
          </cell>
          <cell r="L350">
            <v>0</v>
          </cell>
          <cell r="M350" t="str">
            <v>N/A</v>
          </cell>
          <cell r="N350" t="str">
            <v>N/A</v>
          </cell>
          <cell r="O350">
            <v>45394</v>
          </cell>
          <cell r="P350">
            <v>0</v>
          </cell>
          <cell r="Q350">
            <v>0</v>
          </cell>
          <cell r="R350">
            <v>0</v>
          </cell>
          <cell r="S350">
            <v>45401</v>
          </cell>
          <cell r="T350">
            <v>45405</v>
          </cell>
          <cell r="U350">
            <v>45418</v>
          </cell>
          <cell r="V350">
            <v>0</v>
          </cell>
          <cell r="W350">
            <v>0</v>
          </cell>
          <cell r="X350">
            <v>45428</v>
          </cell>
          <cell r="Y350">
            <v>45428</v>
          </cell>
          <cell r="Z350">
            <v>0</v>
          </cell>
          <cell r="AA350">
            <v>53059</v>
          </cell>
          <cell r="AB350">
            <v>0</v>
          </cell>
          <cell r="AC350">
            <v>53059</v>
          </cell>
          <cell r="AD350">
            <v>52008</v>
          </cell>
          <cell r="AE350">
            <v>0</v>
          </cell>
          <cell r="AF350">
            <v>52008</v>
          </cell>
          <cell r="AG350" t="str">
            <v>C</v>
          </cell>
          <cell r="AH350" t="str">
            <v>ENGR. MICHAEL C. SALARDA
MS. LEONARDA M. LATOR
MS. CARMENCITA VALDEZ
MS. SORAYA P. VERGARA</v>
          </cell>
          <cell r="AI350" t="str">
            <v>N/A</v>
          </cell>
          <cell r="AJ350" t="str">
            <v>N/A</v>
          </cell>
          <cell r="AK350" t="str">
            <v>N/A</v>
          </cell>
          <cell r="AL350" t="str">
            <v>N/A</v>
          </cell>
          <cell r="AM350" t="str">
            <v>N/A</v>
          </cell>
          <cell r="AN350" t="str">
            <v>N/A</v>
          </cell>
          <cell r="AO350" t="str">
            <v>COMPLETED</v>
          </cell>
        </row>
        <row r="351">
          <cell r="A351" t="str">
            <v>24-1614</v>
          </cell>
          <cell r="B351" t="str">
            <v>OFFICE SUPPLIES</v>
          </cell>
          <cell r="C351" t="str">
            <v>PBO</v>
          </cell>
          <cell r="D351" t="str">
            <v>No</v>
          </cell>
          <cell r="E351" t="str">
            <v>Shopping 52.1(b) - Regular Office Supplies and Equipment no available in PS</v>
          </cell>
          <cell r="F351" t="str">
            <v>N/A</v>
          </cell>
          <cell r="G351">
            <v>45363</v>
          </cell>
          <cell r="H351">
            <v>0</v>
          </cell>
          <cell r="I351" t="str">
            <v>N/A</v>
          </cell>
          <cell r="J351">
            <v>45387</v>
          </cell>
          <cell r="K351">
            <v>45387</v>
          </cell>
          <cell r="L351">
            <v>0</v>
          </cell>
          <cell r="M351" t="str">
            <v>N/A</v>
          </cell>
          <cell r="N351" t="str">
            <v>N/A</v>
          </cell>
          <cell r="O351">
            <v>45394</v>
          </cell>
          <cell r="P351">
            <v>0</v>
          </cell>
          <cell r="Q351">
            <v>0</v>
          </cell>
          <cell r="R351">
            <v>0</v>
          </cell>
          <cell r="S351" t="str">
            <v>N/A</v>
          </cell>
          <cell r="T351">
            <v>45405</v>
          </cell>
          <cell r="U351">
            <v>45419</v>
          </cell>
          <cell r="V351">
            <v>0</v>
          </cell>
          <cell r="W351">
            <v>0</v>
          </cell>
          <cell r="X351">
            <v>45421</v>
          </cell>
          <cell r="Y351">
            <v>45421</v>
          </cell>
          <cell r="Z351">
            <v>0</v>
          </cell>
          <cell r="AA351">
            <v>12405</v>
          </cell>
          <cell r="AB351">
            <v>12405</v>
          </cell>
          <cell r="AC351">
            <v>0</v>
          </cell>
          <cell r="AD351">
            <v>12400</v>
          </cell>
          <cell r="AE351">
            <v>12400</v>
          </cell>
          <cell r="AF351">
            <v>0</v>
          </cell>
          <cell r="AG351" t="str">
            <v>M</v>
          </cell>
          <cell r="AH351" t="str">
            <v>ENGR. MICHAEL C. SALARDA
MS. LEONARDA M. LATOR
MS. CARMENCITA VALDEZ
MS. SORAYA P. VERGARA</v>
          </cell>
          <cell r="AI351" t="str">
            <v>N/A</v>
          </cell>
          <cell r="AJ351" t="str">
            <v>N/A</v>
          </cell>
          <cell r="AK351" t="str">
            <v>N/A</v>
          </cell>
          <cell r="AL351" t="str">
            <v>N/A</v>
          </cell>
          <cell r="AM351" t="str">
            <v>N/A</v>
          </cell>
          <cell r="AN351" t="str">
            <v>N/A</v>
          </cell>
          <cell r="AO351" t="str">
            <v>COMPLETED</v>
          </cell>
        </row>
        <row r="352">
          <cell r="A352" t="str">
            <v>24-C1150</v>
          </cell>
          <cell r="B352" t="str">
            <v>OFFICE SUPPLIES</v>
          </cell>
          <cell r="C352" t="str">
            <v>PGO</v>
          </cell>
          <cell r="D352" t="str">
            <v>No</v>
          </cell>
          <cell r="E352" t="str">
            <v>Shopping 52.1(b) - Regular Office Supplies and Equipment no available in PS</v>
          </cell>
          <cell r="F352" t="str">
            <v>N/A</v>
          </cell>
          <cell r="G352">
            <v>45363</v>
          </cell>
          <cell r="H352">
            <v>0</v>
          </cell>
          <cell r="I352" t="str">
            <v>N/A</v>
          </cell>
          <cell r="J352">
            <v>45387</v>
          </cell>
          <cell r="K352">
            <v>45387</v>
          </cell>
          <cell r="L352">
            <v>0</v>
          </cell>
          <cell r="M352" t="str">
            <v>N/A</v>
          </cell>
          <cell r="N352" t="str">
            <v>N/A</v>
          </cell>
          <cell r="O352">
            <v>45394</v>
          </cell>
          <cell r="P352">
            <v>0</v>
          </cell>
          <cell r="Q352">
            <v>0</v>
          </cell>
          <cell r="R352">
            <v>0</v>
          </cell>
          <cell r="S352" t="str">
            <v>N/A</v>
          </cell>
          <cell r="T352">
            <v>45406</v>
          </cell>
          <cell r="U352">
            <v>45412</v>
          </cell>
          <cell r="V352">
            <v>0</v>
          </cell>
          <cell r="W352">
            <v>0</v>
          </cell>
          <cell r="X352">
            <v>45419</v>
          </cell>
          <cell r="Y352">
            <v>45419</v>
          </cell>
          <cell r="Z352">
            <v>0</v>
          </cell>
          <cell r="AA352">
            <v>5983</v>
          </cell>
          <cell r="AB352">
            <v>0</v>
          </cell>
          <cell r="AC352">
            <v>5983</v>
          </cell>
          <cell r="AD352">
            <v>5968</v>
          </cell>
          <cell r="AE352">
            <v>0</v>
          </cell>
          <cell r="AF352">
            <v>5968</v>
          </cell>
          <cell r="AG352" t="str">
            <v>C</v>
          </cell>
          <cell r="AH352" t="str">
            <v>ENGR. MICHAEL C. SALARDA
MS. LEONARDA M. LATOR
MS. CARMENCITA VALDEZ
MS. SORAYA P. VERGARA</v>
          </cell>
          <cell r="AI352" t="str">
            <v>N/A</v>
          </cell>
          <cell r="AJ352" t="str">
            <v>N/A</v>
          </cell>
          <cell r="AK352" t="str">
            <v>N/A</v>
          </cell>
          <cell r="AL352" t="str">
            <v>N/A</v>
          </cell>
          <cell r="AM352" t="str">
            <v>N/A</v>
          </cell>
          <cell r="AN352" t="str">
            <v>N/A</v>
          </cell>
          <cell r="AO352" t="str">
            <v>COMPLETED</v>
          </cell>
        </row>
        <row r="353">
          <cell r="A353" t="str">
            <v>24-1682</v>
          </cell>
          <cell r="B353" t="str">
            <v>OFFICE SUPPLIES</v>
          </cell>
          <cell r="C353" t="str">
            <v>PGO</v>
          </cell>
          <cell r="D353" t="str">
            <v>No</v>
          </cell>
          <cell r="E353" t="str">
            <v>Shopping 52.1(b) - Regular Office Supplies and Equipment no available in PS</v>
          </cell>
          <cell r="F353" t="str">
            <v>N/A</v>
          </cell>
          <cell r="G353">
            <v>45363</v>
          </cell>
          <cell r="H353">
            <v>0</v>
          </cell>
          <cell r="I353" t="str">
            <v>N/A</v>
          </cell>
          <cell r="J353">
            <v>45387</v>
          </cell>
          <cell r="K353">
            <v>45387</v>
          </cell>
          <cell r="L353">
            <v>0</v>
          </cell>
          <cell r="M353" t="str">
            <v>N/A</v>
          </cell>
          <cell r="N353" t="str">
            <v>N/A</v>
          </cell>
          <cell r="O353">
            <v>45630</v>
          </cell>
          <cell r="P353">
            <v>0</v>
          </cell>
          <cell r="Q353">
            <v>0</v>
          </cell>
          <cell r="R353">
            <v>0</v>
          </cell>
          <cell r="S353" t="str">
            <v>N/A</v>
          </cell>
          <cell r="T353">
            <v>45406</v>
          </cell>
          <cell r="U353">
            <v>45412</v>
          </cell>
          <cell r="V353">
            <v>0</v>
          </cell>
          <cell r="W353">
            <v>0</v>
          </cell>
          <cell r="X353">
            <v>45419</v>
          </cell>
          <cell r="Y353">
            <v>45419</v>
          </cell>
          <cell r="Z353">
            <v>0</v>
          </cell>
          <cell r="AA353">
            <v>16927</v>
          </cell>
          <cell r="AB353">
            <v>0</v>
          </cell>
          <cell r="AC353">
            <v>16927</v>
          </cell>
          <cell r="AD353">
            <v>16921</v>
          </cell>
          <cell r="AE353">
            <v>0</v>
          </cell>
          <cell r="AF353">
            <v>16921</v>
          </cell>
          <cell r="AG353" t="str">
            <v>C</v>
          </cell>
          <cell r="AH353" t="str">
            <v>ENGR. MICHAEL C. SALARDA
MS. LEONARDA M. LATOR
MS. CARMENCITA VALDEZ
MS. SORAYA P. VERGARA</v>
          </cell>
          <cell r="AI353" t="str">
            <v>N/A</v>
          </cell>
          <cell r="AJ353" t="str">
            <v>N/A</v>
          </cell>
          <cell r="AK353" t="str">
            <v>N/A</v>
          </cell>
          <cell r="AL353" t="str">
            <v>N/A</v>
          </cell>
          <cell r="AM353" t="str">
            <v>N/A</v>
          </cell>
          <cell r="AN353" t="str">
            <v>N/A</v>
          </cell>
          <cell r="AO353" t="str">
            <v>COMPLETED</v>
          </cell>
        </row>
        <row r="354">
          <cell r="A354" t="str">
            <v>24-1688</v>
          </cell>
          <cell r="B354" t="str">
            <v>OFFICE SUPPLIES</v>
          </cell>
          <cell r="C354" t="str">
            <v>PGO</v>
          </cell>
          <cell r="D354" t="str">
            <v>No</v>
          </cell>
          <cell r="E354" t="str">
            <v>Shopping 52.1(b) - Regular Office Supplies and Equipment no available in PS</v>
          </cell>
          <cell r="F354" t="str">
            <v>N/A</v>
          </cell>
          <cell r="G354">
            <v>45371</v>
          </cell>
          <cell r="H354">
            <v>0</v>
          </cell>
          <cell r="I354" t="str">
            <v>N/A</v>
          </cell>
          <cell r="J354">
            <v>45387</v>
          </cell>
          <cell r="K354">
            <v>45387</v>
          </cell>
          <cell r="L354">
            <v>0</v>
          </cell>
          <cell r="M354" t="str">
            <v>N/A</v>
          </cell>
          <cell r="N354" t="str">
            <v>N/A</v>
          </cell>
          <cell r="O354">
            <v>45630</v>
          </cell>
          <cell r="P354">
            <v>0</v>
          </cell>
          <cell r="Q354">
            <v>0</v>
          </cell>
          <cell r="R354">
            <v>0</v>
          </cell>
          <cell r="S354" t="str">
            <v>N/A</v>
          </cell>
          <cell r="T354">
            <v>45399</v>
          </cell>
          <cell r="U354">
            <v>45412</v>
          </cell>
          <cell r="V354">
            <v>0</v>
          </cell>
          <cell r="W354">
            <v>0</v>
          </cell>
          <cell r="X354">
            <v>45428</v>
          </cell>
          <cell r="Y354">
            <v>45428</v>
          </cell>
          <cell r="Z354">
            <v>0</v>
          </cell>
          <cell r="AA354">
            <v>29402</v>
          </cell>
          <cell r="AB354">
            <v>0</v>
          </cell>
          <cell r="AC354">
            <v>29402</v>
          </cell>
          <cell r="AD354">
            <v>28379</v>
          </cell>
          <cell r="AE354">
            <v>0</v>
          </cell>
          <cell r="AF354">
            <v>28379</v>
          </cell>
          <cell r="AG354" t="str">
            <v>C</v>
          </cell>
          <cell r="AH354" t="str">
            <v>ENGR. MICHAEL C. SALARDA
MS. LEONARDA M. LATOR
MS. CARMENCITA VALDEZ
MS. SORAYA P. VERGARA</v>
          </cell>
          <cell r="AI354" t="str">
            <v>N/A</v>
          </cell>
          <cell r="AJ354" t="str">
            <v>N/A</v>
          </cell>
          <cell r="AK354" t="str">
            <v>N/A</v>
          </cell>
          <cell r="AL354" t="str">
            <v>N/A</v>
          </cell>
          <cell r="AM354" t="str">
            <v>N/A</v>
          </cell>
          <cell r="AN354" t="str">
            <v>N/A</v>
          </cell>
          <cell r="AO354" t="str">
            <v>COMPLETED</v>
          </cell>
        </row>
        <row r="355">
          <cell r="A355" t="str">
            <v>24-C1200</v>
          </cell>
          <cell r="B355" t="str">
            <v>OFFICE SUPPLIES</v>
          </cell>
          <cell r="C355" t="str">
            <v>PIAO</v>
          </cell>
          <cell r="D355" t="str">
            <v>No</v>
          </cell>
          <cell r="E355" t="str">
            <v>Shopping 52.1(b) - Regular Office Supplies and Equipment no available in PS</v>
          </cell>
          <cell r="F355" t="str">
            <v>N/A</v>
          </cell>
          <cell r="G355">
            <v>45371</v>
          </cell>
          <cell r="H355">
            <v>0</v>
          </cell>
          <cell r="I355" t="str">
            <v>N/A</v>
          </cell>
          <cell r="J355">
            <v>45387</v>
          </cell>
          <cell r="K355">
            <v>45387</v>
          </cell>
          <cell r="L355">
            <v>0</v>
          </cell>
          <cell r="M355" t="str">
            <v>N/A</v>
          </cell>
          <cell r="N355" t="str">
            <v>N/A</v>
          </cell>
          <cell r="O355">
            <v>45630</v>
          </cell>
          <cell r="P355">
            <v>0</v>
          </cell>
          <cell r="Q355">
            <v>0</v>
          </cell>
          <cell r="R355">
            <v>0</v>
          </cell>
          <cell r="S355" t="str">
            <v>N/A</v>
          </cell>
          <cell r="T355">
            <v>45406</v>
          </cell>
          <cell r="U355">
            <v>45412</v>
          </cell>
          <cell r="V355">
            <v>0</v>
          </cell>
          <cell r="W355">
            <v>0</v>
          </cell>
          <cell r="X355">
            <v>45422</v>
          </cell>
          <cell r="Y355">
            <v>45422</v>
          </cell>
          <cell r="Z355">
            <v>0</v>
          </cell>
          <cell r="AA355">
            <v>23780</v>
          </cell>
          <cell r="AB355">
            <v>23780</v>
          </cell>
          <cell r="AC355">
            <v>0</v>
          </cell>
          <cell r="AD355">
            <v>23308</v>
          </cell>
          <cell r="AE355">
            <v>23308</v>
          </cell>
          <cell r="AF355">
            <v>0</v>
          </cell>
          <cell r="AG355" t="str">
            <v>M</v>
          </cell>
          <cell r="AH355" t="str">
            <v>ENGR. MICHAEL C. SALARDA
MS. LEONARDA M. LATOR
MS. CARMENCITA VALDEZ
MS. SORAYA P. VERGARA</v>
          </cell>
          <cell r="AI355" t="str">
            <v>N/A</v>
          </cell>
          <cell r="AJ355" t="str">
            <v>N/A</v>
          </cell>
          <cell r="AK355" t="str">
            <v>N/A</v>
          </cell>
          <cell r="AL355" t="str">
            <v>N/A</v>
          </cell>
          <cell r="AM355" t="str">
            <v>N/A</v>
          </cell>
          <cell r="AN355" t="str">
            <v>N/A</v>
          </cell>
          <cell r="AO355" t="str">
            <v>COMPLETED</v>
          </cell>
        </row>
        <row r="356">
          <cell r="A356" t="str">
            <v>24-C1070</v>
          </cell>
          <cell r="B356" t="str">
            <v>SPAREPARTS (LIGHT VEHICLES)</v>
          </cell>
          <cell r="C356" t="str">
            <v>PGO</v>
          </cell>
          <cell r="D356" t="str">
            <v>No</v>
          </cell>
          <cell r="E356" t="str">
            <v>NP-53.9 - Small Value Procurement</v>
          </cell>
          <cell r="F356">
            <v>45356</v>
          </cell>
          <cell r="G356">
            <v>45359</v>
          </cell>
          <cell r="H356">
            <v>0</v>
          </cell>
          <cell r="I356" t="str">
            <v>N/A</v>
          </cell>
          <cell r="J356">
            <v>45387</v>
          </cell>
          <cell r="K356">
            <v>45387</v>
          </cell>
          <cell r="L356">
            <v>0</v>
          </cell>
          <cell r="M356" t="str">
            <v>N/A</v>
          </cell>
          <cell r="N356" t="str">
            <v>N/A</v>
          </cell>
          <cell r="O356">
            <v>45630</v>
          </cell>
          <cell r="P356">
            <v>0</v>
          </cell>
          <cell r="Q356">
            <v>0</v>
          </cell>
          <cell r="R356">
            <v>0</v>
          </cell>
          <cell r="S356">
            <v>45399</v>
          </cell>
          <cell r="T356">
            <v>45406</v>
          </cell>
          <cell r="U356">
            <v>45411</v>
          </cell>
          <cell r="V356">
            <v>0</v>
          </cell>
          <cell r="W356">
            <v>0</v>
          </cell>
          <cell r="X356">
            <v>45420</v>
          </cell>
          <cell r="Y356">
            <v>45420</v>
          </cell>
          <cell r="Z356">
            <v>0</v>
          </cell>
          <cell r="AA356">
            <v>350000</v>
          </cell>
          <cell r="AB356">
            <v>0</v>
          </cell>
          <cell r="AC356">
            <v>350000</v>
          </cell>
          <cell r="AD356">
            <v>350000</v>
          </cell>
          <cell r="AE356">
            <v>0</v>
          </cell>
          <cell r="AF356">
            <v>350000</v>
          </cell>
          <cell r="AG356" t="str">
            <v>C</v>
          </cell>
          <cell r="AH356" t="str">
            <v>ENGR. MICHAEL C. SALARDA
MS. LEONARDA M. LATOR
MS. CARMENCITA VALDEZ
MS. SORAYA P. VERGARA</v>
          </cell>
          <cell r="AI356" t="str">
            <v>N/A</v>
          </cell>
          <cell r="AJ356" t="str">
            <v>N/A</v>
          </cell>
          <cell r="AK356" t="str">
            <v>N/A</v>
          </cell>
          <cell r="AL356" t="str">
            <v>N/A</v>
          </cell>
          <cell r="AM356" t="str">
            <v>N/A</v>
          </cell>
          <cell r="AN356" t="str">
            <v>N/A</v>
          </cell>
          <cell r="AO356" t="str">
            <v>COMPLETED</v>
          </cell>
        </row>
        <row r="357">
          <cell r="A357" t="str">
            <v>24-0862</v>
          </cell>
          <cell r="B357" t="str">
            <v>TARPAULIN</v>
          </cell>
          <cell r="C357" t="str">
            <v>PGO</v>
          </cell>
          <cell r="D357" t="str">
            <v>No</v>
          </cell>
          <cell r="E357" t="str">
            <v>NP-53.9 - Small Value Procurement</v>
          </cell>
          <cell r="F357" t="str">
            <v>N/A</v>
          </cell>
          <cell r="G357">
            <v>45376</v>
          </cell>
          <cell r="H357">
            <v>0</v>
          </cell>
          <cell r="I357" t="str">
            <v>N/A</v>
          </cell>
          <cell r="J357">
            <v>45387</v>
          </cell>
          <cell r="K357">
            <v>45387</v>
          </cell>
          <cell r="L357">
            <v>0</v>
          </cell>
          <cell r="M357" t="str">
            <v>N/A</v>
          </cell>
          <cell r="N357" t="str">
            <v>N/A</v>
          </cell>
          <cell r="O357">
            <v>45630</v>
          </cell>
          <cell r="P357">
            <v>0</v>
          </cell>
          <cell r="Q357">
            <v>0</v>
          </cell>
          <cell r="R357">
            <v>0</v>
          </cell>
          <cell r="S357" t="str">
            <v>N/A</v>
          </cell>
          <cell r="T357">
            <v>45405</v>
          </cell>
          <cell r="U357">
            <v>45407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4480</v>
          </cell>
          <cell r="AB357">
            <v>0</v>
          </cell>
          <cell r="AC357">
            <v>4480</v>
          </cell>
          <cell r="AD357">
            <v>4320</v>
          </cell>
          <cell r="AE357">
            <v>0</v>
          </cell>
          <cell r="AF357">
            <v>4320</v>
          </cell>
          <cell r="AG357" t="str">
            <v>C</v>
          </cell>
          <cell r="AH357" t="str">
            <v>ENGR. MICHAEL C. SALARDA
MS. LEONARDA M. LATOR
MS. CARMENCITA VALDEZ
MS. SORAYA P. VERGARA</v>
          </cell>
          <cell r="AI357" t="str">
            <v>N/A</v>
          </cell>
          <cell r="AJ357" t="str">
            <v>N/A</v>
          </cell>
          <cell r="AK357" t="str">
            <v>N/A</v>
          </cell>
          <cell r="AL357" t="str">
            <v>N/A</v>
          </cell>
          <cell r="AM357" t="str">
            <v>N/A</v>
          </cell>
          <cell r="AN357" t="str">
            <v>N/A</v>
          </cell>
          <cell r="AO357">
            <v>0</v>
          </cell>
        </row>
        <row r="358">
          <cell r="A358" t="str">
            <v>24-1429</v>
          </cell>
          <cell r="B358" t="str">
            <v>SPAREPARTS (LIGHT VEHICLES)</v>
          </cell>
          <cell r="C358" t="str">
            <v>PGSO</v>
          </cell>
          <cell r="D358" t="str">
            <v>No</v>
          </cell>
          <cell r="E358" t="str">
            <v>NP-53.9 - Small Value Procurement</v>
          </cell>
          <cell r="F358">
            <v>45356</v>
          </cell>
          <cell r="G358">
            <v>45359</v>
          </cell>
          <cell r="H358">
            <v>0</v>
          </cell>
          <cell r="I358" t="str">
            <v>N/A</v>
          </cell>
          <cell r="J358">
            <v>45387</v>
          </cell>
          <cell r="K358">
            <v>45387</v>
          </cell>
          <cell r="L358">
            <v>0</v>
          </cell>
          <cell r="M358" t="str">
            <v>N/A</v>
          </cell>
          <cell r="N358" t="str">
            <v>N/A</v>
          </cell>
          <cell r="O358">
            <v>45630</v>
          </cell>
          <cell r="P358">
            <v>0</v>
          </cell>
          <cell r="Q358">
            <v>0</v>
          </cell>
          <cell r="R358">
            <v>0</v>
          </cell>
          <cell r="S358" t="str">
            <v>N/A</v>
          </cell>
          <cell r="T358">
            <v>45405</v>
          </cell>
          <cell r="U358">
            <v>45435</v>
          </cell>
          <cell r="V358">
            <v>0</v>
          </cell>
          <cell r="W358">
            <v>0</v>
          </cell>
          <cell r="X358">
            <v>45440</v>
          </cell>
          <cell r="Y358">
            <v>45440</v>
          </cell>
          <cell r="Z358">
            <v>0</v>
          </cell>
          <cell r="AA358">
            <v>40500</v>
          </cell>
          <cell r="AB358">
            <v>40500</v>
          </cell>
          <cell r="AC358">
            <v>0</v>
          </cell>
          <cell r="AD358">
            <v>40500</v>
          </cell>
          <cell r="AE358">
            <v>40500</v>
          </cell>
          <cell r="AF358">
            <v>0</v>
          </cell>
          <cell r="AG358" t="str">
            <v>M</v>
          </cell>
          <cell r="AH358" t="str">
            <v>ENGR. MICHAEL C. SALARDA
MS. LEONARDA M. LATOR
MS. CARMENCITA VALDEZ
MS. SORAYA P. VERGARA</v>
          </cell>
          <cell r="AI358" t="str">
            <v>N/A</v>
          </cell>
          <cell r="AJ358" t="str">
            <v>N/A</v>
          </cell>
          <cell r="AK358" t="str">
            <v>N/A</v>
          </cell>
          <cell r="AL358" t="str">
            <v>N/A</v>
          </cell>
          <cell r="AM358" t="str">
            <v>N/A</v>
          </cell>
          <cell r="AN358" t="str">
            <v>N/A</v>
          </cell>
          <cell r="AO358" t="str">
            <v>COMPLETED</v>
          </cell>
        </row>
        <row r="359">
          <cell r="A359" t="str">
            <v>24-1540</v>
          </cell>
          <cell r="B359" t="str">
            <v>FURNITURE &amp; FIXTURES</v>
          </cell>
          <cell r="C359" t="str">
            <v>PAO</v>
          </cell>
          <cell r="D359" t="str">
            <v>No</v>
          </cell>
          <cell r="E359" t="str">
            <v>NP-53.9 - Small Value Procurement</v>
          </cell>
          <cell r="F359" t="str">
            <v>N/A</v>
          </cell>
          <cell r="G359">
            <v>45371</v>
          </cell>
          <cell r="H359">
            <v>0</v>
          </cell>
          <cell r="I359" t="str">
            <v>N/A</v>
          </cell>
          <cell r="J359">
            <v>45387</v>
          </cell>
          <cell r="K359">
            <v>45387</v>
          </cell>
          <cell r="L359">
            <v>0</v>
          </cell>
          <cell r="M359" t="str">
            <v>N/A</v>
          </cell>
          <cell r="N359" t="str">
            <v>N/A</v>
          </cell>
          <cell r="O359">
            <v>45630</v>
          </cell>
          <cell r="P359">
            <v>0</v>
          </cell>
          <cell r="Q359">
            <v>0</v>
          </cell>
          <cell r="R359">
            <v>0</v>
          </cell>
          <cell r="S359">
            <v>45401</v>
          </cell>
          <cell r="T359">
            <v>45405</v>
          </cell>
          <cell r="U359">
            <v>45418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87300</v>
          </cell>
          <cell r="AB359">
            <v>87300</v>
          </cell>
          <cell r="AC359">
            <v>0</v>
          </cell>
          <cell r="AD359">
            <v>87292</v>
          </cell>
          <cell r="AE359">
            <v>87292</v>
          </cell>
          <cell r="AF359">
            <v>0</v>
          </cell>
          <cell r="AG359" t="str">
            <v>M</v>
          </cell>
          <cell r="AH359" t="str">
            <v>ENGR. MICHAEL C. SALARDA
MS. LEONARDA M. LATOR
MS. CARMENCITA VALDEZ
MS. SORAYA P. VERGARA</v>
          </cell>
          <cell r="AI359" t="str">
            <v>N/A</v>
          </cell>
          <cell r="AJ359" t="str">
            <v>N/A</v>
          </cell>
          <cell r="AK359" t="str">
            <v>N/A</v>
          </cell>
          <cell r="AL359" t="str">
            <v>N/A</v>
          </cell>
          <cell r="AM359" t="str">
            <v>N/A</v>
          </cell>
          <cell r="AN359" t="str">
            <v>N/A</v>
          </cell>
          <cell r="AO359" t="str">
            <v>PARTIAL DELIVERY</v>
          </cell>
        </row>
        <row r="360">
          <cell r="A360" t="str">
            <v>24-1658</v>
          </cell>
          <cell r="B360" t="str">
            <v>LEAFLETS, LEGAL SIZE</v>
          </cell>
          <cell r="C360" t="str">
            <v>PTO</v>
          </cell>
          <cell r="D360" t="str">
            <v>No</v>
          </cell>
          <cell r="E360" t="str">
            <v>NP-53.9 - Small Value Procurement</v>
          </cell>
          <cell r="F360" t="str">
            <v>N/A</v>
          </cell>
          <cell r="G360">
            <v>45371</v>
          </cell>
          <cell r="H360">
            <v>0</v>
          </cell>
          <cell r="I360" t="str">
            <v>N/A</v>
          </cell>
          <cell r="J360">
            <v>45387</v>
          </cell>
          <cell r="K360">
            <v>45387</v>
          </cell>
          <cell r="L360">
            <v>0</v>
          </cell>
          <cell r="M360" t="str">
            <v>N/A</v>
          </cell>
          <cell r="N360" t="str">
            <v>N/A</v>
          </cell>
          <cell r="O360">
            <v>45630</v>
          </cell>
          <cell r="P360">
            <v>0</v>
          </cell>
          <cell r="Q360">
            <v>0</v>
          </cell>
          <cell r="R360">
            <v>0</v>
          </cell>
          <cell r="S360">
            <v>45398</v>
          </cell>
          <cell r="T360">
            <v>45405</v>
          </cell>
          <cell r="U360">
            <v>45420</v>
          </cell>
          <cell r="V360">
            <v>0</v>
          </cell>
          <cell r="W360">
            <v>0</v>
          </cell>
          <cell r="X360">
            <v>45428</v>
          </cell>
          <cell r="Y360">
            <v>45428</v>
          </cell>
          <cell r="Z360">
            <v>0</v>
          </cell>
          <cell r="AA360">
            <v>50000</v>
          </cell>
          <cell r="AB360">
            <v>50000</v>
          </cell>
          <cell r="AC360">
            <v>0</v>
          </cell>
          <cell r="AD360">
            <v>44000</v>
          </cell>
          <cell r="AE360">
            <v>44000</v>
          </cell>
          <cell r="AF360">
            <v>0</v>
          </cell>
          <cell r="AG360" t="str">
            <v>M</v>
          </cell>
          <cell r="AH360" t="str">
            <v>ENGR. MICHAEL C. SALARDA
MS. LEONARDA M. LATOR
MS. CARMENCITA VALDEZ
MS. SORAYA P. VERGARA</v>
          </cell>
          <cell r="AI360" t="str">
            <v>N/A</v>
          </cell>
          <cell r="AJ360" t="str">
            <v>N/A</v>
          </cell>
          <cell r="AK360" t="str">
            <v>N/A</v>
          </cell>
          <cell r="AL360" t="str">
            <v>N/A</v>
          </cell>
          <cell r="AM360" t="str">
            <v>N/A</v>
          </cell>
          <cell r="AN360" t="str">
            <v>N/A</v>
          </cell>
          <cell r="AO360" t="str">
            <v>COMPLETED</v>
          </cell>
        </row>
        <row r="361">
          <cell r="A361" t="str">
            <v>24-C1193</v>
          </cell>
          <cell r="B361" t="str">
            <v>FUEL, OIL, AND LUBRICANTS</v>
          </cell>
          <cell r="C361" t="str">
            <v>PDRRMO</v>
          </cell>
          <cell r="D361" t="str">
            <v>No</v>
          </cell>
          <cell r="E361" t="str">
            <v>NP-53.9 - Small Value Procurement</v>
          </cell>
          <cell r="F361" t="str">
            <v>N/A</v>
          </cell>
          <cell r="G361">
            <v>45371</v>
          </cell>
          <cell r="H361">
            <v>0</v>
          </cell>
          <cell r="I361" t="str">
            <v>N/A</v>
          </cell>
          <cell r="J361">
            <v>45387</v>
          </cell>
          <cell r="K361">
            <v>45387</v>
          </cell>
          <cell r="L361">
            <v>0</v>
          </cell>
          <cell r="M361" t="str">
            <v>N/A</v>
          </cell>
          <cell r="N361" t="str">
            <v>N/A</v>
          </cell>
          <cell r="O361">
            <v>45630</v>
          </cell>
          <cell r="P361">
            <v>0</v>
          </cell>
          <cell r="Q361">
            <v>0</v>
          </cell>
          <cell r="R361">
            <v>0</v>
          </cell>
          <cell r="S361" t="str">
            <v>N/A</v>
          </cell>
          <cell r="T361">
            <v>45405</v>
          </cell>
          <cell r="U361">
            <v>45420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11253.2</v>
          </cell>
          <cell r="AB361">
            <v>0</v>
          </cell>
          <cell r="AC361">
            <v>11253.2</v>
          </cell>
          <cell r="AD361">
            <v>10600</v>
          </cell>
          <cell r="AE361">
            <v>0</v>
          </cell>
          <cell r="AF361">
            <v>10600</v>
          </cell>
          <cell r="AG361" t="str">
            <v>C</v>
          </cell>
          <cell r="AH361" t="str">
            <v>ENGR. MICHAEL C. SALARDA
MS. LEONARDA M. LATOR
MS. CARMENCITA VALDEZ
MS. SORAYA P. VERGARA</v>
          </cell>
          <cell r="AI361" t="str">
            <v>N/A</v>
          </cell>
          <cell r="AJ361" t="str">
            <v>N/A</v>
          </cell>
          <cell r="AK361" t="str">
            <v>N/A</v>
          </cell>
          <cell r="AL361" t="str">
            <v>N/A</v>
          </cell>
          <cell r="AM361" t="str">
            <v>N/A</v>
          </cell>
          <cell r="AN361" t="str">
            <v>N/A</v>
          </cell>
          <cell r="AO361">
            <v>0</v>
          </cell>
        </row>
        <row r="362">
          <cell r="A362" t="str">
            <v>24-1538</v>
          </cell>
          <cell r="B362" t="str">
            <v>WATER</v>
          </cell>
          <cell r="C362" t="str">
            <v>PAO</v>
          </cell>
          <cell r="D362" t="str">
            <v>No</v>
          </cell>
          <cell r="E362" t="str">
            <v>NP-53.9 - Small Value Procurement</v>
          </cell>
          <cell r="F362" t="str">
            <v>N/A</v>
          </cell>
          <cell r="G362">
            <v>45371</v>
          </cell>
          <cell r="H362">
            <v>0</v>
          </cell>
          <cell r="I362" t="str">
            <v>N/A</v>
          </cell>
          <cell r="J362">
            <v>45387</v>
          </cell>
          <cell r="K362">
            <v>45387</v>
          </cell>
          <cell r="L362">
            <v>0</v>
          </cell>
          <cell r="M362" t="str">
            <v>N/A</v>
          </cell>
          <cell r="N362" t="str">
            <v>N/A</v>
          </cell>
          <cell r="O362">
            <v>45630</v>
          </cell>
          <cell r="P362">
            <v>0</v>
          </cell>
          <cell r="Q362">
            <v>0</v>
          </cell>
          <cell r="R362">
            <v>0</v>
          </cell>
          <cell r="S362" t="str">
            <v>N/A</v>
          </cell>
          <cell r="T362">
            <v>45406</v>
          </cell>
          <cell r="U362">
            <v>45412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18860</v>
          </cell>
          <cell r="AB362">
            <v>18860</v>
          </cell>
          <cell r="AC362">
            <v>0</v>
          </cell>
          <cell r="AD362">
            <v>18400</v>
          </cell>
          <cell r="AE362">
            <v>18400</v>
          </cell>
          <cell r="AF362">
            <v>0</v>
          </cell>
          <cell r="AG362" t="str">
            <v>M</v>
          </cell>
          <cell r="AH362" t="str">
            <v>ENGR. MICHAEL C. SALARDA
MS. LEONARDA M. LATOR
MS. CARMENCITA VALDEZ
MS. SORAYA P. VERGARA</v>
          </cell>
          <cell r="AI362" t="str">
            <v>N/A</v>
          </cell>
          <cell r="AJ362" t="str">
            <v>N/A</v>
          </cell>
          <cell r="AK362" t="str">
            <v>N/A</v>
          </cell>
          <cell r="AL362" t="str">
            <v>N/A</v>
          </cell>
          <cell r="AM362" t="str">
            <v>N/A</v>
          </cell>
          <cell r="AN362" t="str">
            <v>N/A</v>
          </cell>
          <cell r="AO362">
            <v>0</v>
          </cell>
        </row>
        <row r="363">
          <cell r="A363" t="str">
            <v>24-1425</v>
          </cell>
          <cell r="B363" t="str">
            <v>SPAREPARTS (LIGHT VEHICLES)</v>
          </cell>
          <cell r="C363" t="str">
            <v>PGSO</v>
          </cell>
          <cell r="D363" t="str">
            <v>No</v>
          </cell>
          <cell r="E363" t="str">
            <v>NP-53.9 - Small Value Procurement</v>
          </cell>
          <cell r="F363">
            <v>45356</v>
          </cell>
          <cell r="G363">
            <v>45359</v>
          </cell>
          <cell r="H363">
            <v>0</v>
          </cell>
          <cell r="I363" t="str">
            <v>N/A</v>
          </cell>
          <cell r="J363">
            <v>45387</v>
          </cell>
          <cell r="K363">
            <v>45387</v>
          </cell>
          <cell r="L363">
            <v>0</v>
          </cell>
          <cell r="M363" t="str">
            <v>N/A</v>
          </cell>
          <cell r="N363" t="str">
            <v>N/A</v>
          </cell>
          <cell r="O363">
            <v>45630</v>
          </cell>
          <cell r="P363">
            <v>0</v>
          </cell>
          <cell r="Q363">
            <v>0</v>
          </cell>
          <cell r="R363">
            <v>0</v>
          </cell>
          <cell r="S363" t="str">
            <v>N/A</v>
          </cell>
          <cell r="T363">
            <v>45405</v>
          </cell>
          <cell r="U363">
            <v>45425</v>
          </cell>
          <cell r="V363">
            <v>0</v>
          </cell>
          <cell r="W363">
            <v>0</v>
          </cell>
          <cell r="X363">
            <v>45426</v>
          </cell>
          <cell r="Y363">
            <v>45426</v>
          </cell>
          <cell r="Z363">
            <v>0</v>
          </cell>
          <cell r="AA363">
            <v>8500</v>
          </cell>
          <cell r="AB363">
            <v>8500</v>
          </cell>
          <cell r="AC363">
            <v>0</v>
          </cell>
          <cell r="AD363">
            <v>8500</v>
          </cell>
          <cell r="AE363">
            <v>8500</v>
          </cell>
          <cell r="AF363">
            <v>0</v>
          </cell>
          <cell r="AG363" t="str">
            <v>M</v>
          </cell>
          <cell r="AH363" t="str">
            <v>ENGR. MICHAEL C. SALARDA
MS. LEONARDA M. LATOR
MS. CARMENCITA VALDEZ
MS. SORAYA P. VERGARA</v>
          </cell>
          <cell r="AI363" t="str">
            <v>N/A</v>
          </cell>
          <cell r="AJ363" t="str">
            <v>N/A</v>
          </cell>
          <cell r="AK363" t="str">
            <v>N/A</v>
          </cell>
          <cell r="AL363" t="str">
            <v>N/A</v>
          </cell>
          <cell r="AM363" t="str">
            <v>N/A</v>
          </cell>
          <cell r="AN363" t="str">
            <v>N/A</v>
          </cell>
          <cell r="AO363" t="str">
            <v>COMPLETED</v>
          </cell>
        </row>
        <row r="364">
          <cell r="A364" t="str">
            <v>24-1643</v>
          </cell>
          <cell r="B364" t="str">
            <v>WATER</v>
          </cell>
          <cell r="C364" t="str">
            <v>PAO</v>
          </cell>
          <cell r="D364" t="str">
            <v>No</v>
          </cell>
          <cell r="E364" t="str">
            <v>NP-53.9 - Small Value Procurement</v>
          </cell>
          <cell r="F364" t="str">
            <v>N/A</v>
          </cell>
          <cell r="G364">
            <v>45371</v>
          </cell>
          <cell r="H364">
            <v>0</v>
          </cell>
          <cell r="I364" t="str">
            <v>N/A</v>
          </cell>
          <cell r="J364">
            <v>45387</v>
          </cell>
          <cell r="K364">
            <v>45387</v>
          </cell>
          <cell r="L364">
            <v>0</v>
          </cell>
          <cell r="M364" t="str">
            <v>N/A</v>
          </cell>
          <cell r="N364" t="str">
            <v>N/A</v>
          </cell>
          <cell r="O364">
            <v>45630</v>
          </cell>
          <cell r="P364">
            <v>0</v>
          </cell>
          <cell r="Q364">
            <v>0</v>
          </cell>
          <cell r="R364">
            <v>0</v>
          </cell>
          <cell r="S364" t="str">
            <v>N/A</v>
          </cell>
          <cell r="T364">
            <v>45406</v>
          </cell>
          <cell r="U364">
            <v>45412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18860</v>
          </cell>
          <cell r="AB364">
            <v>18860</v>
          </cell>
          <cell r="AC364">
            <v>0</v>
          </cell>
          <cell r="AD364">
            <v>18400</v>
          </cell>
          <cell r="AE364">
            <v>18400</v>
          </cell>
          <cell r="AF364">
            <v>0</v>
          </cell>
          <cell r="AG364" t="str">
            <v>M</v>
          </cell>
          <cell r="AH364" t="str">
            <v>ENGR. MICHAEL C. SALARDA
MS. LEONARDA M. LATOR
MS. CARMENCITA VALDEZ
MS. SORAYA P. VERGARA</v>
          </cell>
          <cell r="AI364" t="str">
            <v>N/A</v>
          </cell>
          <cell r="AJ364" t="str">
            <v>N/A</v>
          </cell>
          <cell r="AK364" t="str">
            <v>N/A</v>
          </cell>
          <cell r="AL364" t="str">
            <v>N/A</v>
          </cell>
          <cell r="AM364" t="str">
            <v>N/A</v>
          </cell>
          <cell r="AN364" t="str">
            <v>N/A</v>
          </cell>
          <cell r="AO364">
            <v>0</v>
          </cell>
        </row>
        <row r="365">
          <cell r="A365" t="str">
            <v>24-1419</v>
          </cell>
          <cell r="B365" t="str">
            <v>SPAREPARTS (MOTORCYCLE)</v>
          </cell>
          <cell r="C365" t="str">
            <v>PGSO</v>
          </cell>
          <cell r="D365" t="str">
            <v>No</v>
          </cell>
          <cell r="E365" t="str">
            <v>NP-53.9 - Small Value Procurement</v>
          </cell>
          <cell r="F365">
            <v>45356</v>
          </cell>
          <cell r="G365">
            <v>45359</v>
          </cell>
          <cell r="H365">
            <v>0</v>
          </cell>
          <cell r="I365" t="str">
            <v>N/A</v>
          </cell>
          <cell r="J365">
            <v>45387</v>
          </cell>
          <cell r="K365">
            <v>45387</v>
          </cell>
          <cell r="L365">
            <v>0</v>
          </cell>
          <cell r="M365" t="str">
            <v>N/A</v>
          </cell>
          <cell r="N365" t="str">
            <v>N/A</v>
          </cell>
          <cell r="O365">
            <v>45630</v>
          </cell>
          <cell r="P365">
            <v>0</v>
          </cell>
          <cell r="Q365">
            <v>0</v>
          </cell>
          <cell r="R365">
            <v>0</v>
          </cell>
          <cell r="S365" t="str">
            <v>N/A</v>
          </cell>
          <cell r="T365">
            <v>45405</v>
          </cell>
          <cell r="U365">
            <v>45435</v>
          </cell>
          <cell r="V365">
            <v>0</v>
          </cell>
          <cell r="W365">
            <v>0</v>
          </cell>
          <cell r="X365">
            <v>45440</v>
          </cell>
          <cell r="Y365">
            <v>45440</v>
          </cell>
          <cell r="Z365">
            <v>0</v>
          </cell>
          <cell r="AA365">
            <v>8415</v>
          </cell>
          <cell r="AB365">
            <v>8415</v>
          </cell>
          <cell r="AC365">
            <v>0</v>
          </cell>
          <cell r="AD365">
            <v>8415</v>
          </cell>
          <cell r="AE365">
            <v>8415</v>
          </cell>
          <cell r="AF365">
            <v>0</v>
          </cell>
          <cell r="AG365" t="str">
            <v>M</v>
          </cell>
          <cell r="AH365" t="str">
            <v>ENGR. MICHAEL C. SALARDA
MS. LEONARDA M. LATOR
MS. CARMENCITA VALDEZ
MS. SORAYA P. VERGARA</v>
          </cell>
          <cell r="AI365" t="str">
            <v>N/A</v>
          </cell>
          <cell r="AJ365" t="str">
            <v>N/A</v>
          </cell>
          <cell r="AK365" t="str">
            <v>N/A</v>
          </cell>
          <cell r="AL365" t="str">
            <v>N/A</v>
          </cell>
          <cell r="AM365" t="str">
            <v>N/A</v>
          </cell>
          <cell r="AN365" t="str">
            <v>N/A</v>
          </cell>
          <cell r="AO365" t="str">
            <v>COMPLETED</v>
          </cell>
        </row>
        <row r="366">
          <cell r="A366" t="str">
            <v>24-0964</v>
          </cell>
          <cell r="B366" t="str">
            <v>FABRICATION AND INSTALLATION OF BILLBOARD</v>
          </cell>
          <cell r="C366" t="str">
            <v>PDRRMO</v>
          </cell>
          <cell r="D366" t="str">
            <v>No</v>
          </cell>
          <cell r="E366" t="str">
            <v>NP-53.9 - Small Value Procurement</v>
          </cell>
          <cell r="F366">
            <v>45356</v>
          </cell>
          <cell r="G366">
            <v>45362</v>
          </cell>
          <cell r="H366">
            <v>0</v>
          </cell>
          <cell r="I366" t="str">
            <v>N/A</v>
          </cell>
          <cell r="J366">
            <v>45387</v>
          </cell>
          <cell r="K366">
            <v>45387</v>
          </cell>
          <cell r="L366">
            <v>0</v>
          </cell>
          <cell r="M366" t="str">
            <v>N/A</v>
          </cell>
          <cell r="N366" t="str">
            <v>N/A</v>
          </cell>
          <cell r="O366">
            <v>45630</v>
          </cell>
          <cell r="P366">
            <v>0</v>
          </cell>
          <cell r="Q366">
            <v>0</v>
          </cell>
          <cell r="R366">
            <v>0</v>
          </cell>
          <cell r="S366">
            <v>45400</v>
          </cell>
          <cell r="T366">
            <v>45405</v>
          </cell>
          <cell r="U366">
            <v>45422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272250</v>
          </cell>
          <cell r="AB366">
            <v>0</v>
          </cell>
          <cell r="AC366">
            <v>272250</v>
          </cell>
          <cell r="AD366">
            <v>261800</v>
          </cell>
          <cell r="AE366">
            <v>0</v>
          </cell>
          <cell r="AF366">
            <v>261800</v>
          </cell>
          <cell r="AG366" t="str">
            <v>C</v>
          </cell>
          <cell r="AH366" t="str">
            <v>ENGR. MICHAEL C. SALARDA
MS. LEONARDA M. LATOR
MS. CARMENCITA VALDEZ
MS. SORAYA P. VERGARA</v>
          </cell>
          <cell r="AI366" t="str">
            <v>N/A</v>
          </cell>
          <cell r="AJ366" t="str">
            <v>N/A</v>
          </cell>
          <cell r="AK366" t="str">
            <v>N/A</v>
          </cell>
          <cell r="AL366" t="str">
            <v>N/A</v>
          </cell>
          <cell r="AM366" t="str">
            <v>N/A</v>
          </cell>
          <cell r="AN366" t="str">
            <v>N/A</v>
          </cell>
          <cell r="AO366">
            <v>0</v>
          </cell>
        </row>
        <row r="367">
          <cell r="A367" t="str">
            <v>24-1476</v>
          </cell>
          <cell r="B367" t="str">
            <v>TARPAULIN</v>
          </cell>
          <cell r="C367" t="str">
            <v>PGO</v>
          </cell>
          <cell r="D367" t="str">
            <v>No</v>
          </cell>
          <cell r="E367" t="str">
            <v>NP-53.9 - Small Value Procurement</v>
          </cell>
          <cell r="F367" t="str">
            <v>N/A</v>
          </cell>
          <cell r="G367">
            <v>45384</v>
          </cell>
          <cell r="H367">
            <v>0</v>
          </cell>
          <cell r="I367" t="str">
            <v>N/A</v>
          </cell>
          <cell r="J367">
            <v>45387</v>
          </cell>
          <cell r="K367">
            <v>45387</v>
          </cell>
          <cell r="L367">
            <v>0</v>
          </cell>
          <cell r="M367" t="str">
            <v>N/A</v>
          </cell>
          <cell r="N367" t="str">
            <v>N/A</v>
          </cell>
          <cell r="O367">
            <v>45630</v>
          </cell>
          <cell r="P367">
            <v>0</v>
          </cell>
          <cell r="Q367">
            <v>0</v>
          </cell>
          <cell r="R367">
            <v>0</v>
          </cell>
          <cell r="S367" t="str">
            <v>N/A</v>
          </cell>
          <cell r="T367">
            <v>45401</v>
          </cell>
          <cell r="U367">
            <v>45426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5600</v>
          </cell>
          <cell r="AB367">
            <v>0</v>
          </cell>
          <cell r="AC367">
            <v>5600</v>
          </cell>
          <cell r="AD367">
            <v>5600</v>
          </cell>
          <cell r="AE367">
            <v>0</v>
          </cell>
          <cell r="AF367">
            <v>5600</v>
          </cell>
          <cell r="AG367" t="str">
            <v>C</v>
          </cell>
          <cell r="AH367" t="str">
            <v>ENGR. MICHAEL C. SALARDA
MS. LEONARDA M. LATOR
MS. CARMENCITA VALDEZ
MS. SORAYA P. VERGARA</v>
          </cell>
          <cell r="AI367" t="str">
            <v>N/A</v>
          </cell>
          <cell r="AJ367" t="str">
            <v>N/A</v>
          </cell>
          <cell r="AK367" t="str">
            <v>N/A</v>
          </cell>
          <cell r="AL367" t="str">
            <v>N/A</v>
          </cell>
          <cell r="AM367" t="str">
            <v>N/A</v>
          </cell>
          <cell r="AN367" t="str">
            <v>N/A</v>
          </cell>
          <cell r="AO367">
            <v>0</v>
          </cell>
        </row>
        <row r="368">
          <cell r="A368" t="str">
            <v>24-1273</v>
          </cell>
          <cell r="B368" t="str">
            <v>TARPAULIN</v>
          </cell>
          <cell r="C368" t="str">
            <v>SEF</v>
          </cell>
          <cell r="D368" t="str">
            <v>No</v>
          </cell>
          <cell r="E368" t="str">
            <v>NP-53.9 - Small Value Procurement</v>
          </cell>
          <cell r="F368">
            <v>45373</v>
          </cell>
          <cell r="G368">
            <v>45384</v>
          </cell>
          <cell r="H368">
            <v>0</v>
          </cell>
          <cell r="I368" t="str">
            <v>N/A</v>
          </cell>
          <cell r="J368">
            <v>45387</v>
          </cell>
          <cell r="K368">
            <v>45387</v>
          </cell>
          <cell r="L368">
            <v>0</v>
          </cell>
          <cell r="M368" t="str">
            <v>N/A</v>
          </cell>
          <cell r="N368" t="str">
            <v>N/A</v>
          </cell>
          <cell r="O368">
            <v>45630</v>
          </cell>
          <cell r="P368">
            <v>0</v>
          </cell>
          <cell r="Q368">
            <v>0</v>
          </cell>
          <cell r="R368">
            <v>0</v>
          </cell>
          <cell r="S368" t="str">
            <v>N/A</v>
          </cell>
          <cell r="T368">
            <v>45408</v>
          </cell>
          <cell r="U368">
            <v>45420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1792</v>
          </cell>
          <cell r="AB368">
            <v>0</v>
          </cell>
          <cell r="AC368">
            <v>1792</v>
          </cell>
          <cell r="AD368">
            <v>1792</v>
          </cell>
          <cell r="AE368">
            <v>0</v>
          </cell>
          <cell r="AF368">
            <v>1792</v>
          </cell>
          <cell r="AG368" t="str">
            <v>C</v>
          </cell>
          <cell r="AH368" t="str">
            <v>ENGR. MICHAEL C. SALARDA
MS. LEONARDA M. LATOR
MS. CARMENCITA VALDEZ
MS. SORAYA P. VERGARA</v>
          </cell>
          <cell r="AI368" t="str">
            <v>N/A</v>
          </cell>
          <cell r="AJ368" t="str">
            <v>N/A</v>
          </cell>
          <cell r="AK368" t="str">
            <v>N/A</v>
          </cell>
          <cell r="AL368" t="str">
            <v>N/A</v>
          </cell>
          <cell r="AM368" t="str">
            <v>N/A</v>
          </cell>
          <cell r="AN368" t="str">
            <v>N/A</v>
          </cell>
          <cell r="AO368">
            <v>0</v>
          </cell>
        </row>
        <row r="369">
          <cell r="A369" t="str">
            <v>24-1416</v>
          </cell>
          <cell r="B369" t="str">
            <v>SPAREPARTS (MOTORCYCLE)</v>
          </cell>
          <cell r="C369" t="str">
            <v>PGO</v>
          </cell>
          <cell r="D369" t="str">
            <v>No</v>
          </cell>
          <cell r="E369" t="str">
            <v>NP-53.9 - Small Value Procurement</v>
          </cell>
          <cell r="F369">
            <v>45356</v>
          </cell>
          <cell r="G369">
            <v>45359</v>
          </cell>
          <cell r="H369">
            <v>0</v>
          </cell>
          <cell r="I369" t="str">
            <v>N/A</v>
          </cell>
          <cell r="J369">
            <v>45387</v>
          </cell>
          <cell r="K369">
            <v>45387</v>
          </cell>
          <cell r="L369">
            <v>0</v>
          </cell>
          <cell r="M369" t="str">
            <v>N/A</v>
          </cell>
          <cell r="N369" t="str">
            <v>N/A</v>
          </cell>
          <cell r="O369">
            <v>45630</v>
          </cell>
          <cell r="P369">
            <v>0</v>
          </cell>
          <cell r="Q369">
            <v>0</v>
          </cell>
          <cell r="R369">
            <v>0</v>
          </cell>
          <cell r="S369" t="str">
            <v>N/A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2000</v>
          </cell>
          <cell r="AB369">
            <v>2000</v>
          </cell>
          <cell r="AC369">
            <v>0</v>
          </cell>
          <cell r="AD369">
            <v>2000</v>
          </cell>
          <cell r="AE369">
            <v>2000</v>
          </cell>
          <cell r="AF369">
            <v>0</v>
          </cell>
          <cell r="AG369" t="str">
            <v>M</v>
          </cell>
          <cell r="AH369" t="str">
            <v>ENGR. MICHAEL C. SALARDA
MS. LEONARDA M. LATOR
MS. CARMENCITA VALDEZ
MS. SORAYA P. VERGARA</v>
          </cell>
          <cell r="AI369" t="str">
            <v>N/A</v>
          </cell>
          <cell r="AJ369" t="str">
            <v>N/A</v>
          </cell>
          <cell r="AK369" t="str">
            <v>N/A</v>
          </cell>
          <cell r="AL369" t="str">
            <v>N/A</v>
          </cell>
          <cell r="AM369" t="str">
            <v>N/A</v>
          </cell>
          <cell r="AN369" t="str">
            <v>N/A</v>
          </cell>
          <cell r="AO369">
            <v>0</v>
          </cell>
        </row>
        <row r="370">
          <cell r="A370" t="str">
            <v>24-1243</v>
          </cell>
          <cell r="B370" t="str">
            <v>TARPAULIN</v>
          </cell>
          <cell r="C370" t="str">
            <v>PAGRO</v>
          </cell>
          <cell r="D370" t="str">
            <v>No</v>
          </cell>
          <cell r="E370" t="str">
            <v>NP-53.9 - Small Value Procurement</v>
          </cell>
          <cell r="F370" t="str">
            <v>N/A</v>
          </cell>
          <cell r="G370">
            <v>45373</v>
          </cell>
          <cell r="H370">
            <v>0</v>
          </cell>
          <cell r="I370" t="str">
            <v>N/A</v>
          </cell>
          <cell r="J370">
            <v>45387</v>
          </cell>
          <cell r="K370">
            <v>45387</v>
          </cell>
          <cell r="L370">
            <v>0</v>
          </cell>
          <cell r="M370" t="str">
            <v>N/A</v>
          </cell>
          <cell r="N370" t="str">
            <v>N/A</v>
          </cell>
          <cell r="O370">
            <v>45630</v>
          </cell>
          <cell r="P370">
            <v>0</v>
          </cell>
          <cell r="Q370">
            <v>0</v>
          </cell>
          <cell r="R370">
            <v>0</v>
          </cell>
          <cell r="S370" t="str">
            <v>N/A</v>
          </cell>
          <cell r="T370">
            <v>45405</v>
          </cell>
          <cell r="U370">
            <v>45426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1792</v>
          </cell>
          <cell r="AB370">
            <v>0</v>
          </cell>
          <cell r="AC370">
            <v>1792</v>
          </cell>
          <cell r="AD370">
            <v>1792</v>
          </cell>
          <cell r="AE370">
            <v>0</v>
          </cell>
          <cell r="AF370">
            <v>1792</v>
          </cell>
          <cell r="AG370" t="str">
            <v>C</v>
          </cell>
          <cell r="AH370" t="str">
            <v>ENGR. MICHAEL C. SALARDA
MS. LEONARDA M. LATOR
MS. CARMENCITA VALDEZ
MS. SORAYA P. VERGARA</v>
          </cell>
          <cell r="AI370" t="str">
            <v>N/A</v>
          </cell>
          <cell r="AJ370" t="str">
            <v>N/A</v>
          </cell>
          <cell r="AK370" t="str">
            <v>N/A</v>
          </cell>
          <cell r="AL370" t="str">
            <v>N/A</v>
          </cell>
          <cell r="AM370" t="str">
            <v>N/A</v>
          </cell>
          <cell r="AN370" t="str">
            <v>N/A</v>
          </cell>
          <cell r="AO370">
            <v>0</v>
          </cell>
        </row>
        <row r="371">
          <cell r="A371" t="str">
            <v>24-1430</v>
          </cell>
          <cell r="B371" t="str">
            <v>TARPAULIN</v>
          </cell>
          <cell r="C371" t="str">
            <v>PEO</v>
          </cell>
          <cell r="D371" t="str">
            <v>No</v>
          </cell>
          <cell r="E371" t="str">
            <v>NP-53.9 - Small Value Procurement</v>
          </cell>
          <cell r="F371">
            <v>45356</v>
          </cell>
          <cell r="G371">
            <v>45359</v>
          </cell>
          <cell r="H371">
            <v>0</v>
          </cell>
          <cell r="I371" t="str">
            <v>N/A</v>
          </cell>
          <cell r="J371">
            <v>45387</v>
          </cell>
          <cell r="K371">
            <v>45387</v>
          </cell>
          <cell r="L371">
            <v>0</v>
          </cell>
          <cell r="M371" t="str">
            <v>N/A</v>
          </cell>
          <cell r="N371" t="str">
            <v>N/A</v>
          </cell>
          <cell r="O371">
            <v>45630</v>
          </cell>
          <cell r="P371">
            <v>0</v>
          </cell>
          <cell r="Q371">
            <v>0</v>
          </cell>
          <cell r="R371">
            <v>0</v>
          </cell>
          <cell r="S371" t="str">
            <v>N/A</v>
          </cell>
          <cell r="T371">
            <v>45405</v>
          </cell>
          <cell r="U371">
            <v>45426</v>
          </cell>
          <cell r="V371">
            <v>0</v>
          </cell>
          <cell r="W371">
            <v>0</v>
          </cell>
          <cell r="X371">
            <v>45434</v>
          </cell>
          <cell r="Y371">
            <v>45434</v>
          </cell>
          <cell r="Z371">
            <v>0</v>
          </cell>
          <cell r="AA371">
            <v>1792</v>
          </cell>
          <cell r="AB371">
            <v>0</v>
          </cell>
          <cell r="AC371">
            <v>1792</v>
          </cell>
          <cell r="AD371">
            <v>1779.2</v>
          </cell>
          <cell r="AE371">
            <v>0</v>
          </cell>
          <cell r="AF371">
            <v>1779.2</v>
          </cell>
          <cell r="AG371" t="str">
            <v>C</v>
          </cell>
          <cell r="AH371" t="str">
            <v>ENGR. MICHAEL C. SALARDA
MS. LEONARDA M. LATOR
MS. CARMENCITA VALDEZ
MS. SORAYA P. VERGARA</v>
          </cell>
          <cell r="AI371" t="str">
            <v>N/A</v>
          </cell>
          <cell r="AJ371" t="str">
            <v>N/A</v>
          </cell>
          <cell r="AK371" t="str">
            <v>N/A</v>
          </cell>
          <cell r="AL371" t="str">
            <v>N/A</v>
          </cell>
          <cell r="AM371" t="str">
            <v>N/A</v>
          </cell>
          <cell r="AN371" t="str">
            <v>N/A</v>
          </cell>
          <cell r="AO371" t="str">
            <v>COMPLETED</v>
          </cell>
        </row>
        <row r="372">
          <cell r="A372" t="str">
            <v>24-0029</v>
          </cell>
          <cell r="B372" t="str">
            <v>STICKER, OUTDOOR</v>
          </cell>
          <cell r="C372" t="str">
            <v>PTO</v>
          </cell>
          <cell r="D372" t="str">
            <v>No</v>
          </cell>
          <cell r="E372" t="str">
            <v>NP-53.9 - Small Value Procurement</v>
          </cell>
          <cell r="F372" t="str">
            <v>N/A</v>
          </cell>
          <cell r="G372">
            <v>45359</v>
          </cell>
          <cell r="H372">
            <v>0</v>
          </cell>
          <cell r="I372" t="str">
            <v>N/A</v>
          </cell>
          <cell r="J372">
            <v>45387</v>
          </cell>
          <cell r="K372">
            <v>45387</v>
          </cell>
          <cell r="L372">
            <v>0</v>
          </cell>
          <cell r="M372" t="str">
            <v>N/A</v>
          </cell>
          <cell r="N372" t="str">
            <v>N/A</v>
          </cell>
          <cell r="O372">
            <v>45630</v>
          </cell>
          <cell r="P372">
            <v>0</v>
          </cell>
          <cell r="Q372">
            <v>0</v>
          </cell>
          <cell r="R372">
            <v>0</v>
          </cell>
          <cell r="S372" t="str">
            <v>N/A</v>
          </cell>
          <cell r="T372">
            <v>45407</v>
          </cell>
          <cell r="U372">
            <v>45426</v>
          </cell>
          <cell r="V372">
            <v>0</v>
          </cell>
          <cell r="W372">
            <v>0</v>
          </cell>
          <cell r="X372">
            <v>45434</v>
          </cell>
          <cell r="Y372">
            <v>45434</v>
          </cell>
          <cell r="Z372">
            <v>0</v>
          </cell>
          <cell r="AA372">
            <v>14000</v>
          </cell>
          <cell r="AB372">
            <v>14000</v>
          </cell>
          <cell r="AC372">
            <v>0</v>
          </cell>
          <cell r="AD372">
            <v>14000</v>
          </cell>
          <cell r="AE372">
            <v>14000</v>
          </cell>
          <cell r="AF372">
            <v>0</v>
          </cell>
          <cell r="AG372" t="str">
            <v>M</v>
          </cell>
          <cell r="AH372" t="str">
            <v>ENGR. MICHAEL C. SALARDA
MS. LEONARDA M. LATOR
MS. CARMENCITA VALDEZ
MS. SORAYA P. VERGARA</v>
          </cell>
          <cell r="AI372" t="str">
            <v>N/A</v>
          </cell>
          <cell r="AJ372" t="str">
            <v>N/A</v>
          </cell>
          <cell r="AK372" t="str">
            <v>N/A</v>
          </cell>
          <cell r="AL372" t="str">
            <v>N/A</v>
          </cell>
          <cell r="AM372" t="str">
            <v>N/A</v>
          </cell>
          <cell r="AN372" t="str">
            <v>N/A</v>
          </cell>
          <cell r="AO372" t="str">
            <v>COMPLETED</v>
          </cell>
        </row>
        <row r="373">
          <cell r="A373" t="str">
            <v>24-1618</v>
          </cell>
          <cell r="B373" t="str">
            <v>JANITORIAL SUPPLIES/HOUSEKEEPING</v>
          </cell>
          <cell r="C373" t="str">
            <v>PHO</v>
          </cell>
          <cell r="D373" t="str">
            <v>No</v>
          </cell>
          <cell r="E373" t="str">
            <v>NP-53.9 - Small Value Procurement</v>
          </cell>
          <cell r="F373" t="str">
            <v>N/A</v>
          </cell>
          <cell r="G373">
            <v>45363</v>
          </cell>
          <cell r="H373">
            <v>0</v>
          </cell>
          <cell r="I373" t="str">
            <v>N/A</v>
          </cell>
          <cell r="J373">
            <v>45387</v>
          </cell>
          <cell r="K373">
            <v>45387</v>
          </cell>
          <cell r="L373">
            <v>0</v>
          </cell>
          <cell r="M373" t="str">
            <v>N/A</v>
          </cell>
          <cell r="N373" t="str">
            <v>N/A</v>
          </cell>
          <cell r="O373">
            <v>45630</v>
          </cell>
          <cell r="P373">
            <v>0</v>
          </cell>
          <cell r="Q373">
            <v>0</v>
          </cell>
          <cell r="R373">
            <v>0</v>
          </cell>
          <cell r="S373" t="str">
            <v>N/A</v>
          </cell>
          <cell r="T373">
            <v>45405</v>
          </cell>
          <cell r="U373">
            <v>45419</v>
          </cell>
          <cell r="V373">
            <v>0</v>
          </cell>
          <cell r="W373">
            <v>0</v>
          </cell>
          <cell r="X373">
            <v>45421</v>
          </cell>
          <cell r="Y373">
            <v>45421</v>
          </cell>
          <cell r="Z373">
            <v>0</v>
          </cell>
          <cell r="AA373">
            <v>1339</v>
          </cell>
          <cell r="AB373">
            <v>1339</v>
          </cell>
          <cell r="AC373">
            <v>0</v>
          </cell>
          <cell r="AD373">
            <v>1339</v>
          </cell>
          <cell r="AE373">
            <v>1339</v>
          </cell>
          <cell r="AF373">
            <v>0</v>
          </cell>
          <cell r="AG373" t="str">
            <v>M</v>
          </cell>
          <cell r="AH373" t="str">
            <v>ENGR. MICHAEL C. SALARDA
MS. LEONARDA M. LATOR
MS. CARMENCITA VALDEZ
MS. SORAYA P. VERGARA</v>
          </cell>
          <cell r="AI373" t="str">
            <v>N/A</v>
          </cell>
          <cell r="AJ373" t="str">
            <v>N/A</v>
          </cell>
          <cell r="AK373" t="str">
            <v>N/A</v>
          </cell>
          <cell r="AL373" t="str">
            <v>N/A</v>
          </cell>
          <cell r="AM373" t="str">
            <v>N/A</v>
          </cell>
          <cell r="AN373" t="str">
            <v>N/A</v>
          </cell>
          <cell r="AO373" t="str">
            <v>COMPLETED</v>
          </cell>
        </row>
        <row r="374">
          <cell r="A374" t="str">
            <v>24-1113</v>
          </cell>
          <cell r="B374" t="str">
            <v>PRINTER, INK TANK SYSTEM</v>
          </cell>
          <cell r="C374" t="str">
            <v>PHO</v>
          </cell>
          <cell r="D374" t="str">
            <v>No</v>
          </cell>
          <cell r="E374" t="str">
            <v>NP-53.9 - Small Value Procurement</v>
          </cell>
          <cell r="F374" t="str">
            <v>N/A</v>
          </cell>
          <cell r="G374">
            <v>45363</v>
          </cell>
          <cell r="H374">
            <v>0</v>
          </cell>
          <cell r="I374" t="str">
            <v>N/A</v>
          </cell>
          <cell r="J374">
            <v>45387</v>
          </cell>
          <cell r="K374">
            <v>45387</v>
          </cell>
          <cell r="L374">
            <v>0</v>
          </cell>
          <cell r="M374" t="str">
            <v>N/A</v>
          </cell>
          <cell r="N374" t="str">
            <v>N/A</v>
          </cell>
          <cell r="O374">
            <v>45630</v>
          </cell>
          <cell r="P374">
            <v>0</v>
          </cell>
          <cell r="Q374">
            <v>0</v>
          </cell>
          <cell r="R374">
            <v>0</v>
          </cell>
          <cell r="S374" t="str">
            <v>N/A</v>
          </cell>
          <cell r="T374">
            <v>45405</v>
          </cell>
          <cell r="U374">
            <v>45419</v>
          </cell>
          <cell r="V374">
            <v>0</v>
          </cell>
          <cell r="W374">
            <v>0</v>
          </cell>
          <cell r="X374">
            <v>45421</v>
          </cell>
          <cell r="Y374">
            <v>45421</v>
          </cell>
          <cell r="Z374">
            <v>0</v>
          </cell>
          <cell r="AA374">
            <v>43500</v>
          </cell>
          <cell r="AB374">
            <v>43500</v>
          </cell>
          <cell r="AC374">
            <v>0</v>
          </cell>
          <cell r="AD374">
            <v>43494</v>
          </cell>
          <cell r="AE374">
            <v>43494</v>
          </cell>
          <cell r="AF374">
            <v>0</v>
          </cell>
          <cell r="AG374" t="str">
            <v>M</v>
          </cell>
          <cell r="AH374" t="str">
            <v>ENGR. MICHAEL C. SALARDA
MS. LEONARDA M. LATOR
MS. CARMENCITA VALDEZ
MS. SORAYA P. VERGARA</v>
          </cell>
          <cell r="AI374" t="str">
            <v>N/A</v>
          </cell>
          <cell r="AJ374" t="str">
            <v>N/A</v>
          </cell>
          <cell r="AK374" t="str">
            <v>N/A</v>
          </cell>
          <cell r="AL374" t="str">
            <v>N/A</v>
          </cell>
          <cell r="AM374" t="str">
            <v>N/A</v>
          </cell>
          <cell r="AN374" t="str">
            <v>N/A</v>
          </cell>
          <cell r="AO374" t="str">
            <v>COMPLETED</v>
          </cell>
        </row>
        <row r="375">
          <cell r="A375" t="str">
            <v>24-C1085</v>
          </cell>
          <cell r="B375" t="str">
            <v>TARPAULIN</v>
          </cell>
          <cell r="C375" t="str">
            <v>PENRO</v>
          </cell>
          <cell r="D375" t="str">
            <v>No</v>
          </cell>
          <cell r="E375" t="str">
            <v>NP-53.9 - Small Value Procurement</v>
          </cell>
          <cell r="F375" t="str">
            <v>N/A</v>
          </cell>
          <cell r="G375">
            <v>45363</v>
          </cell>
          <cell r="H375">
            <v>0</v>
          </cell>
          <cell r="I375" t="str">
            <v>N/A</v>
          </cell>
          <cell r="J375">
            <v>45387</v>
          </cell>
          <cell r="K375">
            <v>45387</v>
          </cell>
          <cell r="L375">
            <v>0</v>
          </cell>
          <cell r="M375" t="str">
            <v>N/A</v>
          </cell>
          <cell r="N375" t="str">
            <v>N/A</v>
          </cell>
          <cell r="O375">
            <v>45630</v>
          </cell>
          <cell r="P375">
            <v>0</v>
          </cell>
          <cell r="Q375">
            <v>0</v>
          </cell>
          <cell r="R375">
            <v>0</v>
          </cell>
          <cell r="S375" t="str">
            <v>N/A</v>
          </cell>
          <cell r="T375">
            <v>45406</v>
          </cell>
          <cell r="U375">
            <v>45412</v>
          </cell>
          <cell r="V375">
            <v>0</v>
          </cell>
          <cell r="W375">
            <v>0</v>
          </cell>
          <cell r="X375">
            <v>45441</v>
          </cell>
          <cell r="Y375">
            <v>45441</v>
          </cell>
          <cell r="Z375">
            <v>0</v>
          </cell>
          <cell r="AA375">
            <v>33964</v>
          </cell>
          <cell r="AB375">
            <v>0</v>
          </cell>
          <cell r="AC375">
            <v>33964</v>
          </cell>
          <cell r="AD375">
            <v>33721.4</v>
          </cell>
          <cell r="AE375">
            <v>0</v>
          </cell>
          <cell r="AF375">
            <v>33721.4</v>
          </cell>
          <cell r="AG375" t="str">
            <v>C</v>
          </cell>
          <cell r="AH375" t="str">
            <v>ENGR. MICHAEL C. SALARDA
MS. LEONARDA M. LATOR
MS. CARMENCITA VALDEZ
MS. SORAYA P. VERGARA</v>
          </cell>
          <cell r="AI375" t="str">
            <v>N/A</v>
          </cell>
          <cell r="AJ375" t="str">
            <v>N/A</v>
          </cell>
          <cell r="AK375" t="str">
            <v>N/A</v>
          </cell>
          <cell r="AL375" t="str">
            <v>N/A</v>
          </cell>
          <cell r="AM375" t="str">
            <v>N/A</v>
          </cell>
          <cell r="AN375" t="str">
            <v>N/A</v>
          </cell>
          <cell r="AO375" t="str">
            <v>COMPLETED</v>
          </cell>
        </row>
        <row r="376">
          <cell r="A376" t="str">
            <v>24-C1073</v>
          </cell>
          <cell r="B376" t="str">
            <v>TARPAULIN</v>
          </cell>
          <cell r="C376" t="str">
            <v>PDRRMO</v>
          </cell>
          <cell r="D376" t="str">
            <v>No</v>
          </cell>
          <cell r="E376" t="str">
            <v>NP-53.9 - Small Value Procurement</v>
          </cell>
          <cell r="F376" t="str">
            <v>N/A</v>
          </cell>
          <cell r="G376">
            <v>45363</v>
          </cell>
          <cell r="H376">
            <v>0</v>
          </cell>
          <cell r="I376" t="str">
            <v>N/A</v>
          </cell>
          <cell r="J376">
            <v>45387</v>
          </cell>
          <cell r="K376">
            <v>45387</v>
          </cell>
          <cell r="L376">
            <v>0</v>
          </cell>
          <cell r="M376" t="str">
            <v>N/A</v>
          </cell>
          <cell r="N376" t="str">
            <v>N/A</v>
          </cell>
          <cell r="O376">
            <v>45630</v>
          </cell>
          <cell r="P376">
            <v>0</v>
          </cell>
          <cell r="Q376">
            <v>0</v>
          </cell>
          <cell r="R376">
            <v>0</v>
          </cell>
          <cell r="S376" t="str">
            <v>N/A</v>
          </cell>
          <cell r="T376">
            <v>45405</v>
          </cell>
          <cell r="U376">
            <v>45420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27580</v>
          </cell>
          <cell r="AB376">
            <v>0</v>
          </cell>
          <cell r="AC376">
            <v>27580</v>
          </cell>
          <cell r="AD376">
            <v>27383</v>
          </cell>
          <cell r="AE376">
            <v>0</v>
          </cell>
          <cell r="AF376">
            <v>27383</v>
          </cell>
          <cell r="AG376" t="str">
            <v>C</v>
          </cell>
          <cell r="AH376" t="str">
            <v>ENGR. MICHAEL C. SALARDA
MS. LEONARDA M. LATOR
MS. CARMENCITA VALDEZ
MS. SORAYA P. VERGARA</v>
          </cell>
          <cell r="AI376" t="str">
            <v>N/A</v>
          </cell>
          <cell r="AJ376" t="str">
            <v>N/A</v>
          </cell>
          <cell r="AK376" t="str">
            <v>N/A</v>
          </cell>
          <cell r="AL376" t="str">
            <v>N/A</v>
          </cell>
          <cell r="AM376" t="str">
            <v>N/A</v>
          </cell>
          <cell r="AN376" t="str">
            <v>N/A</v>
          </cell>
          <cell r="AO376">
            <v>0</v>
          </cell>
        </row>
        <row r="377">
          <cell r="A377" t="str">
            <v>24-1295</v>
          </cell>
          <cell r="B377" t="str">
            <v>PLASTIC STORAGE BOX</v>
          </cell>
          <cell r="C377" t="str">
            <v>PGO</v>
          </cell>
          <cell r="D377" t="str">
            <v>No</v>
          </cell>
          <cell r="E377" t="str">
            <v>NP-53.9 - Small Value Procurement</v>
          </cell>
          <cell r="F377" t="str">
            <v>N/A</v>
          </cell>
          <cell r="G377">
            <v>45363</v>
          </cell>
          <cell r="H377">
            <v>0</v>
          </cell>
          <cell r="I377" t="str">
            <v>N/A</v>
          </cell>
          <cell r="J377">
            <v>45387</v>
          </cell>
          <cell r="K377">
            <v>45387</v>
          </cell>
          <cell r="L377">
            <v>0</v>
          </cell>
          <cell r="M377" t="str">
            <v>N/A</v>
          </cell>
          <cell r="N377" t="str">
            <v>N/A</v>
          </cell>
          <cell r="O377">
            <v>45630</v>
          </cell>
          <cell r="P377">
            <v>0</v>
          </cell>
          <cell r="Q377">
            <v>0</v>
          </cell>
          <cell r="R377">
            <v>0</v>
          </cell>
          <cell r="S377" t="str">
            <v>N/A</v>
          </cell>
          <cell r="T377">
            <v>45405</v>
          </cell>
          <cell r="U377">
            <v>45419</v>
          </cell>
          <cell r="V377">
            <v>0</v>
          </cell>
          <cell r="W377">
            <v>0</v>
          </cell>
          <cell r="X377">
            <v>45421</v>
          </cell>
          <cell r="Y377">
            <v>45421</v>
          </cell>
          <cell r="Z377">
            <v>0</v>
          </cell>
          <cell r="AA377">
            <v>3200</v>
          </cell>
          <cell r="AB377">
            <v>0</v>
          </cell>
          <cell r="AC377">
            <v>3200</v>
          </cell>
          <cell r="AD377">
            <v>3196</v>
          </cell>
          <cell r="AE377">
            <v>0</v>
          </cell>
          <cell r="AF377">
            <v>3196</v>
          </cell>
          <cell r="AG377" t="str">
            <v>C</v>
          </cell>
          <cell r="AH377" t="str">
            <v>ENGR. MICHAEL C. SALARDA
MS. LEONARDA M. LATOR
MS. CARMENCITA VALDEZ
MS. SORAYA P. VERGARA</v>
          </cell>
          <cell r="AI377" t="str">
            <v>N/A</v>
          </cell>
          <cell r="AJ377" t="str">
            <v>N/A</v>
          </cell>
          <cell r="AK377" t="str">
            <v>N/A</v>
          </cell>
          <cell r="AL377" t="str">
            <v>N/A</v>
          </cell>
          <cell r="AM377" t="str">
            <v>N/A</v>
          </cell>
          <cell r="AN377" t="str">
            <v>N/A</v>
          </cell>
          <cell r="AO377" t="str">
            <v>COMPLETED</v>
          </cell>
        </row>
        <row r="378">
          <cell r="A378" t="str">
            <v>24-1619</v>
          </cell>
          <cell r="B378" t="str">
            <v>PLASTIC UTILITY BOX</v>
          </cell>
          <cell r="C378" t="str">
            <v>PBO</v>
          </cell>
          <cell r="D378" t="str">
            <v>No</v>
          </cell>
          <cell r="E378" t="str">
            <v>NP-53.9 - Small Value Procurement</v>
          </cell>
          <cell r="F378" t="str">
            <v>N/A</v>
          </cell>
          <cell r="G378">
            <v>45363</v>
          </cell>
          <cell r="H378">
            <v>0</v>
          </cell>
          <cell r="I378" t="str">
            <v>N/A</v>
          </cell>
          <cell r="J378">
            <v>45387</v>
          </cell>
          <cell r="K378">
            <v>45387</v>
          </cell>
          <cell r="L378">
            <v>0</v>
          </cell>
          <cell r="M378" t="str">
            <v>N/A</v>
          </cell>
          <cell r="N378" t="str">
            <v>N/A</v>
          </cell>
          <cell r="O378">
            <v>45630</v>
          </cell>
          <cell r="P378">
            <v>0</v>
          </cell>
          <cell r="Q378">
            <v>0</v>
          </cell>
          <cell r="R378">
            <v>0</v>
          </cell>
          <cell r="S378" t="str">
            <v>N/A</v>
          </cell>
          <cell r="T378">
            <v>45405</v>
          </cell>
          <cell r="U378">
            <v>45414</v>
          </cell>
          <cell r="V378">
            <v>0</v>
          </cell>
          <cell r="W378">
            <v>0</v>
          </cell>
          <cell r="X378">
            <v>45443</v>
          </cell>
          <cell r="Y378">
            <v>45443</v>
          </cell>
          <cell r="Z378">
            <v>0</v>
          </cell>
          <cell r="AA378">
            <v>1800</v>
          </cell>
          <cell r="AB378">
            <v>1800</v>
          </cell>
          <cell r="AC378">
            <v>0</v>
          </cell>
          <cell r="AD378">
            <v>1800</v>
          </cell>
          <cell r="AE378">
            <v>1800</v>
          </cell>
          <cell r="AF378">
            <v>0</v>
          </cell>
          <cell r="AG378" t="str">
            <v>M</v>
          </cell>
          <cell r="AH378" t="str">
            <v>ENGR. MICHAEL C. SALARDA
MS. LEONARDA M. LATOR
MS. CARMENCITA VALDEZ
MS. SORAYA P. VERGARA</v>
          </cell>
          <cell r="AI378" t="str">
            <v>N/A</v>
          </cell>
          <cell r="AJ378" t="str">
            <v>N/A</v>
          </cell>
          <cell r="AK378" t="str">
            <v>N/A</v>
          </cell>
          <cell r="AL378" t="str">
            <v>N/A</v>
          </cell>
          <cell r="AM378" t="str">
            <v>N/A</v>
          </cell>
          <cell r="AN378" t="str">
            <v>N/A</v>
          </cell>
          <cell r="AO378" t="str">
            <v>COMPLETED</v>
          </cell>
        </row>
        <row r="379">
          <cell r="A379" t="str">
            <v>24-1296</v>
          </cell>
          <cell r="B379" t="str">
            <v>ECO TANK ALL-IN-ONE INK PRINTER</v>
          </cell>
          <cell r="C379" t="str">
            <v>PGO</v>
          </cell>
          <cell r="D379" t="str">
            <v>No</v>
          </cell>
          <cell r="E379" t="str">
            <v>NP-53.9 - Small Value Procurement</v>
          </cell>
          <cell r="F379" t="str">
            <v>N/A</v>
          </cell>
          <cell r="G379">
            <v>45363</v>
          </cell>
          <cell r="H379">
            <v>0</v>
          </cell>
          <cell r="I379" t="str">
            <v>N/A</v>
          </cell>
          <cell r="J379">
            <v>45387</v>
          </cell>
          <cell r="K379">
            <v>45387</v>
          </cell>
          <cell r="L379">
            <v>0</v>
          </cell>
          <cell r="M379" t="str">
            <v>N/A</v>
          </cell>
          <cell r="N379" t="str">
            <v>N/A</v>
          </cell>
          <cell r="O379">
            <v>45630</v>
          </cell>
          <cell r="P379">
            <v>0</v>
          </cell>
          <cell r="Q379">
            <v>0</v>
          </cell>
          <cell r="R379">
            <v>0</v>
          </cell>
          <cell r="S379" t="str">
            <v>N/A</v>
          </cell>
          <cell r="T379">
            <v>45401</v>
          </cell>
          <cell r="U379">
            <v>45422</v>
          </cell>
          <cell r="V379">
            <v>0</v>
          </cell>
          <cell r="W379">
            <v>0</v>
          </cell>
          <cell r="X379">
            <v>45425</v>
          </cell>
          <cell r="Y379">
            <v>45425</v>
          </cell>
          <cell r="Z379">
            <v>0</v>
          </cell>
          <cell r="AA379">
            <v>15400</v>
          </cell>
          <cell r="AB379">
            <v>0</v>
          </cell>
          <cell r="AC379">
            <v>15400</v>
          </cell>
          <cell r="AD379">
            <v>15398</v>
          </cell>
          <cell r="AE379">
            <v>0</v>
          </cell>
          <cell r="AF379">
            <v>15398</v>
          </cell>
          <cell r="AG379" t="str">
            <v>C</v>
          </cell>
          <cell r="AH379" t="str">
            <v>ENGR. MICHAEL C. SALARDA
MS. LEONARDA M. LATOR
MS. CARMENCITA VALDEZ
MS. SORAYA P. VERGARA</v>
          </cell>
          <cell r="AI379" t="str">
            <v>N/A</v>
          </cell>
          <cell r="AJ379" t="str">
            <v>N/A</v>
          </cell>
          <cell r="AK379" t="str">
            <v>N/A</v>
          </cell>
          <cell r="AL379" t="str">
            <v>N/A</v>
          </cell>
          <cell r="AM379" t="str">
            <v>N/A</v>
          </cell>
          <cell r="AN379" t="str">
            <v>N/A</v>
          </cell>
          <cell r="AO379" t="str">
            <v>COMPLETED</v>
          </cell>
        </row>
        <row r="380">
          <cell r="A380" t="str">
            <v>24-0366</v>
          </cell>
          <cell r="B380" t="str">
            <v>FOOD SUPPLIES</v>
          </cell>
          <cell r="C380" t="str">
            <v>PSWDO</v>
          </cell>
          <cell r="D380" t="str">
            <v>No</v>
          </cell>
          <cell r="E380" t="str">
            <v>NP-53.9 - Small Value Procurement</v>
          </cell>
          <cell r="F380" t="str">
            <v>N/A</v>
          </cell>
          <cell r="G380">
            <v>45363</v>
          </cell>
          <cell r="H380">
            <v>0</v>
          </cell>
          <cell r="I380" t="str">
            <v>N/A</v>
          </cell>
          <cell r="J380">
            <v>45387</v>
          </cell>
          <cell r="K380">
            <v>45387</v>
          </cell>
          <cell r="L380">
            <v>0</v>
          </cell>
          <cell r="M380" t="str">
            <v>N/A</v>
          </cell>
          <cell r="N380" t="str">
            <v>N/A</v>
          </cell>
          <cell r="O380">
            <v>45630</v>
          </cell>
          <cell r="P380">
            <v>0</v>
          </cell>
          <cell r="Q380">
            <v>0</v>
          </cell>
          <cell r="R380">
            <v>0</v>
          </cell>
          <cell r="S380" t="str">
            <v>N/A</v>
          </cell>
          <cell r="T380">
            <v>45405</v>
          </cell>
          <cell r="U380">
            <v>45433</v>
          </cell>
          <cell r="V380">
            <v>0</v>
          </cell>
          <cell r="W380">
            <v>0</v>
          </cell>
          <cell r="X380">
            <v>45449</v>
          </cell>
          <cell r="Y380">
            <v>45449</v>
          </cell>
          <cell r="Z380">
            <v>0</v>
          </cell>
          <cell r="AA380">
            <v>21945</v>
          </cell>
          <cell r="AB380">
            <v>21945</v>
          </cell>
          <cell r="AC380">
            <v>0</v>
          </cell>
          <cell r="AD380">
            <v>21398</v>
          </cell>
          <cell r="AE380">
            <v>21398</v>
          </cell>
          <cell r="AF380">
            <v>0</v>
          </cell>
          <cell r="AG380" t="str">
            <v>M</v>
          </cell>
          <cell r="AH380" t="str">
            <v>ENGR. MICHAEL C. SALARDA
MS. LEONARDA M. LATOR
MS. CARMENCITA VALDEZ
MS. SORAYA P. VERGARA</v>
          </cell>
          <cell r="AI380" t="str">
            <v>N/A</v>
          </cell>
          <cell r="AJ380" t="str">
            <v>N/A</v>
          </cell>
          <cell r="AK380" t="str">
            <v>N/A</v>
          </cell>
          <cell r="AL380" t="str">
            <v>N/A</v>
          </cell>
          <cell r="AM380" t="str">
            <v>N/A</v>
          </cell>
          <cell r="AN380" t="str">
            <v>N/A</v>
          </cell>
          <cell r="AO380" t="str">
            <v>COMPLETED</v>
          </cell>
        </row>
        <row r="381">
          <cell r="A381" t="str">
            <v>24-0954</v>
          </cell>
          <cell r="B381" t="str">
            <v>DISTILLED WATER</v>
          </cell>
          <cell r="C381" t="str">
            <v>PAGRO</v>
          </cell>
          <cell r="D381" t="str">
            <v>No</v>
          </cell>
          <cell r="E381" t="str">
            <v>NP-53.9 - Small Value Procurement</v>
          </cell>
          <cell r="F381" t="str">
            <v>N/A</v>
          </cell>
          <cell r="G381">
            <v>45371</v>
          </cell>
          <cell r="H381">
            <v>0</v>
          </cell>
          <cell r="I381" t="str">
            <v>N/A</v>
          </cell>
          <cell r="J381">
            <v>45387</v>
          </cell>
          <cell r="K381">
            <v>45387</v>
          </cell>
          <cell r="L381">
            <v>0</v>
          </cell>
          <cell r="M381" t="str">
            <v>N/A</v>
          </cell>
          <cell r="N381" t="str">
            <v>N/A</v>
          </cell>
          <cell r="O381">
            <v>45630</v>
          </cell>
          <cell r="P381">
            <v>0</v>
          </cell>
          <cell r="Q381">
            <v>0</v>
          </cell>
          <cell r="R381">
            <v>0</v>
          </cell>
          <cell r="S381" t="str">
            <v>N/A</v>
          </cell>
          <cell r="T381">
            <v>45405</v>
          </cell>
          <cell r="U381">
            <v>45419</v>
          </cell>
          <cell r="V381">
            <v>0</v>
          </cell>
          <cell r="W381">
            <v>0</v>
          </cell>
          <cell r="X381">
            <v>45421</v>
          </cell>
          <cell r="Y381">
            <v>45421</v>
          </cell>
          <cell r="Z381">
            <v>0</v>
          </cell>
          <cell r="AA381">
            <v>2970</v>
          </cell>
          <cell r="AB381">
            <v>0</v>
          </cell>
          <cell r="AC381">
            <v>2970</v>
          </cell>
          <cell r="AD381">
            <v>2960</v>
          </cell>
          <cell r="AE381">
            <v>0</v>
          </cell>
          <cell r="AF381">
            <v>2960</v>
          </cell>
          <cell r="AG381" t="str">
            <v>C</v>
          </cell>
          <cell r="AH381" t="str">
            <v>ENGR. MICHAEL C. SALARDA
MS. LEONARDA M. LATOR
MS. CARMENCITA VALDEZ
MS. SORAYA P. VERGARA</v>
          </cell>
          <cell r="AI381" t="str">
            <v>N/A</v>
          </cell>
          <cell r="AJ381" t="str">
            <v>N/A</v>
          </cell>
          <cell r="AK381" t="str">
            <v>N/A</v>
          </cell>
          <cell r="AL381" t="str">
            <v>N/A</v>
          </cell>
          <cell r="AM381" t="str">
            <v>N/A</v>
          </cell>
          <cell r="AN381" t="str">
            <v>N/A</v>
          </cell>
          <cell r="AO381" t="str">
            <v>COMPLETED</v>
          </cell>
        </row>
        <row r="382">
          <cell r="A382" t="str">
            <v>24-1799</v>
          </cell>
          <cell r="B382" t="str">
            <v>COMPUTER SUPPLIES/SPAREPARTS</v>
          </cell>
          <cell r="C382" t="str">
            <v>PIAO</v>
          </cell>
          <cell r="D382" t="str">
            <v>No</v>
          </cell>
          <cell r="E382" t="str">
            <v>NP-53.9 - Small Value Procurement</v>
          </cell>
          <cell r="F382" t="str">
            <v>N/A</v>
          </cell>
          <cell r="G382">
            <v>45371</v>
          </cell>
          <cell r="H382">
            <v>0</v>
          </cell>
          <cell r="I382" t="str">
            <v>N/A</v>
          </cell>
          <cell r="J382">
            <v>45387</v>
          </cell>
          <cell r="K382">
            <v>45387</v>
          </cell>
          <cell r="L382">
            <v>0</v>
          </cell>
          <cell r="M382" t="str">
            <v>N/A</v>
          </cell>
          <cell r="N382" t="str">
            <v>N/A</v>
          </cell>
          <cell r="O382">
            <v>45630</v>
          </cell>
          <cell r="P382">
            <v>0</v>
          </cell>
          <cell r="Q382">
            <v>0</v>
          </cell>
          <cell r="R382">
            <v>0</v>
          </cell>
          <cell r="S382" t="str">
            <v>N/A</v>
          </cell>
          <cell r="T382">
            <v>45406</v>
          </cell>
          <cell r="U382">
            <v>45411</v>
          </cell>
          <cell r="V382">
            <v>0</v>
          </cell>
          <cell r="W382">
            <v>0</v>
          </cell>
          <cell r="X382">
            <v>45418</v>
          </cell>
          <cell r="Y382">
            <v>45418</v>
          </cell>
          <cell r="Z382">
            <v>0</v>
          </cell>
          <cell r="AA382">
            <v>9000</v>
          </cell>
          <cell r="AB382">
            <v>9000</v>
          </cell>
          <cell r="AC382">
            <v>0</v>
          </cell>
          <cell r="AD382">
            <v>8900</v>
          </cell>
          <cell r="AE382">
            <v>8900</v>
          </cell>
          <cell r="AF382">
            <v>0</v>
          </cell>
          <cell r="AG382" t="str">
            <v>M</v>
          </cell>
          <cell r="AH382" t="str">
            <v>ENGR. MICHAEL C. SALARDA
MS. LEONARDA M. LATOR
MS. CARMENCITA VALDEZ
MS. SORAYA P. VERGARA</v>
          </cell>
          <cell r="AI382" t="str">
            <v>N/A</v>
          </cell>
          <cell r="AJ382" t="str">
            <v>N/A</v>
          </cell>
          <cell r="AK382" t="str">
            <v>N/A</v>
          </cell>
          <cell r="AL382" t="str">
            <v>N/A</v>
          </cell>
          <cell r="AM382" t="str">
            <v>N/A</v>
          </cell>
          <cell r="AN382" t="str">
            <v>N/A</v>
          </cell>
          <cell r="AO382" t="str">
            <v>COMPLETED</v>
          </cell>
        </row>
        <row r="383">
          <cell r="A383" t="str">
            <v>24-1651</v>
          </cell>
          <cell r="B383" t="str">
            <v>COMPUTER SUPPLIES/SPAREPARTS</v>
          </cell>
          <cell r="C383" t="str">
            <v>PTO</v>
          </cell>
          <cell r="D383" t="str">
            <v>No</v>
          </cell>
          <cell r="E383" t="str">
            <v>NP-53.9 - Small Value Procurement</v>
          </cell>
          <cell r="F383" t="str">
            <v>N/A</v>
          </cell>
          <cell r="G383">
            <v>45371</v>
          </cell>
          <cell r="H383">
            <v>0</v>
          </cell>
          <cell r="I383" t="str">
            <v>N/A</v>
          </cell>
          <cell r="J383">
            <v>45387</v>
          </cell>
          <cell r="K383">
            <v>45387</v>
          </cell>
          <cell r="L383">
            <v>0</v>
          </cell>
          <cell r="M383" t="str">
            <v>N/A</v>
          </cell>
          <cell r="N383" t="str">
            <v>N/A</v>
          </cell>
          <cell r="O383">
            <v>45630</v>
          </cell>
          <cell r="P383">
            <v>0</v>
          </cell>
          <cell r="Q383">
            <v>0</v>
          </cell>
          <cell r="R383">
            <v>0</v>
          </cell>
          <cell r="S383" t="str">
            <v>N/A</v>
          </cell>
          <cell r="T383">
            <v>45407</v>
          </cell>
          <cell r="U383">
            <v>45412</v>
          </cell>
          <cell r="V383">
            <v>0</v>
          </cell>
          <cell r="W383">
            <v>0</v>
          </cell>
          <cell r="X383">
            <v>45418</v>
          </cell>
          <cell r="Y383">
            <v>45418</v>
          </cell>
          <cell r="Z383">
            <v>0</v>
          </cell>
          <cell r="AA383">
            <v>4123</v>
          </cell>
          <cell r="AB383">
            <v>4123</v>
          </cell>
          <cell r="AC383">
            <v>0</v>
          </cell>
          <cell r="AD383">
            <v>4050</v>
          </cell>
          <cell r="AE383">
            <v>4050</v>
          </cell>
          <cell r="AF383">
            <v>0</v>
          </cell>
          <cell r="AG383" t="str">
            <v>M</v>
          </cell>
          <cell r="AH383" t="str">
            <v>ENGR. MICHAEL C. SALARDA
MS. LEONARDA M. LATOR
MS. CARMENCITA VALDEZ
MS. SORAYA P. VERGARA</v>
          </cell>
          <cell r="AI383" t="str">
            <v>N/A</v>
          </cell>
          <cell r="AJ383" t="str">
            <v>N/A</v>
          </cell>
          <cell r="AK383" t="str">
            <v>N/A</v>
          </cell>
          <cell r="AL383" t="str">
            <v>N/A</v>
          </cell>
          <cell r="AM383" t="str">
            <v>N/A</v>
          </cell>
          <cell r="AN383" t="str">
            <v>N/A</v>
          </cell>
          <cell r="AO383" t="str">
            <v>COMPLETED</v>
          </cell>
        </row>
        <row r="384">
          <cell r="A384" t="str">
            <v>24-1680</v>
          </cell>
          <cell r="B384" t="str">
            <v>FOOD/CATERING SERVICES</v>
          </cell>
          <cell r="C384" t="str">
            <v>PGO</v>
          </cell>
          <cell r="D384" t="str">
            <v>No</v>
          </cell>
          <cell r="E384" t="str">
            <v>NP-53.9 - Small Value Procurement</v>
          </cell>
          <cell r="F384" t="str">
            <v>N/A</v>
          </cell>
          <cell r="G384">
            <v>45371</v>
          </cell>
          <cell r="H384">
            <v>0</v>
          </cell>
          <cell r="I384" t="str">
            <v>N/A</v>
          </cell>
          <cell r="J384">
            <v>45387</v>
          </cell>
          <cell r="K384">
            <v>45387</v>
          </cell>
          <cell r="L384">
            <v>0</v>
          </cell>
          <cell r="M384" t="str">
            <v>N/A</v>
          </cell>
          <cell r="N384" t="str">
            <v>N/A</v>
          </cell>
          <cell r="O384">
            <v>45630</v>
          </cell>
          <cell r="P384">
            <v>0</v>
          </cell>
          <cell r="Q384">
            <v>0</v>
          </cell>
          <cell r="R384">
            <v>0</v>
          </cell>
          <cell r="S384" t="str">
            <v>N/A</v>
          </cell>
          <cell r="T384">
            <v>45405</v>
          </cell>
          <cell r="U384">
            <v>45408</v>
          </cell>
          <cell r="V384">
            <v>0</v>
          </cell>
          <cell r="W384">
            <v>0</v>
          </cell>
          <cell r="X384">
            <v>45443</v>
          </cell>
          <cell r="Y384">
            <v>45443</v>
          </cell>
          <cell r="Z384">
            <v>0</v>
          </cell>
          <cell r="AA384">
            <v>40800</v>
          </cell>
          <cell r="AB384">
            <v>0</v>
          </cell>
          <cell r="AC384">
            <v>40800</v>
          </cell>
          <cell r="AD384">
            <v>36000</v>
          </cell>
          <cell r="AE384">
            <v>0</v>
          </cell>
          <cell r="AF384">
            <v>36000</v>
          </cell>
          <cell r="AG384" t="str">
            <v>C</v>
          </cell>
          <cell r="AH384" t="str">
            <v>ENGR. MICHAEL C. SALARDA
MS. LEONARDA M. LATOR
MS. CARMENCITA VALDEZ
MS. SORAYA P. VERGARA</v>
          </cell>
          <cell r="AI384" t="str">
            <v>N/A</v>
          </cell>
          <cell r="AJ384" t="str">
            <v>N/A</v>
          </cell>
          <cell r="AK384" t="str">
            <v>N/A</v>
          </cell>
          <cell r="AL384" t="str">
            <v>N/A</v>
          </cell>
          <cell r="AM384" t="str">
            <v>N/A</v>
          </cell>
          <cell r="AN384" t="str">
            <v>N/A</v>
          </cell>
          <cell r="AO384" t="str">
            <v>COMPLETED</v>
          </cell>
        </row>
        <row r="385">
          <cell r="A385" t="str">
            <v>24-1409</v>
          </cell>
          <cell r="B385" t="str">
            <v>COMPUTER SUPPLIES/SPAREPARTS</v>
          </cell>
          <cell r="C385" t="str">
            <v>PPDO</v>
          </cell>
          <cell r="D385" t="str">
            <v>No</v>
          </cell>
          <cell r="E385" t="str">
            <v>NP-53.9 - Small Value Procurement</v>
          </cell>
          <cell r="F385" t="str">
            <v>N/A</v>
          </cell>
          <cell r="G385">
            <v>45371</v>
          </cell>
          <cell r="H385">
            <v>0</v>
          </cell>
          <cell r="I385" t="str">
            <v>N/A</v>
          </cell>
          <cell r="J385">
            <v>45387</v>
          </cell>
          <cell r="K385">
            <v>45387</v>
          </cell>
          <cell r="L385">
            <v>0</v>
          </cell>
          <cell r="M385" t="str">
            <v>N/A</v>
          </cell>
          <cell r="N385" t="str">
            <v>N/A</v>
          </cell>
          <cell r="O385">
            <v>45630</v>
          </cell>
          <cell r="P385">
            <v>0</v>
          </cell>
          <cell r="Q385">
            <v>0</v>
          </cell>
          <cell r="R385">
            <v>0</v>
          </cell>
          <cell r="S385" t="str">
            <v>N/A</v>
          </cell>
          <cell r="T385">
            <v>45406</v>
          </cell>
          <cell r="U385">
            <v>45411</v>
          </cell>
          <cell r="V385">
            <v>0</v>
          </cell>
          <cell r="W385">
            <v>0</v>
          </cell>
          <cell r="X385">
            <v>45418</v>
          </cell>
          <cell r="Y385">
            <v>45418</v>
          </cell>
          <cell r="Z385">
            <v>0</v>
          </cell>
          <cell r="AA385">
            <v>5760</v>
          </cell>
          <cell r="AB385">
            <v>5760</v>
          </cell>
          <cell r="AC385">
            <v>0</v>
          </cell>
          <cell r="AD385">
            <v>5600</v>
          </cell>
          <cell r="AE385">
            <v>5600</v>
          </cell>
          <cell r="AF385">
            <v>0</v>
          </cell>
          <cell r="AG385" t="str">
            <v>M</v>
          </cell>
          <cell r="AH385" t="str">
            <v>ENGR. MICHAEL C. SALARDA
MS. LEONARDA M. LATOR
MS. CARMENCITA VALDEZ
MS. SORAYA P. VERGARA</v>
          </cell>
          <cell r="AI385" t="str">
            <v>N/A</v>
          </cell>
          <cell r="AJ385" t="str">
            <v>N/A</v>
          </cell>
          <cell r="AK385" t="str">
            <v>N/A</v>
          </cell>
          <cell r="AL385" t="str">
            <v>N/A</v>
          </cell>
          <cell r="AM385" t="str">
            <v>N/A</v>
          </cell>
          <cell r="AN385" t="str">
            <v>N/A</v>
          </cell>
          <cell r="AO385" t="str">
            <v>COMPLETED</v>
          </cell>
        </row>
        <row r="386">
          <cell r="A386" t="str">
            <v>24-1691</v>
          </cell>
          <cell r="B386" t="str">
            <v>HAND CUFF</v>
          </cell>
          <cell r="C386" t="str">
            <v>PGO</v>
          </cell>
          <cell r="D386" t="str">
            <v>No</v>
          </cell>
          <cell r="E386" t="str">
            <v>NP-53.9 - Small Value Procurement</v>
          </cell>
          <cell r="F386" t="str">
            <v>N/A</v>
          </cell>
          <cell r="G386">
            <v>45371</v>
          </cell>
          <cell r="H386">
            <v>0</v>
          </cell>
          <cell r="I386" t="str">
            <v>N/A</v>
          </cell>
          <cell r="J386">
            <v>45387</v>
          </cell>
          <cell r="K386">
            <v>45387</v>
          </cell>
          <cell r="L386">
            <v>0</v>
          </cell>
          <cell r="M386" t="str">
            <v>N/A</v>
          </cell>
          <cell r="N386" t="str">
            <v>N/A</v>
          </cell>
          <cell r="O386">
            <v>45630</v>
          </cell>
          <cell r="P386">
            <v>0</v>
          </cell>
          <cell r="Q386">
            <v>0</v>
          </cell>
          <cell r="R386">
            <v>0</v>
          </cell>
          <cell r="S386">
            <v>45399</v>
          </cell>
          <cell r="T386">
            <v>45406</v>
          </cell>
          <cell r="U386">
            <v>45414</v>
          </cell>
          <cell r="V386">
            <v>0</v>
          </cell>
          <cell r="W386">
            <v>0</v>
          </cell>
          <cell r="X386">
            <v>45443</v>
          </cell>
          <cell r="Y386">
            <v>45443</v>
          </cell>
          <cell r="Z386">
            <v>0</v>
          </cell>
          <cell r="AA386">
            <v>108460</v>
          </cell>
          <cell r="AB386">
            <v>0</v>
          </cell>
          <cell r="AC386">
            <v>108460</v>
          </cell>
          <cell r="AD386">
            <v>106140</v>
          </cell>
          <cell r="AE386">
            <v>0</v>
          </cell>
          <cell r="AF386">
            <v>106140</v>
          </cell>
          <cell r="AG386" t="str">
            <v>C</v>
          </cell>
          <cell r="AH386" t="str">
            <v>ENGR. MICHAEL C. SALARDA
MS. LEONARDA M. LATOR
MS. CARMENCITA VALDEZ
MS. SORAYA P. VERGARA</v>
          </cell>
          <cell r="AI386" t="str">
            <v>N/A</v>
          </cell>
          <cell r="AJ386" t="str">
            <v>N/A</v>
          </cell>
          <cell r="AK386" t="str">
            <v>N/A</v>
          </cell>
          <cell r="AL386" t="str">
            <v>N/A</v>
          </cell>
          <cell r="AM386" t="str">
            <v>N/A</v>
          </cell>
          <cell r="AN386" t="str">
            <v>N/A</v>
          </cell>
          <cell r="AO386" t="str">
            <v>COMPLETED</v>
          </cell>
        </row>
        <row r="387">
          <cell r="A387" t="str">
            <v>24-1693</v>
          </cell>
          <cell r="B387" t="str">
            <v>CHAIR, MONOBLOC</v>
          </cell>
          <cell r="C387" t="str">
            <v>PGO</v>
          </cell>
          <cell r="D387" t="str">
            <v>No</v>
          </cell>
          <cell r="E387" t="str">
            <v>NP-53.9 - Small Value Procurement</v>
          </cell>
          <cell r="F387" t="str">
            <v>N/A</v>
          </cell>
          <cell r="G387">
            <v>45371</v>
          </cell>
          <cell r="H387">
            <v>0</v>
          </cell>
          <cell r="I387" t="str">
            <v>N/A</v>
          </cell>
          <cell r="J387">
            <v>45387</v>
          </cell>
          <cell r="K387">
            <v>45387</v>
          </cell>
          <cell r="L387">
            <v>0</v>
          </cell>
          <cell r="M387" t="str">
            <v>N/A</v>
          </cell>
          <cell r="N387" t="str">
            <v>N/A</v>
          </cell>
          <cell r="O387">
            <v>45630</v>
          </cell>
          <cell r="P387">
            <v>0</v>
          </cell>
          <cell r="Q387">
            <v>0</v>
          </cell>
          <cell r="R387">
            <v>0</v>
          </cell>
          <cell r="S387" t="str">
            <v>N/A</v>
          </cell>
          <cell r="T387">
            <v>45401</v>
          </cell>
          <cell r="U387">
            <v>45420</v>
          </cell>
          <cell r="V387">
            <v>0</v>
          </cell>
          <cell r="W387">
            <v>0</v>
          </cell>
          <cell r="X387">
            <v>45433</v>
          </cell>
          <cell r="Y387">
            <v>45433</v>
          </cell>
          <cell r="Z387">
            <v>0</v>
          </cell>
          <cell r="AA387">
            <v>3900</v>
          </cell>
          <cell r="AB387">
            <v>0</v>
          </cell>
          <cell r="AC387">
            <v>3900</v>
          </cell>
          <cell r="AD387">
            <v>3850</v>
          </cell>
          <cell r="AE387">
            <v>0</v>
          </cell>
          <cell r="AF387">
            <v>3850</v>
          </cell>
          <cell r="AG387" t="str">
            <v>C</v>
          </cell>
          <cell r="AH387" t="str">
            <v>ENGR. MICHAEL C. SALARDA
MS. LEONARDA M. LATOR
MS. CARMENCITA VALDEZ
MS. SORAYA P. VERGARA</v>
          </cell>
          <cell r="AI387" t="str">
            <v>N/A</v>
          </cell>
          <cell r="AJ387" t="str">
            <v>N/A</v>
          </cell>
          <cell r="AK387" t="str">
            <v>N/A</v>
          </cell>
          <cell r="AL387" t="str">
            <v>N/A</v>
          </cell>
          <cell r="AM387" t="str">
            <v>N/A</v>
          </cell>
          <cell r="AN387" t="str">
            <v>N/A</v>
          </cell>
          <cell r="AO387" t="str">
            <v>COMPLETED</v>
          </cell>
        </row>
        <row r="388">
          <cell r="A388" t="str">
            <v>24-1547</v>
          </cell>
          <cell r="B388" t="str">
            <v>WATER DISPENSER-HOT AND COLD</v>
          </cell>
          <cell r="C388" t="str">
            <v>PAGRO</v>
          </cell>
          <cell r="D388" t="str">
            <v>No</v>
          </cell>
          <cell r="E388" t="str">
            <v>NP-53.9 - Small Value Procurement</v>
          </cell>
          <cell r="F388" t="str">
            <v>N/A</v>
          </cell>
          <cell r="G388">
            <v>45371</v>
          </cell>
          <cell r="H388">
            <v>0</v>
          </cell>
          <cell r="I388" t="str">
            <v>N/A</v>
          </cell>
          <cell r="J388">
            <v>45387</v>
          </cell>
          <cell r="K388">
            <v>45387</v>
          </cell>
          <cell r="L388">
            <v>0</v>
          </cell>
          <cell r="M388" t="str">
            <v>N/A</v>
          </cell>
          <cell r="N388" t="str">
            <v>N/A</v>
          </cell>
          <cell r="O388">
            <v>45630</v>
          </cell>
          <cell r="P388">
            <v>0</v>
          </cell>
          <cell r="Q388">
            <v>0</v>
          </cell>
          <cell r="R388">
            <v>0</v>
          </cell>
          <cell r="S388" t="str">
            <v>N/A</v>
          </cell>
          <cell r="T388">
            <v>45405</v>
          </cell>
          <cell r="U388">
            <v>45419</v>
          </cell>
          <cell r="V388">
            <v>0</v>
          </cell>
          <cell r="W388">
            <v>0</v>
          </cell>
          <cell r="X388">
            <v>45421</v>
          </cell>
          <cell r="Y388">
            <v>45421</v>
          </cell>
          <cell r="Z388">
            <v>0</v>
          </cell>
          <cell r="AA388">
            <v>13200</v>
          </cell>
          <cell r="AB388">
            <v>13200</v>
          </cell>
          <cell r="AC388">
            <v>0</v>
          </cell>
          <cell r="AD388">
            <v>13200</v>
          </cell>
          <cell r="AE388">
            <v>13200</v>
          </cell>
          <cell r="AF388">
            <v>0</v>
          </cell>
          <cell r="AG388" t="str">
            <v>M</v>
          </cell>
          <cell r="AH388" t="str">
            <v>ENGR. MICHAEL C. SALARDA
MS. LEONARDA M. LATOR
MS. CARMENCITA VALDEZ
MS. SORAYA P. VERGARA</v>
          </cell>
          <cell r="AI388" t="str">
            <v>N/A</v>
          </cell>
          <cell r="AJ388" t="str">
            <v>N/A</v>
          </cell>
          <cell r="AK388" t="str">
            <v>N/A</v>
          </cell>
          <cell r="AL388" t="str">
            <v>N/A</v>
          </cell>
          <cell r="AM388" t="str">
            <v>N/A</v>
          </cell>
          <cell r="AN388" t="str">
            <v>N/A</v>
          </cell>
          <cell r="AO388" t="str">
            <v>COMPLETED</v>
          </cell>
        </row>
        <row r="389">
          <cell r="A389" t="str">
            <v>24-C1130</v>
          </cell>
          <cell r="B389" t="str">
            <v>AGRICULTURAL (BOLO, GARBAGE BIN, GARBAGE HOSE)</v>
          </cell>
          <cell r="C389" t="str">
            <v>PGSO</v>
          </cell>
          <cell r="D389" t="str">
            <v>No</v>
          </cell>
          <cell r="E389" t="str">
            <v>NP-53.9 - Small Value Procurement</v>
          </cell>
          <cell r="F389" t="str">
            <v>N/A</v>
          </cell>
          <cell r="G389">
            <v>45363</v>
          </cell>
          <cell r="H389">
            <v>0</v>
          </cell>
          <cell r="I389" t="str">
            <v>N/A</v>
          </cell>
          <cell r="J389">
            <v>45390</v>
          </cell>
          <cell r="K389">
            <v>45390</v>
          </cell>
          <cell r="L389">
            <v>0</v>
          </cell>
          <cell r="M389" t="str">
            <v>N/A</v>
          </cell>
          <cell r="N389" t="str">
            <v>N/A</v>
          </cell>
          <cell r="O389">
            <v>45630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45405</v>
          </cell>
          <cell r="U389">
            <v>45420</v>
          </cell>
          <cell r="V389">
            <v>0</v>
          </cell>
          <cell r="W389">
            <v>0</v>
          </cell>
          <cell r="X389">
            <v>45468</v>
          </cell>
          <cell r="Y389">
            <v>45468</v>
          </cell>
          <cell r="Z389">
            <v>0</v>
          </cell>
          <cell r="AA389">
            <v>94852</v>
          </cell>
          <cell r="AB389">
            <v>94852</v>
          </cell>
          <cell r="AC389">
            <v>0</v>
          </cell>
          <cell r="AD389">
            <v>94800</v>
          </cell>
          <cell r="AE389">
            <v>94800</v>
          </cell>
          <cell r="AF389">
            <v>0</v>
          </cell>
          <cell r="AG389" t="str">
            <v>M</v>
          </cell>
          <cell r="AH389" t="str">
            <v>ENGR. MICHAEL C. SALARDA
MS. LEONARDA M. LATOR
MS. CARMENCITA VALDEZ
MS. SORAYA P. VERGARA</v>
          </cell>
          <cell r="AI389" t="str">
            <v>N/A</v>
          </cell>
          <cell r="AJ389" t="str">
            <v>N/A</v>
          </cell>
          <cell r="AK389" t="str">
            <v>N/A</v>
          </cell>
          <cell r="AL389" t="str">
            <v>N/A</v>
          </cell>
          <cell r="AM389" t="str">
            <v>N/A</v>
          </cell>
          <cell r="AN389" t="str">
            <v>N/A</v>
          </cell>
          <cell r="AO389" t="str">
            <v>COMPLETED</v>
          </cell>
        </row>
        <row r="390">
          <cell r="A390" t="str">
            <v>24-C1198</v>
          </cell>
          <cell r="B390" t="str">
            <v>MAGAZINE PRINTING &amp; POCKET BROCHURE</v>
          </cell>
          <cell r="C390" t="str">
            <v>PAO</v>
          </cell>
          <cell r="D390" t="str">
            <v>No</v>
          </cell>
          <cell r="E390" t="str">
            <v>NP-53.9 - Small Value Procurement</v>
          </cell>
          <cell r="F390" t="str">
            <v>N/A</v>
          </cell>
          <cell r="G390">
            <v>45376</v>
          </cell>
          <cell r="H390">
            <v>0</v>
          </cell>
          <cell r="I390" t="str">
            <v>N/A</v>
          </cell>
          <cell r="J390">
            <v>45390</v>
          </cell>
          <cell r="K390">
            <v>45390</v>
          </cell>
          <cell r="L390">
            <v>0</v>
          </cell>
          <cell r="M390" t="str">
            <v>N/A</v>
          </cell>
          <cell r="N390" t="str">
            <v>N/A</v>
          </cell>
          <cell r="O390">
            <v>45630</v>
          </cell>
          <cell r="P390">
            <v>0</v>
          </cell>
          <cell r="Q390">
            <v>0</v>
          </cell>
          <cell r="R390">
            <v>0</v>
          </cell>
          <cell r="S390">
            <v>45398</v>
          </cell>
          <cell r="T390">
            <v>45405</v>
          </cell>
          <cell r="U390">
            <v>45420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90160</v>
          </cell>
          <cell r="AB390">
            <v>0</v>
          </cell>
          <cell r="AC390">
            <v>90160</v>
          </cell>
          <cell r="AD390">
            <v>82025</v>
          </cell>
          <cell r="AE390">
            <v>0</v>
          </cell>
          <cell r="AF390">
            <v>82025</v>
          </cell>
          <cell r="AG390" t="str">
            <v>C</v>
          </cell>
          <cell r="AH390" t="str">
            <v>ENGR. MICHAEL C. SALARDA
MS. LEONARDA M. LATOR
MS. CARMENCITA VALDEZ
MS. SORAYA P. VERGARA</v>
          </cell>
          <cell r="AI390" t="str">
            <v>N/A</v>
          </cell>
          <cell r="AJ390" t="str">
            <v>N/A</v>
          </cell>
          <cell r="AK390" t="str">
            <v>N/A</v>
          </cell>
          <cell r="AL390" t="str">
            <v>N/A</v>
          </cell>
          <cell r="AM390" t="str">
            <v>N/A</v>
          </cell>
          <cell r="AN390" t="str">
            <v>N/A</v>
          </cell>
          <cell r="AO390">
            <v>0</v>
          </cell>
        </row>
        <row r="391">
          <cell r="A391" t="str">
            <v>24-1090</v>
          </cell>
          <cell r="B391" t="str">
            <v>TABLE NAME HOLDER</v>
          </cell>
          <cell r="C391" t="str">
            <v>PGO</v>
          </cell>
          <cell r="D391" t="str">
            <v>No</v>
          </cell>
          <cell r="E391" t="str">
            <v>NP-53.9 - Small Value Procurement</v>
          </cell>
          <cell r="F391">
            <v>45370</v>
          </cell>
          <cell r="G391">
            <v>45376</v>
          </cell>
          <cell r="H391">
            <v>0</v>
          </cell>
          <cell r="I391" t="str">
            <v>N/A</v>
          </cell>
          <cell r="J391">
            <v>45390</v>
          </cell>
          <cell r="K391">
            <v>45390</v>
          </cell>
          <cell r="L391">
            <v>0</v>
          </cell>
          <cell r="M391" t="str">
            <v>N/A</v>
          </cell>
          <cell r="N391" t="str">
            <v>N/A</v>
          </cell>
          <cell r="O391">
            <v>45630</v>
          </cell>
          <cell r="P391">
            <v>0</v>
          </cell>
          <cell r="Q391">
            <v>0</v>
          </cell>
          <cell r="R391">
            <v>0</v>
          </cell>
          <cell r="S391" t="str">
            <v>N/A</v>
          </cell>
          <cell r="T391">
            <v>45406</v>
          </cell>
          <cell r="U391">
            <v>45412</v>
          </cell>
          <cell r="V391">
            <v>0</v>
          </cell>
          <cell r="W391">
            <v>0</v>
          </cell>
          <cell r="X391">
            <v>45428</v>
          </cell>
          <cell r="Y391">
            <v>45428</v>
          </cell>
          <cell r="Z391">
            <v>0</v>
          </cell>
          <cell r="AA391">
            <v>16000</v>
          </cell>
          <cell r="AB391">
            <v>0</v>
          </cell>
          <cell r="AC391">
            <v>16000</v>
          </cell>
          <cell r="AD391">
            <v>16000</v>
          </cell>
          <cell r="AE391">
            <v>0</v>
          </cell>
          <cell r="AF391">
            <v>16000</v>
          </cell>
          <cell r="AG391" t="str">
            <v>C</v>
          </cell>
          <cell r="AH391" t="str">
            <v>ENGR. MICHAEL C. SALARDA
MS. LEONARDA M. LATOR
MS. CARMENCITA VALDEZ
MS. SORAYA P. VERGARA</v>
          </cell>
          <cell r="AI391" t="str">
            <v>N/A</v>
          </cell>
          <cell r="AJ391" t="str">
            <v>N/A</v>
          </cell>
          <cell r="AK391" t="str">
            <v>N/A</v>
          </cell>
          <cell r="AL391" t="str">
            <v>N/A</v>
          </cell>
          <cell r="AM391" t="str">
            <v>N/A</v>
          </cell>
          <cell r="AN391" t="str">
            <v>N/A</v>
          </cell>
          <cell r="AO391" t="str">
            <v>COMPLETED</v>
          </cell>
        </row>
        <row r="392">
          <cell r="A392" t="str">
            <v>24-1726</v>
          </cell>
          <cell r="B392" t="str">
            <v>SPAREPARTS (LIGHT VEHICLES)</v>
          </cell>
          <cell r="C392" t="str">
            <v>PGSO</v>
          </cell>
          <cell r="D392" t="str">
            <v>No</v>
          </cell>
          <cell r="E392" t="str">
            <v>NP-53.9 - Small Value Procurement</v>
          </cell>
          <cell r="F392">
            <v>45373</v>
          </cell>
          <cell r="G392">
            <v>45384</v>
          </cell>
          <cell r="H392">
            <v>0</v>
          </cell>
          <cell r="I392" t="str">
            <v>N/A</v>
          </cell>
          <cell r="J392">
            <v>45390</v>
          </cell>
          <cell r="K392">
            <v>45390</v>
          </cell>
          <cell r="L392">
            <v>0</v>
          </cell>
          <cell r="M392" t="str">
            <v>N/A</v>
          </cell>
          <cell r="N392" t="str">
            <v>N/A</v>
          </cell>
          <cell r="O392">
            <v>45630</v>
          </cell>
          <cell r="P392">
            <v>0</v>
          </cell>
          <cell r="Q392">
            <v>0</v>
          </cell>
          <cell r="R392">
            <v>0</v>
          </cell>
          <cell r="S392" t="str">
            <v>N/A</v>
          </cell>
          <cell r="T392">
            <v>45405</v>
          </cell>
          <cell r="U392">
            <v>45420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5400</v>
          </cell>
          <cell r="AB392">
            <v>5400</v>
          </cell>
          <cell r="AC392">
            <v>0</v>
          </cell>
          <cell r="AD392">
            <v>5000</v>
          </cell>
          <cell r="AE392">
            <v>5000</v>
          </cell>
          <cell r="AF392">
            <v>0</v>
          </cell>
          <cell r="AG392" t="str">
            <v>M</v>
          </cell>
          <cell r="AH392" t="str">
            <v>ENGR. MICHAEL C. SALARDA
MS. LEONARDA M. LATOR
MS. CARMENCITA VALDEZ
MS. SORAYA P. VERGARA</v>
          </cell>
          <cell r="AI392" t="str">
            <v>N/A</v>
          </cell>
          <cell r="AJ392" t="str">
            <v>N/A</v>
          </cell>
          <cell r="AK392" t="str">
            <v>N/A</v>
          </cell>
          <cell r="AL392" t="str">
            <v>N/A</v>
          </cell>
          <cell r="AM392" t="str">
            <v>N/A</v>
          </cell>
          <cell r="AN392" t="str">
            <v>N/A</v>
          </cell>
          <cell r="AO392">
            <v>0</v>
          </cell>
        </row>
        <row r="393">
          <cell r="A393" t="str">
            <v>24-1431</v>
          </cell>
          <cell r="B393" t="str">
            <v>FOOD/CATERING SERVICES</v>
          </cell>
          <cell r="C393" t="str">
            <v>PAO</v>
          </cell>
          <cell r="D393" t="str">
            <v>No</v>
          </cell>
          <cell r="E393" t="str">
            <v>NP-53.9 - Small Value Procurement</v>
          </cell>
          <cell r="F393" t="str">
            <v>N/A</v>
          </cell>
          <cell r="G393">
            <v>45384</v>
          </cell>
          <cell r="H393">
            <v>0</v>
          </cell>
          <cell r="I393" t="str">
            <v>N/A</v>
          </cell>
          <cell r="J393">
            <v>45390</v>
          </cell>
          <cell r="K393">
            <v>45390</v>
          </cell>
          <cell r="L393">
            <v>0</v>
          </cell>
          <cell r="M393" t="str">
            <v>N/A</v>
          </cell>
          <cell r="N393" t="str">
            <v>N/A</v>
          </cell>
          <cell r="O393">
            <v>45630</v>
          </cell>
          <cell r="P393">
            <v>0</v>
          </cell>
          <cell r="Q393">
            <v>0</v>
          </cell>
          <cell r="R393">
            <v>0</v>
          </cell>
          <cell r="S393">
            <v>45394</v>
          </cell>
          <cell r="T393">
            <v>45405</v>
          </cell>
          <cell r="U393">
            <v>45419</v>
          </cell>
          <cell r="V393">
            <v>0</v>
          </cell>
          <cell r="W393">
            <v>0</v>
          </cell>
          <cell r="X393">
            <v>45427</v>
          </cell>
          <cell r="Y393">
            <v>45427</v>
          </cell>
          <cell r="Z393">
            <v>0</v>
          </cell>
          <cell r="AA393">
            <v>56280</v>
          </cell>
          <cell r="AB393">
            <v>0</v>
          </cell>
          <cell r="AC393">
            <v>56280</v>
          </cell>
          <cell r="AD393">
            <v>55878</v>
          </cell>
          <cell r="AE393">
            <v>0</v>
          </cell>
          <cell r="AF393">
            <v>55878</v>
          </cell>
          <cell r="AG393" t="str">
            <v>C</v>
          </cell>
          <cell r="AH393" t="str">
            <v>ENGR. MICHAEL C. SALARDA
MS. LEONARDA M. LATOR
MS. CARMENCITA VALDEZ
MS. SORAYA P. VERGARA</v>
          </cell>
          <cell r="AI393" t="str">
            <v>N/A</v>
          </cell>
          <cell r="AJ393" t="str">
            <v>N/A</v>
          </cell>
          <cell r="AK393" t="str">
            <v>N/A</v>
          </cell>
          <cell r="AL393" t="str">
            <v>N/A</v>
          </cell>
          <cell r="AM393" t="str">
            <v>N/A</v>
          </cell>
          <cell r="AN393" t="str">
            <v>N/A</v>
          </cell>
          <cell r="AO393" t="str">
            <v>COMPLETED</v>
          </cell>
        </row>
        <row r="394">
          <cell r="A394" t="str">
            <v>24-1040</v>
          </cell>
          <cell r="B394" t="str">
            <v>FOOD/CATERING SERVICES</v>
          </cell>
          <cell r="C394" t="str">
            <v>PGO</v>
          </cell>
          <cell r="D394" t="str">
            <v>No</v>
          </cell>
          <cell r="E394" t="str">
            <v>NP-53.9 - Small Value Procurement</v>
          </cell>
          <cell r="F394" t="str">
            <v>N/A</v>
          </cell>
          <cell r="G394">
            <v>45376</v>
          </cell>
          <cell r="H394">
            <v>0</v>
          </cell>
          <cell r="I394" t="str">
            <v>N/A</v>
          </cell>
          <cell r="J394">
            <v>45390</v>
          </cell>
          <cell r="K394">
            <v>45390</v>
          </cell>
          <cell r="L394">
            <v>0</v>
          </cell>
          <cell r="M394" t="str">
            <v>N/A</v>
          </cell>
          <cell r="N394" t="str">
            <v>N/A</v>
          </cell>
          <cell r="O394">
            <v>45630</v>
          </cell>
          <cell r="P394">
            <v>0</v>
          </cell>
          <cell r="Q394">
            <v>0</v>
          </cell>
          <cell r="R394">
            <v>0</v>
          </cell>
          <cell r="S394" t="str">
            <v>N/A</v>
          </cell>
          <cell r="T394">
            <v>45405</v>
          </cell>
          <cell r="U394">
            <v>45419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46200</v>
          </cell>
          <cell r="AB394">
            <v>0</v>
          </cell>
          <cell r="AC394">
            <v>46200</v>
          </cell>
          <cell r="AD394">
            <v>45430</v>
          </cell>
          <cell r="AE394">
            <v>0</v>
          </cell>
          <cell r="AF394">
            <v>45430</v>
          </cell>
          <cell r="AG394" t="str">
            <v>C</v>
          </cell>
          <cell r="AH394" t="str">
            <v>ENGR. MICHAEL C. SALARDA
MS. LEONARDA M. LATOR
MS. CARMENCITA VALDEZ
MS. SORAYA P. VERGARA</v>
          </cell>
          <cell r="AI394" t="str">
            <v>N/A</v>
          </cell>
          <cell r="AJ394" t="str">
            <v>N/A</v>
          </cell>
          <cell r="AK394" t="str">
            <v>N/A</v>
          </cell>
          <cell r="AL394" t="str">
            <v>N/A</v>
          </cell>
          <cell r="AM394" t="str">
            <v>N/A</v>
          </cell>
          <cell r="AN394" t="str">
            <v>N/A</v>
          </cell>
          <cell r="AO394">
            <v>0</v>
          </cell>
        </row>
        <row r="395">
          <cell r="A395" t="str">
            <v>24-1122</v>
          </cell>
          <cell r="B395" t="str">
            <v>PLAQUE/TROPHIES/MEDAL</v>
          </cell>
          <cell r="C395" t="str">
            <v>PHO</v>
          </cell>
          <cell r="D395" t="str">
            <v>No</v>
          </cell>
          <cell r="E395" t="str">
            <v>NP-53.9 - Small Value Procurement</v>
          </cell>
          <cell r="F395" t="str">
            <v>N/A</v>
          </cell>
          <cell r="G395">
            <v>45376</v>
          </cell>
          <cell r="H395">
            <v>0</v>
          </cell>
          <cell r="I395" t="str">
            <v>N/A</v>
          </cell>
          <cell r="J395">
            <v>45390</v>
          </cell>
          <cell r="K395">
            <v>45390</v>
          </cell>
          <cell r="L395">
            <v>0</v>
          </cell>
          <cell r="M395" t="str">
            <v>N/A</v>
          </cell>
          <cell r="N395" t="str">
            <v>N/A</v>
          </cell>
          <cell r="O395">
            <v>45630</v>
          </cell>
          <cell r="P395">
            <v>0</v>
          </cell>
          <cell r="Q395">
            <v>0</v>
          </cell>
          <cell r="R395">
            <v>0</v>
          </cell>
          <cell r="S395" t="str">
            <v>N/A</v>
          </cell>
          <cell r="T395">
            <v>45405</v>
          </cell>
          <cell r="U395">
            <v>45420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25000</v>
          </cell>
          <cell r="AB395">
            <v>0</v>
          </cell>
          <cell r="AC395">
            <v>25000</v>
          </cell>
          <cell r="AD395">
            <v>23000</v>
          </cell>
          <cell r="AE395">
            <v>0</v>
          </cell>
          <cell r="AF395">
            <v>23000</v>
          </cell>
          <cell r="AG395" t="str">
            <v>C</v>
          </cell>
          <cell r="AH395" t="str">
            <v>ENGR. MICHAEL C. SALARDA
MS. LEONARDA M. LATOR
MS. CARMENCITA VALDEZ
MS. SORAYA P. VERGARA</v>
          </cell>
          <cell r="AI395" t="str">
            <v>N/A</v>
          </cell>
          <cell r="AJ395" t="str">
            <v>N/A</v>
          </cell>
          <cell r="AK395" t="str">
            <v>N/A</v>
          </cell>
          <cell r="AL395" t="str">
            <v>N/A</v>
          </cell>
          <cell r="AM395" t="str">
            <v>N/A</v>
          </cell>
          <cell r="AN395" t="str">
            <v>N/A</v>
          </cell>
          <cell r="AO395">
            <v>0</v>
          </cell>
        </row>
        <row r="396">
          <cell r="A396" t="str">
            <v>24-1349</v>
          </cell>
          <cell r="B396" t="str">
            <v>FOOD/CATERING SERVICES</v>
          </cell>
          <cell r="C396" t="str">
            <v>PGO</v>
          </cell>
          <cell r="D396" t="str">
            <v>No</v>
          </cell>
          <cell r="E396" t="str">
            <v>NP-53.9 - Small Value Procurement</v>
          </cell>
          <cell r="F396" t="str">
            <v>N/A</v>
          </cell>
          <cell r="G396">
            <v>45384</v>
          </cell>
          <cell r="H396">
            <v>0</v>
          </cell>
          <cell r="I396" t="str">
            <v>N/A</v>
          </cell>
          <cell r="J396">
            <v>45390</v>
          </cell>
          <cell r="K396">
            <v>45390</v>
          </cell>
          <cell r="L396">
            <v>0</v>
          </cell>
          <cell r="M396" t="str">
            <v>N/A</v>
          </cell>
          <cell r="N396" t="str">
            <v>N/A</v>
          </cell>
          <cell r="O396">
            <v>45630</v>
          </cell>
          <cell r="P396">
            <v>0</v>
          </cell>
          <cell r="Q396">
            <v>0</v>
          </cell>
          <cell r="R396">
            <v>0</v>
          </cell>
          <cell r="S396" t="str">
            <v>N/A</v>
          </cell>
          <cell r="T396">
            <v>45401</v>
          </cell>
          <cell r="U396">
            <v>45422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19960</v>
          </cell>
          <cell r="AB396">
            <v>0</v>
          </cell>
          <cell r="AC396">
            <v>19960</v>
          </cell>
          <cell r="AD396">
            <v>19736</v>
          </cell>
          <cell r="AE396">
            <v>0</v>
          </cell>
          <cell r="AF396">
            <v>19736</v>
          </cell>
          <cell r="AG396" t="str">
            <v>C</v>
          </cell>
          <cell r="AH396" t="str">
            <v>ENGR. MICHAEL C. SALARDA
MS. LEONARDA M. LATOR
MS. CARMENCITA VALDEZ
MS. SORAYA P. VERGARA</v>
          </cell>
          <cell r="AI396" t="str">
            <v>N/A</v>
          </cell>
          <cell r="AJ396" t="str">
            <v>N/A</v>
          </cell>
          <cell r="AK396" t="str">
            <v>N/A</v>
          </cell>
          <cell r="AL396" t="str">
            <v>N/A</v>
          </cell>
          <cell r="AM396" t="str">
            <v>N/A</v>
          </cell>
          <cell r="AN396" t="str">
            <v>N/A</v>
          </cell>
          <cell r="AO396">
            <v>0</v>
          </cell>
        </row>
        <row r="397">
          <cell r="A397" t="str">
            <v>24-1420</v>
          </cell>
          <cell r="B397" t="str">
            <v>SPAREPARTS (LIGHT VEHICLES)</v>
          </cell>
          <cell r="C397" t="str">
            <v>PGSO</v>
          </cell>
          <cell r="D397" t="str">
            <v>No</v>
          </cell>
          <cell r="E397" t="str">
            <v>NP-53.9 - Small Value Procurement</v>
          </cell>
          <cell r="F397">
            <v>45370</v>
          </cell>
          <cell r="G397">
            <v>45376</v>
          </cell>
          <cell r="H397">
            <v>0</v>
          </cell>
          <cell r="I397" t="str">
            <v>N/A</v>
          </cell>
          <cell r="J397">
            <v>45390</v>
          </cell>
          <cell r="K397">
            <v>45390</v>
          </cell>
          <cell r="L397">
            <v>0</v>
          </cell>
          <cell r="M397" t="str">
            <v>N/A</v>
          </cell>
          <cell r="N397" t="str">
            <v>N/A</v>
          </cell>
          <cell r="O397">
            <v>45630</v>
          </cell>
          <cell r="P397">
            <v>0</v>
          </cell>
          <cell r="Q397">
            <v>0</v>
          </cell>
          <cell r="R397">
            <v>0</v>
          </cell>
          <cell r="S397" t="str">
            <v>N/A</v>
          </cell>
          <cell r="T397">
            <v>45405</v>
          </cell>
          <cell r="U397">
            <v>45426</v>
          </cell>
          <cell r="V397">
            <v>0</v>
          </cell>
          <cell r="W397">
            <v>0</v>
          </cell>
          <cell r="X397">
            <v>45433</v>
          </cell>
          <cell r="Y397">
            <v>45433</v>
          </cell>
          <cell r="Z397">
            <v>0</v>
          </cell>
          <cell r="AA397">
            <v>12500</v>
          </cell>
          <cell r="AB397">
            <v>12500</v>
          </cell>
          <cell r="AC397">
            <v>0</v>
          </cell>
          <cell r="AD397">
            <v>12000</v>
          </cell>
          <cell r="AE397">
            <v>12000</v>
          </cell>
          <cell r="AF397">
            <v>0</v>
          </cell>
          <cell r="AG397" t="str">
            <v>M</v>
          </cell>
          <cell r="AH397" t="str">
            <v>ENGR. MICHAEL C. SALARDA
MS. LEONARDA M. LATOR
MS. CARMENCITA VALDEZ
MS. SORAYA P. VERGARA</v>
          </cell>
          <cell r="AI397" t="str">
            <v>N/A</v>
          </cell>
          <cell r="AJ397" t="str">
            <v>N/A</v>
          </cell>
          <cell r="AK397" t="str">
            <v>N/A</v>
          </cell>
          <cell r="AL397" t="str">
            <v>N/A</v>
          </cell>
          <cell r="AM397" t="str">
            <v>N/A</v>
          </cell>
          <cell r="AN397" t="str">
            <v>N/A</v>
          </cell>
          <cell r="AO397" t="str">
            <v>COMPLETED</v>
          </cell>
        </row>
        <row r="398">
          <cell r="A398" t="str">
            <v>24-1446</v>
          </cell>
          <cell r="B398" t="str">
            <v>FOOD/CATERING SERVICES</v>
          </cell>
          <cell r="C398" t="str">
            <v>PGO</v>
          </cell>
          <cell r="D398" t="str">
            <v>No</v>
          </cell>
          <cell r="E398" t="str">
            <v>NP-53.9 - Small Value Procurement</v>
          </cell>
          <cell r="F398" t="str">
            <v>N/A</v>
          </cell>
          <cell r="G398">
            <v>45384</v>
          </cell>
          <cell r="H398">
            <v>0</v>
          </cell>
          <cell r="I398" t="str">
            <v>N/A</v>
          </cell>
          <cell r="J398">
            <v>45390</v>
          </cell>
          <cell r="K398">
            <v>45390</v>
          </cell>
          <cell r="L398">
            <v>0</v>
          </cell>
          <cell r="M398" t="str">
            <v>N/A</v>
          </cell>
          <cell r="N398" t="str">
            <v>N/A</v>
          </cell>
          <cell r="O398">
            <v>45630</v>
          </cell>
          <cell r="P398">
            <v>0</v>
          </cell>
          <cell r="Q398">
            <v>0</v>
          </cell>
          <cell r="R398">
            <v>0</v>
          </cell>
          <cell r="S398">
            <v>45394</v>
          </cell>
          <cell r="T398">
            <v>45405</v>
          </cell>
          <cell r="U398">
            <v>45415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89960</v>
          </cell>
          <cell r="AB398">
            <v>0</v>
          </cell>
          <cell r="AC398">
            <v>89960</v>
          </cell>
          <cell r="AD398">
            <v>89960</v>
          </cell>
          <cell r="AE398">
            <v>0</v>
          </cell>
          <cell r="AF398">
            <v>89960</v>
          </cell>
          <cell r="AG398" t="str">
            <v>C</v>
          </cell>
          <cell r="AH398" t="str">
            <v>ENGR. MICHAEL C. SALARDA
MS. LEONARDA M. LATOR
MS. CARMENCITA VALDEZ
MS. SORAYA P. VERGARA</v>
          </cell>
          <cell r="AI398" t="str">
            <v>N/A</v>
          </cell>
          <cell r="AJ398" t="str">
            <v>N/A</v>
          </cell>
          <cell r="AK398" t="str">
            <v>N/A</v>
          </cell>
          <cell r="AL398" t="str">
            <v>N/A</v>
          </cell>
          <cell r="AM398" t="str">
            <v>N/A</v>
          </cell>
          <cell r="AN398" t="str">
            <v>N/A</v>
          </cell>
          <cell r="AO398">
            <v>0</v>
          </cell>
        </row>
        <row r="399">
          <cell r="A399" t="str">
            <v>24-C1101</v>
          </cell>
          <cell r="B399" t="str">
            <v>SPAREPARTS (LIGHT VEHICLES)</v>
          </cell>
          <cell r="C399" t="str">
            <v>PAGRO</v>
          </cell>
          <cell r="D399" t="str">
            <v>No</v>
          </cell>
          <cell r="E399" t="str">
            <v>NP-53.9 - Small Value Procurement</v>
          </cell>
          <cell r="F399" t="str">
            <v>N/A</v>
          </cell>
          <cell r="G399">
            <v>45376</v>
          </cell>
          <cell r="H399">
            <v>0</v>
          </cell>
          <cell r="I399" t="str">
            <v>N/A</v>
          </cell>
          <cell r="J399">
            <v>45390</v>
          </cell>
          <cell r="K399">
            <v>45390</v>
          </cell>
          <cell r="L399">
            <v>0</v>
          </cell>
          <cell r="M399" t="str">
            <v>N/A</v>
          </cell>
          <cell r="N399" t="str">
            <v>N/A</v>
          </cell>
          <cell r="O399">
            <v>45630</v>
          </cell>
          <cell r="P399">
            <v>0</v>
          </cell>
          <cell r="Q399">
            <v>0</v>
          </cell>
          <cell r="R399">
            <v>0</v>
          </cell>
          <cell r="S399" t="str">
            <v>N/A</v>
          </cell>
          <cell r="T399">
            <v>45405</v>
          </cell>
          <cell r="U399">
            <v>45420</v>
          </cell>
          <cell r="V399">
            <v>0</v>
          </cell>
          <cell r="W399">
            <v>0</v>
          </cell>
          <cell r="X399">
            <v>45428</v>
          </cell>
          <cell r="Y399">
            <v>45428</v>
          </cell>
          <cell r="Z399">
            <v>0</v>
          </cell>
          <cell r="AA399">
            <v>29760.89</v>
          </cell>
          <cell r="AB399">
            <v>29760.89</v>
          </cell>
          <cell r="AC399">
            <v>0</v>
          </cell>
          <cell r="AD399">
            <v>25730</v>
          </cell>
          <cell r="AE399">
            <v>25730</v>
          </cell>
          <cell r="AF399">
            <v>0</v>
          </cell>
          <cell r="AG399" t="str">
            <v>M</v>
          </cell>
          <cell r="AH399" t="str">
            <v>ENGR. MICHAEL C. SALARDA
MS. LEONARDA M. LATOR
MS. CARMENCITA VALDEZ
MS. SORAYA P. VERGARA</v>
          </cell>
          <cell r="AI399" t="str">
            <v>N/A</v>
          </cell>
          <cell r="AJ399" t="str">
            <v>N/A</v>
          </cell>
          <cell r="AK399" t="str">
            <v>N/A</v>
          </cell>
          <cell r="AL399" t="str">
            <v>N/A</v>
          </cell>
          <cell r="AM399" t="str">
            <v>N/A</v>
          </cell>
          <cell r="AN399" t="str">
            <v>N/A</v>
          </cell>
          <cell r="AO399" t="str">
            <v>COMPLETED</v>
          </cell>
        </row>
        <row r="400">
          <cell r="A400" t="str">
            <v>24-C1122</v>
          </cell>
          <cell r="B400" t="str">
            <v>MEDALS &amp; PLAQUES</v>
          </cell>
          <cell r="C400" t="str">
            <v>PSWDO</v>
          </cell>
          <cell r="D400" t="str">
            <v>No</v>
          </cell>
          <cell r="E400" t="str">
            <v>NP-53.9 - Small Value Procurement</v>
          </cell>
          <cell r="F400" t="str">
            <v>N/A</v>
          </cell>
          <cell r="G400">
            <v>45376</v>
          </cell>
          <cell r="H400">
            <v>0</v>
          </cell>
          <cell r="I400" t="str">
            <v>N/A</v>
          </cell>
          <cell r="J400">
            <v>45390</v>
          </cell>
          <cell r="K400">
            <v>45390</v>
          </cell>
          <cell r="L400">
            <v>0</v>
          </cell>
          <cell r="M400" t="str">
            <v>N/A</v>
          </cell>
          <cell r="N400" t="str">
            <v>N/A</v>
          </cell>
          <cell r="O400">
            <v>45630</v>
          </cell>
          <cell r="P400">
            <v>0</v>
          </cell>
          <cell r="Q400">
            <v>0</v>
          </cell>
          <cell r="R400">
            <v>0</v>
          </cell>
          <cell r="S400">
            <v>45398</v>
          </cell>
          <cell r="T400">
            <v>45405</v>
          </cell>
          <cell r="U400">
            <v>45426</v>
          </cell>
          <cell r="V400">
            <v>0</v>
          </cell>
          <cell r="W400">
            <v>0</v>
          </cell>
          <cell r="X400">
            <v>45462</v>
          </cell>
          <cell r="Y400">
            <v>45462</v>
          </cell>
          <cell r="Z400">
            <v>0</v>
          </cell>
          <cell r="AA400">
            <v>68058</v>
          </cell>
          <cell r="AB400">
            <v>0</v>
          </cell>
          <cell r="AC400">
            <v>68058</v>
          </cell>
          <cell r="AD400">
            <v>66948</v>
          </cell>
          <cell r="AE400">
            <v>0</v>
          </cell>
          <cell r="AF400">
            <v>66948</v>
          </cell>
          <cell r="AG400" t="str">
            <v>C</v>
          </cell>
          <cell r="AH400" t="str">
            <v>ENGR. MICHAEL C. SALARDA
MS. LEONARDA M. LATOR
MS. CARMENCITA VALDEZ
MS. SORAYA P. VERGARA</v>
          </cell>
          <cell r="AI400" t="str">
            <v>N/A</v>
          </cell>
          <cell r="AJ400" t="str">
            <v>N/A</v>
          </cell>
          <cell r="AK400" t="str">
            <v>N/A</v>
          </cell>
          <cell r="AL400" t="str">
            <v>N/A</v>
          </cell>
          <cell r="AM400" t="str">
            <v>N/A</v>
          </cell>
          <cell r="AN400" t="str">
            <v>N/A</v>
          </cell>
          <cell r="AO400" t="str">
            <v>COMPLETED</v>
          </cell>
        </row>
        <row r="401">
          <cell r="A401" t="str">
            <v>24-1568</v>
          </cell>
          <cell r="B401" t="str">
            <v>SPAREPARTS (LIGHT VEHICLES)</v>
          </cell>
          <cell r="C401" t="str">
            <v>PGSO</v>
          </cell>
          <cell r="D401" t="str">
            <v>No</v>
          </cell>
          <cell r="E401" t="str">
            <v>NP-53.9 - Small Value Procurement</v>
          </cell>
          <cell r="F401">
            <v>45370</v>
          </cell>
          <cell r="G401">
            <v>45376</v>
          </cell>
          <cell r="H401">
            <v>0</v>
          </cell>
          <cell r="I401" t="str">
            <v>N/A</v>
          </cell>
          <cell r="J401">
            <v>45390</v>
          </cell>
          <cell r="K401">
            <v>45390</v>
          </cell>
          <cell r="L401">
            <v>0</v>
          </cell>
          <cell r="M401" t="str">
            <v>N/A</v>
          </cell>
          <cell r="N401" t="str">
            <v>N/A</v>
          </cell>
          <cell r="O401">
            <v>45630</v>
          </cell>
          <cell r="P401">
            <v>0</v>
          </cell>
          <cell r="Q401">
            <v>0</v>
          </cell>
          <cell r="R401">
            <v>0</v>
          </cell>
          <cell r="S401" t="str">
            <v>N/A</v>
          </cell>
          <cell r="T401">
            <v>45405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9650</v>
          </cell>
          <cell r="AB401">
            <v>9650</v>
          </cell>
          <cell r="AC401">
            <v>0</v>
          </cell>
          <cell r="AD401">
            <v>9500</v>
          </cell>
          <cell r="AE401">
            <v>9500</v>
          </cell>
          <cell r="AF401">
            <v>0</v>
          </cell>
          <cell r="AG401" t="str">
            <v>M</v>
          </cell>
          <cell r="AH401" t="str">
            <v>ENGR. MICHAEL C. SALARDA
MS. LEONARDA M. LATOR
MS. CARMENCITA VALDEZ
MS. SORAYA P. VERGARA</v>
          </cell>
          <cell r="AI401" t="str">
            <v>N/A</v>
          </cell>
          <cell r="AJ401" t="str">
            <v>N/A</v>
          </cell>
          <cell r="AK401" t="str">
            <v>N/A</v>
          </cell>
          <cell r="AL401" t="str">
            <v>N/A</v>
          </cell>
          <cell r="AM401" t="str">
            <v>N/A</v>
          </cell>
          <cell r="AN401" t="str">
            <v>N/A</v>
          </cell>
          <cell r="AO401">
            <v>0</v>
          </cell>
        </row>
        <row r="402">
          <cell r="A402" t="str">
            <v>24-1636</v>
          </cell>
          <cell r="B402" t="str">
            <v>FOOD/CATERING SERVICES</v>
          </cell>
          <cell r="C402" t="str">
            <v>PGO</v>
          </cell>
          <cell r="D402" t="str">
            <v>No</v>
          </cell>
          <cell r="E402" t="str">
            <v>NP-53.9 - Small Value Procurement</v>
          </cell>
          <cell r="F402" t="str">
            <v>N/A</v>
          </cell>
          <cell r="G402">
            <v>45384</v>
          </cell>
          <cell r="H402">
            <v>0</v>
          </cell>
          <cell r="I402" t="str">
            <v>N/A</v>
          </cell>
          <cell r="J402">
            <v>45390</v>
          </cell>
          <cell r="K402">
            <v>45390</v>
          </cell>
          <cell r="L402">
            <v>0</v>
          </cell>
          <cell r="M402" t="str">
            <v>N/A</v>
          </cell>
          <cell r="N402" t="str">
            <v>N/A</v>
          </cell>
          <cell r="O402">
            <v>45630</v>
          </cell>
          <cell r="P402">
            <v>0</v>
          </cell>
          <cell r="Q402">
            <v>0</v>
          </cell>
          <cell r="R402">
            <v>0</v>
          </cell>
          <cell r="S402">
            <v>45394</v>
          </cell>
          <cell r="T402">
            <v>45405</v>
          </cell>
          <cell r="U402">
            <v>45425</v>
          </cell>
          <cell r="V402">
            <v>0</v>
          </cell>
          <cell r="W402">
            <v>0</v>
          </cell>
          <cell r="X402">
            <v>45454</v>
          </cell>
          <cell r="Y402">
            <v>45454</v>
          </cell>
          <cell r="Z402">
            <v>0</v>
          </cell>
          <cell r="AA402">
            <v>74460</v>
          </cell>
          <cell r="AB402">
            <v>74460</v>
          </cell>
          <cell r="AC402">
            <v>0</v>
          </cell>
          <cell r="AD402">
            <v>73584</v>
          </cell>
          <cell r="AE402">
            <v>73584</v>
          </cell>
          <cell r="AF402">
            <v>0</v>
          </cell>
          <cell r="AG402" t="str">
            <v>M</v>
          </cell>
          <cell r="AH402" t="str">
            <v>ENGR. MICHAEL C. SALARDA
MS. LEONARDA M. LATOR
MS. CARMENCITA VALDEZ
MS. SORAYA P. VERGARA</v>
          </cell>
          <cell r="AI402" t="str">
            <v>N/A</v>
          </cell>
          <cell r="AJ402" t="str">
            <v>N/A</v>
          </cell>
          <cell r="AK402" t="str">
            <v>N/A</v>
          </cell>
          <cell r="AL402" t="str">
            <v>N/A</v>
          </cell>
          <cell r="AM402" t="str">
            <v>N/A</v>
          </cell>
          <cell r="AN402" t="str">
            <v>N/A</v>
          </cell>
          <cell r="AO402" t="str">
            <v>COMPLETED</v>
          </cell>
        </row>
        <row r="403">
          <cell r="A403" t="str">
            <v>24-1566</v>
          </cell>
          <cell r="B403" t="str">
            <v>SPAREPARTS (LIGHT VEHICLES)</v>
          </cell>
          <cell r="C403" t="str">
            <v>PGSO</v>
          </cell>
          <cell r="D403" t="str">
            <v>No</v>
          </cell>
          <cell r="E403" t="str">
            <v>NP-53.9 - Small Value Procurement</v>
          </cell>
          <cell r="F403">
            <v>45370</v>
          </cell>
          <cell r="G403">
            <v>45376</v>
          </cell>
          <cell r="H403">
            <v>0</v>
          </cell>
          <cell r="I403" t="str">
            <v>N/A</v>
          </cell>
          <cell r="J403">
            <v>45390</v>
          </cell>
          <cell r="K403">
            <v>45390</v>
          </cell>
          <cell r="L403">
            <v>0</v>
          </cell>
          <cell r="M403" t="str">
            <v>N/A</v>
          </cell>
          <cell r="N403" t="str">
            <v>N/A</v>
          </cell>
          <cell r="O403">
            <v>45630</v>
          </cell>
          <cell r="P403">
            <v>0</v>
          </cell>
          <cell r="Q403">
            <v>0</v>
          </cell>
          <cell r="R403">
            <v>0</v>
          </cell>
          <cell r="S403">
            <v>45398</v>
          </cell>
          <cell r="T403">
            <v>45405</v>
          </cell>
          <cell r="U403">
            <v>45426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58000</v>
          </cell>
          <cell r="AB403">
            <v>58000</v>
          </cell>
          <cell r="AC403">
            <v>0</v>
          </cell>
          <cell r="AD403">
            <v>56800</v>
          </cell>
          <cell r="AE403">
            <v>56800</v>
          </cell>
          <cell r="AF403">
            <v>0</v>
          </cell>
          <cell r="AG403" t="str">
            <v>M</v>
          </cell>
          <cell r="AH403" t="str">
            <v>ENGR. MICHAEL C. SALARDA
MS. LEONARDA M. LATOR
MS. CARMENCITA VALDEZ
MS. SORAYA P. VERGARA</v>
          </cell>
          <cell r="AI403" t="str">
            <v>N/A</v>
          </cell>
          <cell r="AJ403" t="str">
            <v>N/A</v>
          </cell>
          <cell r="AK403" t="str">
            <v>N/A</v>
          </cell>
          <cell r="AL403" t="str">
            <v>N/A</v>
          </cell>
          <cell r="AM403" t="str">
            <v>N/A</v>
          </cell>
          <cell r="AN403" t="str">
            <v>N/A</v>
          </cell>
          <cell r="AO403">
            <v>0</v>
          </cell>
        </row>
        <row r="404">
          <cell r="A404" t="str">
            <v>24-C1147</v>
          </cell>
          <cell r="B404" t="str">
            <v>MEDALS, PLAQUE, TROPHY &amp; TOKEN</v>
          </cell>
          <cell r="C404" t="str">
            <v>PGO</v>
          </cell>
          <cell r="D404" t="str">
            <v>No</v>
          </cell>
          <cell r="E404" t="str">
            <v>NP-53.9 - Small Value Procurement</v>
          </cell>
          <cell r="F404" t="str">
            <v>N/A</v>
          </cell>
          <cell r="G404">
            <v>45384</v>
          </cell>
          <cell r="H404">
            <v>0</v>
          </cell>
          <cell r="I404" t="str">
            <v>N/A</v>
          </cell>
          <cell r="J404">
            <v>45390</v>
          </cell>
          <cell r="K404">
            <v>45390</v>
          </cell>
          <cell r="L404">
            <v>0</v>
          </cell>
          <cell r="M404" t="str">
            <v>N/A</v>
          </cell>
          <cell r="N404" t="str">
            <v>N/A</v>
          </cell>
          <cell r="O404">
            <v>45630</v>
          </cell>
          <cell r="P404">
            <v>0</v>
          </cell>
          <cell r="Q404">
            <v>0</v>
          </cell>
          <cell r="R404">
            <v>0</v>
          </cell>
          <cell r="S404">
            <v>45398</v>
          </cell>
          <cell r="T404">
            <v>45405</v>
          </cell>
          <cell r="U404">
            <v>45420</v>
          </cell>
          <cell r="V404">
            <v>0</v>
          </cell>
          <cell r="W404">
            <v>0</v>
          </cell>
          <cell r="X404">
            <v>45469</v>
          </cell>
          <cell r="Y404">
            <v>45469</v>
          </cell>
          <cell r="Z404">
            <v>0</v>
          </cell>
          <cell r="AA404">
            <v>83875</v>
          </cell>
          <cell r="AB404">
            <v>0</v>
          </cell>
          <cell r="AC404">
            <v>83875</v>
          </cell>
          <cell r="AD404">
            <v>83575</v>
          </cell>
          <cell r="AE404">
            <v>0</v>
          </cell>
          <cell r="AF404">
            <v>83575</v>
          </cell>
          <cell r="AG404" t="str">
            <v>C</v>
          </cell>
          <cell r="AH404" t="str">
            <v>ENGR. MICHAEL C. SALARDA
MS. LEONARDA M. LATOR
MS. CARMENCITA VALDEZ
MS. SORAYA P. VERGARA</v>
          </cell>
          <cell r="AI404" t="str">
            <v>N/A</v>
          </cell>
          <cell r="AJ404" t="str">
            <v>N/A</v>
          </cell>
          <cell r="AK404" t="str">
            <v>N/A</v>
          </cell>
          <cell r="AL404" t="str">
            <v>N/A</v>
          </cell>
          <cell r="AM404" t="str">
            <v>N/A</v>
          </cell>
          <cell r="AN404" t="str">
            <v>N/A</v>
          </cell>
          <cell r="AO404" t="str">
            <v>COMPLETED</v>
          </cell>
        </row>
        <row r="405">
          <cell r="A405" t="str">
            <v>24-1158</v>
          </cell>
          <cell r="B405" t="str">
            <v>FOOD/CATERING SERVICES</v>
          </cell>
          <cell r="C405" t="str">
            <v>PGO</v>
          </cell>
          <cell r="D405" t="str">
            <v>No</v>
          </cell>
          <cell r="E405" t="str">
            <v>NP-53.9 - Small Value Procurement</v>
          </cell>
          <cell r="F405">
            <v>45373</v>
          </cell>
          <cell r="G405">
            <v>45384</v>
          </cell>
          <cell r="H405">
            <v>0</v>
          </cell>
          <cell r="I405" t="str">
            <v>N/A</v>
          </cell>
          <cell r="J405">
            <v>45390</v>
          </cell>
          <cell r="K405">
            <v>45390</v>
          </cell>
          <cell r="L405">
            <v>0</v>
          </cell>
          <cell r="M405" t="str">
            <v>N/A</v>
          </cell>
          <cell r="N405" t="str">
            <v>N/A</v>
          </cell>
          <cell r="O405">
            <v>45630</v>
          </cell>
          <cell r="P405">
            <v>0</v>
          </cell>
          <cell r="Q405">
            <v>0</v>
          </cell>
          <cell r="R405">
            <v>0</v>
          </cell>
          <cell r="S405">
            <v>45398</v>
          </cell>
          <cell r="T405">
            <v>45399</v>
          </cell>
          <cell r="U405">
            <v>45419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479000</v>
          </cell>
          <cell r="AB405">
            <v>0</v>
          </cell>
          <cell r="AC405">
            <v>479000</v>
          </cell>
          <cell r="AD405">
            <v>474400</v>
          </cell>
          <cell r="AE405">
            <v>0</v>
          </cell>
          <cell r="AF405">
            <v>474400</v>
          </cell>
          <cell r="AG405" t="str">
            <v>C</v>
          </cell>
          <cell r="AH405" t="str">
            <v>ENGR. MICHAEL C. SALARDA
MS. LEONARDA M. LATOR
MS. CARMENCITA VALDEZ
MS. SORAYA P. VERGARA</v>
          </cell>
          <cell r="AI405" t="str">
            <v>N/A</v>
          </cell>
          <cell r="AJ405" t="str">
            <v>N/A</v>
          </cell>
          <cell r="AK405" t="str">
            <v>N/A</v>
          </cell>
          <cell r="AL405" t="str">
            <v>N/A</v>
          </cell>
          <cell r="AM405" t="str">
            <v>N/A</v>
          </cell>
          <cell r="AN405" t="str">
            <v>N/A</v>
          </cell>
          <cell r="AO405">
            <v>0</v>
          </cell>
        </row>
        <row r="406">
          <cell r="A406" t="str">
            <v>24-C1202</v>
          </cell>
          <cell r="B406" t="str">
            <v>SPAREPARTS (HEAVY EQUIPT)</v>
          </cell>
          <cell r="C406" t="str">
            <v>PEO-Motorpool</v>
          </cell>
          <cell r="D406" t="str">
            <v>No</v>
          </cell>
          <cell r="E406" t="str">
            <v>NP-53.9 - Small Value Procurement</v>
          </cell>
          <cell r="F406">
            <v>45373</v>
          </cell>
          <cell r="G406">
            <v>45384</v>
          </cell>
          <cell r="H406">
            <v>0</v>
          </cell>
          <cell r="I406" t="str">
            <v>N/A</v>
          </cell>
          <cell r="J406">
            <v>45390</v>
          </cell>
          <cell r="K406">
            <v>45390</v>
          </cell>
          <cell r="L406">
            <v>0</v>
          </cell>
          <cell r="M406" t="str">
            <v>N/A</v>
          </cell>
          <cell r="N406" t="str">
            <v>N/A</v>
          </cell>
          <cell r="O406">
            <v>45630</v>
          </cell>
          <cell r="P406">
            <v>0</v>
          </cell>
          <cell r="Q406">
            <v>0</v>
          </cell>
          <cell r="R406">
            <v>0</v>
          </cell>
          <cell r="S406">
            <v>45398</v>
          </cell>
          <cell r="T406">
            <v>45399</v>
          </cell>
          <cell r="U406">
            <v>45420</v>
          </cell>
          <cell r="V406">
            <v>0</v>
          </cell>
          <cell r="W406">
            <v>0</v>
          </cell>
          <cell r="X406">
            <v>45453</v>
          </cell>
          <cell r="Y406">
            <v>45453</v>
          </cell>
          <cell r="Z406">
            <v>0</v>
          </cell>
          <cell r="AA406">
            <v>250445</v>
          </cell>
          <cell r="AB406">
            <v>250445</v>
          </cell>
          <cell r="AC406">
            <v>0</v>
          </cell>
          <cell r="AD406">
            <v>239525</v>
          </cell>
          <cell r="AE406">
            <v>239525</v>
          </cell>
          <cell r="AF406">
            <v>0</v>
          </cell>
          <cell r="AG406" t="str">
            <v>M</v>
          </cell>
          <cell r="AH406" t="str">
            <v>ENGR. MICHAEL C. SALARDA
MS. LEONARDA M. LATOR
MS. CARMENCITA VALDEZ
MS. SORAYA P. VERGARA</v>
          </cell>
          <cell r="AI406" t="str">
            <v>N/A</v>
          </cell>
          <cell r="AJ406" t="str">
            <v>N/A</v>
          </cell>
          <cell r="AK406" t="str">
            <v>N/A</v>
          </cell>
          <cell r="AL406" t="str">
            <v>N/A</v>
          </cell>
          <cell r="AM406" t="str">
            <v>N/A</v>
          </cell>
          <cell r="AN406" t="str">
            <v>N/A</v>
          </cell>
          <cell r="AO406" t="str">
            <v>COMPLETED</v>
          </cell>
        </row>
        <row r="407">
          <cell r="A407" t="str">
            <v>24-2322</v>
          </cell>
          <cell r="B407" t="str">
            <v>FOOD SUPPLIES</v>
          </cell>
          <cell r="C407" t="str">
            <v>PGO</v>
          </cell>
          <cell r="D407" t="str">
            <v>No</v>
          </cell>
          <cell r="E407" t="str">
            <v>NP-53.9 - Small Value Procurement</v>
          </cell>
          <cell r="F407">
            <v>45384</v>
          </cell>
          <cell r="G407">
            <v>45386</v>
          </cell>
          <cell r="H407">
            <v>0</v>
          </cell>
          <cell r="I407" t="str">
            <v>N/A</v>
          </cell>
          <cell r="J407">
            <v>45390</v>
          </cell>
          <cell r="K407">
            <v>45390</v>
          </cell>
          <cell r="L407">
            <v>0</v>
          </cell>
          <cell r="M407" t="str">
            <v>N/A</v>
          </cell>
          <cell r="N407" t="str">
            <v>N/A</v>
          </cell>
          <cell r="O407">
            <v>45390</v>
          </cell>
          <cell r="P407">
            <v>0</v>
          </cell>
          <cell r="Q407">
            <v>0</v>
          </cell>
          <cell r="R407">
            <v>0</v>
          </cell>
          <cell r="S407">
            <v>45390</v>
          </cell>
          <cell r="T407">
            <v>45390</v>
          </cell>
          <cell r="U407">
            <v>45390</v>
          </cell>
          <cell r="V407">
            <v>0</v>
          </cell>
          <cell r="W407">
            <v>0</v>
          </cell>
          <cell r="X407">
            <v>45390</v>
          </cell>
          <cell r="Y407">
            <v>45390</v>
          </cell>
          <cell r="Z407">
            <v>0</v>
          </cell>
          <cell r="AA407">
            <v>288600</v>
          </cell>
          <cell r="AB407">
            <v>0</v>
          </cell>
          <cell r="AC407">
            <v>288600</v>
          </cell>
          <cell r="AD407">
            <v>277500</v>
          </cell>
          <cell r="AE407">
            <v>0</v>
          </cell>
          <cell r="AF407">
            <v>277500</v>
          </cell>
          <cell r="AG407" t="str">
            <v>C</v>
          </cell>
          <cell r="AH407" t="str">
            <v>ENGR. MICHAEL C. SALARDA
MS. LEONARDA M. LATOR
MS. CARMENCITA VALDEZ
MS. SORAYA P. VERGARA</v>
          </cell>
          <cell r="AI407" t="str">
            <v>N/A</v>
          </cell>
          <cell r="AJ407" t="str">
            <v>N/A</v>
          </cell>
          <cell r="AK407" t="str">
            <v>N/A</v>
          </cell>
          <cell r="AL407" t="str">
            <v>N/A</v>
          </cell>
          <cell r="AM407" t="str">
            <v>N/A</v>
          </cell>
          <cell r="AN407" t="str">
            <v>N/A</v>
          </cell>
          <cell r="AO407" t="str">
            <v>COMPLETED</v>
          </cell>
        </row>
        <row r="408">
          <cell r="A408" t="str">
            <v>24-1881</v>
          </cell>
          <cell r="B408" t="str">
            <v>FOOD/CATERING SERVICES</v>
          </cell>
          <cell r="C408" t="str">
            <v>PAO</v>
          </cell>
          <cell r="D408" t="str">
            <v>No</v>
          </cell>
          <cell r="E408" t="str">
            <v>NP-53.9 - Small Value Procurement</v>
          </cell>
          <cell r="F408">
            <v>45370</v>
          </cell>
          <cell r="G408">
            <v>45376</v>
          </cell>
          <cell r="H408">
            <v>0</v>
          </cell>
          <cell r="I408" t="str">
            <v>N/A</v>
          </cell>
          <cell r="J408">
            <v>45390</v>
          </cell>
          <cell r="K408">
            <v>45390</v>
          </cell>
          <cell r="L408">
            <v>0</v>
          </cell>
          <cell r="M408" t="str">
            <v>N/A</v>
          </cell>
          <cell r="N408" t="str">
            <v>N/A</v>
          </cell>
          <cell r="O408">
            <v>45630</v>
          </cell>
          <cell r="P408">
            <v>0</v>
          </cell>
          <cell r="Q408">
            <v>0</v>
          </cell>
          <cell r="R408">
            <v>0</v>
          </cell>
          <cell r="S408">
            <v>45394</v>
          </cell>
          <cell r="T408">
            <v>45406</v>
          </cell>
          <cell r="U408">
            <v>45411</v>
          </cell>
          <cell r="V408">
            <v>0</v>
          </cell>
          <cell r="W408">
            <v>0</v>
          </cell>
          <cell r="X408">
            <v>45448</v>
          </cell>
          <cell r="Y408">
            <v>45448</v>
          </cell>
          <cell r="Z408">
            <v>0</v>
          </cell>
          <cell r="AA408">
            <v>285000</v>
          </cell>
          <cell r="AB408">
            <v>0</v>
          </cell>
          <cell r="AC408">
            <v>285000</v>
          </cell>
          <cell r="AD408">
            <v>285000</v>
          </cell>
          <cell r="AE408">
            <v>0</v>
          </cell>
          <cell r="AF408">
            <v>285000</v>
          </cell>
          <cell r="AG408" t="str">
            <v>C</v>
          </cell>
          <cell r="AH408" t="str">
            <v>ENGR. MICHAEL C. SALARDA
MS. LEONARDA M. LATOR
MS. CARMENCITA VALDEZ
MS. SORAYA P. VERGARA</v>
          </cell>
          <cell r="AI408" t="str">
            <v>N/A</v>
          </cell>
          <cell r="AJ408" t="str">
            <v>N/A</v>
          </cell>
          <cell r="AK408" t="str">
            <v>N/A</v>
          </cell>
          <cell r="AL408" t="str">
            <v>N/A</v>
          </cell>
          <cell r="AM408" t="str">
            <v>N/A</v>
          </cell>
          <cell r="AN408" t="str">
            <v>N/A</v>
          </cell>
          <cell r="AO408" t="str">
            <v>COMPLETED</v>
          </cell>
        </row>
        <row r="409">
          <cell r="A409" t="str">
            <v>24-0771</v>
          </cell>
          <cell r="B409" t="str">
            <v>ACETYLENE REFILL AND INDUSTRIAL OXYGEN REFILL</v>
          </cell>
          <cell r="C409" t="str">
            <v>PDRRMO</v>
          </cell>
          <cell r="D409" t="str">
            <v>No</v>
          </cell>
          <cell r="E409" t="str">
            <v>Direct Contracting</v>
          </cell>
          <cell r="F409">
            <v>45370</v>
          </cell>
          <cell r="G409">
            <v>45376</v>
          </cell>
          <cell r="H409">
            <v>0</v>
          </cell>
          <cell r="I409" t="str">
            <v>N/A</v>
          </cell>
          <cell r="J409">
            <v>45398</v>
          </cell>
          <cell r="K409">
            <v>45398</v>
          </cell>
          <cell r="L409">
            <v>0</v>
          </cell>
          <cell r="M409" t="str">
            <v>N/A</v>
          </cell>
          <cell r="N409" t="str">
            <v>N/A</v>
          </cell>
          <cell r="O409">
            <v>45405</v>
          </cell>
          <cell r="P409">
            <v>0</v>
          </cell>
          <cell r="Q409">
            <v>0</v>
          </cell>
          <cell r="R409">
            <v>0</v>
          </cell>
          <cell r="S409" t="str">
            <v>N/A</v>
          </cell>
          <cell r="T409">
            <v>45421</v>
          </cell>
          <cell r="U409">
            <v>45434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22275</v>
          </cell>
          <cell r="AB409">
            <v>0</v>
          </cell>
          <cell r="AC409">
            <v>22275</v>
          </cell>
          <cell r="AD409">
            <v>11425</v>
          </cell>
          <cell r="AE409">
            <v>0</v>
          </cell>
          <cell r="AF409">
            <v>11425</v>
          </cell>
          <cell r="AG409" t="str">
            <v>C</v>
          </cell>
          <cell r="AH409" t="str">
            <v>ENGR. MICHAEL C. SALARDA
MS. LEONARDA M. LATOR
MS. CARMENCITA VALDEZ
MS. SORAYA P. VERGARA</v>
          </cell>
          <cell r="AI409" t="str">
            <v>N/A</v>
          </cell>
          <cell r="AJ409" t="str">
            <v>N/A</v>
          </cell>
          <cell r="AK409" t="str">
            <v>N/A</v>
          </cell>
          <cell r="AL409" t="str">
            <v>N/A</v>
          </cell>
          <cell r="AM409" t="str">
            <v>N/A</v>
          </cell>
          <cell r="AN409" t="str">
            <v>N/A</v>
          </cell>
          <cell r="AO409">
            <v>0</v>
          </cell>
        </row>
        <row r="410">
          <cell r="A410" t="str">
            <v>24-C1174</v>
          </cell>
          <cell r="B410" t="str">
            <v>ACETYLENE REFILL AND INDUSTRIAL OXYGEN REFILL</v>
          </cell>
          <cell r="C410" t="str">
            <v>PAGRO</v>
          </cell>
          <cell r="D410" t="str">
            <v>No</v>
          </cell>
          <cell r="E410" t="str">
            <v>Direct Contracting</v>
          </cell>
          <cell r="F410">
            <v>45373</v>
          </cell>
          <cell r="G410">
            <v>45384</v>
          </cell>
          <cell r="H410">
            <v>0</v>
          </cell>
          <cell r="I410" t="str">
            <v>N/A</v>
          </cell>
          <cell r="J410">
            <v>45398</v>
          </cell>
          <cell r="K410">
            <v>45398</v>
          </cell>
          <cell r="L410">
            <v>0</v>
          </cell>
          <cell r="M410" t="str">
            <v>N/A</v>
          </cell>
          <cell r="N410" t="str">
            <v>N/A</v>
          </cell>
          <cell r="O410">
            <v>45405</v>
          </cell>
          <cell r="P410">
            <v>0</v>
          </cell>
          <cell r="Q410">
            <v>0</v>
          </cell>
          <cell r="R410">
            <v>0</v>
          </cell>
          <cell r="S410" t="str">
            <v>N/A</v>
          </cell>
          <cell r="T410">
            <v>45412</v>
          </cell>
          <cell r="U410">
            <v>45422</v>
          </cell>
          <cell r="V410">
            <v>0</v>
          </cell>
          <cell r="W410">
            <v>0</v>
          </cell>
          <cell r="X410">
            <v>45462</v>
          </cell>
          <cell r="Y410">
            <v>45462</v>
          </cell>
          <cell r="Z410">
            <v>0</v>
          </cell>
          <cell r="AA410">
            <v>11640</v>
          </cell>
          <cell r="AB410">
            <v>0</v>
          </cell>
          <cell r="AC410">
            <v>11640</v>
          </cell>
          <cell r="AD410">
            <v>9265</v>
          </cell>
          <cell r="AE410">
            <v>0</v>
          </cell>
          <cell r="AF410">
            <v>9265</v>
          </cell>
          <cell r="AG410" t="str">
            <v>C</v>
          </cell>
          <cell r="AH410" t="str">
            <v>ENGR. MICHAEL C. SALARDA
MS. LEONARDA M. LATOR
MS. CARMENCITA VALDEZ
MS. SORAYA P. VERGARA</v>
          </cell>
          <cell r="AI410" t="str">
            <v>N/A</v>
          </cell>
          <cell r="AJ410" t="str">
            <v>N/A</v>
          </cell>
          <cell r="AK410" t="str">
            <v>N/A</v>
          </cell>
          <cell r="AL410" t="str">
            <v>N/A</v>
          </cell>
          <cell r="AM410" t="str">
            <v>N/A</v>
          </cell>
          <cell r="AN410" t="str">
            <v>N/A</v>
          </cell>
          <cell r="AO410" t="str">
            <v>COMPLETED</v>
          </cell>
        </row>
        <row r="411">
          <cell r="A411" t="str">
            <v>24-C1299</v>
          </cell>
          <cell r="B411" t="str">
            <v>MEDICAL OXYGEN REFILL</v>
          </cell>
          <cell r="C411" t="str">
            <v>PEEMO</v>
          </cell>
          <cell r="D411" t="str">
            <v>No</v>
          </cell>
          <cell r="E411" t="str">
            <v>Direct Contracting</v>
          </cell>
          <cell r="F411" t="str">
            <v>N/A</v>
          </cell>
          <cell r="G411">
            <v>45385</v>
          </cell>
          <cell r="H411">
            <v>0</v>
          </cell>
          <cell r="I411" t="str">
            <v>N/A</v>
          </cell>
          <cell r="J411">
            <v>45398</v>
          </cell>
          <cell r="K411">
            <v>45398</v>
          </cell>
          <cell r="L411">
            <v>0</v>
          </cell>
          <cell r="M411" t="str">
            <v>N/A</v>
          </cell>
          <cell r="N411" t="str">
            <v>N/A</v>
          </cell>
          <cell r="O411">
            <v>45405</v>
          </cell>
          <cell r="P411">
            <v>0</v>
          </cell>
          <cell r="Q411">
            <v>0</v>
          </cell>
          <cell r="R411">
            <v>0</v>
          </cell>
          <cell r="S411" t="str">
            <v>N/A</v>
          </cell>
          <cell r="T411">
            <v>45412</v>
          </cell>
          <cell r="U411">
            <v>45432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2886000</v>
          </cell>
          <cell r="AB411">
            <v>2886000</v>
          </cell>
          <cell r="AC411">
            <v>0</v>
          </cell>
          <cell r="AD411">
            <v>2886000</v>
          </cell>
          <cell r="AE411">
            <v>2886000</v>
          </cell>
          <cell r="AF411">
            <v>0</v>
          </cell>
          <cell r="AG411" t="str">
            <v>M</v>
          </cell>
          <cell r="AH411" t="str">
            <v>ENGR. MICHAEL C. SALARDA
MS. LEONARDA M. LATOR
MS. CARMENCITA VALDEZ
MS. SORAYA P. VERGARA</v>
          </cell>
          <cell r="AI411" t="str">
            <v>N/A</v>
          </cell>
          <cell r="AJ411" t="str">
            <v>N/A</v>
          </cell>
          <cell r="AK411" t="str">
            <v>N/A</v>
          </cell>
          <cell r="AL411" t="str">
            <v>N/A</v>
          </cell>
          <cell r="AM411" t="str">
            <v>N/A</v>
          </cell>
          <cell r="AN411" t="str">
            <v>N/A</v>
          </cell>
          <cell r="AO411">
            <v>0</v>
          </cell>
        </row>
        <row r="412">
          <cell r="A412" t="str">
            <v>24-C1301</v>
          </cell>
          <cell r="B412" t="str">
            <v>EXPANDED NEWBORN SCREENING TEST</v>
          </cell>
          <cell r="C412" t="str">
            <v>PEEMO</v>
          </cell>
          <cell r="D412" t="str">
            <v>No</v>
          </cell>
          <cell r="E412" t="str">
            <v>Direct Contracting</v>
          </cell>
          <cell r="F412" t="str">
            <v>N/A</v>
          </cell>
          <cell r="G412">
            <v>45385</v>
          </cell>
          <cell r="H412">
            <v>0</v>
          </cell>
          <cell r="I412" t="str">
            <v>N/A</v>
          </cell>
          <cell r="J412">
            <v>45398</v>
          </cell>
          <cell r="K412">
            <v>45398</v>
          </cell>
          <cell r="L412">
            <v>0</v>
          </cell>
          <cell r="M412" t="str">
            <v>N/A</v>
          </cell>
          <cell r="N412" t="str">
            <v>N/A</v>
          </cell>
          <cell r="O412">
            <v>45405</v>
          </cell>
          <cell r="P412">
            <v>0</v>
          </cell>
          <cell r="Q412">
            <v>0</v>
          </cell>
          <cell r="R412">
            <v>0</v>
          </cell>
          <cell r="S412" t="str">
            <v>N/A</v>
          </cell>
          <cell r="T412">
            <v>45418</v>
          </cell>
          <cell r="U412">
            <v>45456</v>
          </cell>
          <cell r="V412">
            <v>0</v>
          </cell>
          <cell r="W412">
            <v>0</v>
          </cell>
          <cell r="X412">
            <v>45461</v>
          </cell>
          <cell r="Y412">
            <v>45461</v>
          </cell>
          <cell r="Z412">
            <v>0</v>
          </cell>
          <cell r="AA412">
            <v>4046000</v>
          </cell>
          <cell r="AB412">
            <v>4046000</v>
          </cell>
          <cell r="AC412">
            <v>0</v>
          </cell>
          <cell r="AD412">
            <v>4046000</v>
          </cell>
          <cell r="AE412">
            <v>4046000</v>
          </cell>
          <cell r="AF412">
            <v>0</v>
          </cell>
          <cell r="AG412" t="str">
            <v>M</v>
          </cell>
          <cell r="AH412" t="str">
            <v>ENGR. MICHAEL C. SALARDA
MS. LEONARDA M. LATOR
MS. CARMENCITA VALDEZ
MS. SORAYA P. VERGARA</v>
          </cell>
          <cell r="AI412" t="str">
            <v>N/A</v>
          </cell>
          <cell r="AJ412" t="str">
            <v>N/A</v>
          </cell>
          <cell r="AK412" t="str">
            <v>N/A</v>
          </cell>
          <cell r="AL412" t="str">
            <v>N/A</v>
          </cell>
          <cell r="AM412" t="str">
            <v>N/A</v>
          </cell>
          <cell r="AN412" t="str">
            <v>N/A</v>
          </cell>
          <cell r="AO412" t="str">
            <v>COMPLETED</v>
          </cell>
        </row>
        <row r="413">
          <cell r="A413" t="str">
            <v>24-C1311</v>
          </cell>
          <cell r="B413" t="str">
            <v>HEMATOLOGY ANALYZER</v>
          </cell>
          <cell r="C413" t="str">
            <v>PEEMO</v>
          </cell>
          <cell r="D413" t="str">
            <v>No</v>
          </cell>
          <cell r="E413" t="str">
            <v>Direct Contracting</v>
          </cell>
          <cell r="F413" t="str">
            <v>N/A</v>
          </cell>
          <cell r="G413">
            <v>45385</v>
          </cell>
          <cell r="H413">
            <v>0</v>
          </cell>
          <cell r="I413" t="str">
            <v>N/A</v>
          </cell>
          <cell r="J413">
            <v>45398</v>
          </cell>
          <cell r="K413">
            <v>45398</v>
          </cell>
          <cell r="L413">
            <v>0</v>
          </cell>
          <cell r="M413" t="str">
            <v>N/A</v>
          </cell>
          <cell r="N413" t="str">
            <v>N/A</v>
          </cell>
          <cell r="O413">
            <v>45405</v>
          </cell>
          <cell r="P413">
            <v>0</v>
          </cell>
          <cell r="Q413">
            <v>0</v>
          </cell>
          <cell r="R413">
            <v>0</v>
          </cell>
          <cell r="S413" t="str">
            <v>N/A</v>
          </cell>
          <cell r="T413">
            <v>45415</v>
          </cell>
          <cell r="U413">
            <v>45436</v>
          </cell>
          <cell r="V413">
            <v>0</v>
          </cell>
          <cell r="W413">
            <v>0</v>
          </cell>
          <cell r="X413">
            <v>45453</v>
          </cell>
          <cell r="Y413">
            <v>45453</v>
          </cell>
          <cell r="Z413">
            <v>0</v>
          </cell>
          <cell r="AA413">
            <v>1102000</v>
          </cell>
          <cell r="AB413">
            <v>1102000</v>
          </cell>
          <cell r="AC413">
            <v>0</v>
          </cell>
          <cell r="AD413">
            <v>1102000</v>
          </cell>
          <cell r="AE413">
            <v>1102000</v>
          </cell>
          <cell r="AF413">
            <v>0</v>
          </cell>
          <cell r="AG413" t="str">
            <v>M</v>
          </cell>
          <cell r="AH413" t="str">
            <v>ENGR. MICHAEL C. SALARDA
MS. LEONARDA M. LATOR
MS. CARMENCITA VALDEZ
MS. SORAYA P. VERGARA</v>
          </cell>
          <cell r="AI413" t="str">
            <v>N/A</v>
          </cell>
          <cell r="AJ413" t="str">
            <v>N/A</v>
          </cell>
          <cell r="AK413" t="str">
            <v>N/A</v>
          </cell>
          <cell r="AL413" t="str">
            <v>N/A</v>
          </cell>
          <cell r="AM413" t="str">
            <v>N/A</v>
          </cell>
          <cell r="AN413" t="str">
            <v>N/A</v>
          </cell>
          <cell r="AO413" t="str">
            <v>COMPLETED</v>
          </cell>
        </row>
        <row r="414">
          <cell r="A414" t="str">
            <v>24-C1309</v>
          </cell>
          <cell r="B414" t="str">
            <v>BLOOD UREA NITROGEN AND SERUM GLUTAMIC PYRUVIC TRANSAMINASE</v>
          </cell>
          <cell r="C414" t="str">
            <v>PEEMO</v>
          </cell>
          <cell r="D414" t="str">
            <v>No</v>
          </cell>
          <cell r="E414" t="str">
            <v>Direct Contracting</v>
          </cell>
          <cell r="F414" t="str">
            <v>N/A</v>
          </cell>
          <cell r="G414">
            <v>45385</v>
          </cell>
          <cell r="H414">
            <v>0</v>
          </cell>
          <cell r="I414" t="str">
            <v>N/A</v>
          </cell>
          <cell r="J414">
            <v>45398</v>
          </cell>
          <cell r="K414">
            <v>45398</v>
          </cell>
          <cell r="L414">
            <v>0</v>
          </cell>
          <cell r="M414" t="str">
            <v>N/A</v>
          </cell>
          <cell r="N414" t="str">
            <v>N/A</v>
          </cell>
          <cell r="O414">
            <v>45405</v>
          </cell>
          <cell r="P414">
            <v>0</v>
          </cell>
          <cell r="Q414">
            <v>0</v>
          </cell>
          <cell r="R414">
            <v>0</v>
          </cell>
          <cell r="S414" t="str">
            <v>N/A</v>
          </cell>
          <cell r="T414">
            <v>45429</v>
          </cell>
          <cell r="U414">
            <v>45434</v>
          </cell>
          <cell r="V414">
            <v>0</v>
          </cell>
          <cell r="W414">
            <v>0</v>
          </cell>
          <cell r="X414">
            <v>45446</v>
          </cell>
          <cell r="Y414">
            <v>45446</v>
          </cell>
          <cell r="Z414">
            <v>0</v>
          </cell>
          <cell r="AA414">
            <v>52000</v>
          </cell>
          <cell r="AB414">
            <v>52000</v>
          </cell>
          <cell r="AC414">
            <v>0</v>
          </cell>
          <cell r="AD414">
            <v>52000</v>
          </cell>
          <cell r="AE414">
            <v>52000</v>
          </cell>
          <cell r="AF414">
            <v>0</v>
          </cell>
          <cell r="AG414" t="str">
            <v>M</v>
          </cell>
          <cell r="AH414" t="str">
            <v>ENGR. MICHAEL C. SALARDA
MS. LEONARDA M. LATOR
MS. CARMENCITA VALDEZ
MS. SORAYA P. VERGARA</v>
          </cell>
          <cell r="AI414" t="str">
            <v>N/A</v>
          </cell>
          <cell r="AJ414" t="str">
            <v>N/A</v>
          </cell>
          <cell r="AK414" t="str">
            <v>N/A</v>
          </cell>
          <cell r="AL414" t="str">
            <v>N/A</v>
          </cell>
          <cell r="AM414" t="str">
            <v>N/A</v>
          </cell>
          <cell r="AN414" t="str">
            <v>N/A</v>
          </cell>
          <cell r="AO414" t="str">
            <v>COMPLETED</v>
          </cell>
        </row>
        <row r="415">
          <cell r="A415" t="str">
            <v>24-2111</v>
          </cell>
          <cell r="B415" t="str">
            <v>TONER</v>
          </cell>
          <cell r="C415" t="str">
            <v>PTO</v>
          </cell>
          <cell r="D415" t="str">
            <v>No</v>
          </cell>
          <cell r="E415" t="str">
            <v>Direct Contracting</v>
          </cell>
          <cell r="F415">
            <v>45384</v>
          </cell>
          <cell r="G415">
            <v>45390</v>
          </cell>
          <cell r="H415">
            <v>0</v>
          </cell>
          <cell r="I415" t="str">
            <v>N/A</v>
          </cell>
          <cell r="J415">
            <v>45398</v>
          </cell>
          <cell r="K415">
            <v>45398</v>
          </cell>
          <cell r="L415">
            <v>0</v>
          </cell>
          <cell r="M415" t="str">
            <v>N/A</v>
          </cell>
          <cell r="N415" t="str">
            <v>N/A</v>
          </cell>
          <cell r="O415">
            <v>45405</v>
          </cell>
          <cell r="P415">
            <v>0</v>
          </cell>
          <cell r="Q415">
            <v>0</v>
          </cell>
          <cell r="R415">
            <v>0</v>
          </cell>
          <cell r="S415" t="str">
            <v>N/A</v>
          </cell>
          <cell r="T415">
            <v>45412</v>
          </cell>
          <cell r="U415">
            <v>45427</v>
          </cell>
          <cell r="V415">
            <v>0</v>
          </cell>
          <cell r="W415">
            <v>0</v>
          </cell>
          <cell r="X415">
            <v>45434</v>
          </cell>
          <cell r="Y415">
            <v>45434</v>
          </cell>
          <cell r="Z415">
            <v>0</v>
          </cell>
          <cell r="AA415">
            <v>24092</v>
          </cell>
          <cell r="AB415">
            <v>24092</v>
          </cell>
          <cell r="AC415">
            <v>0</v>
          </cell>
          <cell r="AD415">
            <v>24092</v>
          </cell>
          <cell r="AE415">
            <v>24092</v>
          </cell>
          <cell r="AF415">
            <v>0</v>
          </cell>
          <cell r="AG415" t="str">
            <v>M</v>
          </cell>
          <cell r="AH415" t="str">
            <v>ENGR. MICHAEL C. SALARDA
MS. LEONARDA M. LATOR
MS. CARMENCITA VALDEZ
MS. SORAYA P. VERGARA</v>
          </cell>
          <cell r="AI415" t="str">
            <v>N/A</v>
          </cell>
          <cell r="AJ415" t="str">
            <v>N/A</v>
          </cell>
          <cell r="AK415" t="str">
            <v>N/A</v>
          </cell>
          <cell r="AL415" t="str">
            <v>N/A</v>
          </cell>
          <cell r="AM415" t="str">
            <v>N/A</v>
          </cell>
          <cell r="AN415" t="str">
            <v>N/A</v>
          </cell>
          <cell r="AO415" t="str">
            <v>COMPLETED</v>
          </cell>
        </row>
        <row r="416">
          <cell r="A416" t="str">
            <v>24-2025</v>
          </cell>
          <cell r="B416" t="str">
            <v>OFFICE SUPPLIES</v>
          </cell>
          <cell r="C416" t="str">
            <v>PGO</v>
          </cell>
          <cell r="D416" t="str">
            <v>No</v>
          </cell>
          <cell r="E416" t="str">
            <v>Shopping 52.1(b) - Regular Office Supplies and Equipment no available in PS</v>
          </cell>
          <cell r="F416" t="str">
            <v>N/A</v>
          </cell>
          <cell r="G416">
            <v>45376</v>
          </cell>
          <cell r="H416">
            <v>0</v>
          </cell>
          <cell r="I416" t="str">
            <v>N/A</v>
          </cell>
          <cell r="J416">
            <v>45398</v>
          </cell>
          <cell r="K416">
            <v>45398</v>
          </cell>
          <cell r="L416">
            <v>0</v>
          </cell>
          <cell r="M416" t="str">
            <v>N/A</v>
          </cell>
          <cell r="N416" t="str">
            <v>N/A</v>
          </cell>
          <cell r="O416">
            <v>45405</v>
          </cell>
          <cell r="P416">
            <v>0</v>
          </cell>
          <cell r="Q416">
            <v>0</v>
          </cell>
          <cell r="R416">
            <v>0</v>
          </cell>
          <cell r="S416" t="str">
            <v>N/A</v>
          </cell>
          <cell r="T416">
            <v>45422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2040</v>
          </cell>
          <cell r="AB416">
            <v>0</v>
          </cell>
          <cell r="AC416">
            <v>2040</v>
          </cell>
          <cell r="AD416">
            <v>2040</v>
          </cell>
          <cell r="AE416">
            <v>0</v>
          </cell>
          <cell r="AF416">
            <v>2040</v>
          </cell>
          <cell r="AG416" t="str">
            <v>C</v>
          </cell>
          <cell r="AH416" t="str">
            <v>ENGR. MICHAEL C. SALARDA
MS. LEONARDA M. LATOR
MS. CARMENCITA VALDEZ
MS. SORAYA P. VERGARA</v>
          </cell>
          <cell r="AI416" t="str">
            <v>N/A</v>
          </cell>
          <cell r="AJ416" t="str">
            <v>N/A</v>
          </cell>
          <cell r="AK416" t="str">
            <v>N/A</v>
          </cell>
          <cell r="AL416" t="str">
            <v>N/A</v>
          </cell>
          <cell r="AM416" t="str">
            <v>N/A</v>
          </cell>
          <cell r="AN416" t="str">
            <v>N/A</v>
          </cell>
          <cell r="AO416">
            <v>0</v>
          </cell>
        </row>
        <row r="417">
          <cell r="A417" t="str">
            <v>24-1746</v>
          </cell>
          <cell r="B417" t="str">
            <v>OFFICE SUPPLIES</v>
          </cell>
          <cell r="C417" t="str">
            <v>PAO</v>
          </cell>
          <cell r="D417" t="str">
            <v>No</v>
          </cell>
          <cell r="E417" t="str">
            <v>Shopping 52.1(b) - Regular Office Supplies and Equipment no available in PS</v>
          </cell>
          <cell r="F417">
            <v>45373</v>
          </cell>
          <cell r="G417">
            <v>45384</v>
          </cell>
          <cell r="H417">
            <v>0</v>
          </cell>
          <cell r="I417" t="str">
            <v>N/A</v>
          </cell>
          <cell r="J417">
            <v>45398</v>
          </cell>
          <cell r="K417">
            <v>45398</v>
          </cell>
          <cell r="L417">
            <v>0</v>
          </cell>
          <cell r="M417" t="str">
            <v>N/A</v>
          </cell>
          <cell r="N417" t="str">
            <v>N/A</v>
          </cell>
          <cell r="O417">
            <v>45405</v>
          </cell>
          <cell r="P417">
            <v>0</v>
          </cell>
          <cell r="Q417">
            <v>0</v>
          </cell>
          <cell r="R417">
            <v>0</v>
          </cell>
          <cell r="S417" t="str">
            <v>N/A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19865</v>
          </cell>
          <cell r="AB417">
            <v>19865</v>
          </cell>
          <cell r="AC417">
            <v>0</v>
          </cell>
          <cell r="AD417">
            <v>19689</v>
          </cell>
          <cell r="AE417">
            <v>19689</v>
          </cell>
          <cell r="AF417">
            <v>0</v>
          </cell>
          <cell r="AG417" t="e">
            <v>#N/A</v>
          </cell>
          <cell r="AH417" t="str">
            <v>ENGR. MICHAEL C. SALARDA
MS. LEONARDA M. LATOR
MS. CARMENCITA VALDEZ
MS. SORAYA P. VERGARA</v>
          </cell>
          <cell r="AI417" t="str">
            <v>N/A</v>
          </cell>
          <cell r="AJ417" t="str">
            <v>N/A</v>
          </cell>
          <cell r="AK417" t="str">
            <v>N/A</v>
          </cell>
          <cell r="AL417" t="str">
            <v>N/A</v>
          </cell>
          <cell r="AM417" t="str">
            <v>N/A</v>
          </cell>
          <cell r="AN417" t="str">
            <v>N/A</v>
          </cell>
          <cell r="AO417">
            <v>0</v>
          </cell>
        </row>
        <row r="418">
          <cell r="A418" t="str">
            <v>24-2024</v>
          </cell>
          <cell r="B418" t="str">
            <v>OFFICE SUPPLIES</v>
          </cell>
          <cell r="C418" t="str">
            <v>PGO</v>
          </cell>
          <cell r="D418" t="str">
            <v>No</v>
          </cell>
          <cell r="E418" t="str">
            <v>Shopping 52.1(b) - Regular Office Supplies and Equipment no available in PS</v>
          </cell>
          <cell r="F418" t="str">
            <v>N/A</v>
          </cell>
          <cell r="G418">
            <v>45376</v>
          </cell>
          <cell r="H418">
            <v>0</v>
          </cell>
          <cell r="I418" t="str">
            <v>N/A</v>
          </cell>
          <cell r="J418">
            <v>45398</v>
          </cell>
          <cell r="K418">
            <v>45398</v>
          </cell>
          <cell r="L418">
            <v>0</v>
          </cell>
          <cell r="M418" t="str">
            <v>N/A</v>
          </cell>
          <cell r="N418" t="str">
            <v>N/A</v>
          </cell>
          <cell r="O418">
            <v>45405</v>
          </cell>
          <cell r="P418">
            <v>0</v>
          </cell>
          <cell r="Q418">
            <v>0</v>
          </cell>
          <cell r="R418">
            <v>0</v>
          </cell>
          <cell r="S418" t="str">
            <v>N/A</v>
          </cell>
          <cell r="T418">
            <v>45422</v>
          </cell>
          <cell r="U418">
            <v>45425</v>
          </cell>
          <cell r="V418">
            <v>0</v>
          </cell>
          <cell r="W418">
            <v>0</v>
          </cell>
          <cell r="X418">
            <v>45432</v>
          </cell>
          <cell r="Y418">
            <v>45432</v>
          </cell>
          <cell r="Z418">
            <v>0</v>
          </cell>
          <cell r="AA418">
            <v>17952</v>
          </cell>
          <cell r="AB418">
            <v>0</v>
          </cell>
          <cell r="AC418">
            <v>17952</v>
          </cell>
          <cell r="AD418">
            <v>17460</v>
          </cell>
          <cell r="AE418">
            <v>0</v>
          </cell>
          <cell r="AF418">
            <v>17460</v>
          </cell>
          <cell r="AG418" t="str">
            <v>C</v>
          </cell>
          <cell r="AH418" t="str">
            <v>ENGR. MICHAEL C. SALARDA
MS. LEONARDA M. LATOR
MS. CARMENCITA VALDEZ
MS. SORAYA P. VERGARA</v>
          </cell>
          <cell r="AI418" t="str">
            <v>N/A</v>
          </cell>
          <cell r="AJ418" t="str">
            <v>N/A</v>
          </cell>
          <cell r="AK418" t="str">
            <v>N/A</v>
          </cell>
          <cell r="AL418" t="str">
            <v>N/A</v>
          </cell>
          <cell r="AM418" t="str">
            <v>N/A</v>
          </cell>
          <cell r="AN418" t="str">
            <v>N/A</v>
          </cell>
          <cell r="AO418" t="str">
            <v>COMPLETED</v>
          </cell>
        </row>
        <row r="419">
          <cell r="A419" t="str">
            <v>24-C1211</v>
          </cell>
          <cell r="B419" t="str">
            <v>OFFICE SUPPLIES</v>
          </cell>
          <cell r="C419" t="str">
            <v>SPO</v>
          </cell>
          <cell r="D419" t="str">
            <v>No</v>
          </cell>
          <cell r="E419" t="str">
            <v>Shopping 52.1(b) - Regular Office Supplies and Equipment no available in PS</v>
          </cell>
          <cell r="F419" t="str">
            <v>N/A</v>
          </cell>
          <cell r="G419">
            <v>45376</v>
          </cell>
          <cell r="H419">
            <v>0</v>
          </cell>
          <cell r="I419" t="str">
            <v>N/A</v>
          </cell>
          <cell r="J419">
            <v>45398</v>
          </cell>
          <cell r="K419">
            <v>45398</v>
          </cell>
          <cell r="L419">
            <v>0</v>
          </cell>
          <cell r="M419" t="str">
            <v>N/A</v>
          </cell>
          <cell r="N419" t="str">
            <v>N/A</v>
          </cell>
          <cell r="O419">
            <v>45405</v>
          </cell>
          <cell r="P419">
            <v>0</v>
          </cell>
          <cell r="Q419">
            <v>0</v>
          </cell>
          <cell r="R419">
            <v>0</v>
          </cell>
          <cell r="S419" t="str">
            <v>N/A</v>
          </cell>
          <cell r="T419">
            <v>45425</v>
          </cell>
          <cell r="U419">
            <v>45433</v>
          </cell>
          <cell r="V419">
            <v>0</v>
          </cell>
          <cell r="W419">
            <v>0</v>
          </cell>
          <cell r="X419">
            <v>45469</v>
          </cell>
          <cell r="Y419">
            <v>45469</v>
          </cell>
          <cell r="Z419">
            <v>0</v>
          </cell>
          <cell r="AA419">
            <v>17129</v>
          </cell>
          <cell r="AB419">
            <v>17129</v>
          </cell>
          <cell r="AC419">
            <v>0</v>
          </cell>
          <cell r="AD419">
            <v>17040</v>
          </cell>
          <cell r="AE419">
            <v>17040</v>
          </cell>
          <cell r="AF419">
            <v>0</v>
          </cell>
          <cell r="AG419" t="str">
            <v>M</v>
          </cell>
          <cell r="AH419" t="str">
            <v>ENGR. MICHAEL C. SALARDA
MS. LEONARDA M. LATOR
MS. CARMENCITA VALDEZ
MS. SORAYA P. VERGARA</v>
          </cell>
          <cell r="AI419" t="str">
            <v>N/A</v>
          </cell>
          <cell r="AJ419" t="str">
            <v>N/A</v>
          </cell>
          <cell r="AK419" t="str">
            <v>N/A</v>
          </cell>
          <cell r="AL419" t="str">
            <v>N/A</v>
          </cell>
          <cell r="AM419" t="str">
            <v>N/A</v>
          </cell>
          <cell r="AN419" t="str">
            <v>N/A</v>
          </cell>
          <cell r="AO419" t="str">
            <v>COMPLETED</v>
          </cell>
        </row>
        <row r="420">
          <cell r="A420" t="str">
            <v>24-1347</v>
          </cell>
          <cell r="B420" t="str">
            <v>OFFICE SUPPLIES</v>
          </cell>
          <cell r="C420" t="str">
            <v>PGO</v>
          </cell>
          <cell r="D420" t="str">
            <v>No</v>
          </cell>
          <cell r="E420" t="str">
            <v>Shopping 52.1(b) - Regular Office Supplies and Equipment no available in PS</v>
          </cell>
          <cell r="F420" t="str">
            <v>N/A</v>
          </cell>
          <cell r="G420">
            <v>45376</v>
          </cell>
          <cell r="H420">
            <v>0</v>
          </cell>
          <cell r="I420" t="str">
            <v>N/A</v>
          </cell>
          <cell r="J420">
            <v>45398</v>
          </cell>
          <cell r="K420">
            <v>45398</v>
          </cell>
          <cell r="L420">
            <v>0</v>
          </cell>
          <cell r="M420" t="str">
            <v>N/A</v>
          </cell>
          <cell r="N420" t="str">
            <v>N/A</v>
          </cell>
          <cell r="O420">
            <v>45405</v>
          </cell>
          <cell r="P420">
            <v>0</v>
          </cell>
          <cell r="Q420">
            <v>0</v>
          </cell>
          <cell r="R420">
            <v>0</v>
          </cell>
          <cell r="S420" t="str">
            <v>N/A</v>
          </cell>
          <cell r="T420">
            <v>45418</v>
          </cell>
          <cell r="U420">
            <v>45420</v>
          </cell>
          <cell r="V420">
            <v>0</v>
          </cell>
          <cell r="W420">
            <v>0</v>
          </cell>
          <cell r="X420">
            <v>45425</v>
          </cell>
          <cell r="Y420">
            <v>45425</v>
          </cell>
          <cell r="Z420">
            <v>0</v>
          </cell>
          <cell r="AA420">
            <v>4670</v>
          </cell>
          <cell r="AB420">
            <v>0</v>
          </cell>
          <cell r="AC420">
            <v>4670</v>
          </cell>
          <cell r="AD420">
            <v>4592</v>
          </cell>
          <cell r="AE420">
            <v>0</v>
          </cell>
          <cell r="AF420">
            <v>4592</v>
          </cell>
          <cell r="AG420" t="str">
            <v>C</v>
          </cell>
          <cell r="AH420" t="str">
            <v>ENGR. MICHAEL C. SALARDA
MS. LEONARDA M. LATOR
MS. CARMENCITA VALDEZ
MS. SORAYA P. VERGARA</v>
          </cell>
          <cell r="AI420" t="str">
            <v>N/A</v>
          </cell>
          <cell r="AJ420" t="str">
            <v>N/A</v>
          </cell>
          <cell r="AK420" t="str">
            <v>N/A</v>
          </cell>
          <cell r="AL420" t="str">
            <v>N/A</v>
          </cell>
          <cell r="AM420" t="str">
            <v>N/A</v>
          </cell>
          <cell r="AN420" t="str">
            <v>N/A</v>
          </cell>
          <cell r="AO420" t="str">
            <v>COMPLETED</v>
          </cell>
        </row>
        <row r="421">
          <cell r="A421" t="str">
            <v>24-C1195</v>
          </cell>
          <cell r="B421" t="str">
            <v>OFFICE SUPPLIES</v>
          </cell>
          <cell r="C421" t="str">
            <v>PDRRMO</v>
          </cell>
          <cell r="D421" t="str">
            <v>No</v>
          </cell>
          <cell r="E421" t="str">
            <v>Shopping 52.1(b) - Regular Office Supplies and Equipment no available in PS</v>
          </cell>
          <cell r="F421">
            <v>45373</v>
          </cell>
          <cell r="G421">
            <v>45384</v>
          </cell>
          <cell r="H421">
            <v>0</v>
          </cell>
          <cell r="I421" t="str">
            <v>N/A</v>
          </cell>
          <cell r="J421">
            <v>45398</v>
          </cell>
          <cell r="K421">
            <v>45398</v>
          </cell>
          <cell r="L421">
            <v>0</v>
          </cell>
          <cell r="M421" t="str">
            <v>N/A</v>
          </cell>
          <cell r="N421" t="str">
            <v>N/A</v>
          </cell>
          <cell r="O421">
            <v>45405</v>
          </cell>
          <cell r="P421">
            <v>0</v>
          </cell>
          <cell r="Q421">
            <v>0</v>
          </cell>
          <cell r="R421">
            <v>0</v>
          </cell>
          <cell r="S421" t="str">
            <v>N/A</v>
          </cell>
          <cell r="T421">
            <v>45407</v>
          </cell>
          <cell r="U421">
            <v>45425</v>
          </cell>
          <cell r="V421">
            <v>0</v>
          </cell>
          <cell r="W421">
            <v>0</v>
          </cell>
          <cell r="X421">
            <v>45467</v>
          </cell>
          <cell r="Y421">
            <v>45467</v>
          </cell>
          <cell r="Z421">
            <v>0</v>
          </cell>
          <cell r="AA421">
            <v>35025</v>
          </cell>
          <cell r="AB421">
            <v>0</v>
          </cell>
          <cell r="AC421">
            <v>35025</v>
          </cell>
          <cell r="AD421">
            <v>34536</v>
          </cell>
          <cell r="AE421">
            <v>0</v>
          </cell>
          <cell r="AF421">
            <v>34536</v>
          </cell>
          <cell r="AG421" t="str">
            <v>C</v>
          </cell>
          <cell r="AH421" t="str">
            <v>ENGR. MICHAEL C. SALARDA
MS. LEONARDA M. LATOR
MS. CARMENCITA VALDEZ
MS. SORAYA P. VERGARA</v>
          </cell>
          <cell r="AI421" t="str">
            <v>N/A</v>
          </cell>
          <cell r="AJ421" t="str">
            <v>N/A</v>
          </cell>
          <cell r="AK421" t="str">
            <v>N/A</v>
          </cell>
          <cell r="AL421" t="str">
            <v>N/A</v>
          </cell>
          <cell r="AM421" t="str">
            <v>N/A</v>
          </cell>
          <cell r="AN421" t="str">
            <v>N/A</v>
          </cell>
          <cell r="AO421" t="str">
            <v>COMPLETED</v>
          </cell>
        </row>
        <row r="422">
          <cell r="A422" t="str">
            <v>24-C1163</v>
          </cell>
          <cell r="B422" t="str">
            <v>OFFICE SUPPLIES</v>
          </cell>
          <cell r="C422" t="str">
            <v>PLO</v>
          </cell>
          <cell r="D422" t="str">
            <v>No</v>
          </cell>
          <cell r="E422" t="str">
            <v>Shopping 52.1(b) - Regular Office Supplies and Equipment no available in PS</v>
          </cell>
          <cell r="F422" t="str">
            <v>N/A</v>
          </cell>
          <cell r="G422">
            <v>45376</v>
          </cell>
          <cell r="H422">
            <v>0</v>
          </cell>
          <cell r="I422" t="str">
            <v>N/A</v>
          </cell>
          <cell r="J422">
            <v>45398</v>
          </cell>
          <cell r="K422">
            <v>45398</v>
          </cell>
          <cell r="L422">
            <v>0</v>
          </cell>
          <cell r="M422" t="str">
            <v>N/A</v>
          </cell>
          <cell r="N422" t="str">
            <v>N/A</v>
          </cell>
          <cell r="O422">
            <v>45405</v>
          </cell>
          <cell r="P422">
            <v>0</v>
          </cell>
          <cell r="Q422">
            <v>0</v>
          </cell>
          <cell r="R422">
            <v>0</v>
          </cell>
          <cell r="S422" t="str">
            <v>N/A</v>
          </cell>
          <cell r="T422">
            <v>45412</v>
          </cell>
          <cell r="U422">
            <v>45449</v>
          </cell>
          <cell r="V422">
            <v>0</v>
          </cell>
          <cell r="W422">
            <v>0</v>
          </cell>
          <cell r="X422">
            <v>45457</v>
          </cell>
          <cell r="Y422">
            <v>45457</v>
          </cell>
          <cell r="Z422">
            <v>0</v>
          </cell>
          <cell r="AA422">
            <v>22156</v>
          </cell>
          <cell r="AB422">
            <v>0</v>
          </cell>
          <cell r="AC422">
            <v>22156</v>
          </cell>
          <cell r="AD422">
            <v>21934</v>
          </cell>
          <cell r="AE422">
            <v>0</v>
          </cell>
          <cell r="AF422">
            <v>21934</v>
          </cell>
          <cell r="AG422" t="str">
            <v>C</v>
          </cell>
          <cell r="AH422" t="str">
            <v>ENGR. MICHAEL C. SALARDA
MS. LEONARDA M. LATOR
MS. CARMENCITA VALDEZ
MS. SORAYA P. VERGARA</v>
          </cell>
          <cell r="AI422" t="str">
            <v>N/A</v>
          </cell>
          <cell r="AJ422" t="str">
            <v>N/A</v>
          </cell>
          <cell r="AK422" t="str">
            <v>N/A</v>
          </cell>
          <cell r="AL422" t="str">
            <v>N/A</v>
          </cell>
          <cell r="AM422" t="str">
            <v>N/A</v>
          </cell>
          <cell r="AN422" t="str">
            <v>N/A</v>
          </cell>
          <cell r="AO422" t="str">
            <v>COMPLETED</v>
          </cell>
        </row>
        <row r="423">
          <cell r="A423" t="str">
            <v>24-1780</v>
          </cell>
          <cell r="B423" t="str">
            <v>OFFICE SUPPLIES</v>
          </cell>
          <cell r="C423" t="str">
            <v>PGO</v>
          </cell>
          <cell r="D423" t="str">
            <v>No</v>
          </cell>
          <cell r="E423" t="str">
            <v>Shopping 52.1(b) - Regular Office Supplies and Equipment no available in PS</v>
          </cell>
          <cell r="F423" t="str">
            <v>N/A</v>
          </cell>
          <cell r="G423">
            <v>45376</v>
          </cell>
          <cell r="H423">
            <v>0</v>
          </cell>
          <cell r="I423" t="str">
            <v>N/A</v>
          </cell>
          <cell r="J423">
            <v>45398</v>
          </cell>
          <cell r="K423">
            <v>45398</v>
          </cell>
          <cell r="L423">
            <v>0</v>
          </cell>
          <cell r="M423" t="str">
            <v>N/A</v>
          </cell>
          <cell r="N423" t="str">
            <v>N/A</v>
          </cell>
          <cell r="O423">
            <v>45405</v>
          </cell>
          <cell r="P423">
            <v>0</v>
          </cell>
          <cell r="Q423">
            <v>0</v>
          </cell>
          <cell r="R423">
            <v>0</v>
          </cell>
          <cell r="S423" t="str">
            <v>N/A</v>
          </cell>
          <cell r="T423">
            <v>45412</v>
          </cell>
          <cell r="U423">
            <v>45425</v>
          </cell>
          <cell r="V423">
            <v>0</v>
          </cell>
          <cell r="W423">
            <v>0</v>
          </cell>
          <cell r="X423">
            <v>45432</v>
          </cell>
          <cell r="Y423">
            <v>45432</v>
          </cell>
          <cell r="Z423">
            <v>0</v>
          </cell>
          <cell r="AA423">
            <v>23985</v>
          </cell>
          <cell r="AB423">
            <v>23985</v>
          </cell>
          <cell r="AC423">
            <v>0</v>
          </cell>
          <cell r="AD423">
            <v>23099</v>
          </cell>
          <cell r="AE423">
            <v>23099</v>
          </cell>
          <cell r="AF423">
            <v>0</v>
          </cell>
          <cell r="AG423" t="str">
            <v>M</v>
          </cell>
          <cell r="AH423" t="str">
            <v>ENGR. MICHAEL C. SALARDA
MS. LEONARDA M. LATOR
MS. CARMENCITA VALDEZ
MS. SORAYA P. VERGARA</v>
          </cell>
          <cell r="AI423" t="str">
            <v>N/A</v>
          </cell>
          <cell r="AJ423" t="str">
            <v>N/A</v>
          </cell>
          <cell r="AK423" t="str">
            <v>N/A</v>
          </cell>
          <cell r="AL423" t="str">
            <v>N/A</v>
          </cell>
          <cell r="AM423" t="str">
            <v>N/A</v>
          </cell>
          <cell r="AN423" t="str">
            <v>N/A</v>
          </cell>
          <cell r="AO423" t="str">
            <v>COMPLETED</v>
          </cell>
        </row>
        <row r="424">
          <cell r="A424" t="str">
            <v>24-C1282</v>
          </cell>
          <cell r="B424" t="str">
            <v>OFFICE SUPPLIES</v>
          </cell>
          <cell r="C424" t="str">
            <v>PTO</v>
          </cell>
          <cell r="D424" t="str">
            <v>No</v>
          </cell>
          <cell r="E424" t="str">
            <v>Shopping 52.1(b) - Regular Office Supplies and Equipment no available in PS</v>
          </cell>
          <cell r="F424">
            <v>45373</v>
          </cell>
          <cell r="G424">
            <v>45384</v>
          </cell>
          <cell r="H424">
            <v>0</v>
          </cell>
          <cell r="I424" t="str">
            <v>N/A</v>
          </cell>
          <cell r="J424">
            <v>45398</v>
          </cell>
          <cell r="K424">
            <v>45398</v>
          </cell>
          <cell r="L424">
            <v>0</v>
          </cell>
          <cell r="M424" t="str">
            <v>N/A</v>
          </cell>
          <cell r="N424" t="str">
            <v>N/A</v>
          </cell>
          <cell r="O424">
            <v>45405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45412</v>
          </cell>
          <cell r="U424">
            <v>45425</v>
          </cell>
          <cell r="V424">
            <v>0</v>
          </cell>
          <cell r="W424">
            <v>0</v>
          </cell>
          <cell r="X424">
            <v>45433</v>
          </cell>
          <cell r="Y424">
            <v>45433</v>
          </cell>
          <cell r="Z424">
            <v>0</v>
          </cell>
          <cell r="AA424">
            <v>137774</v>
          </cell>
          <cell r="AB424">
            <v>137774</v>
          </cell>
          <cell r="AC424">
            <v>0</v>
          </cell>
          <cell r="AD424">
            <v>135193</v>
          </cell>
          <cell r="AE424">
            <v>135193</v>
          </cell>
          <cell r="AF424">
            <v>0</v>
          </cell>
          <cell r="AG424" t="str">
            <v>M</v>
          </cell>
          <cell r="AH424" t="str">
            <v>ENGR. MICHAEL C. SALARDA
MS. LEONARDA M. LATOR
MS. CARMENCITA VALDEZ
MS. SORAYA P. VERGARA</v>
          </cell>
          <cell r="AI424" t="str">
            <v>N/A</v>
          </cell>
          <cell r="AJ424" t="str">
            <v>N/A</v>
          </cell>
          <cell r="AK424" t="str">
            <v>N/A</v>
          </cell>
          <cell r="AL424" t="str">
            <v>N/A</v>
          </cell>
          <cell r="AM424" t="str">
            <v>N/A</v>
          </cell>
          <cell r="AN424" t="str">
            <v>N/A</v>
          </cell>
          <cell r="AO424" t="str">
            <v>COMPLETED</v>
          </cell>
        </row>
        <row r="425">
          <cell r="A425" t="str">
            <v>24-1350</v>
          </cell>
          <cell r="B425" t="str">
            <v>GARMENTS</v>
          </cell>
          <cell r="C425" t="str">
            <v>PGO</v>
          </cell>
          <cell r="D425" t="str">
            <v>No</v>
          </cell>
          <cell r="E425" t="str">
            <v>NP-53.9 - Small Value Procurement</v>
          </cell>
          <cell r="F425" t="str">
            <v>N/A</v>
          </cell>
          <cell r="G425">
            <v>45384</v>
          </cell>
          <cell r="H425">
            <v>0</v>
          </cell>
          <cell r="I425" t="str">
            <v>N/A</v>
          </cell>
          <cell r="J425">
            <v>45398</v>
          </cell>
          <cell r="K425">
            <v>45398</v>
          </cell>
          <cell r="L425">
            <v>0</v>
          </cell>
          <cell r="M425" t="str">
            <v>N/A</v>
          </cell>
          <cell r="N425" t="str">
            <v>N/A</v>
          </cell>
          <cell r="O425">
            <v>45405</v>
          </cell>
          <cell r="P425">
            <v>0</v>
          </cell>
          <cell r="Q425">
            <v>0</v>
          </cell>
          <cell r="R425">
            <v>0</v>
          </cell>
          <cell r="S425" t="str">
            <v>N/A</v>
          </cell>
          <cell r="T425">
            <v>45407</v>
          </cell>
          <cell r="U425">
            <v>45426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15000</v>
          </cell>
          <cell r="AB425">
            <v>0</v>
          </cell>
          <cell r="AC425">
            <v>15000</v>
          </cell>
          <cell r="AD425">
            <v>14850</v>
          </cell>
          <cell r="AE425">
            <v>0</v>
          </cell>
          <cell r="AF425">
            <v>14850</v>
          </cell>
          <cell r="AG425" t="str">
            <v>C</v>
          </cell>
          <cell r="AH425" t="str">
            <v>ENGR. MICHAEL C. SALARDA
MS. LEONARDA M. LATOR
MS. CARMENCITA VALDEZ
MS. SORAYA P. VERGARA</v>
          </cell>
          <cell r="AI425" t="str">
            <v>N/A</v>
          </cell>
          <cell r="AJ425" t="str">
            <v>N/A</v>
          </cell>
          <cell r="AK425" t="str">
            <v>N/A</v>
          </cell>
          <cell r="AL425" t="str">
            <v>N/A</v>
          </cell>
          <cell r="AM425" t="str">
            <v>N/A</v>
          </cell>
          <cell r="AN425" t="str">
            <v>N/A</v>
          </cell>
          <cell r="AO425">
            <v>0</v>
          </cell>
        </row>
        <row r="426">
          <cell r="A426" t="str">
            <v>24-1563</v>
          </cell>
          <cell r="B426" t="str">
            <v>SPAREPARTS (HEAVY EQUIPT)</v>
          </cell>
          <cell r="C426" t="str">
            <v>PGSO</v>
          </cell>
          <cell r="D426" t="str">
            <v>No</v>
          </cell>
          <cell r="E426" t="str">
            <v>NP-53.9 - Small Value Procurement</v>
          </cell>
          <cell r="F426">
            <v>45370</v>
          </cell>
          <cell r="G426">
            <v>45376</v>
          </cell>
          <cell r="H426">
            <v>0</v>
          </cell>
          <cell r="I426" t="str">
            <v>N/A</v>
          </cell>
          <cell r="J426">
            <v>45398</v>
          </cell>
          <cell r="K426">
            <v>45398</v>
          </cell>
          <cell r="L426">
            <v>0</v>
          </cell>
          <cell r="M426" t="str">
            <v>N/A</v>
          </cell>
          <cell r="N426" t="str">
            <v>N/A</v>
          </cell>
          <cell r="O426">
            <v>45405</v>
          </cell>
          <cell r="P426">
            <v>0</v>
          </cell>
          <cell r="Q426">
            <v>0</v>
          </cell>
          <cell r="R426">
            <v>0</v>
          </cell>
          <cell r="S426" t="str">
            <v>N/A</v>
          </cell>
          <cell r="T426">
            <v>45405</v>
          </cell>
          <cell r="U426">
            <v>45435</v>
          </cell>
          <cell r="V426">
            <v>0</v>
          </cell>
          <cell r="W426">
            <v>0</v>
          </cell>
          <cell r="X426">
            <v>45446</v>
          </cell>
          <cell r="Y426">
            <v>45446</v>
          </cell>
          <cell r="Z426">
            <v>0</v>
          </cell>
          <cell r="AA426">
            <v>10300</v>
          </cell>
          <cell r="AB426">
            <v>10300</v>
          </cell>
          <cell r="AC426">
            <v>0</v>
          </cell>
          <cell r="AD426">
            <v>9530</v>
          </cell>
          <cell r="AE426">
            <v>9530</v>
          </cell>
          <cell r="AF426">
            <v>0</v>
          </cell>
          <cell r="AG426" t="str">
            <v>M</v>
          </cell>
          <cell r="AH426" t="str">
            <v>ENGR. MICHAEL C. SALARDA
MS. LEONARDA M. LATOR
MS. CARMENCITA VALDEZ
MS. SORAYA P. VERGARA</v>
          </cell>
          <cell r="AI426" t="str">
            <v>N/A</v>
          </cell>
          <cell r="AJ426" t="str">
            <v>N/A</v>
          </cell>
          <cell r="AK426" t="str">
            <v>N/A</v>
          </cell>
          <cell r="AL426" t="str">
            <v>N/A</v>
          </cell>
          <cell r="AM426" t="str">
            <v>N/A</v>
          </cell>
          <cell r="AN426" t="str">
            <v>N/A</v>
          </cell>
          <cell r="AO426" t="str">
            <v>COMPLETED</v>
          </cell>
        </row>
        <row r="427">
          <cell r="A427" t="str">
            <v>24-1030</v>
          </cell>
          <cell r="B427" t="str">
            <v>COMPUTER SUPPLIES/SPAREPARTS</v>
          </cell>
          <cell r="C427" t="str">
            <v>PAO</v>
          </cell>
          <cell r="D427" t="str">
            <v>No</v>
          </cell>
          <cell r="E427" t="str">
            <v>NP-53.9 - Small Value Procurement</v>
          </cell>
          <cell r="F427">
            <v>45373</v>
          </cell>
          <cell r="G427">
            <v>45384</v>
          </cell>
          <cell r="H427">
            <v>0</v>
          </cell>
          <cell r="I427" t="str">
            <v>N/A</v>
          </cell>
          <cell r="J427">
            <v>45398</v>
          </cell>
          <cell r="K427">
            <v>45398</v>
          </cell>
          <cell r="L427">
            <v>0</v>
          </cell>
          <cell r="M427" t="str">
            <v>N/A</v>
          </cell>
          <cell r="N427" t="str">
            <v>N/A</v>
          </cell>
          <cell r="O427">
            <v>45405</v>
          </cell>
          <cell r="P427">
            <v>0</v>
          </cell>
          <cell r="Q427">
            <v>0</v>
          </cell>
          <cell r="R427">
            <v>0</v>
          </cell>
          <cell r="S427" t="str">
            <v>N/A</v>
          </cell>
          <cell r="T427">
            <v>45407</v>
          </cell>
          <cell r="U427">
            <v>45420</v>
          </cell>
          <cell r="V427">
            <v>0</v>
          </cell>
          <cell r="W427">
            <v>0</v>
          </cell>
          <cell r="X427">
            <v>45453</v>
          </cell>
          <cell r="Y427">
            <v>45453</v>
          </cell>
          <cell r="Z427">
            <v>0</v>
          </cell>
          <cell r="AA427">
            <v>49772</v>
          </cell>
          <cell r="AB427">
            <v>49772</v>
          </cell>
          <cell r="AC427">
            <v>0</v>
          </cell>
          <cell r="AD427">
            <v>49650</v>
          </cell>
          <cell r="AE427">
            <v>49650</v>
          </cell>
          <cell r="AF427">
            <v>0</v>
          </cell>
          <cell r="AG427" t="str">
            <v>M</v>
          </cell>
          <cell r="AH427" t="str">
            <v>ENGR. MICHAEL C. SALARDA
MS. LEONARDA M. LATOR
MS. CARMENCITA VALDEZ
MS. SORAYA P. VERGARA</v>
          </cell>
          <cell r="AI427" t="str">
            <v>N/A</v>
          </cell>
          <cell r="AJ427" t="str">
            <v>N/A</v>
          </cell>
          <cell r="AK427" t="str">
            <v>N/A</v>
          </cell>
          <cell r="AL427" t="str">
            <v>N/A</v>
          </cell>
          <cell r="AM427" t="str">
            <v>N/A</v>
          </cell>
          <cell r="AN427" t="str">
            <v>N/A</v>
          </cell>
          <cell r="AO427" t="str">
            <v>COMPLETED</v>
          </cell>
        </row>
        <row r="428">
          <cell r="A428" t="str">
            <v>24-1541</v>
          </cell>
          <cell r="B428" t="str">
            <v>COMPUTER SET WITH COMPLETE ACCESSORIES</v>
          </cell>
          <cell r="C428" t="str">
            <v>PAO</v>
          </cell>
          <cell r="D428" t="str">
            <v>No</v>
          </cell>
          <cell r="E428" t="str">
            <v>NP-53.9 - Small Value Procurement</v>
          </cell>
          <cell r="F428" t="str">
            <v>N/A</v>
          </cell>
          <cell r="G428">
            <v>45376</v>
          </cell>
          <cell r="H428">
            <v>0</v>
          </cell>
          <cell r="I428" t="str">
            <v>N/A</v>
          </cell>
          <cell r="J428">
            <v>45398</v>
          </cell>
          <cell r="K428">
            <v>45398</v>
          </cell>
          <cell r="L428">
            <v>0</v>
          </cell>
          <cell r="M428" t="str">
            <v>N/A</v>
          </cell>
          <cell r="N428" t="str">
            <v>N/A</v>
          </cell>
          <cell r="O428">
            <v>45405</v>
          </cell>
          <cell r="P428">
            <v>0</v>
          </cell>
          <cell r="Q428">
            <v>0</v>
          </cell>
          <cell r="R428">
            <v>0</v>
          </cell>
          <cell r="S428" t="str">
            <v>N/A</v>
          </cell>
          <cell r="T428">
            <v>45407</v>
          </cell>
          <cell r="U428">
            <v>45418</v>
          </cell>
          <cell r="V428">
            <v>0</v>
          </cell>
          <cell r="W428">
            <v>0</v>
          </cell>
          <cell r="X428">
            <v>45427</v>
          </cell>
          <cell r="Y428">
            <v>45427</v>
          </cell>
          <cell r="Z428">
            <v>0</v>
          </cell>
          <cell r="AA428">
            <v>45000</v>
          </cell>
          <cell r="AB428">
            <v>45000</v>
          </cell>
          <cell r="AC428">
            <v>0</v>
          </cell>
          <cell r="AD428">
            <v>44900</v>
          </cell>
          <cell r="AE428">
            <v>44900</v>
          </cell>
          <cell r="AF428">
            <v>0</v>
          </cell>
          <cell r="AG428" t="str">
            <v>M</v>
          </cell>
          <cell r="AH428" t="str">
            <v>ENGR. MICHAEL C. SALARDA
MS. LEONARDA M. LATOR
MS. CARMENCITA VALDEZ
MS. SORAYA P. VERGARA</v>
          </cell>
          <cell r="AI428" t="str">
            <v>N/A</v>
          </cell>
          <cell r="AJ428" t="str">
            <v>N/A</v>
          </cell>
          <cell r="AK428" t="str">
            <v>N/A</v>
          </cell>
          <cell r="AL428" t="str">
            <v>N/A</v>
          </cell>
          <cell r="AM428" t="str">
            <v>N/A</v>
          </cell>
          <cell r="AN428" t="str">
            <v>N/A</v>
          </cell>
          <cell r="AO428" t="str">
            <v>COMPLETED</v>
          </cell>
        </row>
        <row r="429">
          <cell r="A429" t="str">
            <v>24-0442</v>
          </cell>
          <cell r="B429" t="str">
            <v>HP-711 DESIGN JET PRINT HEAD REPLACEMENT</v>
          </cell>
          <cell r="C429" t="str">
            <v>PPDO</v>
          </cell>
          <cell r="D429" t="str">
            <v>No</v>
          </cell>
          <cell r="E429" t="str">
            <v>NP-53.9 - Small Value Procurement</v>
          </cell>
          <cell r="F429" t="str">
            <v>N/A</v>
          </cell>
          <cell r="G429">
            <v>45376</v>
          </cell>
          <cell r="H429">
            <v>0</v>
          </cell>
          <cell r="I429" t="str">
            <v>N/A</v>
          </cell>
          <cell r="J429">
            <v>45398</v>
          </cell>
          <cell r="K429">
            <v>45398</v>
          </cell>
          <cell r="L429">
            <v>0</v>
          </cell>
          <cell r="M429" t="str">
            <v>N/A</v>
          </cell>
          <cell r="N429" t="str">
            <v>N/A</v>
          </cell>
          <cell r="O429">
            <v>45405</v>
          </cell>
          <cell r="P429">
            <v>0</v>
          </cell>
          <cell r="Q429">
            <v>0</v>
          </cell>
          <cell r="R429">
            <v>0</v>
          </cell>
          <cell r="S429" t="str">
            <v>N/A</v>
          </cell>
          <cell r="T429">
            <v>45412</v>
          </cell>
          <cell r="U429">
            <v>45425</v>
          </cell>
          <cell r="V429">
            <v>0</v>
          </cell>
          <cell r="W429">
            <v>0</v>
          </cell>
          <cell r="X429">
            <v>45439</v>
          </cell>
          <cell r="Y429">
            <v>45439</v>
          </cell>
          <cell r="Z429">
            <v>0</v>
          </cell>
          <cell r="AA429">
            <v>24900</v>
          </cell>
          <cell r="AB429">
            <v>24900</v>
          </cell>
          <cell r="AC429">
            <v>0</v>
          </cell>
          <cell r="AD429">
            <v>24900</v>
          </cell>
          <cell r="AE429">
            <v>24900</v>
          </cell>
          <cell r="AF429">
            <v>0</v>
          </cell>
          <cell r="AG429" t="str">
            <v>M</v>
          </cell>
          <cell r="AH429" t="str">
            <v>ENGR. MICHAEL C. SALARDA
MS. LEONARDA M. LATOR
MS. CARMENCITA VALDEZ
MS. SORAYA P. VERGARA</v>
          </cell>
          <cell r="AI429" t="str">
            <v>N/A</v>
          </cell>
          <cell r="AJ429" t="str">
            <v>N/A</v>
          </cell>
          <cell r="AK429" t="str">
            <v>N/A</v>
          </cell>
          <cell r="AL429" t="str">
            <v>N/A</v>
          </cell>
          <cell r="AM429" t="str">
            <v>N/A</v>
          </cell>
          <cell r="AN429" t="str">
            <v>N/A</v>
          </cell>
          <cell r="AO429" t="str">
            <v>COMPLETED</v>
          </cell>
        </row>
        <row r="430">
          <cell r="A430" t="str">
            <v>24-C1178</v>
          </cell>
          <cell r="B430" t="str">
            <v>JANITORIAL SUPPLIES</v>
          </cell>
          <cell r="C430" t="str">
            <v>PAGRO</v>
          </cell>
          <cell r="D430" t="str">
            <v>No</v>
          </cell>
          <cell r="E430" t="str">
            <v>NP-53.9 - Small Value Procurement</v>
          </cell>
          <cell r="F430" t="str">
            <v>N/A</v>
          </cell>
          <cell r="G430">
            <v>45376</v>
          </cell>
          <cell r="H430">
            <v>0</v>
          </cell>
          <cell r="I430" t="str">
            <v>N/A</v>
          </cell>
          <cell r="J430">
            <v>45398</v>
          </cell>
          <cell r="K430">
            <v>45398</v>
          </cell>
          <cell r="L430">
            <v>0</v>
          </cell>
          <cell r="M430" t="str">
            <v>N/A</v>
          </cell>
          <cell r="N430" t="str">
            <v>N/A</v>
          </cell>
          <cell r="O430">
            <v>45405</v>
          </cell>
          <cell r="P430">
            <v>0</v>
          </cell>
          <cell r="Q430">
            <v>0</v>
          </cell>
          <cell r="R430">
            <v>0</v>
          </cell>
          <cell r="S430" t="str">
            <v>N/A</v>
          </cell>
          <cell r="T430">
            <v>45433</v>
          </cell>
          <cell r="U430">
            <v>45434</v>
          </cell>
          <cell r="V430">
            <v>0</v>
          </cell>
          <cell r="W430">
            <v>0</v>
          </cell>
          <cell r="X430">
            <v>45441</v>
          </cell>
          <cell r="Y430">
            <v>45441</v>
          </cell>
          <cell r="Z430">
            <v>0</v>
          </cell>
          <cell r="AA430">
            <v>25296</v>
          </cell>
          <cell r="AB430">
            <v>0</v>
          </cell>
          <cell r="AC430">
            <v>25296</v>
          </cell>
          <cell r="AD430">
            <v>24692</v>
          </cell>
          <cell r="AE430">
            <v>0</v>
          </cell>
          <cell r="AF430">
            <v>24692</v>
          </cell>
          <cell r="AG430" t="str">
            <v>C</v>
          </cell>
          <cell r="AH430" t="str">
            <v>ENGR. MICHAEL C. SALARDA
MS. LEONARDA M. LATOR
MS. CARMENCITA VALDEZ
MS. SORAYA P. VERGARA</v>
          </cell>
          <cell r="AI430" t="str">
            <v>N/A</v>
          </cell>
          <cell r="AJ430" t="str">
            <v>N/A</v>
          </cell>
          <cell r="AK430" t="str">
            <v>N/A</v>
          </cell>
          <cell r="AL430" t="str">
            <v>N/A</v>
          </cell>
          <cell r="AM430" t="str">
            <v>N/A</v>
          </cell>
          <cell r="AN430" t="str">
            <v>N/A</v>
          </cell>
          <cell r="AO430" t="str">
            <v>COMPLETED</v>
          </cell>
        </row>
        <row r="431">
          <cell r="A431" t="str">
            <v>24-0467</v>
          </cell>
          <cell r="B431" t="str">
            <v>LAGARAW (LIKONG)</v>
          </cell>
          <cell r="C431" t="str">
            <v>PGO</v>
          </cell>
          <cell r="D431" t="str">
            <v>No</v>
          </cell>
          <cell r="E431" t="str">
            <v>NP-53.9 - Small Value Procurement</v>
          </cell>
          <cell r="F431" t="str">
            <v>N/A</v>
          </cell>
          <cell r="G431">
            <v>45376</v>
          </cell>
          <cell r="H431">
            <v>0</v>
          </cell>
          <cell r="I431" t="str">
            <v>N/A</v>
          </cell>
          <cell r="J431">
            <v>45398</v>
          </cell>
          <cell r="K431">
            <v>45398</v>
          </cell>
          <cell r="L431">
            <v>0</v>
          </cell>
          <cell r="M431" t="str">
            <v>N/A</v>
          </cell>
          <cell r="N431" t="str">
            <v>N/A</v>
          </cell>
          <cell r="O431">
            <v>45405</v>
          </cell>
          <cell r="P431">
            <v>0</v>
          </cell>
          <cell r="Q431">
            <v>0</v>
          </cell>
          <cell r="R431">
            <v>0</v>
          </cell>
          <cell r="S431" t="str">
            <v>N/A</v>
          </cell>
          <cell r="T431">
            <v>45412</v>
          </cell>
          <cell r="U431">
            <v>45432</v>
          </cell>
          <cell r="V431">
            <v>0</v>
          </cell>
          <cell r="W431">
            <v>0</v>
          </cell>
          <cell r="X431">
            <v>45469</v>
          </cell>
          <cell r="Y431">
            <v>45469</v>
          </cell>
          <cell r="Z431">
            <v>0</v>
          </cell>
          <cell r="AA431">
            <v>22725</v>
          </cell>
          <cell r="AB431">
            <v>0</v>
          </cell>
          <cell r="AC431">
            <v>22725</v>
          </cell>
          <cell r="AD431">
            <v>22725</v>
          </cell>
          <cell r="AE431">
            <v>0</v>
          </cell>
          <cell r="AF431">
            <v>22725</v>
          </cell>
          <cell r="AG431" t="str">
            <v>C</v>
          </cell>
          <cell r="AH431" t="str">
            <v>ENGR. MICHAEL C. SALARDA
MS. LEONARDA M. LATOR
MS. CARMENCITA VALDEZ
MS. SORAYA P. VERGARA</v>
          </cell>
          <cell r="AI431" t="str">
            <v>N/A</v>
          </cell>
          <cell r="AJ431" t="str">
            <v>N/A</v>
          </cell>
          <cell r="AK431" t="str">
            <v>N/A</v>
          </cell>
          <cell r="AL431" t="str">
            <v>N/A</v>
          </cell>
          <cell r="AM431" t="str">
            <v>N/A</v>
          </cell>
          <cell r="AN431" t="str">
            <v>N/A</v>
          </cell>
          <cell r="AO431" t="str">
            <v>COMPLETED</v>
          </cell>
        </row>
        <row r="432">
          <cell r="A432" t="str">
            <v>24-1483</v>
          </cell>
          <cell r="B432" t="str">
            <v>SPORTS SUPPLIES &amp; EQUIPMENT</v>
          </cell>
          <cell r="C432" t="str">
            <v>PGO</v>
          </cell>
          <cell r="D432" t="str">
            <v>No</v>
          </cell>
          <cell r="E432" t="str">
            <v>NP-53.9 - Small Value Procurement</v>
          </cell>
          <cell r="F432" t="str">
            <v>N/A</v>
          </cell>
          <cell r="G432">
            <v>45376</v>
          </cell>
          <cell r="H432">
            <v>0</v>
          </cell>
          <cell r="I432" t="str">
            <v>N/A</v>
          </cell>
          <cell r="J432">
            <v>45398</v>
          </cell>
          <cell r="K432">
            <v>45398</v>
          </cell>
          <cell r="L432">
            <v>0</v>
          </cell>
          <cell r="M432" t="str">
            <v>N/A</v>
          </cell>
          <cell r="N432" t="str">
            <v>N/A</v>
          </cell>
          <cell r="O432">
            <v>45405</v>
          </cell>
          <cell r="P432">
            <v>0</v>
          </cell>
          <cell r="Q432">
            <v>0</v>
          </cell>
          <cell r="R432">
            <v>0</v>
          </cell>
          <cell r="S432" t="str">
            <v>N/A</v>
          </cell>
          <cell r="T432">
            <v>45412</v>
          </cell>
          <cell r="U432">
            <v>45422</v>
          </cell>
          <cell r="V432">
            <v>0</v>
          </cell>
          <cell r="W432">
            <v>0</v>
          </cell>
          <cell r="X432">
            <v>45449</v>
          </cell>
          <cell r="Y432">
            <v>45449</v>
          </cell>
          <cell r="Z432">
            <v>0</v>
          </cell>
          <cell r="AA432">
            <v>3360</v>
          </cell>
          <cell r="AB432">
            <v>0</v>
          </cell>
          <cell r="AC432">
            <v>3360</v>
          </cell>
          <cell r="AD432">
            <v>3360</v>
          </cell>
          <cell r="AE432">
            <v>0</v>
          </cell>
          <cell r="AF432">
            <v>3360</v>
          </cell>
          <cell r="AG432" t="str">
            <v>C</v>
          </cell>
          <cell r="AH432" t="str">
            <v>ENGR. MICHAEL C. SALARDA
MS. LEONARDA M. LATOR
MS. CARMENCITA VALDEZ
MS. SORAYA P. VERGARA</v>
          </cell>
          <cell r="AI432" t="str">
            <v>N/A</v>
          </cell>
          <cell r="AJ432" t="str">
            <v>N/A</v>
          </cell>
          <cell r="AK432" t="str">
            <v>N/A</v>
          </cell>
          <cell r="AL432" t="str">
            <v>N/A</v>
          </cell>
          <cell r="AM432" t="str">
            <v>N/A</v>
          </cell>
          <cell r="AN432" t="str">
            <v>N/A</v>
          </cell>
          <cell r="AO432" t="str">
            <v>COMPLETED</v>
          </cell>
        </row>
        <row r="433">
          <cell r="A433" t="str">
            <v>24-2195</v>
          </cell>
          <cell r="B433" t="str">
            <v>MONEY DETECTOR &amp; MONEY COUNTER</v>
          </cell>
          <cell r="C433" t="str">
            <v>PTO</v>
          </cell>
          <cell r="D433" t="str">
            <v>No</v>
          </cell>
          <cell r="E433" t="str">
            <v>NP-53.9 - Small Value Procurement</v>
          </cell>
          <cell r="F433" t="str">
            <v>N/A</v>
          </cell>
          <cell r="G433">
            <v>45376</v>
          </cell>
          <cell r="H433">
            <v>0</v>
          </cell>
          <cell r="I433" t="str">
            <v>N/A</v>
          </cell>
          <cell r="J433">
            <v>45398</v>
          </cell>
          <cell r="K433">
            <v>45398</v>
          </cell>
          <cell r="L433">
            <v>0</v>
          </cell>
          <cell r="M433" t="str">
            <v>N/A</v>
          </cell>
          <cell r="N433" t="str">
            <v>N/A</v>
          </cell>
          <cell r="O433">
            <v>45405</v>
          </cell>
          <cell r="P433">
            <v>0</v>
          </cell>
          <cell r="Q433">
            <v>0</v>
          </cell>
          <cell r="R433">
            <v>0</v>
          </cell>
          <cell r="S433" t="str">
            <v>N/A</v>
          </cell>
          <cell r="T433">
            <v>45412</v>
          </cell>
          <cell r="U433">
            <v>45425</v>
          </cell>
          <cell r="V433">
            <v>0</v>
          </cell>
          <cell r="W433">
            <v>0</v>
          </cell>
          <cell r="X433">
            <v>45432</v>
          </cell>
          <cell r="Y433">
            <v>45432</v>
          </cell>
          <cell r="Z433">
            <v>0</v>
          </cell>
          <cell r="AA433">
            <v>20179</v>
          </cell>
          <cell r="AB433">
            <v>20179</v>
          </cell>
          <cell r="AC433">
            <v>0</v>
          </cell>
          <cell r="AD433">
            <v>20175</v>
          </cell>
          <cell r="AE433">
            <v>20175</v>
          </cell>
          <cell r="AF433">
            <v>0</v>
          </cell>
          <cell r="AG433" t="str">
            <v>M</v>
          </cell>
          <cell r="AH433" t="str">
            <v>ENGR. MICHAEL C. SALARDA
MS. LEONARDA M. LATOR
MS. CARMENCITA VALDEZ
MS. SORAYA P. VERGARA</v>
          </cell>
          <cell r="AI433" t="str">
            <v>N/A</v>
          </cell>
          <cell r="AJ433" t="str">
            <v>N/A</v>
          </cell>
          <cell r="AK433" t="str">
            <v>N/A</v>
          </cell>
          <cell r="AL433" t="str">
            <v>N/A</v>
          </cell>
          <cell r="AM433" t="str">
            <v>N/A</v>
          </cell>
          <cell r="AN433" t="str">
            <v>N/A</v>
          </cell>
          <cell r="AO433" t="str">
            <v>COMPLETED</v>
          </cell>
        </row>
        <row r="434">
          <cell r="A434" t="str">
            <v>24-1453</v>
          </cell>
          <cell r="B434" t="str">
            <v>PORTABLE SOUND SYSTEM</v>
          </cell>
          <cell r="C434" t="str">
            <v>PGO</v>
          </cell>
          <cell r="D434" t="str">
            <v>No</v>
          </cell>
          <cell r="E434" t="str">
            <v>NP-53.9 - Small Value Procurement</v>
          </cell>
          <cell r="F434" t="str">
            <v>N/A</v>
          </cell>
          <cell r="G434">
            <v>45376</v>
          </cell>
          <cell r="H434">
            <v>0</v>
          </cell>
          <cell r="I434" t="str">
            <v>N/A</v>
          </cell>
          <cell r="J434">
            <v>45398</v>
          </cell>
          <cell r="K434">
            <v>45398</v>
          </cell>
          <cell r="L434">
            <v>0</v>
          </cell>
          <cell r="M434" t="str">
            <v>N/A</v>
          </cell>
          <cell r="N434" t="str">
            <v>N/A</v>
          </cell>
          <cell r="O434">
            <v>45405</v>
          </cell>
          <cell r="P434">
            <v>0</v>
          </cell>
          <cell r="Q434">
            <v>0</v>
          </cell>
          <cell r="R434">
            <v>0</v>
          </cell>
          <cell r="S434" t="str">
            <v>N/A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31518</v>
          </cell>
          <cell r="AB434">
            <v>0</v>
          </cell>
          <cell r="AC434">
            <v>31518</v>
          </cell>
          <cell r="AD434">
            <v>31500</v>
          </cell>
          <cell r="AE434">
            <v>0</v>
          </cell>
          <cell r="AF434">
            <v>31500</v>
          </cell>
          <cell r="AG434" t="str">
            <v>C</v>
          </cell>
          <cell r="AH434" t="str">
            <v>ENGR. MICHAEL C. SALARDA
MS. LEONARDA M. LATOR
MS. CARMENCITA VALDEZ
MS. SORAYA P. VERGARA</v>
          </cell>
          <cell r="AI434" t="str">
            <v>N/A</v>
          </cell>
          <cell r="AJ434" t="str">
            <v>N/A</v>
          </cell>
          <cell r="AK434" t="str">
            <v>N/A</v>
          </cell>
          <cell r="AL434" t="str">
            <v>N/A</v>
          </cell>
          <cell r="AM434" t="str">
            <v>N/A</v>
          </cell>
          <cell r="AN434" t="str">
            <v>N/A</v>
          </cell>
          <cell r="AO434">
            <v>0</v>
          </cell>
        </row>
        <row r="435">
          <cell r="A435" t="str">
            <v>24-1594</v>
          </cell>
          <cell r="B435" t="str">
            <v>ELECTRIC HAND DRILL</v>
          </cell>
          <cell r="C435" t="str">
            <v>PGSO</v>
          </cell>
          <cell r="D435" t="str">
            <v>No</v>
          </cell>
          <cell r="E435" t="str">
            <v>NP-53.9 - Small Value Procurement</v>
          </cell>
          <cell r="F435">
            <v>45370</v>
          </cell>
          <cell r="G435">
            <v>45376</v>
          </cell>
          <cell r="H435">
            <v>0</v>
          </cell>
          <cell r="I435" t="str">
            <v>N/A</v>
          </cell>
          <cell r="J435">
            <v>45398</v>
          </cell>
          <cell r="K435">
            <v>45398</v>
          </cell>
          <cell r="L435">
            <v>0</v>
          </cell>
          <cell r="M435" t="str">
            <v>N/A</v>
          </cell>
          <cell r="N435" t="str">
            <v>N/A</v>
          </cell>
          <cell r="O435">
            <v>45405</v>
          </cell>
          <cell r="P435">
            <v>0</v>
          </cell>
          <cell r="Q435">
            <v>0</v>
          </cell>
          <cell r="R435">
            <v>0</v>
          </cell>
          <cell r="S435" t="str">
            <v>N/A</v>
          </cell>
          <cell r="T435">
            <v>45425</v>
          </cell>
          <cell r="U435">
            <v>45435</v>
          </cell>
          <cell r="V435">
            <v>0</v>
          </cell>
          <cell r="W435">
            <v>0</v>
          </cell>
          <cell r="X435">
            <v>45441</v>
          </cell>
          <cell r="Y435">
            <v>45441</v>
          </cell>
          <cell r="Z435">
            <v>0</v>
          </cell>
          <cell r="AA435">
            <v>10720</v>
          </cell>
          <cell r="AB435">
            <v>10720</v>
          </cell>
          <cell r="AC435">
            <v>0</v>
          </cell>
          <cell r="AD435">
            <v>10710</v>
          </cell>
          <cell r="AE435">
            <v>10710</v>
          </cell>
          <cell r="AF435">
            <v>0</v>
          </cell>
          <cell r="AG435" t="str">
            <v>M</v>
          </cell>
          <cell r="AH435" t="str">
            <v>ENGR. MICHAEL C. SALARDA
MS. LEONARDA M. LATOR
MS. CARMENCITA VALDEZ
MS. SORAYA P. VERGARA</v>
          </cell>
          <cell r="AI435" t="str">
            <v>N/A</v>
          </cell>
          <cell r="AJ435" t="str">
            <v>N/A</v>
          </cell>
          <cell r="AK435" t="str">
            <v>N/A</v>
          </cell>
          <cell r="AL435" t="str">
            <v>N/A</v>
          </cell>
          <cell r="AM435" t="str">
            <v>N/A</v>
          </cell>
          <cell r="AN435" t="str">
            <v>N/A</v>
          </cell>
          <cell r="AO435" t="str">
            <v>COMPLETED</v>
          </cell>
        </row>
        <row r="436">
          <cell r="A436" t="str">
            <v>24-0464</v>
          </cell>
          <cell r="B436" t="str">
            <v>BACK PACK</v>
          </cell>
          <cell r="C436" t="str">
            <v>PGO</v>
          </cell>
          <cell r="D436" t="str">
            <v>No</v>
          </cell>
          <cell r="E436" t="str">
            <v>NP-53.9 - Small Value Procurement</v>
          </cell>
          <cell r="F436" t="str">
            <v>N/A</v>
          </cell>
          <cell r="G436">
            <v>45376</v>
          </cell>
          <cell r="H436">
            <v>0</v>
          </cell>
          <cell r="I436" t="str">
            <v>N/A</v>
          </cell>
          <cell r="J436">
            <v>45398</v>
          </cell>
          <cell r="K436">
            <v>45398</v>
          </cell>
          <cell r="L436">
            <v>0</v>
          </cell>
          <cell r="M436" t="str">
            <v>N/A</v>
          </cell>
          <cell r="N436" t="str">
            <v>N/A</v>
          </cell>
          <cell r="O436">
            <v>45405</v>
          </cell>
          <cell r="P436">
            <v>0</v>
          </cell>
          <cell r="Q436">
            <v>0</v>
          </cell>
          <cell r="R436">
            <v>0</v>
          </cell>
          <cell r="S436" t="str">
            <v>N/A</v>
          </cell>
          <cell r="T436">
            <v>45427</v>
          </cell>
          <cell r="U436">
            <v>45432</v>
          </cell>
          <cell r="V436">
            <v>0</v>
          </cell>
          <cell r="W436">
            <v>0</v>
          </cell>
          <cell r="X436">
            <v>45440</v>
          </cell>
          <cell r="Y436">
            <v>45440</v>
          </cell>
          <cell r="Z436">
            <v>0</v>
          </cell>
          <cell r="AA436">
            <v>34500</v>
          </cell>
          <cell r="AB436">
            <v>0</v>
          </cell>
          <cell r="AC436">
            <v>34500</v>
          </cell>
          <cell r="AD436">
            <v>34500</v>
          </cell>
          <cell r="AE436">
            <v>0</v>
          </cell>
          <cell r="AF436">
            <v>34500</v>
          </cell>
          <cell r="AG436" t="str">
            <v>C</v>
          </cell>
          <cell r="AH436" t="str">
            <v>ENGR. MICHAEL C. SALARDA
MS. LEONARDA M. LATOR
MS. CARMENCITA VALDEZ
MS. SORAYA P. VERGARA</v>
          </cell>
          <cell r="AI436" t="str">
            <v>N/A</v>
          </cell>
          <cell r="AJ436" t="str">
            <v>N/A</v>
          </cell>
          <cell r="AK436" t="str">
            <v>N/A</v>
          </cell>
          <cell r="AL436" t="str">
            <v>N/A</v>
          </cell>
          <cell r="AM436" t="str">
            <v>N/A</v>
          </cell>
          <cell r="AN436" t="str">
            <v>N/A</v>
          </cell>
          <cell r="AO436" t="str">
            <v>COMPLETED</v>
          </cell>
        </row>
        <row r="437">
          <cell r="A437" t="str">
            <v>24-1677</v>
          </cell>
          <cell r="B437" t="str">
            <v>MONITOR, COMPUTER</v>
          </cell>
          <cell r="C437" t="str">
            <v>PTO</v>
          </cell>
          <cell r="D437" t="str">
            <v>No</v>
          </cell>
          <cell r="E437" t="str">
            <v>NP-53.9 - Small Value Procurement</v>
          </cell>
          <cell r="F437" t="str">
            <v>N/A</v>
          </cell>
          <cell r="G437">
            <v>45376</v>
          </cell>
          <cell r="H437">
            <v>0</v>
          </cell>
          <cell r="I437" t="str">
            <v>N/A</v>
          </cell>
          <cell r="J437">
            <v>45398</v>
          </cell>
          <cell r="K437">
            <v>45398</v>
          </cell>
          <cell r="L437">
            <v>0</v>
          </cell>
          <cell r="M437" t="str">
            <v>N/A</v>
          </cell>
          <cell r="N437" t="str">
            <v>N/A</v>
          </cell>
          <cell r="O437">
            <v>45405</v>
          </cell>
          <cell r="P437">
            <v>0</v>
          </cell>
          <cell r="Q437">
            <v>0</v>
          </cell>
          <cell r="R437">
            <v>0</v>
          </cell>
          <cell r="S437" t="str">
            <v>N/A</v>
          </cell>
          <cell r="T437">
            <v>45412</v>
          </cell>
          <cell r="U437">
            <v>45425</v>
          </cell>
          <cell r="V437">
            <v>0</v>
          </cell>
          <cell r="W437">
            <v>0</v>
          </cell>
          <cell r="X437">
            <v>45436</v>
          </cell>
          <cell r="Y437">
            <v>45436</v>
          </cell>
          <cell r="Z437">
            <v>0</v>
          </cell>
          <cell r="AA437">
            <v>7500</v>
          </cell>
          <cell r="AB437">
            <v>7500</v>
          </cell>
          <cell r="AC437">
            <v>0</v>
          </cell>
          <cell r="AD437">
            <v>7500</v>
          </cell>
          <cell r="AE437">
            <v>7500</v>
          </cell>
          <cell r="AF437">
            <v>0</v>
          </cell>
          <cell r="AG437" t="str">
            <v>M</v>
          </cell>
          <cell r="AH437" t="str">
            <v>ENGR. MICHAEL C. SALARDA
MS. LEONARDA M. LATOR
MS. CARMENCITA VALDEZ
MS. SORAYA P. VERGARA</v>
          </cell>
          <cell r="AI437" t="str">
            <v>N/A</v>
          </cell>
          <cell r="AJ437" t="str">
            <v>N/A</v>
          </cell>
          <cell r="AK437" t="str">
            <v>N/A</v>
          </cell>
          <cell r="AL437" t="str">
            <v>N/A</v>
          </cell>
          <cell r="AM437" t="str">
            <v>N/A</v>
          </cell>
          <cell r="AN437" t="str">
            <v>N/A</v>
          </cell>
          <cell r="AO437" t="str">
            <v>COMPLETED</v>
          </cell>
        </row>
        <row r="438">
          <cell r="A438" t="str">
            <v>24-1123</v>
          </cell>
          <cell r="B438" t="str">
            <v>WEIGHING SCALE</v>
          </cell>
          <cell r="C438" t="str">
            <v>PHO</v>
          </cell>
          <cell r="D438" t="str">
            <v>No</v>
          </cell>
          <cell r="E438" t="str">
            <v>NP-53.9 - Small Value Procurement</v>
          </cell>
          <cell r="F438" t="str">
            <v>N/A</v>
          </cell>
          <cell r="G438">
            <v>45376</v>
          </cell>
          <cell r="H438">
            <v>0</v>
          </cell>
          <cell r="I438" t="str">
            <v>N/A</v>
          </cell>
          <cell r="J438">
            <v>45398</v>
          </cell>
          <cell r="K438">
            <v>45398</v>
          </cell>
          <cell r="L438">
            <v>0</v>
          </cell>
          <cell r="M438" t="str">
            <v>N/A</v>
          </cell>
          <cell r="N438" t="str">
            <v>N/A</v>
          </cell>
          <cell r="O438">
            <v>45405</v>
          </cell>
          <cell r="P438">
            <v>0</v>
          </cell>
          <cell r="Q438">
            <v>0</v>
          </cell>
          <cell r="R438">
            <v>0</v>
          </cell>
          <cell r="S438" t="str">
            <v>N/A</v>
          </cell>
          <cell r="T438">
            <v>45418</v>
          </cell>
          <cell r="U438">
            <v>45422</v>
          </cell>
          <cell r="V438">
            <v>0</v>
          </cell>
          <cell r="W438">
            <v>0</v>
          </cell>
          <cell r="X438">
            <v>45433</v>
          </cell>
          <cell r="Y438">
            <v>45433</v>
          </cell>
          <cell r="Z438">
            <v>0</v>
          </cell>
          <cell r="AA438">
            <v>570</v>
          </cell>
          <cell r="AB438">
            <v>0</v>
          </cell>
          <cell r="AC438">
            <v>570</v>
          </cell>
          <cell r="AD438">
            <v>570</v>
          </cell>
          <cell r="AE438">
            <v>0</v>
          </cell>
          <cell r="AF438">
            <v>570</v>
          </cell>
          <cell r="AG438" t="str">
            <v>C</v>
          </cell>
          <cell r="AH438" t="str">
            <v>ENGR. MICHAEL C. SALARDA
MS. LEONARDA M. LATOR
MS. CARMENCITA VALDEZ
MS. SORAYA P. VERGARA</v>
          </cell>
          <cell r="AI438" t="str">
            <v>N/A</v>
          </cell>
          <cell r="AJ438" t="str">
            <v>N/A</v>
          </cell>
          <cell r="AK438" t="str">
            <v>N/A</v>
          </cell>
          <cell r="AL438" t="str">
            <v>N/A</v>
          </cell>
          <cell r="AM438" t="str">
            <v>N/A</v>
          </cell>
          <cell r="AN438" t="str">
            <v>N/A</v>
          </cell>
          <cell r="AO438" t="str">
            <v>COMPLETED</v>
          </cell>
        </row>
        <row r="439">
          <cell r="A439" t="str">
            <v>24-1988</v>
          </cell>
          <cell r="B439" t="str">
            <v>WIRE, EXTENSION WITH HANDLE</v>
          </cell>
          <cell r="C439" t="str">
            <v>PDRRMO</v>
          </cell>
          <cell r="D439" t="str">
            <v>No</v>
          </cell>
          <cell r="E439" t="str">
            <v>NP-53.9 - Small Value Procurement</v>
          </cell>
          <cell r="F439" t="str">
            <v>N/A</v>
          </cell>
          <cell r="G439">
            <v>45376</v>
          </cell>
          <cell r="H439">
            <v>0</v>
          </cell>
          <cell r="I439" t="str">
            <v>N/A</v>
          </cell>
          <cell r="J439">
            <v>45398</v>
          </cell>
          <cell r="K439">
            <v>45398</v>
          </cell>
          <cell r="L439">
            <v>0</v>
          </cell>
          <cell r="M439" t="str">
            <v>N/A</v>
          </cell>
          <cell r="N439" t="str">
            <v>N/A</v>
          </cell>
          <cell r="O439">
            <v>45405</v>
          </cell>
          <cell r="P439">
            <v>0</v>
          </cell>
          <cell r="Q439">
            <v>0</v>
          </cell>
          <cell r="R439">
            <v>0</v>
          </cell>
          <cell r="S439" t="str">
            <v>N/A</v>
          </cell>
          <cell r="T439">
            <v>45405</v>
          </cell>
          <cell r="U439">
            <v>45418</v>
          </cell>
          <cell r="V439">
            <v>0</v>
          </cell>
          <cell r="W439">
            <v>0</v>
          </cell>
          <cell r="X439">
            <v>45432</v>
          </cell>
          <cell r="Y439">
            <v>45432</v>
          </cell>
          <cell r="Z439">
            <v>0</v>
          </cell>
          <cell r="AA439">
            <v>5280</v>
          </cell>
          <cell r="AB439">
            <v>0</v>
          </cell>
          <cell r="AC439">
            <v>5280</v>
          </cell>
          <cell r="AD439">
            <v>5268</v>
          </cell>
          <cell r="AE439">
            <v>0</v>
          </cell>
          <cell r="AF439">
            <v>5268</v>
          </cell>
          <cell r="AG439" t="str">
            <v>C</v>
          </cell>
          <cell r="AH439" t="str">
            <v>ENGR. MICHAEL C. SALARDA
MS. LEONARDA M. LATOR
MS. CARMENCITA VALDEZ
MS. SORAYA P. VERGARA</v>
          </cell>
          <cell r="AI439" t="str">
            <v>N/A</v>
          </cell>
          <cell r="AJ439" t="str">
            <v>N/A</v>
          </cell>
          <cell r="AK439" t="str">
            <v>N/A</v>
          </cell>
          <cell r="AL439" t="str">
            <v>N/A</v>
          </cell>
          <cell r="AM439" t="str">
            <v>N/A</v>
          </cell>
          <cell r="AN439" t="str">
            <v>N/A</v>
          </cell>
          <cell r="AO439" t="str">
            <v>COMPLETED</v>
          </cell>
        </row>
        <row r="440">
          <cell r="A440" t="str">
            <v>24-2147</v>
          </cell>
          <cell r="B440" t="str">
            <v>BEEF LOAF</v>
          </cell>
          <cell r="C440" t="str">
            <v>PGO</v>
          </cell>
          <cell r="D440" t="str">
            <v>No</v>
          </cell>
          <cell r="E440" t="str">
            <v>NP-53.9 - Small Value Procurement</v>
          </cell>
          <cell r="F440" t="str">
            <v>N/A</v>
          </cell>
          <cell r="G440">
            <v>45384</v>
          </cell>
          <cell r="H440">
            <v>0</v>
          </cell>
          <cell r="I440" t="str">
            <v>N/A</v>
          </cell>
          <cell r="J440">
            <v>45398</v>
          </cell>
          <cell r="K440">
            <v>45398</v>
          </cell>
          <cell r="L440">
            <v>0</v>
          </cell>
          <cell r="M440" t="str">
            <v>N/A</v>
          </cell>
          <cell r="N440" t="str">
            <v>N/A</v>
          </cell>
          <cell r="O440">
            <v>45405</v>
          </cell>
          <cell r="P440">
            <v>0</v>
          </cell>
          <cell r="Q440">
            <v>0</v>
          </cell>
          <cell r="R440">
            <v>0</v>
          </cell>
          <cell r="S440" t="str">
            <v>N/A</v>
          </cell>
          <cell r="T440">
            <v>45405</v>
          </cell>
          <cell r="U440">
            <v>45419</v>
          </cell>
          <cell r="V440">
            <v>0</v>
          </cell>
          <cell r="W440">
            <v>0</v>
          </cell>
          <cell r="X440">
            <v>45421</v>
          </cell>
          <cell r="Y440">
            <v>45421</v>
          </cell>
          <cell r="Z440">
            <v>0</v>
          </cell>
          <cell r="AA440">
            <v>3740</v>
          </cell>
          <cell r="AB440">
            <v>0</v>
          </cell>
          <cell r="AC440">
            <v>3740</v>
          </cell>
          <cell r="AD440">
            <v>3730</v>
          </cell>
          <cell r="AE440">
            <v>0</v>
          </cell>
          <cell r="AF440">
            <v>3730</v>
          </cell>
          <cell r="AG440" t="str">
            <v>C</v>
          </cell>
          <cell r="AH440" t="str">
            <v>ENGR. MICHAEL C. SALARDA
MS. LEONARDA M. LATOR
MS. CARMENCITA VALDEZ
MS. SORAYA P. VERGARA</v>
          </cell>
          <cell r="AI440" t="str">
            <v>N/A</v>
          </cell>
          <cell r="AJ440" t="str">
            <v>N/A</v>
          </cell>
          <cell r="AK440" t="str">
            <v>N/A</v>
          </cell>
          <cell r="AL440" t="str">
            <v>N/A</v>
          </cell>
          <cell r="AM440" t="str">
            <v>N/A</v>
          </cell>
          <cell r="AN440" t="str">
            <v>N/A</v>
          </cell>
          <cell r="AO440" t="str">
            <v>COMPLETED</v>
          </cell>
        </row>
        <row r="441">
          <cell r="A441" t="str">
            <v>24-1948</v>
          </cell>
          <cell r="B441" t="str">
            <v>LIQUID NITROGEN</v>
          </cell>
          <cell r="C441" t="str">
            <v>PVO</v>
          </cell>
          <cell r="D441" t="str">
            <v>No</v>
          </cell>
          <cell r="E441" t="str">
            <v>NP-53.9 - Small Value Procurement</v>
          </cell>
          <cell r="F441">
            <v>45373</v>
          </cell>
          <cell r="G441">
            <v>45384</v>
          </cell>
          <cell r="H441">
            <v>0</v>
          </cell>
          <cell r="I441" t="str">
            <v>N/A</v>
          </cell>
          <cell r="J441">
            <v>45398</v>
          </cell>
          <cell r="K441">
            <v>45398</v>
          </cell>
          <cell r="L441">
            <v>0</v>
          </cell>
          <cell r="M441" t="str">
            <v>N/A</v>
          </cell>
          <cell r="N441" t="str">
            <v>N/A</v>
          </cell>
          <cell r="O441">
            <v>45405</v>
          </cell>
          <cell r="P441">
            <v>0</v>
          </cell>
          <cell r="Q441">
            <v>0</v>
          </cell>
          <cell r="R441">
            <v>0</v>
          </cell>
          <cell r="S441" t="str">
            <v>N/A</v>
          </cell>
          <cell r="T441">
            <v>45412</v>
          </cell>
          <cell r="U441">
            <v>45422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26400</v>
          </cell>
          <cell r="AB441">
            <v>0</v>
          </cell>
          <cell r="AC441">
            <v>26400</v>
          </cell>
          <cell r="AD441">
            <v>26080</v>
          </cell>
          <cell r="AE441">
            <v>0</v>
          </cell>
          <cell r="AF441">
            <v>26080</v>
          </cell>
          <cell r="AG441" t="str">
            <v>C</v>
          </cell>
          <cell r="AH441" t="str">
            <v>ENGR. MICHAEL C. SALARDA
MS. LEONARDA M. LATOR
MS. CARMENCITA VALDEZ
MS. SORAYA P. VERGARA</v>
          </cell>
          <cell r="AI441" t="str">
            <v>N/A</v>
          </cell>
          <cell r="AJ441" t="str">
            <v>N/A</v>
          </cell>
          <cell r="AK441" t="str">
            <v>N/A</v>
          </cell>
          <cell r="AL441" t="str">
            <v>N/A</v>
          </cell>
          <cell r="AM441" t="str">
            <v>N/A</v>
          </cell>
          <cell r="AN441" t="str">
            <v>N/A</v>
          </cell>
          <cell r="AO441">
            <v>0</v>
          </cell>
        </row>
        <row r="442">
          <cell r="A442" t="str">
            <v>24-1352</v>
          </cell>
          <cell r="B442" t="str">
            <v>HELMET, FULL FACED AND RAIN COAT</v>
          </cell>
          <cell r="C442" t="str">
            <v>PGO</v>
          </cell>
          <cell r="D442" t="str">
            <v>No</v>
          </cell>
          <cell r="E442" t="str">
            <v>NP-53.9 - Small Value Procurement</v>
          </cell>
          <cell r="F442" t="str">
            <v>N/A</v>
          </cell>
          <cell r="G442">
            <v>45376</v>
          </cell>
          <cell r="H442">
            <v>0</v>
          </cell>
          <cell r="I442" t="str">
            <v>N/A</v>
          </cell>
          <cell r="J442">
            <v>45398</v>
          </cell>
          <cell r="K442">
            <v>45398</v>
          </cell>
          <cell r="L442">
            <v>0</v>
          </cell>
          <cell r="M442" t="str">
            <v>N/A</v>
          </cell>
          <cell r="N442" t="str">
            <v>N/A</v>
          </cell>
          <cell r="O442">
            <v>45405</v>
          </cell>
          <cell r="P442">
            <v>0</v>
          </cell>
          <cell r="Q442">
            <v>0</v>
          </cell>
          <cell r="R442">
            <v>0</v>
          </cell>
          <cell r="S442" t="str">
            <v>N/A</v>
          </cell>
          <cell r="T442">
            <v>45418</v>
          </cell>
          <cell r="U442">
            <v>45428</v>
          </cell>
          <cell r="V442">
            <v>0</v>
          </cell>
          <cell r="W442">
            <v>0</v>
          </cell>
          <cell r="X442">
            <v>45453</v>
          </cell>
          <cell r="Y442">
            <v>45453</v>
          </cell>
          <cell r="Z442">
            <v>0</v>
          </cell>
          <cell r="AA442">
            <v>13400</v>
          </cell>
          <cell r="AB442">
            <v>0</v>
          </cell>
          <cell r="AC442">
            <v>13400</v>
          </cell>
          <cell r="AD442">
            <v>13400</v>
          </cell>
          <cell r="AE442">
            <v>0</v>
          </cell>
          <cell r="AF442">
            <v>13400</v>
          </cell>
          <cell r="AG442" t="str">
            <v>C</v>
          </cell>
          <cell r="AH442" t="str">
            <v>ENGR. MICHAEL C. SALARDA
MS. LEONARDA M. LATOR
MS. CARMENCITA VALDEZ
MS. SORAYA P. VERGARA</v>
          </cell>
          <cell r="AI442" t="str">
            <v>N/A</v>
          </cell>
          <cell r="AJ442" t="str">
            <v>N/A</v>
          </cell>
          <cell r="AK442" t="str">
            <v>N/A</v>
          </cell>
          <cell r="AL442" t="str">
            <v>N/A</v>
          </cell>
          <cell r="AM442" t="str">
            <v>N/A</v>
          </cell>
          <cell r="AN442" t="str">
            <v>N/A</v>
          </cell>
          <cell r="AO442" t="str">
            <v>COMPLETED</v>
          </cell>
        </row>
        <row r="443">
          <cell r="A443" t="str">
            <v>24-C1207</v>
          </cell>
          <cell r="B443" t="str">
            <v>ACCESSORIES &amp; DECORATION</v>
          </cell>
          <cell r="C443" t="str">
            <v>PAO</v>
          </cell>
          <cell r="D443" t="str">
            <v>No</v>
          </cell>
          <cell r="E443" t="str">
            <v>NP-53.9 - Small Value Procurement</v>
          </cell>
          <cell r="F443" t="str">
            <v>N/A</v>
          </cell>
          <cell r="G443">
            <v>45376</v>
          </cell>
          <cell r="H443">
            <v>0</v>
          </cell>
          <cell r="I443" t="str">
            <v>N/A</v>
          </cell>
          <cell r="J443">
            <v>45398</v>
          </cell>
          <cell r="K443">
            <v>45398</v>
          </cell>
          <cell r="L443">
            <v>0</v>
          </cell>
          <cell r="M443" t="str">
            <v>N/A</v>
          </cell>
          <cell r="N443" t="str">
            <v>N/A</v>
          </cell>
          <cell r="O443">
            <v>45405</v>
          </cell>
          <cell r="P443">
            <v>0</v>
          </cell>
          <cell r="Q443">
            <v>0</v>
          </cell>
          <cell r="R443">
            <v>0</v>
          </cell>
          <cell r="S443" t="str">
            <v>N/A</v>
          </cell>
          <cell r="T443">
            <v>45421</v>
          </cell>
          <cell r="U443">
            <v>45425</v>
          </cell>
          <cell r="V443">
            <v>0</v>
          </cell>
          <cell r="W443">
            <v>0</v>
          </cell>
          <cell r="X443">
            <v>45433</v>
          </cell>
          <cell r="Y443">
            <v>45433</v>
          </cell>
          <cell r="Z443">
            <v>0</v>
          </cell>
          <cell r="AA443">
            <v>5898</v>
          </cell>
          <cell r="AB443">
            <v>0</v>
          </cell>
          <cell r="AC443">
            <v>5898</v>
          </cell>
          <cell r="AD443">
            <v>5820</v>
          </cell>
          <cell r="AE443">
            <v>0</v>
          </cell>
          <cell r="AF443">
            <v>5820</v>
          </cell>
          <cell r="AG443" t="str">
            <v>C</v>
          </cell>
          <cell r="AH443" t="str">
            <v>ENGR. MICHAEL C. SALARDA
MS. LEONARDA M. LATOR
MS. CARMENCITA VALDEZ
MS. SORAYA P. VERGARA</v>
          </cell>
          <cell r="AI443" t="str">
            <v>N/A</v>
          </cell>
          <cell r="AJ443" t="str">
            <v>N/A</v>
          </cell>
          <cell r="AK443" t="str">
            <v>N/A</v>
          </cell>
          <cell r="AL443" t="str">
            <v>N/A</v>
          </cell>
          <cell r="AM443" t="str">
            <v>N/A</v>
          </cell>
          <cell r="AN443" t="str">
            <v>N/A</v>
          </cell>
          <cell r="AO443" t="str">
            <v>COMPLETED</v>
          </cell>
        </row>
        <row r="444">
          <cell r="A444" t="str">
            <v>24-C1262</v>
          </cell>
          <cell r="B444" t="str">
            <v>BOX, STORAGE, WHISTLE</v>
          </cell>
          <cell r="C444" t="str">
            <v>PENRO</v>
          </cell>
          <cell r="D444" t="str">
            <v>No</v>
          </cell>
          <cell r="E444" t="str">
            <v>NP-53.9 - Small Value Procurement</v>
          </cell>
          <cell r="F444" t="str">
            <v>N/A</v>
          </cell>
          <cell r="G444">
            <v>45384</v>
          </cell>
          <cell r="H444">
            <v>0</v>
          </cell>
          <cell r="I444" t="str">
            <v>N/A</v>
          </cell>
          <cell r="J444">
            <v>45398</v>
          </cell>
          <cell r="K444">
            <v>45398</v>
          </cell>
          <cell r="L444">
            <v>0</v>
          </cell>
          <cell r="M444" t="str">
            <v>N/A</v>
          </cell>
          <cell r="N444" t="str">
            <v>N/A</v>
          </cell>
          <cell r="O444">
            <v>45405</v>
          </cell>
          <cell r="P444">
            <v>0</v>
          </cell>
          <cell r="Q444">
            <v>0</v>
          </cell>
          <cell r="R444">
            <v>0</v>
          </cell>
          <cell r="S444" t="str">
            <v>N/A</v>
          </cell>
          <cell r="T444">
            <v>45407</v>
          </cell>
          <cell r="U444">
            <v>45422</v>
          </cell>
          <cell r="V444">
            <v>0</v>
          </cell>
          <cell r="W444">
            <v>0</v>
          </cell>
          <cell r="X444">
            <v>45425</v>
          </cell>
          <cell r="Y444">
            <v>45425</v>
          </cell>
          <cell r="Z444">
            <v>0</v>
          </cell>
          <cell r="AA444">
            <v>9860</v>
          </cell>
          <cell r="AB444">
            <v>0</v>
          </cell>
          <cell r="AC444">
            <v>9860</v>
          </cell>
          <cell r="AD444">
            <v>9768</v>
          </cell>
          <cell r="AE444">
            <v>0</v>
          </cell>
          <cell r="AF444">
            <v>9768</v>
          </cell>
          <cell r="AG444" t="str">
            <v>C</v>
          </cell>
          <cell r="AH444" t="str">
            <v>ENGR. MICHAEL C. SALARDA
MS. LEONARDA M. LATOR
MS. CARMENCITA VALDEZ
MS. SORAYA P. VERGARA</v>
          </cell>
          <cell r="AI444" t="str">
            <v>N/A</v>
          </cell>
          <cell r="AJ444" t="str">
            <v>N/A</v>
          </cell>
          <cell r="AK444" t="str">
            <v>N/A</v>
          </cell>
          <cell r="AL444" t="str">
            <v>N/A</v>
          </cell>
          <cell r="AM444" t="str">
            <v>N/A</v>
          </cell>
          <cell r="AN444" t="str">
            <v>N/A</v>
          </cell>
          <cell r="AO444" t="str">
            <v>COMPLETED</v>
          </cell>
        </row>
        <row r="445">
          <cell r="A445" t="str">
            <v>24-0865</v>
          </cell>
          <cell r="B445" t="str">
            <v>EXTERNAL HDD</v>
          </cell>
          <cell r="C445" t="str">
            <v>PAGRO</v>
          </cell>
          <cell r="D445" t="str">
            <v>No</v>
          </cell>
          <cell r="E445" t="str">
            <v>NP-53.9 - Small Value Procurement</v>
          </cell>
          <cell r="F445">
            <v>45373</v>
          </cell>
          <cell r="G445">
            <v>45384</v>
          </cell>
          <cell r="H445">
            <v>0</v>
          </cell>
          <cell r="I445" t="str">
            <v>N/A</v>
          </cell>
          <cell r="J445">
            <v>45398</v>
          </cell>
          <cell r="K445">
            <v>45398</v>
          </cell>
          <cell r="L445">
            <v>0</v>
          </cell>
          <cell r="M445" t="str">
            <v>N/A</v>
          </cell>
          <cell r="N445" t="str">
            <v>N/A</v>
          </cell>
          <cell r="O445">
            <v>45405</v>
          </cell>
          <cell r="P445">
            <v>0</v>
          </cell>
          <cell r="Q445">
            <v>0</v>
          </cell>
          <cell r="R445">
            <v>0</v>
          </cell>
          <cell r="S445" t="str">
            <v>N/A</v>
          </cell>
          <cell r="T445">
            <v>45405</v>
          </cell>
          <cell r="U445">
            <v>45418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6000</v>
          </cell>
          <cell r="AB445">
            <v>0</v>
          </cell>
          <cell r="AC445">
            <v>6000</v>
          </cell>
          <cell r="AD445">
            <v>5985</v>
          </cell>
          <cell r="AE445">
            <v>0</v>
          </cell>
          <cell r="AF445">
            <v>5985</v>
          </cell>
          <cell r="AG445" t="str">
            <v>C</v>
          </cell>
          <cell r="AH445" t="str">
            <v>ENGR. MICHAEL C. SALARDA
MS. LEONARDA M. LATOR
MS. CARMENCITA VALDEZ
MS. SORAYA P. VERGARA</v>
          </cell>
          <cell r="AI445" t="str">
            <v>N/A</v>
          </cell>
          <cell r="AJ445" t="str">
            <v>N/A</v>
          </cell>
          <cell r="AK445" t="str">
            <v>N/A</v>
          </cell>
          <cell r="AL445" t="str">
            <v>N/A</v>
          </cell>
          <cell r="AM445" t="str">
            <v>N/A</v>
          </cell>
          <cell r="AN445" t="str">
            <v>N/A</v>
          </cell>
          <cell r="AO445">
            <v>0</v>
          </cell>
        </row>
        <row r="446">
          <cell r="A446" t="str">
            <v>24-C1185</v>
          </cell>
          <cell r="B446" t="str">
            <v>MEDICAL SUPPLIES</v>
          </cell>
          <cell r="C446" t="str">
            <v>PHO</v>
          </cell>
          <cell r="D446" t="str">
            <v>No</v>
          </cell>
          <cell r="E446" t="str">
            <v>NP-53.9 - Small Value Procurement</v>
          </cell>
          <cell r="F446" t="str">
            <v>N/A</v>
          </cell>
          <cell r="G446">
            <v>45371</v>
          </cell>
          <cell r="H446">
            <v>0</v>
          </cell>
          <cell r="I446" t="str">
            <v>N/A</v>
          </cell>
          <cell r="J446">
            <v>45398</v>
          </cell>
          <cell r="K446">
            <v>45398</v>
          </cell>
          <cell r="L446">
            <v>0</v>
          </cell>
          <cell r="M446" t="str">
            <v>N/A</v>
          </cell>
          <cell r="N446" t="str">
            <v>N/A</v>
          </cell>
          <cell r="O446">
            <v>45405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45411</v>
          </cell>
          <cell r="U446">
            <v>45420</v>
          </cell>
          <cell r="V446">
            <v>0</v>
          </cell>
          <cell r="W446">
            <v>0</v>
          </cell>
          <cell r="X446">
            <v>45469</v>
          </cell>
          <cell r="Y446">
            <v>45469</v>
          </cell>
          <cell r="Z446">
            <v>0</v>
          </cell>
          <cell r="AA446">
            <v>209117</v>
          </cell>
          <cell r="AB446">
            <v>0</v>
          </cell>
          <cell r="AC446">
            <v>209117</v>
          </cell>
          <cell r="AD446">
            <v>208957</v>
          </cell>
          <cell r="AE446">
            <v>0</v>
          </cell>
          <cell r="AF446">
            <v>208957</v>
          </cell>
          <cell r="AG446" t="str">
            <v>C</v>
          </cell>
          <cell r="AH446" t="str">
            <v>ENGR. MICHAEL C. SALARDA
MS. LEONARDA M. LATOR
MS. CARMENCITA VALDEZ
MS. SORAYA P. VERGARA</v>
          </cell>
          <cell r="AI446" t="str">
            <v>N/A</v>
          </cell>
          <cell r="AJ446" t="str">
            <v>N/A</v>
          </cell>
          <cell r="AK446" t="str">
            <v>N/A</v>
          </cell>
          <cell r="AL446" t="str">
            <v>N/A</v>
          </cell>
          <cell r="AM446" t="str">
            <v>N/A</v>
          </cell>
          <cell r="AN446" t="str">
            <v>N/A</v>
          </cell>
          <cell r="AO446" t="str">
            <v>COMPLETED</v>
          </cell>
        </row>
        <row r="447">
          <cell r="A447" t="str">
            <v>24-2010</v>
          </cell>
          <cell r="B447" t="str">
            <v>CHICK EMBRO CELL</v>
          </cell>
          <cell r="C447" t="str">
            <v>PVO</v>
          </cell>
          <cell r="D447" t="str">
            <v>No</v>
          </cell>
          <cell r="E447" t="str">
            <v>NP-53.9 - Small Value Procurement</v>
          </cell>
          <cell r="F447" t="str">
            <v>N/A</v>
          </cell>
          <cell r="G447">
            <v>45376</v>
          </cell>
          <cell r="H447">
            <v>0</v>
          </cell>
          <cell r="I447" t="str">
            <v>N/A</v>
          </cell>
          <cell r="J447">
            <v>45398</v>
          </cell>
          <cell r="K447">
            <v>45398</v>
          </cell>
          <cell r="L447">
            <v>0</v>
          </cell>
          <cell r="M447" t="str">
            <v>N/A</v>
          </cell>
          <cell r="N447" t="str">
            <v>N/A</v>
          </cell>
          <cell r="O447">
            <v>45405</v>
          </cell>
          <cell r="P447">
            <v>0</v>
          </cell>
          <cell r="Q447">
            <v>0</v>
          </cell>
          <cell r="R447">
            <v>0</v>
          </cell>
          <cell r="S447" t="str">
            <v>N/A</v>
          </cell>
          <cell r="T447">
            <v>45412</v>
          </cell>
          <cell r="U447">
            <v>45434</v>
          </cell>
          <cell r="V447">
            <v>0</v>
          </cell>
          <cell r="W447">
            <v>0</v>
          </cell>
          <cell r="X447">
            <v>45443</v>
          </cell>
          <cell r="Y447">
            <v>45443</v>
          </cell>
          <cell r="Z447">
            <v>0</v>
          </cell>
          <cell r="AA447">
            <v>73600</v>
          </cell>
          <cell r="AB447">
            <v>0</v>
          </cell>
          <cell r="AC447">
            <v>73600</v>
          </cell>
          <cell r="AD447">
            <v>64905.08</v>
          </cell>
          <cell r="AE447">
            <v>0</v>
          </cell>
          <cell r="AF447">
            <v>64905.08</v>
          </cell>
          <cell r="AG447" t="str">
            <v>C</v>
          </cell>
          <cell r="AH447" t="str">
            <v>ENGR. MICHAEL C. SALARDA
MS. LEONARDA M. LATOR
MS. CARMENCITA VALDEZ
MS. SORAYA P. VERGARA</v>
          </cell>
          <cell r="AI447" t="str">
            <v>N/A</v>
          </cell>
          <cell r="AJ447" t="str">
            <v>N/A</v>
          </cell>
          <cell r="AK447" t="str">
            <v>N/A</v>
          </cell>
          <cell r="AL447" t="str">
            <v>N/A</v>
          </cell>
          <cell r="AM447" t="str">
            <v>N/A</v>
          </cell>
          <cell r="AN447" t="str">
            <v>N/A</v>
          </cell>
          <cell r="AO447" t="str">
            <v>COMPLETED</v>
          </cell>
        </row>
        <row r="448">
          <cell r="A448" t="str">
            <v>24-1575</v>
          </cell>
          <cell r="B448" t="str">
            <v>JOB OUT-WHEEL ALIGNMENT &amp; WHEEL BALANCING</v>
          </cell>
          <cell r="C448" t="str">
            <v>PGSO</v>
          </cell>
          <cell r="D448" t="str">
            <v>No</v>
          </cell>
          <cell r="E448" t="str">
            <v>NP-53.9 - Small Value Procurement</v>
          </cell>
          <cell r="F448">
            <v>45370</v>
          </cell>
          <cell r="G448">
            <v>45376</v>
          </cell>
          <cell r="H448">
            <v>0</v>
          </cell>
          <cell r="I448" t="str">
            <v>N/A</v>
          </cell>
          <cell r="J448">
            <v>45398</v>
          </cell>
          <cell r="K448">
            <v>45398</v>
          </cell>
          <cell r="L448">
            <v>0</v>
          </cell>
          <cell r="M448" t="str">
            <v>N/A</v>
          </cell>
          <cell r="N448" t="str">
            <v>N/A</v>
          </cell>
          <cell r="O448">
            <v>45405</v>
          </cell>
          <cell r="P448">
            <v>0</v>
          </cell>
          <cell r="Q448">
            <v>0</v>
          </cell>
          <cell r="R448">
            <v>0</v>
          </cell>
          <cell r="S448" t="str">
            <v>N/A</v>
          </cell>
          <cell r="T448">
            <v>45412</v>
          </cell>
          <cell r="U448">
            <v>45426</v>
          </cell>
          <cell r="V448">
            <v>0</v>
          </cell>
          <cell r="W448">
            <v>0</v>
          </cell>
          <cell r="X448">
            <v>45435</v>
          </cell>
          <cell r="Y448">
            <v>45435</v>
          </cell>
          <cell r="Z448">
            <v>0</v>
          </cell>
          <cell r="AA448">
            <v>6300</v>
          </cell>
          <cell r="AB448">
            <v>6300</v>
          </cell>
          <cell r="AC448">
            <v>0</v>
          </cell>
          <cell r="AD448">
            <v>6300</v>
          </cell>
          <cell r="AE448">
            <v>6300</v>
          </cell>
          <cell r="AF448">
            <v>0</v>
          </cell>
          <cell r="AG448" t="str">
            <v>M</v>
          </cell>
          <cell r="AH448" t="str">
            <v>ENGR. MICHAEL C. SALARDA
MS. LEONARDA M. LATOR
MS. CARMENCITA VALDEZ
MS. SORAYA P. VERGARA</v>
          </cell>
          <cell r="AI448" t="str">
            <v>N/A</v>
          </cell>
          <cell r="AJ448" t="str">
            <v>N/A</v>
          </cell>
          <cell r="AK448" t="str">
            <v>N/A</v>
          </cell>
          <cell r="AL448" t="str">
            <v>N/A</v>
          </cell>
          <cell r="AM448" t="str">
            <v>N/A</v>
          </cell>
          <cell r="AN448" t="str">
            <v>N/A</v>
          </cell>
          <cell r="AO448" t="str">
            <v>COMPLETED</v>
          </cell>
        </row>
        <row r="449">
          <cell r="A449" t="str">
            <v>24-1353</v>
          </cell>
          <cell r="B449" t="str">
            <v>VETERINARY DRUGS AND BIOLOGICS</v>
          </cell>
          <cell r="C449" t="str">
            <v>PGO</v>
          </cell>
          <cell r="D449" t="str">
            <v>No</v>
          </cell>
          <cell r="E449" t="str">
            <v>NP-53.9 - Small Value Procurement</v>
          </cell>
          <cell r="F449" t="str">
            <v>N/A</v>
          </cell>
          <cell r="G449">
            <v>45376</v>
          </cell>
          <cell r="H449">
            <v>0</v>
          </cell>
          <cell r="I449" t="str">
            <v>N/A</v>
          </cell>
          <cell r="J449">
            <v>45398</v>
          </cell>
          <cell r="K449">
            <v>45398</v>
          </cell>
          <cell r="L449">
            <v>0</v>
          </cell>
          <cell r="M449" t="str">
            <v>N/A</v>
          </cell>
          <cell r="N449" t="str">
            <v>N/A</v>
          </cell>
          <cell r="O449">
            <v>45405</v>
          </cell>
          <cell r="P449">
            <v>0</v>
          </cell>
          <cell r="Q449">
            <v>0</v>
          </cell>
          <cell r="R449">
            <v>0</v>
          </cell>
          <cell r="S449" t="str">
            <v>N/A</v>
          </cell>
          <cell r="T449">
            <v>45412</v>
          </cell>
          <cell r="U449">
            <v>45436</v>
          </cell>
          <cell r="V449">
            <v>0</v>
          </cell>
          <cell r="W449">
            <v>0</v>
          </cell>
          <cell r="X449">
            <v>45440</v>
          </cell>
          <cell r="Y449">
            <v>45440</v>
          </cell>
          <cell r="Z449">
            <v>0</v>
          </cell>
          <cell r="AA449">
            <v>21800</v>
          </cell>
          <cell r="AB449">
            <v>0</v>
          </cell>
          <cell r="AC449">
            <v>21800</v>
          </cell>
          <cell r="AD449">
            <v>20250</v>
          </cell>
          <cell r="AE449">
            <v>0</v>
          </cell>
          <cell r="AF449">
            <v>20250</v>
          </cell>
          <cell r="AG449" t="str">
            <v>C</v>
          </cell>
          <cell r="AH449" t="str">
            <v>ENGR. MICHAEL C. SALARDA
MS. LEONARDA M. LATOR
MS. CARMENCITA VALDEZ
MS. SORAYA P. VERGARA</v>
          </cell>
          <cell r="AI449" t="str">
            <v>N/A</v>
          </cell>
          <cell r="AJ449" t="str">
            <v>N/A</v>
          </cell>
          <cell r="AK449" t="str">
            <v>N/A</v>
          </cell>
          <cell r="AL449" t="str">
            <v>N/A</v>
          </cell>
          <cell r="AM449" t="str">
            <v>N/A</v>
          </cell>
          <cell r="AN449" t="str">
            <v>N/A</v>
          </cell>
          <cell r="AO449" t="str">
            <v>COMPLETED</v>
          </cell>
        </row>
        <row r="450">
          <cell r="A450" t="str">
            <v>24-1593</v>
          </cell>
          <cell r="B450" t="str">
            <v>FIRE EXTINGUISHER &amp; REFILL</v>
          </cell>
          <cell r="C450" t="str">
            <v>PGSO</v>
          </cell>
          <cell r="D450" t="str">
            <v>No</v>
          </cell>
          <cell r="E450" t="str">
            <v>NP-53.9 - Small Value Procurement</v>
          </cell>
          <cell r="F450">
            <v>45370</v>
          </cell>
          <cell r="G450">
            <v>45376</v>
          </cell>
          <cell r="H450">
            <v>0</v>
          </cell>
          <cell r="I450" t="str">
            <v>N/A</v>
          </cell>
          <cell r="J450">
            <v>45398</v>
          </cell>
          <cell r="K450">
            <v>45398</v>
          </cell>
          <cell r="L450">
            <v>0</v>
          </cell>
          <cell r="M450" t="str">
            <v>N/A</v>
          </cell>
          <cell r="N450" t="str">
            <v>N/A</v>
          </cell>
          <cell r="O450">
            <v>45405</v>
          </cell>
          <cell r="P450">
            <v>0</v>
          </cell>
          <cell r="Q450">
            <v>0</v>
          </cell>
          <cell r="R450">
            <v>0</v>
          </cell>
          <cell r="S450" t="str">
            <v>N/A</v>
          </cell>
          <cell r="T450">
            <v>45421</v>
          </cell>
          <cell r="U450">
            <v>45428</v>
          </cell>
          <cell r="V450">
            <v>0</v>
          </cell>
          <cell r="W450">
            <v>0</v>
          </cell>
          <cell r="X450">
            <v>45436</v>
          </cell>
          <cell r="Y450">
            <v>45436</v>
          </cell>
          <cell r="Z450">
            <v>0</v>
          </cell>
          <cell r="AA450">
            <v>42845</v>
          </cell>
          <cell r="AB450">
            <v>42845</v>
          </cell>
          <cell r="AC450">
            <v>0</v>
          </cell>
          <cell r="AD450">
            <v>42550</v>
          </cell>
          <cell r="AE450">
            <v>42550</v>
          </cell>
          <cell r="AF450">
            <v>0</v>
          </cell>
          <cell r="AG450" t="str">
            <v>M</v>
          </cell>
          <cell r="AH450" t="str">
            <v>ENGR. MICHAEL C. SALARDA
MS. LEONARDA M. LATOR
MS. CARMENCITA VALDEZ
MS. SORAYA P. VERGARA</v>
          </cell>
          <cell r="AI450" t="str">
            <v>N/A</v>
          </cell>
          <cell r="AJ450" t="str">
            <v>N/A</v>
          </cell>
          <cell r="AK450" t="str">
            <v>N/A</v>
          </cell>
          <cell r="AL450" t="str">
            <v>N/A</v>
          </cell>
          <cell r="AM450" t="str">
            <v>N/A</v>
          </cell>
          <cell r="AN450" t="str">
            <v>N/A</v>
          </cell>
          <cell r="AO450" t="str">
            <v>COMPLETED</v>
          </cell>
        </row>
        <row r="451">
          <cell r="A451" t="str">
            <v>24-1871</v>
          </cell>
          <cell r="B451" t="str">
            <v>JANITORIAL SUPPLIES/HOUSEKEEPING</v>
          </cell>
          <cell r="C451" t="str">
            <v>PGO</v>
          </cell>
          <cell r="D451" t="str">
            <v>No</v>
          </cell>
          <cell r="E451" t="str">
            <v>NP-53.9 - Small Value Procurement</v>
          </cell>
          <cell r="F451" t="str">
            <v>N/A</v>
          </cell>
          <cell r="G451">
            <v>45376</v>
          </cell>
          <cell r="H451">
            <v>0</v>
          </cell>
          <cell r="I451" t="str">
            <v>N/A</v>
          </cell>
          <cell r="J451">
            <v>45398</v>
          </cell>
          <cell r="K451">
            <v>45398</v>
          </cell>
          <cell r="L451">
            <v>0</v>
          </cell>
          <cell r="M451" t="str">
            <v>N/A</v>
          </cell>
          <cell r="N451" t="str">
            <v>N/A</v>
          </cell>
          <cell r="O451">
            <v>45405</v>
          </cell>
          <cell r="P451">
            <v>0</v>
          </cell>
          <cell r="Q451">
            <v>0</v>
          </cell>
          <cell r="R451">
            <v>0</v>
          </cell>
          <cell r="S451" t="str">
            <v>N/A</v>
          </cell>
          <cell r="T451">
            <v>45405</v>
          </cell>
          <cell r="U451">
            <v>45418</v>
          </cell>
          <cell r="V451">
            <v>0</v>
          </cell>
          <cell r="W451">
            <v>0</v>
          </cell>
          <cell r="X451">
            <v>45426</v>
          </cell>
          <cell r="Y451">
            <v>45426</v>
          </cell>
          <cell r="Z451">
            <v>0</v>
          </cell>
          <cell r="AA451">
            <v>25950</v>
          </cell>
          <cell r="AB451">
            <v>0</v>
          </cell>
          <cell r="AC451">
            <v>25950</v>
          </cell>
          <cell r="AD451">
            <v>25140</v>
          </cell>
          <cell r="AE451">
            <v>0</v>
          </cell>
          <cell r="AF451">
            <v>25140</v>
          </cell>
          <cell r="AG451" t="str">
            <v>C</v>
          </cell>
          <cell r="AH451" t="str">
            <v>ENGR. MICHAEL C. SALARDA
MS. LEONARDA M. LATOR
MS. CARMENCITA VALDEZ
MS. SORAYA P. VERGARA</v>
          </cell>
          <cell r="AI451" t="str">
            <v>N/A</v>
          </cell>
          <cell r="AJ451" t="str">
            <v>N/A</v>
          </cell>
          <cell r="AK451" t="str">
            <v>N/A</v>
          </cell>
          <cell r="AL451" t="str">
            <v>N/A</v>
          </cell>
          <cell r="AM451" t="str">
            <v>N/A</v>
          </cell>
          <cell r="AN451" t="str">
            <v>N/A</v>
          </cell>
          <cell r="AO451" t="str">
            <v>COMPLETED</v>
          </cell>
        </row>
        <row r="452">
          <cell r="A452" t="str">
            <v>24-2120</v>
          </cell>
          <cell r="B452" t="str">
            <v>BATTERY</v>
          </cell>
          <cell r="C452" t="str">
            <v>PENRO</v>
          </cell>
          <cell r="D452" t="str">
            <v>No</v>
          </cell>
          <cell r="E452" t="str">
            <v>NP-53.9 - Small Value Procurement</v>
          </cell>
          <cell r="F452" t="str">
            <v>N/A</v>
          </cell>
          <cell r="G452">
            <v>45384</v>
          </cell>
          <cell r="H452">
            <v>0</v>
          </cell>
          <cell r="I452" t="str">
            <v>N/A</v>
          </cell>
          <cell r="J452">
            <v>45398</v>
          </cell>
          <cell r="K452">
            <v>45398</v>
          </cell>
          <cell r="L452">
            <v>0</v>
          </cell>
          <cell r="M452" t="str">
            <v>N/A</v>
          </cell>
          <cell r="N452" t="str">
            <v>N/A</v>
          </cell>
          <cell r="O452">
            <v>45405</v>
          </cell>
          <cell r="P452">
            <v>0</v>
          </cell>
          <cell r="Q452">
            <v>0</v>
          </cell>
          <cell r="R452">
            <v>0</v>
          </cell>
          <cell r="S452" t="str">
            <v>N/A</v>
          </cell>
          <cell r="T452">
            <v>45405</v>
          </cell>
          <cell r="U452">
            <v>45422</v>
          </cell>
          <cell r="V452">
            <v>0</v>
          </cell>
          <cell r="W452">
            <v>0</v>
          </cell>
          <cell r="X452">
            <v>45439</v>
          </cell>
          <cell r="Y452">
            <v>45439</v>
          </cell>
          <cell r="Z452">
            <v>0</v>
          </cell>
          <cell r="AA452">
            <v>7800</v>
          </cell>
          <cell r="AB452">
            <v>7800</v>
          </cell>
          <cell r="AC452">
            <v>0</v>
          </cell>
          <cell r="AD452">
            <v>7788</v>
          </cell>
          <cell r="AE452">
            <v>7788</v>
          </cell>
          <cell r="AF452">
            <v>0</v>
          </cell>
          <cell r="AG452" t="str">
            <v>M</v>
          </cell>
          <cell r="AH452" t="str">
            <v>ENGR. MICHAEL C. SALARDA
MS. LEONARDA M. LATOR
MS. CARMENCITA VALDEZ
MS. SORAYA P. VERGARA</v>
          </cell>
          <cell r="AI452" t="str">
            <v>N/A</v>
          </cell>
          <cell r="AJ452" t="str">
            <v>N/A</v>
          </cell>
          <cell r="AK452" t="str">
            <v>N/A</v>
          </cell>
          <cell r="AL452" t="str">
            <v>N/A</v>
          </cell>
          <cell r="AM452" t="str">
            <v>N/A</v>
          </cell>
          <cell r="AN452" t="str">
            <v>N/A</v>
          </cell>
          <cell r="AO452" t="str">
            <v>COMPLETED</v>
          </cell>
        </row>
        <row r="453">
          <cell r="A453" t="str">
            <v>24-1472</v>
          </cell>
          <cell r="B453" t="str">
            <v>RICE, WELL MILLED</v>
          </cell>
          <cell r="C453" t="str">
            <v>PGO</v>
          </cell>
          <cell r="D453" t="str">
            <v>No</v>
          </cell>
          <cell r="E453" t="str">
            <v>NP-53.9 - Small Value Procurement</v>
          </cell>
          <cell r="F453">
            <v>45370</v>
          </cell>
          <cell r="G453">
            <v>45376</v>
          </cell>
          <cell r="H453">
            <v>0</v>
          </cell>
          <cell r="I453" t="str">
            <v>N/A</v>
          </cell>
          <cell r="J453">
            <v>45398</v>
          </cell>
          <cell r="K453">
            <v>45398</v>
          </cell>
          <cell r="L453">
            <v>0</v>
          </cell>
          <cell r="M453" t="str">
            <v>N/A</v>
          </cell>
          <cell r="N453" t="str">
            <v>N/A</v>
          </cell>
          <cell r="O453">
            <v>45405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45418</v>
          </cell>
          <cell r="U453">
            <v>45420</v>
          </cell>
          <cell r="V453">
            <v>0</v>
          </cell>
          <cell r="W453">
            <v>0</v>
          </cell>
          <cell r="X453">
            <v>45428</v>
          </cell>
          <cell r="Y453">
            <v>45428</v>
          </cell>
          <cell r="Z453">
            <v>0</v>
          </cell>
          <cell r="AA453">
            <v>128535</v>
          </cell>
          <cell r="AB453">
            <v>0</v>
          </cell>
          <cell r="AC453">
            <v>128535</v>
          </cell>
          <cell r="AD453">
            <v>127920</v>
          </cell>
          <cell r="AE453">
            <v>0</v>
          </cell>
          <cell r="AF453">
            <v>127920</v>
          </cell>
          <cell r="AG453" t="str">
            <v>C</v>
          </cell>
          <cell r="AH453" t="str">
            <v>ENGR. MICHAEL C. SALARDA
MS. LEONARDA M. LATOR
MS. CARMENCITA VALDEZ
MS. SORAYA P. VERGARA</v>
          </cell>
          <cell r="AI453" t="str">
            <v>N/A</v>
          </cell>
          <cell r="AJ453" t="str">
            <v>N/A</v>
          </cell>
          <cell r="AK453" t="str">
            <v>N/A</v>
          </cell>
          <cell r="AL453" t="str">
            <v>N/A</v>
          </cell>
          <cell r="AM453" t="str">
            <v>N/A</v>
          </cell>
          <cell r="AN453" t="str">
            <v>N/A</v>
          </cell>
          <cell r="AO453" t="str">
            <v>COMPLETED</v>
          </cell>
        </row>
        <row r="454">
          <cell r="A454" t="str">
            <v>24-1692</v>
          </cell>
          <cell r="B454" t="str">
            <v xml:space="preserve">MAGAZINE PRINTING </v>
          </cell>
          <cell r="C454" t="str">
            <v>PAO</v>
          </cell>
          <cell r="D454" t="str">
            <v>No</v>
          </cell>
          <cell r="E454" t="str">
            <v>NP-53.9 - Small Value Procurement</v>
          </cell>
          <cell r="F454" t="str">
            <v>N/A</v>
          </cell>
          <cell r="G454">
            <v>45385</v>
          </cell>
          <cell r="H454">
            <v>0</v>
          </cell>
          <cell r="I454" t="str">
            <v>N/A</v>
          </cell>
          <cell r="J454">
            <v>45398</v>
          </cell>
          <cell r="K454">
            <v>45398</v>
          </cell>
          <cell r="L454">
            <v>0</v>
          </cell>
          <cell r="M454" t="str">
            <v>N/A</v>
          </cell>
          <cell r="N454" t="str">
            <v>N/A</v>
          </cell>
          <cell r="O454">
            <v>45405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45411</v>
          </cell>
          <cell r="U454">
            <v>45434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120000</v>
          </cell>
          <cell r="AB454">
            <v>0</v>
          </cell>
          <cell r="AC454">
            <v>120000</v>
          </cell>
          <cell r="AD454">
            <v>112500</v>
          </cell>
          <cell r="AE454">
            <v>0</v>
          </cell>
          <cell r="AF454">
            <v>112500</v>
          </cell>
          <cell r="AG454" t="str">
            <v>C</v>
          </cell>
          <cell r="AH454" t="str">
            <v>ENGR. MICHAEL C. SALARDA
MS. LEONARDA M. LATOR
MS. CARMENCITA VALDEZ
MS. SORAYA P. VERGARA</v>
          </cell>
          <cell r="AI454" t="str">
            <v>N/A</v>
          </cell>
          <cell r="AJ454" t="str">
            <v>N/A</v>
          </cell>
          <cell r="AK454" t="str">
            <v>N/A</v>
          </cell>
          <cell r="AL454" t="str">
            <v>N/A</v>
          </cell>
          <cell r="AM454" t="str">
            <v>N/A</v>
          </cell>
          <cell r="AN454" t="str">
            <v>N/A</v>
          </cell>
          <cell r="AO454">
            <v>0</v>
          </cell>
        </row>
        <row r="455">
          <cell r="A455" t="str">
            <v>24-1699</v>
          </cell>
          <cell r="B455" t="str">
            <v>SPAREPARTS (MOTORCYCLE)</v>
          </cell>
          <cell r="C455" t="str">
            <v>PGSO</v>
          </cell>
          <cell r="D455" t="str">
            <v>No</v>
          </cell>
          <cell r="E455" t="str">
            <v>NP-53.9 - Small Value Procurement</v>
          </cell>
          <cell r="F455">
            <v>45370</v>
          </cell>
          <cell r="G455">
            <v>45376</v>
          </cell>
          <cell r="H455">
            <v>0</v>
          </cell>
          <cell r="I455" t="str">
            <v>N/A</v>
          </cell>
          <cell r="J455">
            <v>45398</v>
          </cell>
          <cell r="K455">
            <v>45398</v>
          </cell>
          <cell r="L455">
            <v>0</v>
          </cell>
          <cell r="M455" t="str">
            <v>N/A</v>
          </cell>
          <cell r="N455" t="str">
            <v>N/A</v>
          </cell>
          <cell r="O455">
            <v>45405</v>
          </cell>
          <cell r="P455">
            <v>0</v>
          </cell>
          <cell r="Q455">
            <v>0</v>
          </cell>
          <cell r="R455">
            <v>0</v>
          </cell>
          <cell r="S455" t="str">
            <v>N/A</v>
          </cell>
          <cell r="T455">
            <v>45407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4200</v>
          </cell>
          <cell r="AB455">
            <v>4200</v>
          </cell>
          <cell r="AC455">
            <v>0</v>
          </cell>
          <cell r="AD455">
            <v>4200</v>
          </cell>
          <cell r="AE455">
            <v>4200</v>
          </cell>
          <cell r="AF455">
            <v>0</v>
          </cell>
          <cell r="AG455" t="str">
            <v>M</v>
          </cell>
          <cell r="AH455" t="str">
            <v>ENGR. MICHAEL C. SALARDA
MS. LEONARDA M. LATOR
MS. CARMENCITA VALDEZ
MS. SORAYA P. VERGARA</v>
          </cell>
          <cell r="AI455" t="str">
            <v>N/A</v>
          </cell>
          <cell r="AJ455" t="str">
            <v>N/A</v>
          </cell>
          <cell r="AK455" t="str">
            <v>N/A</v>
          </cell>
          <cell r="AL455" t="str">
            <v>N/A</v>
          </cell>
          <cell r="AM455" t="str">
            <v>N/A</v>
          </cell>
          <cell r="AN455" t="str">
            <v>N/A</v>
          </cell>
          <cell r="AO455">
            <v>0</v>
          </cell>
        </row>
        <row r="456">
          <cell r="A456" t="str">
            <v>24-1278</v>
          </cell>
          <cell r="B456" t="str">
            <v>SPAREPARTS (MOTORCYCLE)</v>
          </cell>
          <cell r="C456" t="str">
            <v>PGSO</v>
          </cell>
          <cell r="D456" t="str">
            <v>No</v>
          </cell>
          <cell r="E456" t="str">
            <v>NP-53.9 - Small Value Procurement</v>
          </cell>
          <cell r="F456">
            <v>45370</v>
          </cell>
          <cell r="G456">
            <v>45376</v>
          </cell>
          <cell r="H456">
            <v>0</v>
          </cell>
          <cell r="I456" t="str">
            <v>N/A</v>
          </cell>
          <cell r="J456">
            <v>45398</v>
          </cell>
          <cell r="K456">
            <v>45398</v>
          </cell>
          <cell r="L456">
            <v>0</v>
          </cell>
          <cell r="M456" t="str">
            <v>N/A</v>
          </cell>
          <cell r="N456" t="str">
            <v>N/A</v>
          </cell>
          <cell r="O456">
            <v>45405</v>
          </cell>
          <cell r="P456">
            <v>0</v>
          </cell>
          <cell r="Q456">
            <v>0</v>
          </cell>
          <cell r="R456">
            <v>0</v>
          </cell>
          <cell r="S456" t="str">
            <v>N/A</v>
          </cell>
          <cell r="T456">
            <v>45407</v>
          </cell>
          <cell r="U456">
            <v>45435</v>
          </cell>
          <cell r="V456">
            <v>0</v>
          </cell>
          <cell r="W456">
            <v>0</v>
          </cell>
          <cell r="X456">
            <v>45463</v>
          </cell>
          <cell r="Y456">
            <v>45463</v>
          </cell>
          <cell r="Z456">
            <v>0</v>
          </cell>
          <cell r="AA456">
            <v>2280</v>
          </cell>
          <cell r="AB456">
            <v>2280</v>
          </cell>
          <cell r="AC456">
            <v>0</v>
          </cell>
          <cell r="AD456">
            <v>2280</v>
          </cell>
          <cell r="AE456">
            <v>2280</v>
          </cell>
          <cell r="AF456">
            <v>0</v>
          </cell>
          <cell r="AG456" t="str">
            <v>M</v>
          </cell>
          <cell r="AH456" t="str">
            <v>ENGR. MICHAEL C. SALARDA
MS. LEONARDA M. LATOR
MS. CARMENCITA VALDEZ
MS. SORAYA P. VERGARA</v>
          </cell>
          <cell r="AI456" t="str">
            <v>N/A</v>
          </cell>
          <cell r="AJ456" t="str">
            <v>N/A</v>
          </cell>
          <cell r="AK456" t="str">
            <v>N/A</v>
          </cell>
          <cell r="AL456" t="str">
            <v>N/A</v>
          </cell>
          <cell r="AM456" t="str">
            <v>N/A</v>
          </cell>
          <cell r="AN456" t="str">
            <v>N/A</v>
          </cell>
          <cell r="AO456" t="str">
            <v>COMPLETED</v>
          </cell>
        </row>
        <row r="457">
          <cell r="A457" t="str">
            <v>24-1581</v>
          </cell>
          <cell r="B457" t="str">
            <v>CELLOPHANE</v>
          </cell>
          <cell r="C457" t="str">
            <v>PGO</v>
          </cell>
          <cell r="D457" t="str">
            <v>No</v>
          </cell>
          <cell r="E457" t="str">
            <v>NP-53.9 - Small Value Procurement</v>
          </cell>
          <cell r="F457" t="str">
            <v>N/A</v>
          </cell>
          <cell r="G457">
            <v>45363</v>
          </cell>
          <cell r="H457">
            <v>0</v>
          </cell>
          <cell r="I457" t="str">
            <v>N/A</v>
          </cell>
          <cell r="J457">
            <v>45398</v>
          </cell>
          <cell r="K457">
            <v>45398</v>
          </cell>
          <cell r="L457">
            <v>0</v>
          </cell>
          <cell r="M457" t="str">
            <v>N/A</v>
          </cell>
          <cell r="N457" t="str">
            <v>N/A</v>
          </cell>
          <cell r="O457">
            <v>45405</v>
          </cell>
          <cell r="P457">
            <v>0</v>
          </cell>
          <cell r="Q457">
            <v>0</v>
          </cell>
          <cell r="R457">
            <v>0</v>
          </cell>
          <cell r="S457" t="str">
            <v>N/A</v>
          </cell>
          <cell r="T457">
            <v>45407</v>
          </cell>
          <cell r="U457">
            <v>45420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29000</v>
          </cell>
          <cell r="AB457">
            <v>0</v>
          </cell>
          <cell r="AC457">
            <v>29000</v>
          </cell>
          <cell r="AD457">
            <v>29000</v>
          </cell>
          <cell r="AE457">
            <v>0</v>
          </cell>
          <cell r="AF457">
            <v>29000</v>
          </cell>
          <cell r="AG457" t="str">
            <v>C</v>
          </cell>
          <cell r="AH457" t="str">
            <v>ENGR. MICHAEL C. SALARDA
MS. LEONARDA M. LATOR
MS. CARMENCITA VALDEZ
MS. SORAYA P. VERGARA</v>
          </cell>
          <cell r="AI457" t="str">
            <v>N/A</v>
          </cell>
          <cell r="AJ457" t="str">
            <v>N/A</v>
          </cell>
          <cell r="AK457" t="str">
            <v>N/A</v>
          </cell>
          <cell r="AL457" t="str">
            <v>N/A</v>
          </cell>
          <cell r="AM457" t="str">
            <v>N/A</v>
          </cell>
          <cell r="AN457" t="str">
            <v>N/A</v>
          </cell>
          <cell r="AO457">
            <v>0</v>
          </cell>
        </row>
        <row r="458">
          <cell r="A458" t="str">
            <v>24-1700</v>
          </cell>
          <cell r="B458" t="str">
            <v>COMPUTER KEYBOARD AND MOUSE</v>
          </cell>
          <cell r="C458" t="str">
            <v>PGO</v>
          </cell>
          <cell r="D458" t="str">
            <v>No</v>
          </cell>
          <cell r="E458" t="str">
            <v>NP-53.9 - Small Value Procurement</v>
          </cell>
          <cell r="F458" t="str">
            <v>N/A</v>
          </cell>
          <cell r="G458">
            <v>45376</v>
          </cell>
          <cell r="H458">
            <v>0</v>
          </cell>
          <cell r="I458" t="str">
            <v>N/A</v>
          </cell>
          <cell r="J458">
            <v>45398</v>
          </cell>
          <cell r="K458">
            <v>45398</v>
          </cell>
          <cell r="L458">
            <v>0</v>
          </cell>
          <cell r="M458" t="str">
            <v>N/A</v>
          </cell>
          <cell r="N458" t="str">
            <v>N/A</v>
          </cell>
          <cell r="O458">
            <v>45405</v>
          </cell>
          <cell r="P458">
            <v>0</v>
          </cell>
          <cell r="Q458">
            <v>0</v>
          </cell>
          <cell r="R458">
            <v>0</v>
          </cell>
          <cell r="S458" t="str">
            <v>N/A</v>
          </cell>
          <cell r="T458">
            <v>45407</v>
          </cell>
          <cell r="U458">
            <v>45418</v>
          </cell>
          <cell r="V458">
            <v>0</v>
          </cell>
          <cell r="W458">
            <v>0</v>
          </cell>
          <cell r="X458">
            <v>45427</v>
          </cell>
          <cell r="Y458">
            <v>45427</v>
          </cell>
          <cell r="Z458">
            <v>0</v>
          </cell>
          <cell r="AA458">
            <v>2894</v>
          </cell>
          <cell r="AB458">
            <v>0</v>
          </cell>
          <cell r="AC458">
            <v>2894</v>
          </cell>
          <cell r="AD458">
            <v>2790</v>
          </cell>
          <cell r="AE458">
            <v>0</v>
          </cell>
          <cell r="AF458">
            <v>2790</v>
          </cell>
          <cell r="AG458" t="str">
            <v>C</v>
          </cell>
          <cell r="AH458" t="str">
            <v>ENGR. MICHAEL C. SALARDA
MS. LEONARDA M. LATOR
MS. CARMENCITA VALDEZ
MS. SORAYA P. VERGARA</v>
          </cell>
          <cell r="AI458" t="str">
            <v>N/A</v>
          </cell>
          <cell r="AJ458" t="str">
            <v>N/A</v>
          </cell>
          <cell r="AK458" t="str">
            <v>N/A</v>
          </cell>
          <cell r="AL458" t="str">
            <v>N/A</v>
          </cell>
          <cell r="AM458" t="str">
            <v>N/A</v>
          </cell>
          <cell r="AN458" t="str">
            <v>N/A</v>
          </cell>
          <cell r="AO458" t="str">
            <v>COMPLETED</v>
          </cell>
        </row>
        <row r="459">
          <cell r="A459" t="str">
            <v>24-1280</v>
          </cell>
          <cell r="B459" t="str">
            <v>SPAREPARTS (MOTORCYCLE)</v>
          </cell>
          <cell r="C459" t="str">
            <v>PGSO</v>
          </cell>
          <cell r="D459" t="str">
            <v>No</v>
          </cell>
          <cell r="E459" t="str">
            <v>NP-53.9 - Small Value Procurement</v>
          </cell>
          <cell r="F459">
            <v>45370</v>
          </cell>
          <cell r="G459">
            <v>45376</v>
          </cell>
          <cell r="H459">
            <v>0</v>
          </cell>
          <cell r="I459" t="str">
            <v>N/A</v>
          </cell>
          <cell r="J459">
            <v>45398</v>
          </cell>
          <cell r="K459">
            <v>45398</v>
          </cell>
          <cell r="L459">
            <v>0</v>
          </cell>
          <cell r="M459" t="str">
            <v>N/A</v>
          </cell>
          <cell r="N459" t="str">
            <v>N/A</v>
          </cell>
          <cell r="O459">
            <v>45405</v>
          </cell>
          <cell r="P459">
            <v>0</v>
          </cell>
          <cell r="Q459">
            <v>0</v>
          </cell>
          <cell r="R459">
            <v>0</v>
          </cell>
          <cell r="S459" t="str">
            <v>N/A</v>
          </cell>
          <cell r="T459">
            <v>45407</v>
          </cell>
          <cell r="U459">
            <v>45435</v>
          </cell>
          <cell r="V459">
            <v>0</v>
          </cell>
          <cell r="W459">
            <v>0</v>
          </cell>
          <cell r="X459">
            <v>45463</v>
          </cell>
          <cell r="Y459">
            <v>45463</v>
          </cell>
          <cell r="Z459">
            <v>0</v>
          </cell>
          <cell r="AA459">
            <v>9480</v>
          </cell>
          <cell r="AB459">
            <v>9480</v>
          </cell>
          <cell r="AC459">
            <v>0</v>
          </cell>
          <cell r="AD459">
            <v>9480</v>
          </cell>
          <cell r="AE459">
            <v>9480</v>
          </cell>
          <cell r="AF459">
            <v>0</v>
          </cell>
          <cell r="AG459" t="str">
            <v>M</v>
          </cell>
          <cell r="AH459" t="str">
            <v>ENGR. MICHAEL C. SALARDA
MS. LEONARDA M. LATOR
MS. CARMENCITA VALDEZ
MS. SORAYA P. VERGARA</v>
          </cell>
          <cell r="AI459" t="str">
            <v>N/A</v>
          </cell>
          <cell r="AJ459" t="str">
            <v>N/A</v>
          </cell>
          <cell r="AK459" t="str">
            <v>N/A</v>
          </cell>
          <cell r="AL459" t="str">
            <v>N/A</v>
          </cell>
          <cell r="AM459" t="str">
            <v>N/A</v>
          </cell>
          <cell r="AN459" t="str">
            <v>N/A</v>
          </cell>
          <cell r="AO459" t="str">
            <v>COMPLETED</v>
          </cell>
        </row>
        <row r="460">
          <cell r="A460" t="str">
            <v>24-2093</v>
          </cell>
          <cell r="B460" t="str">
            <v>COLORED PRINTER W/ SCANNER</v>
          </cell>
          <cell r="C460" t="str">
            <v>PGO</v>
          </cell>
          <cell r="D460" t="str">
            <v>No</v>
          </cell>
          <cell r="E460" t="str">
            <v>NP-53.9 - Small Value Procurement</v>
          </cell>
          <cell r="F460" t="str">
            <v>N/A</v>
          </cell>
          <cell r="G460">
            <v>45384</v>
          </cell>
          <cell r="H460">
            <v>0</v>
          </cell>
          <cell r="I460" t="str">
            <v>N/A</v>
          </cell>
          <cell r="J460">
            <v>45398</v>
          </cell>
          <cell r="K460">
            <v>45398</v>
          </cell>
          <cell r="L460">
            <v>0</v>
          </cell>
          <cell r="M460" t="str">
            <v>N/A</v>
          </cell>
          <cell r="N460" t="str">
            <v>N/A</v>
          </cell>
          <cell r="O460">
            <v>45405</v>
          </cell>
          <cell r="P460">
            <v>0</v>
          </cell>
          <cell r="Q460">
            <v>0</v>
          </cell>
          <cell r="R460">
            <v>0</v>
          </cell>
          <cell r="S460" t="str">
            <v>N/A</v>
          </cell>
          <cell r="T460">
            <v>45407</v>
          </cell>
          <cell r="U460">
            <v>45418</v>
          </cell>
          <cell r="V460">
            <v>0</v>
          </cell>
          <cell r="W460">
            <v>0</v>
          </cell>
          <cell r="X460">
            <v>45427</v>
          </cell>
          <cell r="Y460">
            <v>45427</v>
          </cell>
          <cell r="Z460">
            <v>0</v>
          </cell>
          <cell r="AA460">
            <v>14500</v>
          </cell>
          <cell r="AB460">
            <v>0</v>
          </cell>
          <cell r="AC460">
            <v>14500</v>
          </cell>
          <cell r="AD460">
            <v>14500</v>
          </cell>
          <cell r="AE460">
            <v>0</v>
          </cell>
          <cell r="AF460">
            <v>14500</v>
          </cell>
          <cell r="AG460" t="str">
            <v>C</v>
          </cell>
          <cell r="AH460" t="str">
            <v>ENGR. MICHAEL C. SALARDA
MS. LEONARDA M. LATOR
MS. CARMENCITA VALDEZ
MS. SORAYA P. VERGARA</v>
          </cell>
          <cell r="AI460" t="str">
            <v>N/A</v>
          </cell>
          <cell r="AJ460" t="str">
            <v>N/A</v>
          </cell>
          <cell r="AK460" t="str">
            <v>N/A</v>
          </cell>
          <cell r="AL460" t="str">
            <v>N/A</v>
          </cell>
          <cell r="AM460" t="str">
            <v>N/A</v>
          </cell>
          <cell r="AN460" t="str">
            <v>N/A</v>
          </cell>
          <cell r="AO460" t="str">
            <v>COMPLETED</v>
          </cell>
        </row>
        <row r="461">
          <cell r="A461" t="str">
            <v>24-0890</v>
          </cell>
          <cell r="B461" t="str">
            <v>OFFICE CHAIR W/ ARMS</v>
          </cell>
          <cell r="C461" t="str">
            <v>PLO</v>
          </cell>
          <cell r="D461" t="str">
            <v>No</v>
          </cell>
          <cell r="E461" t="str">
            <v>NP-53.9 - Small Value Procurement</v>
          </cell>
          <cell r="F461" t="str">
            <v>N/A</v>
          </cell>
          <cell r="G461">
            <v>45359</v>
          </cell>
          <cell r="H461">
            <v>0</v>
          </cell>
          <cell r="I461" t="str">
            <v>N/A</v>
          </cell>
          <cell r="J461">
            <v>45398</v>
          </cell>
          <cell r="K461">
            <v>45398</v>
          </cell>
          <cell r="L461">
            <v>0</v>
          </cell>
          <cell r="M461" t="str">
            <v>N/A</v>
          </cell>
          <cell r="N461" t="str">
            <v>N/A</v>
          </cell>
          <cell r="O461">
            <v>45405</v>
          </cell>
          <cell r="P461">
            <v>0</v>
          </cell>
          <cell r="Q461">
            <v>0</v>
          </cell>
          <cell r="R461">
            <v>0</v>
          </cell>
          <cell r="S461" t="str">
            <v>N/A</v>
          </cell>
          <cell r="T461">
            <v>45407</v>
          </cell>
          <cell r="U461">
            <v>45426</v>
          </cell>
          <cell r="V461">
            <v>0</v>
          </cell>
          <cell r="W461">
            <v>0</v>
          </cell>
          <cell r="X461">
            <v>45432</v>
          </cell>
          <cell r="Y461">
            <v>45432</v>
          </cell>
          <cell r="Z461">
            <v>0</v>
          </cell>
          <cell r="AA461">
            <v>4400</v>
          </cell>
          <cell r="AB461">
            <v>4400</v>
          </cell>
          <cell r="AC461">
            <v>0</v>
          </cell>
          <cell r="AD461">
            <v>4250</v>
          </cell>
          <cell r="AE461">
            <v>4250</v>
          </cell>
          <cell r="AF461">
            <v>0</v>
          </cell>
          <cell r="AG461" t="str">
            <v>M</v>
          </cell>
          <cell r="AH461" t="str">
            <v>ENGR. MICHAEL C. SALARDA
MS. LEONARDA M. LATOR
MS. CARMENCITA VALDEZ
MS. SORAYA P. VERGARA</v>
          </cell>
          <cell r="AI461" t="str">
            <v>N/A</v>
          </cell>
          <cell r="AJ461" t="str">
            <v>N/A</v>
          </cell>
          <cell r="AK461" t="str">
            <v>N/A</v>
          </cell>
          <cell r="AL461" t="str">
            <v>N/A</v>
          </cell>
          <cell r="AM461" t="str">
            <v>N/A</v>
          </cell>
          <cell r="AN461" t="str">
            <v>N/A</v>
          </cell>
          <cell r="AO461" t="str">
            <v>COMPLETED</v>
          </cell>
        </row>
        <row r="462">
          <cell r="A462" t="str">
            <v>24-1265</v>
          </cell>
          <cell r="B462" t="str">
            <v>MEDICAL KIT</v>
          </cell>
          <cell r="C462" t="str">
            <v>SEF</v>
          </cell>
          <cell r="D462" t="str">
            <v>No</v>
          </cell>
          <cell r="E462" t="str">
            <v>NP-53.9 - Small Value Procurement</v>
          </cell>
          <cell r="F462">
            <v>45373</v>
          </cell>
          <cell r="G462">
            <v>45384</v>
          </cell>
          <cell r="H462">
            <v>0</v>
          </cell>
          <cell r="I462" t="str">
            <v>N/A</v>
          </cell>
          <cell r="J462">
            <v>45398</v>
          </cell>
          <cell r="K462">
            <v>45398</v>
          </cell>
          <cell r="L462">
            <v>0</v>
          </cell>
          <cell r="M462" t="str">
            <v>N/A</v>
          </cell>
          <cell r="N462" t="str">
            <v>N/A</v>
          </cell>
          <cell r="O462">
            <v>45405</v>
          </cell>
          <cell r="P462">
            <v>0</v>
          </cell>
          <cell r="Q462">
            <v>0</v>
          </cell>
          <cell r="R462">
            <v>0</v>
          </cell>
          <cell r="S462" t="str">
            <v>N/A</v>
          </cell>
          <cell r="T462">
            <v>45407</v>
          </cell>
          <cell r="U462">
            <v>45435</v>
          </cell>
          <cell r="V462">
            <v>0</v>
          </cell>
          <cell r="W462">
            <v>0</v>
          </cell>
          <cell r="X462">
            <v>45449</v>
          </cell>
          <cell r="Y462">
            <v>45449</v>
          </cell>
          <cell r="Z462">
            <v>0</v>
          </cell>
          <cell r="AA462">
            <v>1925</v>
          </cell>
          <cell r="AB462">
            <v>0</v>
          </cell>
          <cell r="AC462">
            <v>1925</v>
          </cell>
          <cell r="AD462">
            <v>1925</v>
          </cell>
          <cell r="AE462">
            <v>0</v>
          </cell>
          <cell r="AF462">
            <v>1925</v>
          </cell>
          <cell r="AG462" t="str">
            <v>C</v>
          </cell>
          <cell r="AH462" t="str">
            <v>ENGR. MICHAEL C. SALARDA
MS. LEONARDA M. LATOR
MS. CARMENCITA VALDEZ
MS. SORAYA P. VERGARA</v>
          </cell>
          <cell r="AI462" t="str">
            <v>N/A</v>
          </cell>
          <cell r="AJ462" t="str">
            <v>N/A</v>
          </cell>
          <cell r="AK462" t="str">
            <v>N/A</v>
          </cell>
          <cell r="AL462" t="str">
            <v>N/A</v>
          </cell>
          <cell r="AM462" t="str">
            <v>N/A</v>
          </cell>
          <cell r="AN462" t="str">
            <v>N/A</v>
          </cell>
          <cell r="AO462" t="str">
            <v>COMPLETED</v>
          </cell>
        </row>
        <row r="463">
          <cell r="A463" t="str">
            <v>24-2080</v>
          </cell>
          <cell r="B463" t="str">
            <v>PLAQUES/TROPHIES/MEDAL</v>
          </cell>
          <cell r="C463" t="str">
            <v>PHRMDO</v>
          </cell>
          <cell r="D463" t="str">
            <v>No</v>
          </cell>
          <cell r="E463" t="str">
            <v>NP-53.9 - Small Value Procurement</v>
          </cell>
          <cell r="F463" t="str">
            <v>N/A</v>
          </cell>
          <cell r="G463">
            <v>45376</v>
          </cell>
          <cell r="H463">
            <v>0</v>
          </cell>
          <cell r="I463" t="str">
            <v>N/A</v>
          </cell>
          <cell r="J463">
            <v>45398</v>
          </cell>
          <cell r="K463">
            <v>45398</v>
          </cell>
          <cell r="L463">
            <v>0</v>
          </cell>
          <cell r="M463" t="str">
            <v>N/A</v>
          </cell>
          <cell r="N463" t="str">
            <v>N/A</v>
          </cell>
          <cell r="O463">
            <v>45405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45429</v>
          </cell>
          <cell r="U463">
            <v>45433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146050</v>
          </cell>
          <cell r="AB463">
            <v>0</v>
          </cell>
          <cell r="AC463">
            <v>146050</v>
          </cell>
          <cell r="AD463">
            <v>146050</v>
          </cell>
          <cell r="AE463">
            <v>0</v>
          </cell>
          <cell r="AF463">
            <v>146050</v>
          </cell>
          <cell r="AG463" t="str">
            <v>C</v>
          </cell>
          <cell r="AH463" t="str">
            <v>ENGR. MICHAEL C. SALARDA
MS. LEONARDA M. LATOR
MS. CARMENCITA VALDEZ
MS. SORAYA P. VERGARA</v>
          </cell>
          <cell r="AI463" t="str">
            <v>N/A</v>
          </cell>
          <cell r="AJ463" t="str">
            <v>N/A</v>
          </cell>
          <cell r="AK463" t="str">
            <v>N/A</v>
          </cell>
          <cell r="AL463" t="str">
            <v>N/A</v>
          </cell>
          <cell r="AM463" t="str">
            <v>N/A</v>
          </cell>
          <cell r="AN463" t="str">
            <v>N/A</v>
          </cell>
          <cell r="AO463">
            <v>0</v>
          </cell>
        </row>
        <row r="464">
          <cell r="A464" t="str">
            <v>24-0516</v>
          </cell>
          <cell r="B464" t="str">
            <v>LAPTOP BAG</v>
          </cell>
          <cell r="C464" t="str">
            <v>PDRRMO</v>
          </cell>
          <cell r="D464" t="str">
            <v>No</v>
          </cell>
          <cell r="E464" t="str">
            <v>NP-53.9 - Small Value Procurement</v>
          </cell>
          <cell r="F464" t="str">
            <v>N/A</v>
          </cell>
          <cell r="G464">
            <v>45376</v>
          </cell>
          <cell r="H464">
            <v>0</v>
          </cell>
          <cell r="I464" t="str">
            <v>N/A</v>
          </cell>
          <cell r="J464">
            <v>45398</v>
          </cell>
          <cell r="K464">
            <v>45398</v>
          </cell>
          <cell r="L464">
            <v>0</v>
          </cell>
          <cell r="M464" t="str">
            <v>N/A</v>
          </cell>
          <cell r="N464" t="str">
            <v>N/A</v>
          </cell>
          <cell r="O464">
            <v>45405</v>
          </cell>
          <cell r="P464">
            <v>0</v>
          </cell>
          <cell r="Q464">
            <v>0</v>
          </cell>
          <cell r="R464">
            <v>0</v>
          </cell>
          <cell r="S464" t="str">
            <v>N/A</v>
          </cell>
          <cell r="T464">
            <v>45407</v>
          </cell>
          <cell r="U464">
            <v>45420</v>
          </cell>
          <cell r="V464">
            <v>0</v>
          </cell>
          <cell r="W464">
            <v>0</v>
          </cell>
          <cell r="X464">
            <v>45443</v>
          </cell>
          <cell r="Y464">
            <v>45443</v>
          </cell>
          <cell r="Z464">
            <v>0</v>
          </cell>
          <cell r="AA464">
            <v>2500</v>
          </cell>
          <cell r="AB464">
            <v>0</v>
          </cell>
          <cell r="AC464">
            <v>2500</v>
          </cell>
          <cell r="AD464">
            <v>2500</v>
          </cell>
          <cell r="AE464">
            <v>0</v>
          </cell>
          <cell r="AF464">
            <v>2500</v>
          </cell>
          <cell r="AG464" t="str">
            <v>C</v>
          </cell>
          <cell r="AH464" t="str">
            <v>ENGR. MICHAEL C. SALARDA
MS. LEONARDA M. LATOR
MS. CARMENCITA VALDEZ
MS. SORAYA P. VERGARA</v>
          </cell>
          <cell r="AI464" t="str">
            <v>N/A</v>
          </cell>
          <cell r="AJ464" t="str">
            <v>N/A</v>
          </cell>
          <cell r="AK464" t="str">
            <v>N/A</v>
          </cell>
          <cell r="AL464" t="str">
            <v>N/A</v>
          </cell>
          <cell r="AM464" t="str">
            <v>N/A</v>
          </cell>
          <cell r="AN464" t="str">
            <v>N/A</v>
          </cell>
          <cell r="AO464" t="str">
            <v>COMPLETED</v>
          </cell>
        </row>
        <row r="465">
          <cell r="A465" t="str">
            <v>24-1564</v>
          </cell>
          <cell r="B465" t="str">
            <v>SPAREPARTS (MOTORCYCLE)</v>
          </cell>
          <cell r="C465" t="str">
            <v>PGSO</v>
          </cell>
          <cell r="D465" t="str">
            <v>No</v>
          </cell>
          <cell r="E465" t="str">
            <v>NP-53.9 - Small Value Procurement</v>
          </cell>
          <cell r="F465">
            <v>45370</v>
          </cell>
          <cell r="G465">
            <v>45376</v>
          </cell>
          <cell r="H465">
            <v>0</v>
          </cell>
          <cell r="I465" t="str">
            <v>N/A</v>
          </cell>
          <cell r="J465">
            <v>45398</v>
          </cell>
          <cell r="K465">
            <v>45398</v>
          </cell>
          <cell r="L465">
            <v>0</v>
          </cell>
          <cell r="M465" t="str">
            <v>N/A</v>
          </cell>
          <cell r="N465" t="str">
            <v>N/A</v>
          </cell>
          <cell r="O465">
            <v>45405</v>
          </cell>
          <cell r="P465">
            <v>0</v>
          </cell>
          <cell r="Q465">
            <v>0</v>
          </cell>
          <cell r="R465">
            <v>0</v>
          </cell>
          <cell r="S465" t="str">
            <v>N/A</v>
          </cell>
          <cell r="T465">
            <v>45407</v>
          </cell>
          <cell r="U465">
            <v>45435</v>
          </cell>
          <cell r="V465">
            <v>0</v>
          </cell>
          <cell r="W465">
            <v>0</v>
          </cell>
          <cell r="X465">
            <v>45440</v>
          </cell>
          <cell r="Y465">
            <v>45440</v>
          </cell>
          <cell r="Z465">
            <v>0</v>
          </cell>
          <cell r="AA465">
            <v>8400</v>
          </cell>
          <cell r="AB465">
            <v>8400</v>
          </cell>
          <cell r="AC465">
            <v>0</v>
          </cell>
          <cell r="AD465">
            <v>8400</v>
          </cell>
          <cell r="AE465">
            <v>8400</v>
          </cell>
          <cell r="AF465">
            <v>0</v>
          </cell>
          <cell r="AG465" t="str">
            <v>M</v>
          </cell>
          <cell r="AH465" t="str">
            <v>ENGR. MICHAEL C. SALARDA
MS. LEONARDA M. LATOR
MS. CARMENCITA VALDEZ
MS. SORAYA P. VERGARA</v>
          </cell>
          <cell r="AI465" t="str">
            <v>N/A</v>
          </cell>
          <cell r="AJ465" t="str">
            <v>N/A</v>
          </cell>
          <cell r="AK465" t="str">
            <v>N/A</v>
          </cell>
          <cell r="AL465" t="str">
            <v>N/A</v>
          </cell>
          <cell r="AM465" t="str">
            <v>N/A</v>
          </cell>
          <cell r="AN465" t="str">
            <v>N/A</v>
          </cell>
          <cell r="AO465" t="str">
            <v>COMPLETED</v>
          </cell>
        </row>
        <row r="466">
          <cell r="A466" t="str">
            <v>24-2048</v>
          </cell>
          <cell r="B466" t="str">
            <v>OIL FOR GRASS CUTTER</v>
          </cell>
          <cell r="C466" t="str">
            <v>PVO</v>
          </cell>
          <cell r="D466" t="str">
            <v>No</v>
          </cell>
          <cell r="E466" t="str">
            <v>NP-53.9 - Small Value Procurement</v>
          </cell>
          <cell r="F466" t="str">
            <v>N/A</v>
          </cell>
          <cell r="G466">
            <v>45376</v>
          </cell>
          <cell r="H466">
            <v>0</v>
          </cell>
          <cell r="I466" t="str">
            <v>N/A</v>
          </cell>
          <cell r="J466">
            <v>45398</v>
          </cell>
          <cell r="K466">
            <v>45398</v>
          </cell>
          <cell r="L466">
            <v>0</v>
          </cell>
          <cell r="M466" t="str">
            <v>N/A</v>
          </cell>
          <cell r="N466" t="str">
            <v>N/A</v>
          </cell>
          <cell r="O466">
            <v>45405</v>
          </cell>
          <cell r="P466">
            <v>0</v>
          </cell>
          <cell r="Q466">
            <v>0</v>
          </cell>
          <cell r="R466">
            <v>0</v>
          </cell>
          <cell r="S466" t="str">
            <v>N/A</v>
          </cell>
          <cell r="T466">
            <v>45407</v>
          </cell>
          <cell r="U466">
            <v>45422</v>
          </cell>
          <cell r="V466">
            <v>0</v>
          </cell>
          <cell r="W466">
            <v>0</v>
          </cell>
          <cell r="X466">
            <v>45433</v>
          </cell>
          <cell r="Y466">
            <v>45433</v>
          </cell>
          <cell r="Z466">
            <v>0</v>
          </cell>
          <cell r="AA466">
            <v>5200</v>
          </cell>
          <cell r="AB466">
            <v>5200</v>
          </cell>
          <cell r="AC466">
            <v>0</v>
          </cell>
          <cell r="AD466">
            <v>5150</v>
          </cell>
          <cell r="AE466">
            <v>5150</v>
          </cell>
          <cell r="AF466">
            <v>0</v>
          </cell>
          <cell r="AG466" t="str">
            <v>M</v>
          </cell>
          <cell r="AH466" t="str">
            <v>ENGR. MICHAEL C. SALARDA
MS. LEONARDA M. LATOR
MS. CARMENCITA VALDEZ
MS. SORAYA P. VERGARA</v>
          </cell>
          <cell r="AI466" t="str">
            <v>N/A</v>
          </cell>
          <cell r="AJ466" t="str">
            <v>N/A</v>
          </cell>
          <cell r="AK466" t="str">
            <v>N/A</v>
          </cell>
          <cell r="AL466" t="str">
            <v>N/A</v>
          </cell>
          <cell r="AM466" t="str">
            <v>N/A</v>
          </cell>
          <cell r="AN466" t="str">
            <v>N/A</v>
          </cell>
          <cell r="AO466" t="str">
            <v>COMPLETED</v>
          </cell>
        </row>
        <row r="467">
          <cell r="A467" t="str">
            <v>24-1565</v>
          </cell>
          <cell r="B467" t="str">
            <v>SPAREPARTS (MOTORCYCLE)</v>
          </cell>
          <cell r="C467" t="str">
            <v>PGSO</v>
          </cell>
          <cell r="D467" t="str">
            <v>No</v>
          </cell>
          <cell r="E467" t="str">
            <v>NP-53.9 - Small Value Procurement</v>
          </cell>
          <cell r="F467">
            <v>45370</v>
          </cell>
          <cell r="G467">
            <v>45376</v>
          </cell>
          <cell r="H467">
            <v>0</v>
          </cell>
          <cell r="I467" t="str">
            <v>N/A</v>
          </cell>
          <cell r="J467">
            <v>45398</v>
          </cell>
          <cell r="K467">
            <v>45398</v>
          </cell>
          <cell r="L467">
            <v>0</v>
          </cell>
          <cell r="M467" t="str">
            <v>N/A</v>
          </cell>
          <cell r="N467" t="str">
            <v>N/A</v>
          </cell>
          <cell r="O467">
            <v>45405</v>
          </cell>
          <cell r="P467">
            <v>0</v>
          </cell>
          <cell r="Q467">
            <v>0</v>
          </cell>
          <cell r="R467">
            <v>0</v>
          </cell>
          <cell r="S467" t="str">
            <v>N/A</v>
          </cell>
          <cell r="T467">
            <v>45407</v>
          </cell>
          <cell r="U467">
            <v>45435</v>
          </cell>
          <cell r="V467">
            <v>0</v>
          </cell>
          <cell r="W467">
            <v>0</v>
          </cell>
          <cell r="X467">
            <v>45448</v>
          </cell>
          <cell r="Y467">
            <v>45448</v>
          </cell>
          <cell r="Z467">
            <v>0</v>
          </cell>
          <cell r="AA467">
            <v>18570</v>
          </cell>
          <cell r="AB467">
            <v>18570</v>
          </cell>
          <cell r="AC467">
            <v>0</v>
          </cell>
          <cell r="AD467">
            <v>18570</v>
          </cell>
          <cell r="AE467">
            <v>18570</v>
          </cell>
          <cell r="AF467">
            <v>0</v>
          </cell>
          <cell r="AG467" t="str">
            <v>M</v>
          </cell>
          <cell r="AH467" t="str">
            <v>ENGR. MICHAEL C. SALARDA
MS. LEONARDA M. LATOR
MS. CARMENCITA VALDEZ
MS. SORAYA P. VERGARA</v>
          </cell>
          <cell r="AI467" t="str">
            <v>N/A</v>
          </cell>
          <cell r="AJ467" t="str">
            <v>N/A</v>
          </cell>
          <cell r="AK467" t="str">
            <v>N/A</v>
          </cell>
          <cell r="AL467" t="str">
            <v>N/A</v>
          </cell>
          <cell r="AM467" t="str">
            <v>N/A</v>
          </cell>
          <cell r="AN467" t="str">
            <v>N/A</v>
          </cell>
          <cell r="AO467" t="str">
            <v>COMPLETED</v>
          </cell>
        </row>
        <row r="468">
          <cell r="A468" t="str">
            <v>24-1535</v>
          </cell>
          <cell r="B468" t="str">
            <v>CASING, SELF INKING STAMP</v>
          </cell>
          <cell r="C468" t="str">
            <v>PAO</v>
          </cell>
          <cell r="D468" t="str">
            <v>No</v>
          </cell>
          <cell r="E468" t="str">
            <v>NP-53.9 - Small Value Procurement</v>
          </cell>
          <cell r="F468" t="str">
            <v>N/A</v>
          </cell>
          <cell r="G468">
            <v>45384</v>
          </cell>
          <cell r="H468">
            <v>0</v>
          </cell>
          <cell r="I468" t="str">
            <v>N/A</v>
          </cell>
          <cell r="J468">
            <v>45398</v>
          </cell>
          <cell r="K468">
            <v>45398</v>
          </cell>
          <cell r="L468">
            <v>0</v>
          </cell>
          <cell r="M468" t="str">
            <v>N/A</v>
          </cell>
          <cell r="N468" t="str">
            <v>N/A</v>
          </cell>
          <cell r="O468">
            <v>45405</v>
          </cell>
          <cell r="P468">
            <v>0</v>
          </cell>
          <cell r="Q468">
            <v>0</v>
          </cell>
          <cell r="R468">
            <v>0</v>
          </cell>
          <cell r="S468" t="str">
            <v>N/A</v>
          </cell>
          <cell r="T468">
            <v>45407</v>
          </cell>
          <cell r="U468">
            <v>45420</v>
          </cell>
          <cell r="V468">
            <v>0</v>
          </cell>
          <cell r="W468">
            <v>0</v>
          </cell>
          <cell r="X468">
            <v>45428</v>
          </cell>
          <cell r="Y468">
            <v>45428</v>
          </cell>
          <cell r="Z468">
            <v>0</v>
          </cell>
          <cell r="AA468">
            <v>4136</v>
          </cell>
          <cell r="AB468">
            <v>4136</v>
          </cell>
          <cell r="AC468">
            <v>0</v>
          </cell>
          <cell r="AD468">
            <v>4136</v>
          </cell>
          <cell r="AE468">
            <v>4136</v>
          </cell>
          <cell r="AF468">
            <v>0</v>
          </cell>
          <cell r="AG468" t="str">
            <v>M</v>
          </cell>
          <cell r="AH468" t="str">
            <v>ENGR. MICHAEL C. SALARDA
MS. LEONARDA M. LATOR
MS. CARMENCITA VALDEZ
MS. SORAYA P. VERGARA</v>
          </cell>
          <cell r="AI468" t="str">
            <v>N/A</v>
          </cell>
          <cell r="AJ468" t="str">
            <v>N/A</v>
          </cell>
          <cell r="AK468" t="str">
            <v>N/A</v>
          </cell>
          <cell r="AL468" t="str">
            <v>N/A</v>
          </cell>
          <cell r="AM468" t="str">
            <v>N/A</v>
          </cell>
          <cell r="AN468" t="str">
            <v>N/A</v>
          </cell>
          <cell r="AO468" t="str">
            <v>COMPLETED</v>
          </cell>
        </row>
        <row r="469">
          <cell r="A469" t="str">
            <v>24-0249</v>
          </cell>
          <cell r="B469" t="str">
            <v>JOB ORDER (BOOKBINDING)</v>
          </cell>
          <cell r="C469" t="str">
            <v>PAO</v>
          </cell>
          <cell r="D469" t="str">
            <v>No</v>
          </cell>
          <cell r="E469" t="str">
            <v>NP-53.9 - Small Value Procurement</v>
          </cell>
          <cell r="F469" t="str">
            <v>N/A</v>
          </cell>
          <cell r="G469">
            <v>45363</v>
          </cell>
          <cell r="H469">
            <v>0</v>
          </cell>
          <cell r="I469" t="str">
            <v>N/A</v>
          </cell>
          <cell r="J469">
            <v>45398</v>
          </cell>
          <cell r="K469">
            <v>45398</v>
          </cell>
          <cell r="L469">
            <v>0</v>
          </cell>
          <cell r="M469" t="str">
            <v>N/A</v>
          </cell>
          <cell r="N469" t="str">
            <v>N/A</v>
          </cell>
          <cell r="O469">
            <v>45405</v>
          </cell>
          <cell r="P469">
            <v>0</v>
          </cell>
          <cell r="Q469">
            <v>0</v>
          </cell>
          <cell r="R469">
            <v>0</v>
          </cell>
          <cell r="S469" t="str">
            <v>N/A</v>
          </cell>
          <cell r="T469">
            <v>45407</v>
          </cell>
          <cell r="U469">
            <v>45420</v>
          </cell>
          <cell r="V469">
            <v>0</v>
          </cell>
          <cell r="W469">
            <v>0</v>
          </cell>
          <cell r="X469">
            <v>45471</v>
          </cell>
          <cell r="Y469">
            <v>45471</v>
          </cell>
          <cell r="Z469">
            <v>0</v>
          </cell>
          <cell r="AA469">
            <v>10000</v>
          </cell>
          <cell r="AB469">
            <v>10000</v>
          </cell>
          <cell r="AC469">
            <v>0</v>
          </cell>
          <cell r="AD469">
            <v>10000</v>
          </cell>
          <cell r="AE469">
            <v>10000</v>
          </cell>
          <cell r="AF469">
            <v>0</v>
          </cell>
          <cell r="AG469" t="str">
            <v>M</v>
          </cell>
          <cell r="AH469" t="str">
            <v>ENGR. MICHAEL C. SALARDA
MS. LEONARDA M. LATOR
MS. CARMENCITA VALDEZ
MS. SORAYA P. VERGARA</v>
          </cell>
          <cell r="AI469" t="str">
            <v>N/A</v>
          </cell>
          <cell r="AJ469" t="str">
            <v>N/A</v>
          </cell>
          <cell r="AK469" t="str">
            <v>N/A</v>
          </cell>
          <cell r="AL469" t="str">
            <v>N/A</v>
          </cell>
          <cell r="AM469" t="str">
            <v>N/A</v>
          </cell>
          <cell r="AN469" t="str">
            <v>N/A</v>
          </cell>
          <cell r="AO469" t="str">
            <v>COMPLETED</v>
          </cell>
        </row>
        <row r="470">
          <cell r="A470" t="str">
            <v>24-1436</v>
          </cell>
          <cell r="B470" t="str">
            <v>CABINET, MOBILE</v>
          </cell>
          <cell r="C470" t="str">
            <v>PENRO</v>
          </cell>
          <cell r="D470" t="str">
            <v>No</v>
          </cell>
          <cell r="E470" t="str">
            <v>NP-53.9 - Small Value Procurement</v>
          </cell>
          <cell r="F470" t="str">
            <v>N/A</v>
          </cell>
          <cell r="G470">
            <v>45359</v>
          </cell>
          <cell r="H470">
            <v>0</v>
          </cell>
          <cell r="I470" t="str">
            <v>N/A</v>
          </cell>
          <cell r="J470">
            <v>45398</v>
          </cell>
          <cell r="K470">
            <v>45398</v>
          </cell>
          <cell r="L470">
            <v>0</v>
          </cell>
          <cell r="M470" t="str">
            <v>N/A</v>
          </cell>
          <cell r="N470" t="str">
            <v>N/A</v>
          </cell>
          <cell r="O470">
            <v>45405</v>
          </cell>
          <cell r="P470">
            <v>0</v>
          </cell>
          <cell r="Q470">
            <v>0</v>
          </cell>
          <cell r="R470">
            <v>0</v>
          </cell>
          <cell r="S470" t="str">
            <v>N/A</v>
          </cell>
          <cell r="T470">
            <v>45407</v>
          </cell>
          <cell r="U470">
            <v>45426</v>
          </cell>
          <cell r="V470">
            <v>0</v>
          </cell>
          <cell r="W470">
            <v>0</v>
          </cell>
          <cell r="X470">
            <v>45432</v>
          </cell>
          <cell r="Y470">
            <v>45432</v>
          </cell>
          <cell r="Z470">
            <v>0</v>
          </cell>
          <cell r="AA470">
            <v>14850</v>
          </cell>
          <cell r="AB470">
            <v>14850</v>
          </cell>
          <cell r="AC470">
            <v>0</v>
          </cell>
          <cell r="AD470">
            <v>13125</v>
          </cell>
          <cell r="AE470">
            <v>13125</v>
          </cell>
          <cell r="AF470">
            <v>0</v>
          </cell>
          <cell r="AG470" t="str">
            <v>M</v>
          </cell>
          <cell r="AH470" t="str">
            <v>ENGR. MICHAEL C. SALARDA
MS. LEONARDA M. LATOR
MS. CARMENCITA VALDEZ
MS. SORAYA P. VERGARA</v>
          </cell>
          <cell r="AI470" t="str">
            <v>N/A</v>
          </cell>
          <cell r="AJ470" t="str">
            <v>N/A</v>
          </cell>
          <cell r="AK470" t="str">
            <v>N/A</v>
          </cell>
          <cell r="AL470" t="str">
            <v>N/A</v>
          </cell>
          <cell r="AM470" t="str">
            <v>N/A</v>
          </cell>
          <cell r="AN470" t="str">
            <v>N/A</v>
          </cell>
          <cell r="AO470" t="str">
            <v>COMPLETED</v>
          </cell>
        </row>
        <row r="471">
          <cell r="A471" t="str">
            <v>24-1553</v>
          </cell>
          <cell r="B471" t="str">
            <v>TROLLEY SPEAKER, PORTABLE</v>
          </cell>
          <cell r="C471" t="str">
            <v>PAGRO</v>
          </cell>
          <cell r="D471" t="str">
            <v>No</v>
          </cell>
          <cell r="E471" t="str">
            <v>NP-53.9 - Small Value Procurement</v>
          </cell>
          <cell r="F471" t="str">
            <v>N/A</v>
          </cell>
          <cell r="G471">
            <v>45371</v>
          </cell>
          <cell r="H471">
            <v>0</v>
          </cell>
          <cell r="I471" t="str">
            <v>N/A</v>
          </cell>
          <cell r="J471">
            <v>45398</v>
          </cell>
          <cell r="K471">
            <v>45398</v>
          </cell>
          <cell r="L471">
            <v>0</v>
          </cell>
          <cell r="M471" t="str">
            <v>N/A</v>
          </cell>
          <cell r="N471" t="str">
            <v>N/A</v>
          </cell>
          <cell r="O471">
            <v>45405</v>
          </cell>
          <cell r="P471">
            <v>0</v>
          </cell>
          <cell r="Q471">
            <v>0</v>
          </cell>
          <cell r="R471">
            <v>0</v>
          </cell>
          <cell r="S471" t="str">
            <v>N/A</v>
          </cell>
          <cell r="T471">
            <v>45407</v>
          </cell>
          <cell r="U471">
            <v>45420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33600</v>
          </cell>
          <cell r="AB471">
            <v>33600</v>
          </cell>
          <cell r="AC471">
            <v>0</v>
          </cell>
          <cell r="AD471">
            <v>33600</v>
          </cell>
          <cell r="AE471">
            <v>33600</v>
          </cell>
          <cell r="AF471">
            <v>0</v>
          </cell>
          <cell r="AG471" t="str">
            <v>M</v>
          </cell>
          <cell r="AH471" t="str">
            <v>ENGR. MICHAEL C. SALARDA
MS. LEONARDA M. LATOR
MS. CARMENCITA VALDEZ
MS. SORAYA P. VERGARA</v>
          </cell>
          <cell r="AI471" t="str">
            <v>N/A</v>
          </cell>
          <cell r="AJ471" t="str">
            <v>N/A</v>
          </cell>
          <cell r="AK471" t="str">
            <v>N/A</v>
          </cell>
          <cell r="AL471" t="str">
            <v>N/A</v>
          </cell>
          <cell r="AM471" t="str">
            <v>N/A</v>
          </cell>
          <cell r="AN471" t="str">
            <v>N/A</v>
          </cell>
          <cell r="AO471">
            <v>0</v>
          </cell>
        </row>
        <row r="472">
          <cell r="A472" t="str">
            <v>24-C1259</v>
          </cell>
          <cell r="B472" t="str">
            <v>BOOKBINDING AND PRINTING</v>
          </cell>
          <cell r="C472" t="str">
            <v>PGO</v>
          </cell>
          <cell r="D472" t="str">
            <v>No</v>
          </cell>
          <cell r="E472" t="str">
            <v>NP-53.9 - Small Value Procurement</v>
          </cell>
          <cell r="F472" t="str">
            <v>N/A</v>
          </cell>
          <cell r="G472">
            <v>45384</v>
          </cell>
          <cell r="H472">
            <v>0</v>
          </cell>
          <cell r="I472" t="str">
            <v>N/A</v>
          </cell>
          <cell r="J472">
            <v>45398</v>
          </cell>
          <cell r="K472">
            <v>45398</v>
          </cell>
          <cell r="L472">
            <v>0</v>
          </cell>
          <cell r="M472" t="str">
            <v>N/A</v>
          </cell>
          <cell r="N472" t="str">
            <v>N/A</v>
          </cell>
          <cell r="O472">
            <v>45405</v>
          </cell>
          <cell r="P472">
            <v>0</v>
          </cell>
          <cell r="Q472">
            <v>0</v>
          </cell>
          <cell r="R472">
            <v>0</v>
          </cell>
          <cell r="S472" t="str">
            <v>N/A</v>
          </cell>
          <cell r="T472">
            <v>45407</v>
          </cell>
          <cell r="U472">
            <v>45426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12770</v>
          </cell>
          <cell r="AB472">
            <v>0</v>
          </cell>
          <cell r="AC472">
            <v>12770</v>
          </cell>
          <cell r="AD472">
            <v>12770</v>
          </cell>
          <cell r="AE472">
            <v>0</v>
          </cell>
          <cell r="AF472">
            <v>12770</v>
          </cell>
          <cell r="AG472" t="str">
            <v>C</v>
          </cell>
          <cell r="AH472" t="str">
            <v>ENGR. MICHAEL C. SALARDA
MS. LEONARDA M. LATOR
MS. CARMENCITA VALDEZ
MS. SORAYA P. VERGARA</v>
          </cell>
          <cell r="AI472" t="str">
            <v>N/A</v>
          </cell>
          <cell r="AJ472" t="str">
            <v>N/A</v>
          </cell>
          <cell r="AK472" t="str">
            <v>N/A</v>
          </cell>
          <cell r="AL472" t="str">
            <v>N/A</v>
          </cell>
          <cell r="AM472" t="str">
            <v>N/A</v>
          </cell>
          <cell r="AN472" t="str">
            <v>N/A</v>
          </cell>
          <cell r="AO472">
            <v>0</v>
          </cell>
        </row>
        <row r="473">
          <cell r="A473" t="str">
            <v>24-1427</v>
          </cell>
          <cell r="B473" t="str">
            <v>MEDICAL KIT</v>
          </cell>
          <cell r="C473" t="str">
            <v>PEO</v>
          </cell>
          <cell r="D473" t="str">
            <v>No</v>
          </cell>
          <cell r="E473" t="str">
            <v>NP-53.9 - Small Value Procurement</v>
          </cell>
          <cell r="F473" t="str">
            <v>N/A</v>
          </cell>
          <cell r="G473">
            <v>45359</v>
          </cell>
          <cell r="H473">
            <v>0</v>
          </cell>
          <cell r="I473" t="str">
            <v>N/A</v>
          </cell>
          <cell r="J473">
            <v>45398</v>
          </cell>
          <cell r="K473">
            <v>45398</v>
          </cell>
          <cell r="L473">
            <v>0</v>
          </cell>
          <cell r="M473" t="str">
            <v>N/A</v>
          </cell>
          <cell r="N473" t="str">
            <v>N/A</v>
          </cell>
          <cell r="O473">
            <v>45405</v>
          </cell>
          <cell r="P473">
            <v>0</v>
          </cell>
          <cell r="Q473">
            <v>0</v>
          </cell>
          <cell r="R473">
            <v>0</v>
          </cell>
          <cell r="S473" t="str">
            <v>N/A</v>
          </cell>
          <cell r="T473">
            <v>45405</v>
          </cell>
          <cell r="U473">
            <v>45426</v>
          </cell>
          <cell r="V473">
            <v>0</v>
          </cell>
          <cell r="W473">
            <v>0</v>
          </cell>
          <cell r="X473">
            <v>45432</v>
          </cell>
          <cell r="Y473">
            <v>45432</v>
          </cell>
          <cell r="Z473">
            <v>0</v>
          </cell>
          <cell r="AA473">
            <v>1925</v>
          </cell>
          <cell r="AB473">
            <v>0</v>
          </cell>
          <cell r="AC473">
            <v>1925</v>
          </cell>
          <cell r="AD473">
            <v>1925</v>
          </cell>
          <cell r="AE473">
            <v>0</v>
          </cell>
          <cell r="AF473">
            <v>1925</v>
          </cell>
          <cell r="AG473" t="str">
            <v>C</v>
          </cell>
          <cell r="AH473" t="str">
            <v>ENGR. MICHAEL C. SALARDA
MS. LEONARDA M. LATOR
MS. CARMENCITA VALDEZ
MS. SORAYA P. VERGARA</v>
          </cell>
          <cell r="AI473" t="str">
            <v>N/A</v>
          </cell>
          <cell r="AJ473" t="str">
            <v>N/A</v>
          </cell>
          <cell r="AK473" t="str">
            <v>N/A</v>
          </cell>
          <cell r="AL473" t="str">
            <v>N/A</v>
          </cell>
          <cell r="AM473" t="str">
            <v>N/A</v>
          </cell>
          <cell r="AN473" t="str">
            <v>N/A</v>
          </cell>
          <cell r="AO473" t="str">
            <v>COMPLETED</v>
          </cell>
        </row>
        <row r="474">
          <cell r="A474" t="str">
            <v>24-2705</v>
          </cell>
          <cell r="B474" t="str">
            <v>INSTALLATION OF 100FT MONOPOLE ANTENNA TOWER AND VHF DIGITAL REPEATER</v>
          </cell>
          <cell r="C474" t="str">
            <v>PDRRMO</v>
          </cell>
          <cell r="D474" t="str">
            <v>No</v>
          </cell>
          <cell r="E474" t="str">
            <v>NP-53.1 Two Failed Biddings</v>
          </cell>
          <cell r="F474">
            <v>45265</v>
          </cell>
          <cell r="G474">
            <v>45376</v>
          </cell>
          <cell r="H474">
            <v>0</v>
          </cell>
          <cell r="I474" t="str">
            <v>N/A</v>
          </cell>
          <cell r="J474">
            <v>45398</v>
          </cell>
          <cell r="K474">
            <v>45398</v>
          </cell>
          <cell r="L474">
            <v>0</v>
          </cell>
          <cell r="M474" t="str">
            <v>N/A</v>
          </cell>
          <cell r="N474" t="str">
            <v>N/A</v>
          </cell>
          <cell r="O474">
            <v>45405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688750</v>
          </cell>
          <cell r="AB474">
            <v>0</v>
          </cell>
          <cell r="AC474">
            <v>688750</v>
          </cell>
          <cell r="AD474">
            <v>680000</v>
          </cell>
          <cell r="AE474">
            <v>0</v>
          </cell>
          <cell r="AF474">
            <v>680000</v>
          </cell>
          <cell r="AG474" t="e">
            <v>#N/A</v>
          </cell>
          <cell r="AH474" t="str">
            <v>ENGR. MICHAEL C. SALARDA
MS. LEONARDA M. LATOR
MS. CARMENCITA VALDEZ
MS. SORAYA P. VERGARA</v>
          </cell>
          <cell r="AI474" t="str">
            <v>N/A</v>
          </cell>
          <cell r="AJ474" t="str">
            <v>N/A</v>
          </cell>
          <cell r="AK474" t="str">
            <v>N/A</v>
          </cell>
          <cell r="AL474" t="str">
            <v>N/A</v>
          </cell>
          <cell r="AM474" t="str">
            <v>N/A</v>
          </cell>
          <cell r="AN474" t="str">
            <v>N/A</v>
          </cell>
          <cell r="AO474">
            <v>0</v>
          </cell>
        </row>
        <row r="475">
          <cell r="A475" t="str">
            <v>24-C1339</v>
          </cell>
          <cell r="B475" t="str">
            <v>FOOD SUPPLIES</v>
          </cell>
          <cell r="C475" t="str">
            <v>PDRRMO</v>
          </cell>
          <cell r="D475" t="str">
            <v>No</v>
          </cell>
          <cell r="E475" t="str">
            <v>NP-53.2 Emergency Cases</v>
          </cell>
          <cell r="F475" t="str">
            <v>N/A</v>
          </cell>
          <cell r="G475">
            <v>45397</v>
          </cell>
          <cell r="H475">
            <v>0</v>
          </cell>
          <cell r="I475" t="str">
            <v>N/A</v>
          </cell>
          <cell r="J475">
            <v>45398</v>
          </cell>
          <cell r="K475">
            <v>45398</v>
          </cell>
          <cell r="L475">
            <v>0</v>
          </cell>
          <cell r="M475" t="str">
            <v>N/A</v>
          </cell>
          <cell r="N475" t="str">
            <v>N/A</v>
          </cell>
          <cell r="O475">
            <v>45405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45404</v>
          </cell>
          <cell r="U475">
            <v>45408</v>
          </cell>
          <cell r="V475">
            <v>0</v>
          </cell>
          <cell r="W475">
            <v>0</v>
          </cell>
          <cell r="X475">
            <v>45412</v>
          </cell>
          <cell r="Y475">
            <v>45412</v>
          </cell>
          <cell r="Z475">
            <v>0</v>
          </cell>
          <cell r="AA475">
            <v>1679480</v>
          </cell>
          <cell r="AB475">
            <v>0</v>
          </cell>
          <cell r="AC475">
            <v>1679480</v>
          </cell>
          <cell r="AD475">
            <v>1663865</v>
          </cell>
          <cell r="AE475">
            <v>0</v>
          </cell>
          <cell r="AF475">
            <v>1663865</v>
          </cell>
          <cell r="AG475" t="str">
            <v>C</v>
          </cell>
          <cell r="AH475" t="str">
            <v>ENGR. MICHAEL C. SALARDA
MS. LEONARDA M. LATOR
MS. CARMENCITA VALDEZ
MS. SORAYA P. VERGARA</v>
          </cell>
          <cell r="AI475" t="str">
            <v>N/A</v>
          </cell>
          <cell r="AJ475" t="str">
            <v>N/A</v>
          </cell>
          <cell r="AK475" t="str">
            <v>N/A</v>
          </cell>
          <cell r="AL475" t="str">
            <v>N/A</v>
          </cell>
          <cell r="AM475" t="str">
            <v>N/A</v>
          </cell>
          <cell r="AN475" t="str">
            <v>N/A</v>
          </cell>
          <cell r="AO475" t="str">
            <v>COMPLETED</v>
          </cell>
        </row>
        <row r="476">
          <cell r="A476" t="str">
            <v>24-C1045</v>
          </cell>
          <cell r="B476" t="str">
            <v>OIL AND LUBRICANTS</v>
          </cell>
          <cell r="C476" t="str">
            <v>PEO</v>
          </cell>
          <cell r="D476" t="str">
            <v>No</v>
          </cell>
          <cell r="E476" t="str">
            <v>Competitive Bidding</v>
          </cell>
          <cell r="F476" t="str">
            <v>N/A</v>
          </cell>
          <cell r="G476">
            <v>45341</v>
          </cell>
          <cell r="H476">
            <v>0</v>
          </cell>
          <cell r="I476">
            <v>45356</v>
          </cell>
          <cell r="J476">
            <v>45370</v>
          </cell>
          <cell r="K476">
            <v>45370</v>
          </cell>
          <cell r="L476">
            <v>0</v>
          </cell>
          <cell r="M476">
            <v>45387</v>
          </cell>
          <cell r="N476">
            <v>45387</v>
          </cell>
          <cell r="O476">
            <v>45405</v>
          </cell>
          <cell r="P476">
            <v>0</v>
          </cell>
          <cell r="Q476">
            <v>0</v>
          </cell>
          <cell r="R476">
            <v>0</v>
          </cell>
          <cell r="S476">
            <v>45405</v>
          </cell>
          <cell r="T476">
            <v>45411</v>
          </cell>
          <cell r="U476">
            <v>45433</v>
          </cell>
          <cell r="V476">
            <v>0</v>
          </cell>
          <cell r="W476">
            <v>0</v>
          </cell>
          <cell r="X476">
            <v>45439</v>
          </cell>
          <cell r="Y476">
            <v>45439</v>
          </cell>
          <cell r="Z476">
            <v>0</v>
          </cell>
          <cell r="AA476">
            <v>1343882.5</v>
          </cell>
          <cell r="AB476">
            <v>1343882.5</v>
          </cell>
          <cell r="AC476">
            <v>0</v>
          </cell>
          <cell r="AD476">
            <v>812840</v>
          </cell>
          <cell r="AE476">
            <v>812840</v>
          </cell>
          <cell r="AF476">
            <v>0</v>
          </cell>
          <cell r="AG476" t="str">
            <v>M</v>
          </cell>
          <cell r="AH476" t="str">
            <v>ENGR. MICHAEL C. SALARDA
MS. LEONARDA M. LATOR
MS. CARMENCITA VALDEZ
MS. SORAYA P. VERGARA</v>
          </cell>
          <cell r="AI476">
            <v>45352</v>
          </cell>
          <cell r="AJ476">
            <v>45366</v>
          </cell>
          <cell r="AK476">
            <v>45366</v>
          </cell>
          <cell r="AL476">
            <v>45366</v>
          </cell>
          <cell r="AM476" t="str">
            <v>N/A</v>
          </cell>
          <cell r="AN476" t="str">
            <v>N/A</v>
          </cell>
          <cell r="AO476" t="str">
            <v>COMPLETED</v>
          </cell>
        </row>
        <row r="477">
          <cell r="A477" t="str">
            <v>24-C0997</v>
          </cell>
          <cell r="B477" t="str">
            <v>SPAREPARTS (LIGHT VEHICLES)</v>
          </cell>
          <cell r="C477" t="str">
            <v>PGSO-Inventory</v>
          </cell>
          <cell r="D477" t="str">
            <v>No</v>
          </cell>
          <cell r="E477" t="str">
            <v>Competitive Bidding</v>
          </cell>
          <cell r="F477">
            <v>45342</v>
          </cell>
          <cell r="G477">
            <v>45348</v>
          </cell>
          <cell r="H477">
            <v>0</v>
          </cell>
          <cell r="I477">
            <v>45356</v>
          </cell>
          <cell r="J477">
            <v>45370</v>
          </cell>
          <cell r="K477">
            <v>45370</v>
          </cell>
          <cell r="L477">
            <v>0</v>
          </cell>
          <cell r="M477">
            <v>45393</v>
          </cell>
          <cell r="N477">
            <v>45393</v>
          </cell>
          <cell r="O477">
            <v>45405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45412</v>
          </cell>
          <cell r="U477">
            <v>45422</v>
          </cell>
          <cell r="V477">
            <v>0</v>
          </cell>
          <cell r="W477">
            <v>0</v>
          </cell>
          <cell r="X477">
            <v>45453</v>
          </cell>
          <cell r="Y477">
            <v>45453</v>
          </cell>
          <cell r="Z477">
            <v>0</v>
          </cell>
          <cell r="AA477">
            <v>4493654.28</v>
          </cell>
          <cell r="AB477">
            <v>4493654.28</v>
          </cell>
          <cell r="AC477">
            <v>0</v>
          </cell>
          <cell r="AD477">
            <v>1990169</v>
          </cell>
          <cell r="AE477">
            <v>1990169</v>
          </cell>
          <cell r="AF477">
            <v>0</v>
          </cell>
          <cell r="AG477" t="str">
            <v>M</v>
          </cell>
          <cell r="AH477" t="str">
            <v>ENGR. MICHAEL C. SALARDA
MS. LEONARDA M. LATOR
MS. CARMENCITA VALDEZ
MS. SORAYA P. VERGARA</v>
          </cell>
          <cell r="AI477">
            <v>45352</v>
          </cell>
          <cell r="AJ477">
            <v>45366</v>
          </cell>
          <cell r="AK477">
            <v>45366</v>
          </cell>
          <cell r="AL477">
            <v>45366</v>
          </cell>
          <cell r="AM477" t="str">
            <v>N/A</v>
          </cell>
          <cell r="AN477" t="str">
            <v>N/A</v>
          </cell>
          <cell r="AO477" t="str">
            <v>COMPLETED</v>
          </cell>
        </row>
        <row r="478">
          <cell r="A478" t="str">
            <v>23-5484</v>
          </cell>
          <cell r="B478" t="str">
            <v>OFFICE EQUIPMENT</v>
          </cell>
          <cell r="C478" t="str">
            <v>SEF</v>
          </cell>
          <cell r="D478" t="str">
            <v>No</v>
          </cell>
          <cell r="E478" t="str">
            <v>Competitive Bidding</v>
          </cell>
          <cell r="F478">
            <v>45342</v>
          </cell>
          <cell r="G478">
            <v>45348</v>
          </cell>
          <cell r="H478">
            <v>0</v>
          </cell>
          <cell r="I478">
            <v>45356</v>
          </cell>
          <cell r="J478">
            <v>45370</v>
          </cell>
          <cell r="K478">
            <v>45370</v>
          </cell>
          <cell r="L478">
            <v>0</v>
          </cell>
          <cell r="M478">
            <v>45370</v>
          </cell>
          <cell r="N478">
            <v>45405</v>
          </cell>
          <cell r="O478">
            <v>45411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45428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4250000</v>
          </cell>
          <cell r="AB478">
            <v>0</v>
          </cell>
          <cell r="AC478">
            <v>4250000</v>
          </cell>
          <cell r="AD478">
            <v>2068707.77</v>
          </cell>
          <cell r="AE478">
            <v>0</v>
          </cell>
          <cell r="AF478">
            <v>2068707.77</v>
          </cell>
          <cell r="AG478" t="str">
            <v>C</v>
          </cell>
          <cell r="AH478" t="str">
            <v>ENGR. MICHAEL C. SALARDA
MS. LEONARDA M. LATOR
MS. CARMENCITA VALDEZ
MS. SORAYA P. VERGARA</v>
          </cell>
          <cell r="AI478">
            <v>45352</v>
          </cell>
          <cell r="AJ478">
            <v>45366</v>
          </cell>
          <cell r="AK478">
            <v>45366</v>
          </cell>
          <cell r="AL478">
            <v>45366</v>
          </cell>
          <cell r="AM478" t="str">
            <v>N/A</v>
          </cell>
          <cell r="AN478" t="str">
            <v>N/A</v>
          </cell>
          <cell r="AO478">
            <v>0</v>
          </cell>
        </row>
        <row r="479">
          <cell r="A479" t="str">
            <v>24-C1002</v>
          </cell>
          <cell r="B479" t="str">
            <v>LABORATORY SUPPLIES</v>
          </cell>
          <cell r="C479" t="str">
            <v>PEEMO</v>
          </cell>
          <cell r="D479" t="str">
            <v>No</v>
          </cell>
          <cell r="E479" t="str">
            <v>Competitive Bidding</v>
          </cell>
          <cell r="F479" t="str">
            <v>N/A</v>
          </cell>
          <cell r="G479">
            <v>45341</v>
          </cell>
          <cell r="H479">
            <v>0</v>
          </cell>
          <cell r="I479">
            <v>45356</v>
          </cell>
          <cell r="J479">
            <v>45370</v>
          </cell>
          <cell r="K479">
            <v>45370</v>
          </cell>
          <cell r="L479">
            <v>0</v>
          </cell>
          <cell r="M479">
            <v>45370</v>
          </cell>
          <cell r="N479">
            <v>45399</v>
          </cell>
          <cell r="O479">
            <v>45411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45425</v>
          </cell>
          <cell r="U479">
            <v>45434</v>
          </cell>
          <cell r="V479">
            <v>0</v>
          </cell>
          <cell r="W479">
            <v>0</v>
          </cell>
          <cell r="X479">
            <v>45454</v>
          </cell>
          <cell r="Y479">
            <v>45454</v>
          </cell>
          <cell r="Z479">
            <v>0</v>
          </cell>
          <cell r="AA479">
            <v>1412808</v>
          </cell>
          <cell r="AB479">
            <v>1412808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 t="str">
            <v>M</v>
          </cell>
          <cell r="AH479" t="str">
            <v>ENGR. MICHAEL C. SALARDA
MS. LEONARDA M. LATOR
MS. CARMENCITA VALDEZ
MS. SORAYA P. VERGARA</v>
          </cell>
          <cell r="AI479">
            <v>45352</v>
          </cell>
          <cell r="AJ479">
            <v>45366</v>
          </cell>
          <cell r="AK479">
            <v>45366</v>
          </cell>
          <cell r="AL479">
            <v>45366</v>
          </cell>
          <cell r="AM479" t="str">
            <v>N/A</v>
          </cell>
          <cell r="AN479" t="str">
            <v>N/A</v>
          </cell>
          <cell r="AO479" t="str">
            <v>COMPLETED</v>
          </cell>
        </row>
        <row r="480">
          <cell r="A480" t="str">
            <v>24-C0928</v>
          </cell>
          <cell r="B480" t="str">
            <v>RACK MOUNTED SERVER AND SERVER MANAGEMENT SOFTWARE WITH CLOUD SUPPORT</v>
          </cell>
          <cell r="C480" t="str">
            <v>PHO</v>
          </cell>
          <cell r="D480" t="str">
            <v>No</v>
          </cell>
          <cell r="E480" t="str">
            <v>Competitive Bidding</v>
          </cell>
          <cell r="F480">
            <v>45342</v>
          </cell>
          <cell r="G480">
            <v>45348</v>
          </cell>
          <cell r="H480">
            <v>0</v>
          </cell>
          <cell r="I480">
            <v>45356</v>
          </cell>
          <cell r="J480">
            <v>45370</v>
          </cell>
          <cell r="K480">
            <v>45370</v>
          </cell>
          <cell r="L480">
            <v>0</v>
          </cell>
          <cell r="M480">
            <v>45370</v>
          </cell>
          <cell r="N480">
            <v>45392</v>
          </cell>
          <cell r="O480">
            <v>45411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45429</v>
          </cell>
          <cell r="U480">
            <v>45434</v>
          </cell>
          <cell r="V480">
            <v>0</v>
          </cell>
          <cell r="W480">
            <v>0</v>
          </cell>
          <cell r="X480">
            <v>45457</v>
          </cell>
          <cell r="Y480">
            <v>45457</v>
          </cell>
          <cell r="Z480">
            <v>0</v>
          </cell>
          <cell r="AA480">
            <v>516848.55</v>
          </cell>
          <cell r="AB480">
            <v>0</v>
          </cell>
          <cell r="AC480">
            <v>516848.55</v>
          </cell>
          <cell r="AD480">
            <v>510000</v>
          </cell>
          <cell r="AE480">
            <v>0</v>
          </cell>
          <cell r="AF480">
            <v>510000</v>
          </cell>
          <cell r="AG480" t="str">
            <v>C</v>
          </cell>
          <cell r="AH480" t="str">
            <v>ENGR. MICHAEL C. SALARDA
MS. LEONARDA M. LATOR
MS. CARMENCITA VALDEZ
MS. SORAYA P. VERGARA</v>
          </cell>
          <cell r="AI480">
            <v>45352</v>
          </cell>
          <cell r="AJ480">
            <v>45366</v>
          </cell>
          <cell r="AK480">
            <v>45366</v>
          </cell>
          <cell r="AL480">
            <v>45366</v>
          </cell>
          <cell r="AM480" t="str">
            <v>N/A</v>
          </cell>
          <cell r="AN480" t="str">
            <v>N/A</v>
          </cell>
          <cell r="AO480" t="str">
            <v>COMPLETED</v>
          </cell>
        </row>
        <row r="481">
          <cell r="A481" t="str">
            <v>24-C1042</v>
          </cell>
          <cell r="B481" t="str">
            <v>TIRES</v>
          </cell>
          <cell r="C481" t="str">
            <v>PEO</v>
          </cell>
          <cell r="D481" t="str">
            <v>No</v>
          </cell>
          <cell r="E481" t="str">
            <v>Competitive Bidding</v>
          </cell>
          <cell r="F481">
            <v>45342</v>
          </cell>
          <cell r="G481">
            <v>45348</v>
          </cell>
          <cell r="H481">
            <v>0</v>
          </cell>
          <cell r="I481">
            <v>45356</v>
          </cell>
          <cell r="J481">
            <v>45370</v>
          </cell>
          <cell r="K481">
            <v>45370</v>
          </cell>
          <cell r="L481">
            <v>0</v>
          </cell>
          <cell r="M481">
            <v>45370</v>
          </cell>
          <cell r="N481">
            <v>45393</v>
          </cell>
          <cell r="O481">
            <v>45411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45425</v>
          </cell>
          <cell r="U481">
            <v>45434</v>
          </cell>
          <cell r="V481">
            <v>0</v>
          </cell>
          <cell r="W481">
            <v>0</v>
          </cell>
          <cell r="X481">
            <v>45469</v>
          </cell>
          <cell r="Y481">
            <v>45469</v>
          </cell>
          <cell r="Z481">
            <v>0</v>
          </cell>
          <cell r="AA481">
            <v>7001000</v>
          </cell>
          <cell r="AB481">
            <v>7001000</v>
          </cell>
          <cell r="AC481">
            <v>0</v>
          </cell>
          <cell r="AD481">
            <v>3994700</v>
          </cell>
          <cell r="AE481">
            <v>3994700</v>
          </cell>
          <cell r="AF481">
            <v>0</v>
          </cell>
          <cell r="AG481" t="str">
            <v>M</v>
          </cell>
          <cell r="AH481" t="str">
            <v>ENGR. MICHAEL C. SALARDA
MS. LEONARDA M. LATOR
MS. CARMENCITA VALDEZ
MS. SORAYA P. VERGARA</v>
          </cell>
          <cell r="AI481">
            <v>45352</v>
          </cell>
          <cell r="AJ481">
            <v>45366</v>
          </cell>
          <cell r="AK481">
            <v>45366</v>
          </cell>
          <cell r="AL481">
            <v>45366</v>
          </cell>
          <cell r="AM481" t="str">
            <v>N/A</v>
          </cell>
          <cell r="AN481" t="str">
            <v>N/A</v>
          </cell>
          <cell r="AO481" t="str">
            <v>COMPLETED</v>
          </cell>
        </row>
        <row r="482">
          <cell r="A482" t="str">
            <v>24-0905</v>
          </cell>
          <cell r="B482" t="str">
            <v>PUMP IRRIGATION SYSTEM OPEN SOURCE (PISOS)-PUMP &amp; ENGINE SET</v>
          </cell>
          <cell r="C482" t="str">
            <v>PAGRO</v>
          </cell>
          <cell r="D482" t="str">
            <v>No</v>
          </cell>
          <cell r="E482" t="str">
            <v>Competitive Bidding</v>
          </cell>
          <cell r="F482">
            <v>45342</v>
          </cell>
          <cell r="G482">
            <v>45348</v>
          </cell>
          <cell r="H482">
            <v>0</v>
          </cell>
          <cell r="I482">
            <v>45356</v>
          </cell>
          <cell r="J482">
            <v>45370</v>
          </cell>
          <cell r="K482">
            <v>45370</v>
          </cell>
          <cell r="L482">
            <v>0</v>
          </cell>
          <cell r="M482">
            <v>45370</v>
          </cell>
          <cell r="N482">
            <v>45401</v>
          </cell>
          <cell r="O482">
            <v>45411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45425</v>
          </cell>
          <cell r="U482">
            <v>45441</v>
          </cell>
          <cell r="V482">
            <v>0</v>
          </cell>
          <cell r="W482">
            <v>0</v>
          </cell>
          <cell r="X482">
            <v>45448</v>
          </cell>
          <cell r="Y482">
            <v>45448</v>
          </cell>
          <cell r="Z482">
            <v>0</v>
          </cell>
          <cell r="AA482">
            <v>3000000</v>
          </cell>
          <cell r="AB482">
            <v>0</v>
          </cell>
          <cell r="AC482">
            <v>3000000</v>
          </cell>
          <cell r="AD482">
            <v>2970000</v>
          </cell>
          <cell r="AE482">
            <v>0</v>
          </cell>
          <cell r="AF482">
            <v>2970000</v>
          </cell>
          <cell r="AG482" t="str">
            <v>C</v>
          </cell>
          <cell r="AH482" t="str">
            <v>ENGR. MICHAEL C. SALARDA
MS. LEONARDA M. LATOR
MS. CARMENCITA VALDEZ
MS. SORAYA P. VERGARA</v>
          </cell>
          <cell r="AI482">
            <v>45352</v>
          </cell>
          <cell r="AJ482">
            <v>45366</v>
          </cell>
          <cell r="AK482">
            <v>45366</v>
          </cell>
          <cell r="AL482">
            <v>45366</v>
          </cell>
          <cell r="AM482" t="str">
            <v>N/A</v>
          </cell>
          <cell r="AN482" t="str">
            <v>N/A</v>
          </cell>
          <cell r="AO482" t="str">
            <v>COMPLETED</v>
          </cell>
        </row>
        <row r="483">
          <cell r="A483" t="str">
            <v>24-C1011</v>
          </cell>
          <cell r="B483" t="str">
            <v>FLUIDS</v>
          </cell>
          <cell r="C483" t="str">
            <v>PEEMO</v>
          </cell>
          <cell r="D483" t="str">
            <v>No</v>
          </cell>
          <cell r="E483" t="str">
            <v>Competitive Bidding</v>
          </cell>
          <cell r="F483">
            <v>45342</v>
          </cell>
          <cell r="G483">
            <v>45348</v>
          </cell>
          <cell r="H483">
            <v>0</v>
          </cell>
          <cell r="I483">
            <v>45356</v>
          </cell>
          <cell r="J483">
            <v>45370</v>
          </cell>
          <cell r="K483">
            <v>45370</v>
          </cell>
          <cell r="L483">
            <v>0</v>
          </cell>
          <cell r="M483">
            <v>45370</v>
          </cell>
          <cell r="N483">
            <v>45400</v>
          </cell>
          <cell r="O483">
            <v>45411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45432</v>
          </cell>
          <cell r="U483">
            <v>45433</v>
          </cell>
          <cell r="V483">
            <v>0</v>
          </cell>
          <cell r="W483">
            <v>0</v>
          </cell>
          <cell r="X483">
            <v>45440</v>
          </cell>
          <cell r="Y483">
            <v>45440</v>
          </cell>
          <cell r="Z483">
            <v>0</v>
          </cell>
          <cell r="AA483">
            <v>1678204</v>
          </cell>
          <cell r="AB483">
            <v>1678204</v>
          </cell>
          <cell r="AC483">
            <v>0</v>
          </cell>
          <cell r="AD483">
            <v>1093996</v>
          </cell>
          <cell r="AE483">
            <v>1093996</v>
          </cell>
          <cell r="AF483">
            <v>0</v>
          </cell>
          <cell r="AG483" t="str">
            <v>M</v>
          </cell>
          <cell r="AH483" t="str">
            <v>ENGR. MICHAEL C. SALARDA
MS. LEONARDA M. LATOR
MS. CARMENCITA VALDEZ
MS. SORAYA P. VERGARA</v>
          </cell>
          <cell r="AI483">
            <v>45352</v>
          </cell>
          <cell r="AJ483">
            <v>45366</v>
          </cell>
          <cell r="AK483">
            <v>45366</v>
          </cell>
          <cell r="AL483">
            <v>45366</v>
          </cell>
          <cell r="AM483" t="str">
            <v>N/A</v>
          </cell>
          <cell r="AN483" t="str">
            <v>N/A</v>
          </cell>
          <cell r="AO483" t="str">
            <v>COMPLETED</v>
          </cell>
        </row>
        <row r="484">
          <cell r="A484" t="str">
            <v>24-C1010</v>
          </cell>
          <cell r="B484" t="str">
            <v>DRUGS AND MEDICINES</v>
          </cell>
          <cell r="C484" t="str">
            <v>PEEMO</v>
          </cell>
          <cell r="D484" t="str">
            <v>No</v>
          </cell>
          <cell r="E484" t="str">
            <v>Competitive Bidding</v>
          </cell>
          <cell r="F484">
            <v>45342</v>
          </cell>
          <cell r="G484">
            <v>45348</v>
          </cell>
          <cell r="H484">
            <v>0</v>
          </cell>
          <cell r="I484">
            <v>45356</v>
          </cell>
          <cell r="J484">
            <v>45370</v>
          </cell>
          <cell r="K484">
            <v>45370</v>
          </cell>
          <cell r="L484">
            <v>0</v>
          </cell>
          <cell r="M484">
            <v>45370</v>
          </cell>
          <cell r="N484">
            <v>45399</v>
          </cell>
          <cell r="O484">
            <v>45411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45432</v>
          </cell>
          <cell r="U484">
            <v>45439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1445395.4</v>
          </cell>
          <cell r="AB484">
            <v>1445395.4</v>
          </cell>
          <cell r="AC484">
            <v>0</v>
          </cell>
          <cell r="AD484">
            <v>1445395.4</v>
          </cell>
          <cell r="AE484">
            <v>1445395.4</v>
          </cell>
          <cell r="AF484">
            <v>0</v>
          </cell>
          <cell r="AG484" t="str">
            <v>M</v>
          </cell>
          <cell r="AH484" t="str">
            <v>ENGR. MICHAEL C. SALARDA
MS. LEONARDA M. LATOR
MS. CARMENCITA VALDEZ
MS. SORAYA P. VERGARA</v>
          </cell>
          <cell r="AI484">
            <v>45352</v>
          </cell>
          <cell r="AJ484">
            <v>45366</v>
          </cell>
          <cell r="AK484">
            <v>45366</v>
          </cell>
          <cell r="AL484">
            <v>45366</v>
          </cell>
          <cell r="AM484" t="str">
            <v>N/A</v>
          </cell>
          <cell r="AN484" t="str">
            <v>N/A</v>
          </cell>
          <cell r="AO484">
            <v>0</v>
          </cell>
        </row>
        <row r="485">
          <cell r="A485" t="str">
            <v>24-0651</v>
          </cell>
          <cell r="B485" t="str">
            <v>COMMUNICATION EQUIPMENT</v>
          </cell>
          <cell r="C485" t="str">
            <v>PICTO</v>
          </cell>
          <cell r="D485" t="str">
            <v>No</v>
          </cell>
          <cell r="E485" t="str">
            <v>Competitive Bidding</v>
          </cell>
          <cell r="F485">
            <v>0</v>
          </cell>
          <cell r="G485">
            <v>45355</v>
          </cell>
          <cell r="H485">
            <v>0</v>
          </cell>
          <cell r="I485">
            <v>45370</v>
          </cell>
          <cell r="J485">
            <v>45384</v>
          </cell>
          <cell r="K485">
            <v>45384</v>
          </cell>
          <cell r="L485">
            <v>0</v>
          </cell>
          <cell r="M485">
            <v>45384</v>
          </cell>
          <cell r="N485">
            <v>45405</v>
          </cell>
          <cell r="O485">
            <v>45411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45425</v>
          </cell>
          <cell r="U485">
            <v>45436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2949999</v>
          </cell>
          <cell r="AB485">
            <v>0</v>
          </cell>
          <cell r="AC485">
            <v>2949999</v>
          </cell>
          <cell r="AD485">
            <v>2948814</v>
          </cell>
          <cell r="AE485">
            <v>0</v>
          </cell>
          <cell r="AF485">
            <v>2948814</v>
          </cell>
          <cell r="AG485" t="str">
            <v>C</v>
          </cell>
          <cell r="AH485" t="str">
            <v>ENGR. MICHAEL C. SALARDA
MS. LEONARDA M. LATOR
MS. CARMENCITA VALDEZ
MS. SORAYA P. VERGARA</v>
          </cell>
          <cell r="AI485">
            <v>45366</v>
          </cell>
          <cell r="AJ485">
            <v>45383</v>
          </cell>
          <cell r="AK485">
            <v>45383</v>
          </cell>
          <cell r="AL485">
            <v>45383</v>
          </cell>
          <cell r="AM485" t="str">
            <v>N/A</v>
          </cell>
          <cell r="AN485" t="str">
            <v>N/A</v>
          </cell>
          <cell r="AO485">
            <v>0</v>
          </cell>
        </row>
        <row r="486">
          <cell r="A486" t="str">
            <v>24-C1095</v>
          </cell>
          <cell r="B486" t="str">
            <v>FUEL, OIL, AND LUBRICANTS</v>
          </cell>
          <cell r="C486" t="str">
            <v>PGSO</v>
          </cell>
          <cell r="D486" t="str">
            <v>No</v>
          </cell>
          <cell r="E486" t="str">
            <v>Competitive Bidding</v>
          </cell>
          <cell r="F486">
            <v>0</v>
          </cell>
          <cell r="G486">
            <v>45355</v>
          </cell>
          <cell r="H486">
            <v>0</v>
          </cell>
          <cell r="I486">
            <v>45370</v>
          </cell>
          <cell r="J486">
            <v>45384</v>
          </cell>
          <cell r="K486">
            <v>45384</v>
          </cell>
          <cell r="L486">
            <v>0</v>
          </cell>
          <cell r="M486">
            <v>45384</v>
          </cell>
          <cell r="N486">
            <v>45393</v>
          </cell>
          <cell r="O486">
            <v>45411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45425</v>
          </cell>
          <cell r="U486">
            <v>45435</v>
          </cell>
          <cell r="V486">
            <v>0</v>
          </cell>
          <cell r="W486">
            <v>0</v>
          </cell>
          <cell r="X486">
            <v>45449</v>
          </cell>
          <cell r="Y486">
            <v>45449</v>
          </cell>
          <cell r="Z486">
            <v>0</v>
          </cell>
          <cell r="AA486">
            <v>1548381.74</v>
          </cell>
          <cell r="AB486">
            <v>1548381.74</v>
          </cell>
          <cell r="AC486">
            <v>0</v>
          </cell>
          <cell r="AD486">
            <v>890290</v>
          </cell>
          <cell r="AE486">
            <v>890290</v>
          </cell>
          <cell r="AF486">
            <v>0</v>
          </cell>
          <cell r="AG486" t="str">
            <v>M</v>
          </cell>
          <cell r="AH486" t="str">
            <v>ENGR. MICHAEL C. SALARDA
MS. LEONARDA M. LATOR
MS. CARMENCITA VALDEZ
MS. SORAYA P. VERGARA</v>
          </cell>
          <cell r="AI486">
            <v>45366</v>
          </cell>
          <cell r="AJ486">
            <v>45383</v>
          </cell>
          <cell r="AK486">
            <v>45383</v>
          </cell>
          <cell r="AL486">
            <v>45383</v>
          </cell>
          <cell r="AM486" t="str">
            <v>N/A</v>
          </cell>
          <cell r="AN486" t="str">
            <v>N/A</v>
          </cell>
          <cell r="AO486" t="str">
            <v>COMPLETED</v>
          </cell>
        </row>
        <row r="487">
          <cell r="A487" t="str">
            <v>24-C1136</v>
          </cell>
          <cell r="B487" t="str">
            <v>SPAREPARTS (SPAREPARTS)</v>
          </cell>
          <cell r="C487" t="str">
            <v>PEO</v>
          </cell>
          <cell r="D487" t="str">
            <v>No</v>
          </cell>
          <cell r="E487" t="str">
            <v>Competitive Bidding</v>
          </cell>
          <cell r="F487" t="str">
            <v>N/A</v>
          </cell>
          <cell r="G487">
            <v>45362</v>
          </cell>
          <cell r="H487">
            <v>0</v>
          </cell>
          <cell r="I487">
            <v>45370</v>
          </cell>
          <cell r="J487">
            <v>45384</v>
          </cell>
          <cell r="K487">
            <v>45384</v>
          </cell>
          <cell r="L487">
            <v>0</v>
          </cell>
          <cell r="M487">
            <v>45326</v>
          </cell>
          <cell r="N487">
            <v>45406</v>
          </cell>
          <cell r="O487">
            <v>45411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45433</v>
          </cell>
          <cell r="U487">
            <v>45435</v>
          </cell>
          <cell r="V487">
            <v>0</v>
          </cell>
          <cell r="W487">
            <v>0</v>
          </cell>
          <cell r="X487">
            <v>45446</v>
          </cell>
          <cell r="Y487">
            <v>45446</v>
          </cell>
          <cell r="Z487">
            <v>0</v>
          </cell>
          <cell r="AA487">
            <v>1823618</v>
          </cell>
          <cell r="AB487">
            <v>1823618</v>
          </cell>
          <cell r="AC487">
            <v>0</v>
          </cell>
          <cell r="AD487">
            <v>1684350</v>
          </cell>
          <cell r="AE487">
            <v>1684350</v>
          </cell>
          <cell r="AF487">
            <v>0</v>
          </cell>
          <cell r="AG487" t="str">
            <v>M</v>
          </cell>
          <cell r="AH487" t="str">
            <v>ENGR. MICHAEL C. SALARDA
MS. LEONARDA M. LATOR
MS. CARMENCITA VALDEZ
MS. SORAYA P. VERGARA</v>
          </cell>
          <cell r="AI487">
            <v>45366</v>
          </cell>
          <cell r="AJ487">
            <v>45383</v>
          </cell>
          <cell r="AK487">
            <v>45383</v>
          </cell>
          <cell r="AL487">
            <v>45383</v>
          </cell>
          <cell r="AM487" t="str">
            <v>N/A</v>
          </cell>
          <cell r="AN487" t="str">
            <v>N/A</v>
          </cell>
          <cell r="AO487" t="str">
            <v>COMPLETED</v>
          </cell>
        </row>
        <row r="488">
          <cell r="A488" t="str">
            <v>24-C1094</v>
          </cell>
          <cell r="B488" t="str">
            <v>MEALS AND SNACKS WITH ACCOMMODATION</v>
          </cell>
          <cell r="C488" t="str">
            <v>PSWDO</v>
          </cell>
          <cell r="D488" t="str">
            <v>No</v>
          </cell>
          <cell r="E488" t="str">
            <v>Competitive Bidding</v>
          </cell>
          <cell r="F488">
            <v>45356</v>
          </cell>
          <cell r="G488">
            <v>45376</v>
          </cell>
          <cell r="H488">
            <v>0</v>
          </cell>
          <cell r="I488" t="str">
            <v>N/A</v>
          </cell>
          <cell r="J488">
            <v>45384</v>
          </cell>
          <cell r="K488">
            <v>45384</v>
          </cell>
          <cell r="L488">
            <v>0</v>
          </cell>
          <cell r="M488">
            <v>45384</v>
          </cell>
          <cell r="N488">
            <v>45399</v>
          </cell>
          <cell r="O488">
            <v>45411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45425</v>
          </cell>
          <cell r="U488">
            <v>45435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324000</v>
          </cell>
          <cell r="AB488">
            <v>0</v>
          </cell>
          <cell r="AC488">
            <v>324000</v>
          </cell>
          <cell r="AD488">
            <v>323595</v>
          </cell>
          <cell r="AE488">
            <v>0</v>
          </cell>
          <cell r="AF488">
            <v>323595</v>
          </cell>
          <cell r="AG488" t="str">
            <v>C</v>
          </cell>
          <cell r="AH488" t="str">
            <v>ENGR. MICHAEL C. SALARDA
MS. LEONARDA M. LATOR
MS. CARMENCITA VALDEZ
MS. SORAYA P. VERGARA</v>
          </cell>
          <cell r="AI488" t="str">
            <v>N/A</v>
          </cell>
          <cell r="AJ488">
            <v>45383</v>
          </cell>
          <cell r="AK488">
            <v>45383</v>
          </cell>
          <cell r="AL488">
            <v>45383</v>
          </cell>
          <cell r="AM488" t="str">
            <v>N/A</v>
          </cell>
          <cell r="AN488" t="str">
            <v>N/A</v>
          </cell>
          <cell r="AO488">
            <v>0</v>
          </cell>
        </row>
        <row r="489">
          <cell r="A489" t="str">
            <v>24-C1088</v>
          </cell>
          <cell r="B489" t="str">
            <v>MEALS AND SNACKS WITH ACCOMMODATION</v>
          </cell>
          <cell r="C489" t="str">
            <v>PDRRMO</v>
          </cell>
          <cell r="D489" t="str">
            <v>No</v>
          </cell>
          <cell r="E489" t="str">
            <v>Competitive Bidding</v>
          </cell>
          <cell r="F489">
            <v>45356</v>
          </cell>
          <cell r="G489">
            <v>45376</v>
          </cell>
          <cell r="H489">
            <v>0</v>
          </cell>
          <cell r="I489" t="str">
            <v>N/A</v>
          </cell>
          <cell r="J489">
            <v>45384</v>
          </cell>
          <cell r="K489">
            <v>45384</v>
          </cell>
          <cell r="L489">
            <v>0</v>
          </cell>
          <cell r="M489">
            <v>45384</v>
          </cell>
          <cell r="N489">
            <v>45399</v>
          </cell>
          <cell r="O489">
            <v>45411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45425</v>
          </cell>
          <cell r="U489">
            <v>45435</v>
          </cell>
          <cell r="V489">
            <v>0</v>
          </cell>
          <cell r="W489">
            <v>0</v>
          </cell>
          <cell r="X489">
            <v>45464</v>
          </cell>
          <cell r="Y489">
            <v>45464</v>
          </cell>
          <cell r="Z489">
            <v>0</v>
          </cell>
          <cell r="AA489">
            <v>437400</v>
          </cell>
          <cell r="AB489">
            <v>0</v>
          </cell>
          <cell r="AC489">
            <v>437400</v>
          </cell>
          <cell r="AD489">
            <v>436995</v>
          </cell>
          <cell r="AE489">
            <v>0</v>
          </cell>
          <cell r="AF489">
            <v>436995</v>
          </cell>
          <cell r="AG489" t="str">
            <v>C</v>
          </cell>
          <cell r="AH489" t="str">
            <v>ENGR. MICHAEL C. SALARDA
MS. LEONARDA M. LATOR
MS. CARMENCITA VALDEZ
MS. SORAYA P. VERGARA</v>
          </cell>
          <cell r="AI489" t="str">
            <v>N/A</v>
          </cell>
          <cell r="AJ489">
            <v>45383</v>
          </cell>
          <cell r="AK489">
            <v>45383</v>
          </cell>
          <cell r="AL489">
            <v>45383</v>
          </cell>
          <cell r="AM489" t="str">
            <v>N/A</v>
          </cell>
          <cell r="AN489" t="str">
            <v>N/A</v>
          </cell>
          <cell r="AO489" t="str">
            <v>COMPLETED</v>
          </cell>
        </row>
        <row r="490">
          <cell r="A490" t="str">
            <v>24-C1076</v>
          </cell>
          <cell r="B490" t="str">
            <v>OFFICE SUPPLIES</v>
          </cell>
          <cell r="C490" t="str">
            <v>PASSO</v>
          </cell>
          <cell r="D490" t="str">
            <v>No</v>
          </cell>
          <cell r="E490" t="str">
            <v>Competitive Bidding</v>
          </cell>
          <cell r="F490" t="str">
            <v>N/A</v>
          </cell>
          <cell r="G490">
            <v>45376</v>
          </cell>
          <cell r="H490">
            <v>0</v>
          </cell>
          <cell r="I490" t="str">
            <v>N/A</v>
          </cell>
          <cell r="J490">
            <v>45384</v>
          </cell>
          <cell r="K490">
            <v>45384</v>
          </cell>
          <cell r="L490">
            <v>0</v>
          </cell>
          <cell r="M490">
            <v>45384</v>
          </cell>
          <cell r="N490">
            <v>45405</v>
          </cell>
          <cell r="O490">
            <v>45411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45425</v>
          </cell>
          <cell r="U490">
            <v>45433</v>
          </cell>
          <cell r="V490">
            <v>0</v>
          </cell>
          <cell r="W490">
            <v>0</v>
          </cell>
          <cell r="X490">
            <v>45454</v>
          </cell>
          <cell r="Y490">
            <v>45454</v>
          </cell>
          <cell r="Z490">
            <v>0</v>
          </cell>
          <cell r="AA490">
            <v>375571</v>
          </cell>
          <cell r="AB490">
            <v>0</v>
          </cell>
          <cell r="AC490">
            <v>375571</v>
          </cell>
          <cell r="AD490">
            <v>371631</v>
          </cell>
          <cell r="AE490">
            <v>0</v>
          </cell>
          <cell r="AF490">
            <v>371631</v>
          </cell>
          <cell r="AG490" t="str">
            <v>C</v>
          </cell>
          <cell r="AH490" t="str">
            <v>ENGR. MICHAEL C. SALARDA
MS. LEONARDA M. LATOR
MS. CARMENCITA VALDEZ
MS. SORAYA P. VERGARA</v>
          </cell>
          <cell r="AI490" t="str">
            <v>N/A</v>
          </cell>
          <cell r="AJ490">
            <v>45383</v>
          </cell>
          <cell r="AK490">
            <v>45383</v>
          </cell>
          <cell r="AL490">
            <v>45383</v>
          </cell>
          <cell r="AM490" t="str">
            <v>N/A</v>
          </cell>
          <cell r="AN490" t="str">
            <v>N/A</v>
          </cell>
          <cell r="AO490" t="str">
            <v>COMPLETED</v>
          </cell>
        </row>
        <row r="491">
          <cell r="A491" t="str">
            <v>24-0919</v>
          </cell>
          <cell r="B491" t="str">
            <v>MOLY BEARING GREASE</v>
          </cell>
          <cell r="C491" t="str">
            <v>PEO</v>
          </cell>
          <cell r="D491" t="str">
            <v>No</v>
          </cell>
          <cell r="E491" t="str">
            <v>Competitive Bidding</v>
          </cell>
          <cell r="F491" t="str">
            <v>N/A</v>
          </cell>
          <cell r="G491">
            <v>45376</v>
          </cell>
          <cell r="H491">
            <v>0</v>
          </cell>
          <cell r="I491" t="str">
            <v>N/A</v>
          </cell>
          <cell r="J491">
            <v>45384</v>
          </cell>
          <cell r="K491">
            <v>45384</v>
          </cell>
          <cell r="L491">
            <v>0</v>
          </cell>
          <cell r="M491">
            <v>45384</v>
          </cell>
          <cell r="N491">
            <v>45406</v>
          </cell>
          <cell r="O491">
            <v>45411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45429</v>
          </cell>
          <cell r="U491">
            <v>45434</v>
          </cell>
          <cell r="V491">
            <v>0</v>
          </cell>
          <cell r="W491">
            <v>0</v>
          </cell>
          <cell r="X491">
            <v>45435</v>
          </cell>
          <cell r="Y491">
            <v>45435</v>
          </cell>
          <cell r="Z491">
            <v>0</v>
          </cell>
          <cell r="AA491">
            <v>346800</v>
          </cell>
          <cell r="AB491">
            <v>346800</v>
          </cell>
          <cell r="AC491">
            <v>0</v>
          </cell>
          <cell r="AD491">
            <v>346104</v>
          </cell>
          <cell r="AE491">
            <v>346104</v>
          </cell>
          <cell r="AF491">
            <v>0</v>
          </cell>
          <cell r="AG491" t="str">
            <v>M</v>
          </cell>
          <cell r="AH491" t="str">
            <v>ENGR. MICHAEL C. SALARDA
MS. LEONARDA M. LATOR
MS. CARMENCITA VALDEZ
MS. SORAYA P. VERGARA</v>
          </cell>
          <cell r="AI491" t="str">
            <v>N/A</v>
          </cell>
          <cell r="AJ491">
            <v>45383</v>
          </cell>
          <cell r="AK491">
            <v>45383</v>
          </cell>
          <cell r="AL491">
            <v>45383</v>
          </cell>
          <cell r="AM491" t="str">
            <v>N/A</v>
          </cell>
          <cell r="AN491" t="str">
            <v>N/A</v>
          </cell>
          <cell r="AO491" t="str">
            <v>COMPLETED</v>
          </cell>
        </row>
        <row r="492">
          <cell r="A492" t="str">
            <v>24-1348</v>
          </cell>
          <cell r="B492" t="str">
            <v>LANDRACE HYBRID PIGLET</v>
          </cell>
          <cell r="C492" t="str">
            <v>PVO</v>
          </cell>
          <cell r="D492" t="str">
            <v>No</v>
          </cell>
          <cell r="E492" t="str">
            <v>Competitive Bidding</v>
          </cell>
          <cell r="F492">
            <v>45370</v>
          </cell>
          <cell r="G492">
            <v>45376</v>
          </cell>
          <cell r="H492">
            <v>0</v>
          </cell>
          <cell r="I492" t="str">
            <v>N/A</v>
          </cell>
          <cell r="J492">
            <v>45384</v>
          </cell>
          <cell r="K492">
            <v>45384</v>
          </cell>
          <cell r="L492">
            <v>0</v>
          </cell>
          <cell r="M492">
            <v>45384</v>
          </cell>
          <cell r="N492">
            <v>45400</v>
          </cell>
          <cell r="O492">
            <v>45411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45432</v>
          </cell>
          <cell r="U492">
            <v>45446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240000</v>
          </cell>
          <cell r="AB492">
            <v>0</v>
          </cell>
          <cell r="AC492">
            <v>240000</v>
          </cell>
          <cell r="AD492">
            <v>239980</v>
          </cell>
          <cell r="AE492">
            <v>0</v>
          </cell>
          <cell r="AF492">
            <v>239980</v>
          </cell>
          <cell r="AG492" t="str">
            <v>C</v>
          </cell>
          <cell r="AH492" t="str">
            <v>ENGR. MICHAEL C. SALARDA
MS. LEONARDA M. LATOR
MS. CARMENCITA VALDEZ
MS. SORAYA P. VERGARA</v>
          </cell>
          <cell r="AI492" t="str">
            <v>N/A</v>
          </cell>
          <cell r="AJ492">
            <v>45383</v>
          </cell>
          <cell r="AK492">
            <v>45383</v>
          </cell>
          <cell r="AL492">
            <v>45383</v>
          </cell>
          <cell r="AM492" t="str">
            <v>N/A</v>
          </cell>
          <cell r="AN492" t="str">
            <v>N/A</v>
          </cell>
          <cell r="AO492">
            <v>0</v>
          </cell>
        </row>
        <row r="493">
          <cell r="A493" t="str">
            <v>24-C1084</v>
          </cell>
          <cell r="B493" t="str">
            <v>SEEDLINGS</v>
          </cell>
          <cell r="C493" t="str">
            <v>PENRO</v>
          </cell>
          <cell r="D493" t="str">
            <v>No</v>
          </cell>
          <cell r="E493" t="str">
            <v>Competitive Bidding</v>
          </cell>
          <cell r="F493" t="str">
            <v>N/A</v>
          </cell>
          <cell r="G493">
            <v>45348</v>
          </cell>
          <cell r="H493">
            <v>0</v>
          </cell>
          <cell r="I493" t="str">
            <v>N/A</v>
          </cell>
          <cell r="J493">
            <v>45384</v>
          </cell>
          <cell r="K493">
            <v>45384</v>
          </cell>
          <cell r="L493">
            <v>0</v>
          </cell>
          <cell r="M493">
            <v>45384</v>
          </cell>
          <cell r="N493">
            <v>45401</v>
          </cell>
          <cell r="O493">
            <v>45411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45434</v>
          </cell>
          <cell r="U493">
            <v>45463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879990</v>
          </cell>
          <cell r="AB493">
            <v>0</v>
          </cell>
          <cell r="AC493">
            <v>879990</v>
          </cell>
          <cell r="AD493">
            <v>844726</v>
          </cell>
          <cell r="AE493">
            <v>0</v>
          </cell>
          <cell r="AF493">
            <v>844726</v>
          </cell>
          <cell r="AG493" t="str">
            <v>C</v>
          </cell>
          <cell r="AH493" t="str">
            <v>ENGR. MICHAEL C. SALARDA
MS. LEONARDA M. LATOR
MS. CARMENCITA VALDEZ
MS. SORAYA P. VERGARA</v>
          </cell>
          <cell r="AI493" t="str">
            <v>N/A</v>
          </cell>
          <cell r="AJ493">
            <v>45383</v>
          </cell>
          <cell r="AK493">
            <v>45383</v>
          </cell>
          <cell r="AL493">
            <v>45383</v>
          </cell>
          <cell r="AM493" t="str">
            <v>N/A</v>
          </cell>
          <cell r="AN493" t="str">
            <v>N/A</v>
          </cell>
          <cell r="AO493">
            <v>0</v>
          </cell>
        </row>
        <row r="494">
          <cell r="A494" t="str">
            <v>24-C1143</v>
          </cell>
          <cell r="B494" t="str">
            <v>OFFICE SUPPLIES</v>
          </cell>
          <cell r="C494" t="str">
            <v>PENRO</v>
          </cell>
          <cell r="D494" t="str">
            <v>No</v>
          </cell>
          <cell r="E494" t="str">
            <v>Shopping 52.1(b) - Regular Office Supplies and Equipment no available in PS</v>
          </cell>
          <cell r="F494" t="str">
            <v>N/A</v>
          </cell>
          <cell r="G494">
            <v>45384</v>
          </cell>
          <cell r="H494">
            <v>0</v>
          </cell>
          <cell r="I494" t="str">
            <v>N/A</v>
          </cell>
          <cell r="J494">
            <v>45407</v>
          </cell>
          <cell r="K494">
            <v>45407</v>
          </cell>
          <cell r="L494">
            <v>0</v>
          </cell>
          <cell r="M494" t="str">
            <v>N/A</v>
          </cell>
          <cell r="N494" t="str">
            <v>N/A</v>
          </cell>
          <cell r="O494">
            <v>45411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45425</v>
          </cell>
          <cell r="U494">
            <v>45434</v>
          </cell>
          <cell r="V494">
            <v>0</v>
          </cell>
          <cell r="W494">
            <v>0</v>
          </cell>
          <cell r="X494">
            <v>45450</v>
          </cell>
          <cell r="Y494">
            <v>45450</v>
          </cell>
          <cell r="Z494">
            <v>0</v>
          </cell>
          <cell r="AA494">
            <v>128635</v>
          </cell>
          <cell r="AB494">
            <v>0</v>
          </cell>
          <cell r="AC494">
            <v>128635</v>
          </cell>
          <cell r="AD494">
            <v>127596</v>
          </cell>
          <cell r="AE494">
            <v>0</v>
          </cell>
          <cell r="AF494">
            <v>127596</v>
          </cell>
          <cell r="AG494" t="str">
            <v>C</v>
          </cell>
          <cell r="AH494" t="str">
            <v>ENGR. MICHAEL C. SALARDA
MS. LEONARDA M. LATOR
MS. CARMENCITA VALDEZ
MS. SORAYA P. VERGARA</v>
          </cell>
          <cell r="AI494" t="str">
            <v>N/A</v>
          </cell>
          <cell r="AJ494" t="str">
            <v>N/A</v>
          </cell>
          <cell r="AK494" t="str">
            <v>N/A</v>
          </cell>
          <cell r="AL494" t="str">
            <v>N/A</v>
          </cell>
          <cell r="AM494" t="str">
            <v>N/A</v>
          </cell>
          <cell r="AN494" t="str">
            <v>N/A</v>
          </cell>
          <cell r="AO494" t="str">
            <v>COMPLETED</v>
          </cell>
        </row>
        <row r="495">
          <cell r="A495" t="str">
            <v>24-1917</v>
          </cell>
          <cell r="B495" t="str">
            <v>OFFICE SUPPLIES</v>
          </cell>
          <cell r="C495" t="str">
            <v>PGO</v>
          </cell>
          <cell r="D495" t="str">
            <v>No</v>
          </cell>
          <cell r="E495" t="str">
            <v>Shopping 52.1(b) - Regular Office Supplies and Equipment no available in PS</v>
          </cell>
          <cell r="F495" t="str">
            <v>N/A</v>
          </cell>
          <cell r="G495">
            <v>45384</v>
          </cell>
          <cell r="H495">
            <v>0</v>
          </cell>
          <cell r="I495" t="str">
            <v>N/A</v>
          </cell>
          <cell r="J495">
            <v>45407</v>
          </cell>
          <cell r="K495">
            <v>45407</v>
          </cell>
          <cell r="L495">
            <v>0</v>
          </cell>
          <cell r="M495" t="str">
            <v>N/A</v>
          </cell>
          <cell r="N495" t="str">
            <v>N/A</v>
          </cell>
          <cell r="O495">
            <v>45411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45427</v>
          </cell>
          <cell r="U495">
            <v>45433</v>
          </cell>
          <cell r="V495">
            <v>0</v>
          </cell>
          <cell r="W495">
            <v>0</v>
          </cell>
          <cell r="X495">
            <v>45439</v>
          </cell>
          <cell r="Y495">
            <v>45439</v>
          </cell>
          <cell r="Z495">
            <v>0</v>
          </cell>
          <cell r="AA495">
            <v>1980</v>
          </cell>
          <cell r="AB495">
            <v>0</v>
          </cell>
          <cell r="AC495">
            <v>1980</v>
          </cell>
          <cell r="AD495">
            <v>1950</v>
          </cell>
          <cell r="AE495">
            <v>0</v>
          </cell>
          <cell r="AF495">
            <v>1950</v>
          </cell>
          <cell r="AG495" t="str">
            <v>C</v>
          </cell>
          <cell r="AH495" t="str">
            <v>ENGR. MICHAEL C. SALARDA
MS. LEONARDA M. LATOR
MS. CARMENCITA VALDEZ
MS. SORAYA P. VERGARA</v>
          </cell>
          <cell r="AI495" t="str">
            <v>N/A</v>
          </cell>
          <cell r="AJ495" t="str">
            <v>N/A</v>
          </cell>
          <cell r="AK495" t="str">
            <v>N/A</v>
          </cell>
          <cell r="AL495" t="str">
            <v>N/A</v>
          </cell>
          <cell r="AM495" t="str">
            <v>N/A</v>
          </cell>
          <cell r="AN495" t="str">
            <v>N/A</v>
          </cell>
          <cell r="AO495" t="str">
            <v>COMPLETED</v>
          </cell>
        </row>
        <row r="496">
          <cell r="A496" t="str">
            <v>24-C1271</v>
          </cell>
          <cell r="B496" t="str">
            <v>OFFICE SUPPLIES</v>
          </cell>
          <cell r="C496" t="str">
            <v>SPO</v>
          </cell>
          <cell r="D496" t="str">
            <v>No</v>
          </cell>
          <cell r="E496" t="str">
            <v>Shopping 52.1(b) - Regular Office Supplies and Equipment no available in PS</v>
          </cell>
          <cell r="F496" t="str">
            <v>N/A</v>
          </cell>
          <cell r="G496">
            <v>45376</v>
          </cell>
          <cell r="H496">
            <v>0</v>
          </cell>
          <cell r="I496" t="str">
            <v>N/A</v>
          </cell>
          <cell r="J496">
            <v>45407</v>
          </cell>
          <cell r="K496">
            <v>45407</v>
          </cell>
          <cell r="L496">
            <v>0</v>
          </cell>
          <cell r="M496" t="str">
            <v>N/A</v>
          </cell>
          <cell r="N496" t="str">
            <v>N/A</v>
          </cell>
          <cell r="O496">
            <v>45411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45449</v>
          </cell>
          <cell r="U496">
            <v>45454</v>
          </cell>
          <cell r="V496">
            <v>0</v>
          </cell>
          <cell r="W496">
            <v>0</v>
          </cell>
          <cell r="X496">
            <v>45464</v>
          </cell>
          <cell r="Y496">
            <v>45464</v>
          </cell>
          <cell r="Z496">
            <v>0</v>
          </cell>
          <cell r="AA496">
            <v>49648</v>
          </cell>
          <cell r="AB496">
            <v>49648</v>
          </cell>
          <cell r="AC496">
            <v>0</v>
          </cell>
          <cell r="AD496">
            <v>49483</v>
          </cell>
          <cell r="AE496">
            <v>49483</v>
          </cell>
          <cell r="AF496">
            <v>0</v>
          </cell>
          <cell r="AG496" t="str">
            <v>M</v>
          </cell>
          <cell r="AH496" t="str">
            <v>ENGR. MICHAEL C. SALARDA
MS. LEONARDA M. LATOR
MS. CARMENCITA VALDEZ
MS. SORAYA P. VERGARA</v>
          </cell>
          <cell r="AI496" t="str">
            <v>N/A</v>
          </cell>
          <cell r="AJ496" t="str">
            <v>N/A</v>
          </cell>
          <cell r="AK496" t="str">
            <v>N/A</v>
          </cell>
          <cell r="AL496" t="str">
            <v>N/A</v>
          </cell>
          <cell r="AM496" t="str">
            <v>N/A</v>
          </cell>
          <cell r="AN496" t="str">
            <v>N/A</v>
          </cell>
          <cell r="AO496" t="str">
            <v>COMPLETED</v>
          </cell>
        </row>
        <row r="497">
          <cell r="A497" t="str">
            <v>24-C1208</v>
          </cell>
          <cell r="B497" t="str">
            <v>OFFICE SUPPLIES</v>
          </cell>
          <cell r="C497" t="str">
            <v>PVO</v>
          </cell>
          <cell r="D497" t="str">
            <v>No</v>
          </cell>
          <cell r="E497" t="str">
            <v>Shopping 52.1(b) - Regular Office Supplies and Equipment no available in PS</v>
          </cell>
          <cell r="F497" t="str">
            <v>N/A</v>
          </cell>
          <cell r="G497">
            <v>45385</v>
          </cell>
          <cell r="H497">
            <v>0</v>
          </cell>
          <cell r="I497" t="str">
            <v>N/A</v>
          </cell>
          <cell r="J497">
            <v>45407</v>
          </cell>
          <cell r="K497">
            <v>45407</v>
          </cell>
          <cell r="L497">
            <v>0</v>
          </cell>
          <cell r="M497" t="str">
            <v>N/A</v>
          </cell>
          <cell r="N497" t="str">
            <v>N/A</v>
          </cell>
          <cell r="O497">
            <v>45411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45432</v>
          </cell>
          <cell r="U497">
            <v>45436</v>
          </cell>
          <cell r="V497">
            <v>0</v>
          </cell>
          <cell r="W497">
            <v>0</v>
          </cell>
          <cell r="X497">
            <v>45464</v>
          </cell>
          <cell r="Y497">
            <v>45464</v>
          </cell>
          <cell r="Z497">
            <v>0</v>
          </cell>
          <cell r="AA497">
            <v>99064</v>
          </cell>
          <cell r="AB497">
            <v>99064</v>
          </cell>
          <cell r="AC497">
            <v>0</v>
          </cell>
          <cell r="AD497">
            <v>98676.5</v>
          </cell>
          <cell r="AE497">
            <v>98676.5</v>
          </cell>
          <cell r="AF497">
            <v>0</v>
          </cell>
          <cell r="AG497" t="str">
            <v>M</v>
          </cell>
          <cell r="AH497" t="str">
            <v>ENGR. MICHAEL C. SALARDA
MS. LEONARDA M. LATOR
MS. CARMENCITA VALDEZ
MS. SORAYA P. VERGARA</v>
          </cell>
          <cell r="AI497" t="str">
            <v>N/A</v>
          </cell>
          <cell r="AJ497" t="str">
            <v>N/A</v>
          </cell>
          <cell r="AK497" t="str">
            <v>N/A</v>
          </cell>
          <cell r="AL497" t="str">
            <v>N/A</v>
          </cell>
          <cell r="AM497" t="str">
            <v>N/A</v>
          </cell>
          <cell r="AN497" t="str">
            <v>N/A</v>
          </cell>
          <cell r="AO497" t="str">
            <v>COMPLETED</v>
          </cell>
        </row>
        <row r="498">
          <cell r="A498" t="str">
            <v>24-C1071</v>
          </cell>
          <cell r="B498" t="str">
            <v>OFFICE SUPPLIES</v>
          </cell>
          <cell r="C498" t="str">
            <v>PAO</v>
          </cell>
          <cell r="D498" t="str">
            <v>No</v>
          </cell>
          <cell r="E498" t="str">
            <v>Shopping 52.1(b) - Regular Office Supplies and Equipment no available in PS</v>
          </cell>
          <cell r="F498" t="str">
            <v>N/A</v>
          </cell>
          <cell r="G498">
            <v>45376</v>
          </cell>
          <cell r="H498">
            <v>0</v>
          </cell>
          <cell r="I498" t="str">
            <v>N/A</v>
          </cell>
          <cell r="J498">
            <v>45407</v>
          </cell>
          <cell r="K498">
            <v>45407</v>
          </cell>
          <cell r="L498">
            <v>0</v>
          </cell>
          <cell r="M498" t="str">
            <v>N/A</v>
          </cell>
          <cell r="N498" t="str">
            <v>N/A</v>
          </cell>
          <cell r="O498">
            <v>45411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45425</v>
          </cell>
          <cell r="U498">
            <v>45446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227776.5</v>
          </cell>
          <cell r="AB498">
            <v>227776.5</v>
          </cell>
          <cell r="AC498">
            <v>0</v>
          </cell>
          <cell r="AD498">
            <v>221394.1</v>
          </cell>
          <cell r="AE498">
            <v>221394.1</v>
          </cell>
          <cell r="AF498">
            <v>0</v>
          </cell>
          <cell r="AG498" t="str">
            <v>M</v>
          </cell>
          <cell r="AH498" t="str">
            <v>ENGR. MICHAEL C. SALARDA
MS. LEONARDA M. LATOR
MS. CARMENCITA VALDEZ
MS. SORAYA P. VERGARA</v>
          </cell>
          <cell r="AI498" t="str">
            <v>N/A</v>
          </cell>
          <cell r="AJ498" t="str">
            <v>N/A</v>
          </cell>
          <cell r="AK498" t="str">
            <v>N/A</v>
          </cell>
          <cell r="AL498" t="str">
            <v>N/A</v>
          </cell>
          <cell r="AM498" t="str">
            <v>N/A</v>
          </cell>
          <cell r="AN498" t="str">
            <v>N/A</v>
          </cell>
          <cell r="AO498">
            <v>0</v>
          </cell>
        </row>
        <row r="499">
          <cell r="A499" t="str">
            <v>24-C1260</v>
          </cell>
          <cell r="B499" t="str">
            <v>OFFICE SUPPLIES</v>
          </cell>
          <cell r="C499" t="str">
            <v>PHRMDO</v>
          </cell>
          <cell r="D499" t="str">
            <v>No</v>
          </cell>
          <cell r="E499" t="str">
            <v>Shopping 52.1(b) - Regular Office Supplies and Equipment no available in PS</v>
          </cell>
          <cell r="F499">
            <v>45384</v>
          </cell>
          <cell r="G499">
            <v>45390</v>
          </cell>
          <cell r="H499">
            <v>0</v>
          </cell>
          <cell r="I499" t="str">
            <v>N/A</v>
          </cell>
          <cell r="J499">
            <v>45407</v>
          </cell>
          <cell r="K499">
            <v>45407</v>
          </cell>
          <cell r="L499">
            <v>0</v>
          </cell>
          <cell r="M499" t="str">
            <v>N/A</v>
          </cell>
          <cell r="N499" t="str">
            <v>N/A</v>
          </cell>
          <cell r="O499">
            <v>45411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45434</v>
          </cell>
          <cell r="U499">
            <v>45434</v>
          </cell>
          <cell r="V499">
            <v>0</v>
          </cell>
          <cell r="W499">
            <v>0</v>
          </cell>
          <cell r="X499">
            <v>45443</v>
          </cell>
          <cell r="Y499">
            <v>45443</v>
          </cell>
          <cell r="Z499">
            <v>0</v>
          </cell>
          <cell r="AA499">
            <v>78882</v>
          </cell>
          <cell r="AB499">
            <v>78882</v>
          </cell>
          <cell r="AC499">
            <v>0</v>
          </cell>
          <cell r="AD499">
            <v>77577</v>
          </cell>
          <cell r="AE499">
            <v>77577</v>
          </cell>
          <cell r="AF499">
            <v>0</v>
          </cell>
          <cell r="AG499" t="str">
            <v>M</v>
          </cell>
          <cell r="AH499" t="str">
            <v>ENGR. MICHAEL C. SALARDA
MS. LEONARDA M. LATOR
MS. CARMENCITA VALDEZ
MS. SORAYA P. VERGARA</v>
          </cell>
          <cell r="AI499" t="str">
            <v>N/A</v>
          </cell>
          <cell r="AJ499" t="str">
            <v>N/A</v>
          </cell>
          <cell r="AK499" t="str">
            <v>N/A</v>
          </cell>
          <cell r="AL499" t="str">
            <v>N/A</v>
          </cell>
          <cell r="AM499" t="str">
            <v>N/A</v>
          </cell>
          <cell r="AN499" t="str">
            <v>N/A</v>
          </cell>
          <cell r="AO499" t="str">
            <v>COMPLETED</v>
          </cell>
        </row>
        <row r="500">
          <cell r="A500" t="str">
            <v>24-C1209</v>
          </cell>
          <cell r="B500" t="str">
            <v>OFFICE SUPPLIES</v>
          </cell>
          <cell r="C500" t="str">
            <v>PGO</v>
          </cell>
          <cell r="D500" t="str">
            <v>No</v>
          </cell>
          <cell r="E500" t="str">
            <v>Shopping 52.1(b) - Regular Office Supplies and Equipment no available in PS</v>
          </cell>
          <cell r="F500" t="str">
            <v>N/A</v>
          </cell>
          <cell r="G500">
            <v>45390</v>
          </cell>
          <cell r="H500">
            <v>0</v>
          </cell>
          <cell r="I500" t="str">
            <v>N/A</v>
          </cell>
          <cell r="J500">
            <v>45407</v>
          </cell>
          <cell r="K500">
            <v>45407</v>
          </cell>
          <cell r="L500">
            <v>0</v>
          </cell>
          <cell r="M500" t="str">
            <v>N/A</v>
          </cell>
          <cell r="N500" t="str">
            <v>N/A</v>
          </cell>
          <cell r="O500">
            <v>45411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45427</v>
          </cell>
          <cell r="U500">
            <v>45446</v>
          </cell>
          <cell r="V500">
            <v>0</v>
          </cell>
          <cell r="W500">
            <v>0</v>
          </cell>
          <cell r="X500">
            <v>45450</v>
          </cell>
          <cell r="Y500">
            <v>45450</v>
          </cell>
          <cell r="Z500">
            <v>0</v>
          </cell>
          <cell r="AA500">
            <v>76340</v>
          </cell>
          <cell r="AB500">
            <v>0</v>
          </cell>
          <cell r="AC500">
            <v>76340</v>
          </cell>
          <cell r="AD500">
            <v>74800</v>
          </cell>
          <cell r="AE500">
            <v>0</v>
          </cell>
          <cell r="AF500">
            <v>74800</v>
          </cell>
          <cell r="AG500" t="str">
            <v>C</v>
          </cell>
          <cell r="AH500" t="str">
            <v>ENGR. MICHAEL C. SALARDA
MS. LEONARDA M. LATOR
MS. CARMENCITA VALDEZ
MS. SORAYA P. VERGARA</v>
          </cell>
          <cell r="AI500" t="str">
            <v>N/A</v>
          </cell>
          <cell r="AJ500" t="str">
            <v>N/A</v>
          </cell>
          <cell r="AK500" t="str">
            <v>N/A</v>
          </cell>
          <cell r="AL500" t="str">
            <v>N/A</v>
          </cell>
          <cell r="AM500" t="str">
            <v>N/A</v>
          </cell>
          <cell r="AN500" t="str">
            <v>N/A</v>
          </cell>
          <cell r="AO500" t="str">
            <v>COMPLETED</v>
          </cell>
        </row>
        <row r="501">
          <cell r="A501" t="str">
            <v>24-1744</v>
          </cell>
          <cell r="B501" t="str">
            <v>OFFICE SUPPLIES</v>
          </cell>
          <cell r="C501" t="str">
            <v>PAO</v>
          </cell>
          <cell r="D501" t="str">
            <v>No</v>
          </cell>
          <cell r="E501" t="str">
            <v>Shopping 52.1(b) - Regular Office Supplies and Equipment no available in PS</v>
          </cell>
          <cell r="F501">
            <v>45384</v>
          </cell>
          <cell r="G501">
            <v>45390</v>
          </cell>
          <cell r="H501">
            <v>0</v>
          </cell>
          <cell r="I501" t="str">
            <v>N/A</v>
          </cell>
          <cell r="J501">
            <v>45407</v>
          </cell>
          <cell r="K501">
            <v>45407</v>
          </cell>
          <cell r="L501">
            <v>0</v>
          </cell>
          <cell r="M501" t="str">
            <v>N/A</v>
          </cell>
          <cell r="N501" t="str">
            <v>N/A</v>
          </cell>
          <cell r="O501">
            <v>45411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45429</v>
          </cell>
          <cell r="U501">
            <v>45432</v>
          </cell>
          <cell r="V501">
            <v>0</v>
          </cell>
          <cell r="W501">
            <v>0</v>
          </cell>
          <cell r="X501">
            <v>45436</v>
          </cell>
          <cell r="Y501">
            <v>45436</v>
          </cell>
          <cell r="Z501">
            <v>0</v>
          </cell>
          <cell r="AA501">
            <v>5582</v>
          </cell>
          <cell r="AB501">
            <v>5582</v>
          </cell>
          <cell r="AC501">
            <v>0</v>
          </cell>
          <cell r="AD501">
            <v>5460</v>
          </cell>
          <cell r="AE501">
            <v>5460</v>
          </cell>
          <cell r="AF501">
            <v>0</v>
          </cell>
          <cell r="AG501" t="str">
            <v>M</v>
          </cell>
          <cell r="AH501" t="str">
            <v>ENGR. MICHAEL C. SALARDA
MS. LEONARDA M. LATOR
MS. CARMENCITA VALDEZ
MS. SORAYA P. VERGARA</v>
          </cell>
          <cell r="AI501" t="str">
            <v>N/A</v>
          </cell>
          <cell r="AJ501" t="str">
            <v>N/A</v>
          </cell>
          <cell r="AK501" t="str">
            <v>N/A</v>
          </cell>
          <cell r="AL501" t="str">
            <v>N/A</v>
          </cell>
          <cell r="AM501" t="str">
            <v>N/A</v>
          </cell>
          <cell r="AN501" t="str">
            <v>N/A</v>
          </cell>
          <cell r="AO501" t="str">
            <v>COMPLETED</v>
          </cell>
        </row>
        <row r="502">
          <cell r="A502" t="str">
            <v>24-C1297</v>
          </cell>
          <cell r="B502" t="str">
            <v>OFFICE SUPPLIES</v>
          </cell>
          <cell r="C502" t="str">
            <v>PAGRO</v>
          </cell>
          <cell r="D502" t="str">
            <v>No</v>
          </cell>
          <cell r="E502" t="str">
            <v>Shopping 52.1(b) - Regular Office Supplies and Equipment no available in PS</v>
          </cell>
          <cell r="F502" t="str">
            <v>N/A</v>
          </cell>
          <cell r="G502">
            <v>45390</v>
          </cell>
          <cell r="H502">
            <v>0</v>
          </cell>
          <cell r="I502" t="str">
            <v>N/A</v>
          </cell>
          <cell r="J502">
            <v>45407</v>
          </cell>
          <cell r="K502">
            <v>45407</v>
          </cell>
          <cell r="L502">
            <v>0</v>
          </cell>
          <cell r="M502" t="str">
            <v>N/A</v>
          </cell>
          <cell r="N502" t="str">
            <v>N/A</v>
          </cell>
          <cell r="O502">
            <v>45411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45432</v>
          </cell>
          <cell r="U502">
            <v>45433</v>
          </cell>
          <cell r="V502">
            <v>0</v>
          </cell>
          <cell r="W502">
            <v>0</v>
          </cell>
          <cell r="X502">
            <v>45463</v>
          </cell>
          <cell r="Y502">
            <v>45463</v>
          </cell>
          <cell r="Z502">
            <v>0</v>
          </cell>
          <cell r="AA502">
            <v>5588</v>
          </cell>
          <cell r="AB502">
            <v>0</v>
          </cell>
          <cell r="AC502">
            <v>5588</v>
          </cell>
          <cell r="AD502">
            <v>5370</v>
          </cell>
          <cell r="AE502">
            <v>0</v>
          </cell>
          <cell r="AF502">
            <v>5370</v>
          </cell>
          <cell r="AG502" t="str">
            <v>C</v>
          </cell>
          <cell r="AH502" t="str">
            <v>ENGR. MICHAEL C. SALARDA
MS. LEONARDA M. LATOR
MS. CARMENCITA VALDEZ
MS. SORAYA P. VERGARA</v>
          </cell>
          <cell r="AI502" t="str">
            <v>N/A</v>
          </cell>
          <cell r="AJ502" t="str">
            <v>N/A</v>
          </cell>
          <cell r="AK502" t="str">
            <v>N/A</v>
          </cell>
          <cell r="AL502" t="str">
            <v>N/A</v>
          </cell>
          <cell r="AM502" t="str">
            <v>N/A</v>
          </cell>
          <cell r="AN502" t="str">
            <v>N/A</v>
          </cell>
          <cell r="AO502" t="str">
            <v>COMPLETED</v>
          </cell>
        </row>
        <row r="503">
          <cell r="A503" t="str">
            <v>24-C1205</v>
          </cell>
          <cell r="B503" t="str">
            <v>OFFICE SUPPLIES</v>
          </cell>
          <cell r="C503" t="str">
            <v>PGSO</v>
          </cell>
          <cell r="D503" t="str">
            <v>No</v>
          </cell>
          <cell r="E503" t="str">
            <v>Shopping 52.1(b) - Regular Office Supplies and Equipment no available in PS</v>
          </cell>
          <cell r="F503" t="str">
            <v>N/A</v>
          </cell>
          <cell r="G503">
            <v>45376</v>
          </cell>
          <cell r="H503">
            <v>0</v>
          </cell>
          <cell r="I503" t="str">
            <v>N/A</v>
          </cell>
          <cell r="J503">
            <v>45407</v>
          </cell>
          <cell r="K503">
            <v>45407</v>
          </cell>
          <cell r="L503">
            <v>0</v>
          </cell>
          <cell r="M503" t="str">
            <v>N/A</v>
          </cell>
          <cell r="N503" t="str">
            <v>N/A</v>
          </cell>
          <cell r="O503">
            <v>45411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45427</v>
          </cell>
          <cell r="U503">
            <v>45448</v>
          </cell>
          <cell r="V503">
            <v>0</v>
          </cell>
          <cell r="W503">
            <v>0</v>
          </cell>
          <cell r="X503">
            <v>45468</v>
          </cell>
          <cell r="Y503">
            <v>45468</v>
          </cell>
          <cell r="Z503">
            <v>0</v>
          </cell>
          <cell r="AA503">
            <v>41238</v>
          </cell>
          <cell r="AB503">
            <v>41238</v>
          </cell>
          <cell r="AC503">
            <v>0</v>
          </cell>
          <cell r="AD503">
            <v>41196</v>
          </cell>
          <cell r="AE503">
            <v>41196</v>
          </cell>
          <cell r="AF503">
            <v>0</v>
          </cell>
          <cell r="AG503" t="str">
            <v>M</v>
          </cell>
          <cell r="AH503" t="str">
            <v>ENGR. MICHAEL C. SALARDA
MS. LEONARDA M. LATOR
MS. CARMENCITA VALDEZ
MS. SORAYA P. VERGARA</v>
          </cell>
          <cell r="AI503" t="str">
            <v>N/A</v>
          </cell>
          <cell r="AJ503" t="str">
            <v>N/A</v>
          </cell>
          <cell r="AK503" t="str">
            <v>N/A</v>
          </cell>
          <cell r="AL503" t="str">
            <v>N/A</v>
          </cell>
          <cell r="AM503" t="str">
            <v>N/A</v>
          </cell>
          <cell r="AN503" t="str">
            <v>N/A</v>
          </cell>
          <cell r="AO503" t="str">
            <v>COMPLETED</v>
          </cell>
        </row>
        <row r="504">
          <cell r="A504" t="str">
            <v>24-1773</v>
          </cell>
          <cell r="B504" t="str">
            <v>FOOD/CATERING SERVICES</v>
          </cell>
          <cell r="C504" t="str">
            <v>PGO</v>
          </cell>
          <cell r="D504" t="str">
            <v>No</v>
          </cell>
          <cell r="E504" t="str">
            <v>NP-53.9 - Small Value Procurement</v>
          </cell>
          <cell r="F504">
            <v>45373</v>
          </cell>
          <cell r="G504">
            <v>45384</v>
          </cell>
          <cell r="H504">
            <v>0</v>
          </cell>
          <cell r="I504" t="str">
            <v>N/A</v>
          </cell>
          <cell r="J504">
            <v>45407</v>
          </cell>
          <cell r="K504">
            <v>45407</v>
          </cell>
          <cell r="L504">
            <v>0</v>
          </cell>
          <cell r="M504" t="str">
            <v>N/A</v>
          </cell>
          <cell r="N504" t="str">
            <v>N/A</v>
          </cell>
          <cell r="O504">
            <v>45411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45425</v>
          </cell>
          <cell r="U504">
            <v>45435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68000</v>
          </cell>
          <cell r="AB504">
            <v>68000</v>
          </cell>
          <cell r="AC504">
            <v>0</v>
          </cell>
          <cell r="AD504">
            <v>67600</v>
          </cell>
          <cell r="AE504">
            <v>67600</v>
          </cell>
          <cell r="AF504">
            <v>0</v>
          </cell>
          <cell r="AG504" t="str">
            <v>M</v>
          </cell>
          <cell r="AH504" t="str">
            <v>ENGR. MICHAEL C. SALARDA
MS. LEONARDA M. LATOR
MS. CARMENCITA VALDEZ
MS. SORAYA P. VERGARA</v>
          </cell>
          <cell r="AI504" t="str">
            <v>N/A</v>
          </cell>
          <cell r="AJ504" t="str">
            <v>N/A</v>
          </cell>
          <cell r="AK504" t="str">
            <v>N/A</v>
          </cell>
          <cell r="AL504" t="str">
            <v>N/A</v>
          </cell>
          <cell r="AM504" t="str">
            <v>N/A</v>
          </cell>
          <cell r="AN504" t="str">
            <v>N/A</v>
          </cell>
          <cell r="AO504">
            <v>0</v>
          </cell>
        </row>
        <row r="505">
          <cell r="A505" t="str">
            <v>24-1926</v>
          </cell>
          <cell r="B505" t="str">
            <v>RICE, WELL MILLED</v>
          </cell>
          <cell r="C505" t="str">
            <v>PGO</v>
          </cell>
          <cell r="D505" t="str">
            <v>No</v>
          </cell>
          <cell r="E505" t="str">
            <v>NP-53.9 - Small Value Procurement</v>
          </cell>
          <cell r="F505">
            <v>45370</v>
          </cell>
          <cell r="G505">
            <v>45376</v>
          </cell>
          <cell r="H505">
            <v>0</v>
          </cell>
          <cell r="I505" t="str">
            <v>N/A</v>
          </cell>
          <cell r="J505">
            <v>45407</v>
          </cell>
          <cell r="K505">
            <v>45407</v>
          </cell>
          <cell r="L505">
            <v>0</v>
          </cell>
          <cell r="M505" t="str">
            <v>N/A</v>
          </cell>
          <cell r="N505" t="str">
            <v>N/A</v>
          </cell>
          <cell r="O505">
            <v>45411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45420</v>
          </cell>
          <cell r="U505">
            <v>45425</v>
          </cell>
          <cell r="V505">
            <v>0</v>
          </cell>
          <cell r="W505">
            <v>0</v>
          </cell>
          <cell r="X505">
            <v>45427</v>
          </cell>
          <cell r="Y505">
            <v>45427</v>
          </cell>
          <cell r="Z505">
            <v>0</v>
          </cell>
          <cell r="AA505">
            <v>482790</v>
          </cell>
          <cell r="AB505">
            <v>0</v>
          </cell>
          <cell r="AC505">
            <v>482790</v>
          </cell>
          <cell r="AD505">
            <v>477400</v>
          </cell>
          <cell r="AE505">
            <v>0</v>
          </cell>
          <cell r="AF505">
            <v>477400</v>
          </cell>
          <cell r="AG505" t="str">
            <v>C</v>
          </cell>
          <cell r="AH505" t="str">
            <v>ENGR. MICHAEL C. SALARDA
MS. LEONARDA M. LATOR
MS. CARMENCITA VALDEZ
MS. SORAYA P. VERGARA</v>
          </cell>
          <cell r="AI505" t="str">
            <v>N/A</v>
          </cell>
          <cell r="AJ505" t="str">
            <v>N/A</v>
          </cell>
          <cell r="AK505" t="str">
            <v>N/A</v>
          </cell>
          <cell r="AL505" t="str">
            <v>N/A</v>
          </cell>
          <cell r="AM505" t="str">
            <v>N/A</v>
          </cell>
          <cell r="AN505" t="str">
            <v>N/A</v>
          </cell>
          <cell r="AO505" t="str">
            <v>COMPLETED</v>
          </cell>
        </row>
        <row r="506">
          <cell r="A506" t="str">
            <v>24-1334</v>
          </cell>
          <cell r="B506" t="str">
            <v>SPAREPARTS (AIRCONDITION)</v>
          </cell>
          <cell r="C506" t="str">
            <v>PGSO</v>
          </cell>
          <cell r="D506" t="str">
            <v>No</v>
          </cell>
          <cell r="E506" t="str">
            <v>NP-53.9 - Small Value Procurement</v>
          </cell>
          <cell r="F506" t="str">
            <v>N/A</v>
          </cell>
          <cell r="G506">
            <v>45376</v>
          </cell>
          <cell r="H506">
            <v>0</v>
          </cell>
          <cell r="I506" t="str">
            <v>N/A</v>
          </cell>
          <cell r="J506">
            <v>45407</v>
          </cell>
          <cell r="K506">
            <v>45407</v>
          </cell>
          <cell r="L506">
            <v>0</v>
          </cell>
          <cell r="M506" t="str">
            <v>N/A</v>
          </cell>
          <cell r="N506" t="str">
            <v>N/A</v>
          </cell>
          <cell r="O506">
            <v>45411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45425</v>
          </cell>
          <cell r="U506">
            <v>45448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173316</v>
          </cell>
          <cell r="AB506">
            <v>173316</v>
          </cell>
          <cell r="AC506">
            <v>0</v>
          </cell>
          <cell r="AD506">
            <v>153764</v>
          </cell>
          <cell r="AE506">
            <v>153764</v>
          </cell>
          <cell r="AF506">
            <v>0</v>
          </cell>
          <cell r="AG506" t="str">
            <v>M</v>
          </cell>
          <cell r="AH506" t="str">
            <v>ENGR. MICHAEL C. SALARDA
MS. LEONARDA M. LATOR
MS. CARMENCITA VALDEZ
MS. SORAYA P. VERGARA</v>
          </cell>
          <cell r="AI506" t="str">
            <v>N/A</v>
          </cell>
          <cell r="AJ506" t="str">
            <v>N/A</v>
          </cell>
          <cell r="AK506" t="str">
            <v>N/A</v>
          </cell>
          <cell r="AL506" t="str">
            <v>N/A</v>
          </cell>
          <cell r="AM506" t="str">
            <v>N/A</v>
          </cell>
          <cell r="AN506" t="str">
            <v>N/A</v>
          </cell>
          <cell r="AO506">
            <v>0</v>
          </cell>
        </row>
        <row r="507">
          <cell r="A507" t="str">
            <v>24-1943</v>
          </cell>
          <cell r="B507" t="str">
            <v>FOOD/CATERING SERVICES</v>
          </cell>
          <cell r="C507" t="str">
            <v>PAGRO</v>
          </cell>
          <cell r="D507" t="str">
            <v>No</v>
          </cell>
          <cell r="E507" t="str">
            <v>NP-53.9 - Small Value Procurement</v>
          </cell>
          <cell r="F507">
            <v>45384</v>
          </cell>
          <cell r="G507">
            <v>45390</v>
          </cell>
          <cell r="H507">
            <v>0</v>
          </cell>
          <cell r="I507" t="str">
            <v>N/A</v>
          </cell>
          <cell r="J507">
            <v>45407</v>
          </cell>
          <cell r="K507">
            <v>45407</v>
          </cell>
          <cell r="L507">
            <v>0</v>
          </cell>
          <cell r="M507" t="str">
            <v>N/A</v>
          </cell>
          <cell r="N507" t="str">
            <v>N/A</v>
          </cell>
          <cell r="O507">
            <v>45411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45432</v>
          </cell>
          <cell r="U507">
            <v>45435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46000</v>
          </cell>
          <cell r="AB507">
            <v>0</v>
          </cell>
          <cell r="AC507">
            <v>46000</v>
          </cell>
          <cell r="AD507">
            <v>46000</v>
          </cell>
          <cell r="AE507">
            <v>0</v>
          </cell>
          <cell r="AF507">
            <v>46000</v>
          </cell>
          <cell r="AG507" t="str">
            <v>C</v>
          </cell>
          <cell r="AH507" t="str">
            <v>ENGR. MICHAEL C. SALARDA
MS. LEONARDA M. LATOR
MS. CARMENCITA VALDEZ
MS. SORAYA P. VERGARA</v>
          </cell>
          <cell r="AI507" t="str">
            <v>N/A</v>
          </cell>
          <cell r="AJ507" t="str">
            <v>N/A</v>
          </cell>
          <cell r="AK507" t="str">
            <v>N/A</v>
          </cell>
          <cell r="AL507" t="str">
            <v>N/A</v>
          </cell>
          <cell r="AM507" t="str">
            <v>N/A</v>
          </cell>
          <cell r="AN507" t="str">
            <v>N/A</v>
          </cell>
          <cell r="AO507">
            <v>0</v>
          </cell>
        </row>
        <row r="508">
          <cell r="A508" t="str">
            <v>24-1650</v>
          </cell>
          <cell r="B508" t="str">
            <v>SPHYGMOMANOMETER</v>
          </cell>
          <cell r="C508" t="str">
            <v>PAO</v>
          </cell>
          <cell r="D508" t="str">
            <v>No</v>
          </cell>
          <cell r="E508" t="str">
            <v>NP-53.9 - Small Value Procurement</v>
          </cell>
          <cell r="F508" t="str">
            <v>N/A</v>
          </cell>
          <cell r="G508">
            <v>45385</v>
          </cell>
          <cell r="H508">
            <v>0</v>
          </cell>
          <cell r="I508" t="str">
            <v>N/A</v>
          </cell>
          <cell r="J508">
            <v>45407</v>
          </cell>
          <cell r="K508">
            <v>45407</v>
          </cell>
          <cell r="L508">
            <v>0</v>
          </cell>
          <cell r="M508" t="str">
            <v>N/A</v>
          </cell>
          <cell r="N508" t="str">
            <v>N/A</v>
          </cell>
          <cell r="O508">
            <v>45411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45425</v>
          </cell>
          <cell r="U508">
            <v>45432</v>
          </cell>
          <cell r="V508">
            <v>0</v>
          </cell>
          <cell r="W508">
            <v>0</v>
          </cell>
          <cell r="X508">
            <v>45448</v>
          </cell>
          <cell r="Y508">
            <v>45448</v>
          </cell>
          <cell r="Z508">
            <v>0</v>
          </cell>
          <cell r="AA508">
            <v>6600</v>
          </cell>
          <cell r="AB508">
            <v>6600</v>
          </cell>
          <cell r="AC508">
            <v>0</v>
          </cell>
          <cell r="AD508">
            <v>2000</v>
          </cell>
          <cell r="AE508">
            <v>2000</v>
          </cell>
          <cell r="AF508">
            <v>0</v>
          </cell>
          <cell r="AG508" t="str">
            <v>M</v>
          </cell>
          <cell r="AH508" t="str">
            <v>ENGR. MICHAEL C. SALARDA
MS. LEONARDA M. LATOR
MS. CARMENCITA VALDEZ
MS. SORAYA P. VERGARA</v>
          </cell>
          <cell r="AI508" t="str">
            <v>N/A</v>
          </cell>
          <cell r="AJ508" t="str">
            <v>N/A</v>
          </cell>
          <cell r="AK508" t="str">
            <v>N/A</v>
          </cell>
          <cell r="AL508" t="str">
            <v>N/A</v>
          </cell>
          <cell r="AM508" t="str">
            <v>N/A</v>
          </cell>
          <cell r="AN508" t="str">
            <v>N/A</v>
          </cell>
          <cell r="AO508" t="str">
            <v>COMPLETED</v>
          </cell>
        </row>
        <row r="509">
          <cell r="A509" t="str">
            <v>24-2085</v>
          </cell>
          <cell r="B509" t="str">
            <v>OIL, 2T</v>
          </cell>
          <cell r="C509" t="str">
            <v>PENRO</v>
          </cell>
          <cell r="D509" t="str">
            <v>No</v>
          </cell>
          <cell r="E509" t="str">
            <v>NP-53.9 - Small Value Procurement</v>
          </cell>
          <cell r="F509" t="str">
            <v>N/A</v>
          </cell>
          <cell r="G509">
            <v>45384</v>
          </cell>
          <cell r="H509">
            <v>0</v>
          </cell>
          <cell r="I509" t="str">
            <v>N/A</v>
          </cell>
          <cell r="J509">
            <v>45407</v>
          </cell>
          <cell r="K509">
            <v>45407</v>
          </cell>
          <cell r="L509">
            <v>0</v>
          </cell>
          <cell r="M509" t="str">
            <v>N/A</v>
          </cell>
          <cell r="N509" t="str">
            <v>N/A</v>
          </cell>
          <cell r="O509">
            <v>45411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45432</v>
          </cell>
          <cell r="U509">
            <v>45436</v>
          </cell>
          <cell r="V509">
            <v>0</v>
          </cell>
          <cell r="W509">
            <v>0</v>
          </cell>
          <cell r="X509">
            <v>45440</v>
          </cell>
          <cell r="Y509">
            <v>45440</v>
          </cell>
          <cell r="Z509">
            <v>0</v>
          </cell>
          <cell r="AA509">
            <v>408</v>
          </cell>
          <cell r="AB509">
            <v>0</v>
          </cell>
          <cell r="AC509">
            <v>408</v>
          </cell>
          <cell r="AD509">
            <v>402</v>
          </cell>
          <cell r="AE509">
            <v>0</v>
          </cell>
          <cell r="AF509">
            <v>402</v>
          </cell>
          <cell r="AG509" t="str">
            <v>C</v>
          </cell>
          <cell r="AH509" t="str">
            <v>ENGR. MICHAEL C. SALARDA
MS. LEONARDA M. LATOR
MS. CARMENCITA VALDEZ
MS. SORAYA P. VERGARA</v>
          </cell>
          <cell r="AI509" t="str">
            <v>N/A</v>
          </cell>
          <cell r="AJ509" t="str">
            <v>N/A</v>
          </cell>
          <cell r="AK509" t="str">
            <v>N/A</v>
          </cell>
          <cell r="AL509" t="str">
            <v>N/A</v>
          </cell>
          <cell r="AM509" t="str">
            <v>N/A</v>
          </cell>
          <cell r="AN509" t="str">
            <v>N/A</v>
          </cell>
          <cell r="AO509" t="str">
            <v>COMPLETED</v>
          </cell>
        </row>
        <row r="510">
          <cell r="A510" t="str">
            <v>24-1915</v>
          </cell>
          <cell r="B510" t="str">
            <v>TARPAULIN</v>
          </cell>
          <cell r="C510" t="str">
            <v>PSWDO</v>
          </cell>
          <cell r="D510" t="str">
            <v>No</v>
          </cell>
          <cell r="E510" t="str">
            <v>NP-53.9 - Small Value Procurement</v>
          </cell>
          <cell r="F510" t="str">
            <v>N/A</v>
          </cell>
          <cell r="G510">
            <v>45385</v>
          </cell>
          <cell r="H510">
            <v>0</v>
          </cell>
          <cell r="I510" t="str">
            <v>N/A</v>
          </cell>
          <cell r="J510">
            <v>45407</v>
          </cell>
          <cell r="K510">
            <v>45407</v>
          </cell>
          <cell r="L510">
            <v>0</v>
          </cell>
          <cell r="M510" t="str">
            <v>N/A</v>
          </cell>
          <cell r="N510" t="str">
            <v>N/A</v>
          </cell>
          <cell r="O510">
            <v>45411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45425</v>
          </cell>
          <cell r="U510">
            <v>45435</v>
          </cell>
          <cell r="V510">
            <v>0</v>
          </cell>
          <cell r="W510">
            <v>0</v>
          </cell>
          <cell r="X510">
            <v>45462</v>
          </cell>
          <cell r="Y510">
            <v>45462</v>
          </cell>
          <cell r="Z510">
            <v>0</v>
          </cell>
          <cell r="AA510">
            <v>6720</v>
          </cell>
          <cell r="AB510">
            <v>0</v>
          </cell>
          <cell r="AC510">
            <v>6720</v>
          </cell>
          <cell r="AD510">
            <v>6720</v>
          </cell>
          <cell r="AE510">
            <v>0</v>
          </cell>
          <cell r="AF510">
            <v>6720</v>
          </cell>
          <cell r="AG510" t="str">
            <v>C</v>
          </cell>
          <cell r="AH510" t="str">
            <v>ENGR. MICHAEL C. SALARDA
MS. LEONARDA M. LATOR
MS. CARMENCITA VALDEZ
MS. SORAYA P. VERGARA</v>
          </cell>
          <cell r="AI510" t="str">
            <v>N/A</v>
          </cell>
          <cell r="AJ510" t="str">
            <v>N/A</v>
          </cell>
          <cell r="AK510" t="str">
            <v>N/A</v>
          </cell>
          <cell r="AL510" t="str">
            <v>N/A</v>
          </cell>
          <cell r="AM510" t="str">
            <v>N/A</v>
          </cell>
          <cell r="AN510" t="str">
            <v>N/A</v>
          </cell>
          <cell r="AO510" t="str">
            <v>COMPLETED</v>
          </cell>
        </row>
        <row r="511">
          <cell r="A511" t="str">
            <v>24-C1181</v>
          </cell>
          <cell r="B511" t="str">
            <v>JANITORIAL SUPPLIES</v>
          </cell>
          <cell r="C511" t="str">
            <v>PHO</v>
          </cell>
          <cell r="D511" t="str">
            <v>No</v>
          </cell>
          <cell r="E511" t="str">
            <v>NP-53.9 - Small Value Procurement</v>
          </cell>
          <cell r="F511" t="str">
            <v>N/A</v>
          </cell>
          <cell r="G511">
            <v>45376</v>
          </cell>
          <cell r="H511">
            <v>0</v>
          </cell>
          <cell r="I511" t="str">
            <v>N/A</v>
          </cell>
          <cell r="J511">
            <v>45407</v>
          </cell>
          <cell r="K511">
            <v>45407</v>
          </cell>
          <cell r="L511">
            <v>0</v>
          </cell>
          <cell r="M511" t="str">
            <v>N/A</v>
          </cell>
          <cell r="N511" t="str">
            <v>N/A</v>
          </cell>
          <cell r="O511">
            <v>45411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45425</v>
          </cell>
          <cell r="U511">
            <v>45433</v>
          </cell>
          <cell r="V511">
            <v>0</v>
          </cell>
          <cell r="W511">
            <v>0</v>
          </cell>
          <cell r="X511">
            <v>45458</v>
          </cell>
          <cell r="Y511">
            <v>45458</v>
          </cell>
          <cell r="Z511">
            <v>0</v>
          </cell>
          <cell r="AA511">
            <v>115118.6</v>
          </cell>
          <cell r="AB511">
            <v>115118.6</v>
          </cell>
          <cell r="AC511">
            <v>0</v>
          </cell>
          <cell r="AD511">
            <v>110548</v>
          </cell>
          <cell r="AE511">
            <v>110548</v>
          </cell>
          <cell r="AF511">
            <v>0</v>
          </cell>
          <cell r="AG511" t="str">
            <v>M</v>
          </cell>
          <cell r="AH511" t="str">
            <v>ENGR. MICHAEL C. SALARDA
MS. LEONARDA M. LATOR
MS. CARMENCITA VALDEZ
MS. SORAYA P. VERGARA</v>
          </cell>
          <cell r="AI511" t="str">
            <v>N/A</v>
          </cell>
          <cell r="AJ511" t="str">
            <v>N/A</v>
          </cell>
          <cell r="AK511" t="str">
            <v>N/A</v>
          </cell>
          <cell r="AL511" t="str">
            <v>N/A</v>
          </cell>
          <cell r="AM511" t="str">
            <v>N/A</v>
          </cell>
          <cell r="AN511" t="str">
            <v>N/A</v>
          </cell>
          <cell r="AO511" t="str">
            <v>COMPLETED</v>
          </cell>
        </row>
        <row r="512">
          <cell r="A512" t="str">
            <v>24-0036</v>
          </cell>
          <cell r="B512" t="str">
            <v>CARD, TAX</v>
          </cell>
          <cell r="C512" t="str">
            <v>PTO</v>
          </cell>
          <cell r="D512" t="str">
            <v>No</v>
          </cell>
          <cell r="E512" t="str">
            <v>NP-53.9 - Small Value Procurement</v>
          </cell>
          <cell r="F512">
            <v>45370</v>
          </cell>
          <cell r="G512">
            <v>45376</v>
          </cell>
          <cell r="H512">
            <v>0</v>
          </cell>
          <cell r="I512" t="str">
            <v>N/A</v>
          </cell>
          <cell r="J512">
            <v>45407</v>
          </cell>
          <cell r="K512">
            <v>45407</v>
          </cell>
          <cell r="L512">
            <v>0</v>
          </cell>
          <cell r="M512" t="str">
            <v>N/A</v>
          </cell>
          <cell r="N512" t="str">
            <v>N/A</v>
          </cell>
          <cell r="O512">
            <v>45411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45429</v>
          </cell>
          <cell r="U512">
            <v>45433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5500</v>
          </cell>
          <cell r="AB512">
            <v>5500</v>
          </cell>
          <cell r="AC512">
            <v>0</v>
          </cell>
          <cell r="AD512">
            <v>5500</v>
          </cell>
          <cell r="AE512">
            <v>5500</v>
          </cell>
          <cell r="AF512">
            <v>0</v>
          </cell>
          <cell r="AG512" t="str">
            <v>M</v>
          </cell>
          <cell r="AH512" t="str">
            <v>ENGR. MICHAEL C. SALARDA
MS. LEONARDA M. LATOR
MS. CARMENCITA VALDEZ
MS. SORAYA P. VERGARA</v>
          </cell>
          <cell r="AI512" t="str">
            <v>N/A</v>
          </cell>
          <cell r="AJ512" t="str">
            <v>N/A</v>
          </cell>
          <cell r="AK512" t="str">
            <v>N/A</v>
          </cell>
          <cell r="AL512" t="str">
            <v>N/A</v>
          </cell>
          <cell r="AM512" t="str">
            <v>N/A</v>
          </cell>
          <cell r="AN512" t="str">
            <v>N/A</v>
          </cell>
          <cell r="AO512">
            <v>0</v>
          </cell>
        </row>
        <row r="513">
          <cell r="A513" t="str">
            <v>24-2076</v>
          </cell>
          <cell r="B513" t="str">
            <v>TARPAULIN</v>
          </cell>
          <cell r="C513" t="str">
            <v>PHRMDO</v>
          </cell>
          <cell r="D513" t="str">
            <v>No</v>
          </cell>
          <cell r="E513" t="str">
            <v>NP-53.9 - Small Value Procurement</v>
          </cell>
          <cell r="F513" t="str">
            <v>N/A</v>
          </cell>
          <cell r="G513">
            <v>45385</v>
          </cell>
          <cell r="H513">
            <v>0</v>
          </cell>
          <cell r="I513" t="str">
            <v>N/A</v>
          </cell>
          <cell r="J513">
            <v>45407</v>
          </cell>
          <cell r="K513">
            <v>45407</v>
          </cell>
          <cell r="L513">
            <v>0</v>
          </cell>
          <cell r="M513" t="str">
            <v>N/A</v>
          </cell>
          <cell r="N513" t="str">
            <v>N/A</v>
          </cell>
          <cell r="O513">
            <v>45411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45432</v>
          </cell>
          <cell r="U513">
            <v>45435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14140</v>
          </cell>
          <cell r="AB513">
            <v>0</v>
          </cell>
          <cell r="AC513">
            <v>14140</v>
          </cell>
          <cell r="AD513">
            <v>14140</v>
          </cell>
          <cell r="AE513">
            <v>0</v>
          </cell>
          <cell r="AF513">
            <v>14140</v>
          </cell>
          <cell r="AG513" t="str">
            <v>C</v>
          </cell>
          <cell r="AH513" t="str">
            <v>ENGR. MICHAEL C. SALARDA
MS. LEONARDA M. LATOR
MS. CARMENCITA VALDEZ
MS. SORAYA P. VERGARA</v>
          </cell>
          <cell r="AI513" t="str">
            <v>N/A</v>
          </cell>
          <cell r="AJ513" t="str">
            <v>N/A</v>
          </cell>
          <cell r="AK513" t="str">
            <v>N/A</v>
          </cell>
          <cell r="AL513" t="str">
            <v>N/A</v>
          </cell>
          <cell r="AM513" t="str">
            <v>N/A</v>
          </cell>
          <cell r="AN513" t="str">
            <v>N/A</v>
          </cell>
          <cell r="AO513">
            <v>0</v>
          </cell>
        </row>
        <row r="514">
          <cell r="A514" t="str">
            <v>24-C1292</v>
          </cell>
          <cell r="B514" t="str">
            <v>SPAREPARTS (LIGHT VEHICLES)</v>
          </cell>
          <cell r="C514" t="str">
            <v>PEEMO</v>
          </cell>
          <cell r="D514" t="str">
            <v>No</v>
          </cell>
          <cell r="E514" t="str">
            <v>NP-53.9 - Small Value Procurement</v>
          </cell>
          <cell r="F514" t="str">
            <v>N/A</v>
          </cell>
          <cell r="G514">
            <v>45385</v>
          </cell>
          <cell r="H514">
            <v>0</v>
          </cell>
          <cell r="I514" t="str">
            <v>N/A</v>
          </cell>
          <cell r="J514">
            <v>45407</v>
          </cell>
          <cell r="K514">
            <v>45407</v>
          </cell>
          <cell r="L514">
            <v>0</v>
          </cell>
          <cell r="M514" t="str">
            <v>N/A</v>
          </cell>
          <cell r="N514" t="str">
            <v>N/A</v>
          </cell>
          <cell r="O514">
            <v>45411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45433</v>
          </cell>
          <cell r="U514">
            <v>45436</v>
          </cell>
          <cell r="V514">
            <v>0</v>
          </cell>
          <cell r="W514">
            <v>0</v>
          </cell>
          <cell r="X514">
            <v>45468</v>
          </cell>
          <cell r="Y514">
            <v>45468</v>
          </cell>
          <cell r="Z514">
            <v>0</v>
          </cell>
          <cell r="AA514">
            <v>233417</v>
          </cell>
          <cell r="AB514">
            <v>233417</v>
          </cell>
          <cell r="AC514">
            <v>0</v>
          </cell>
          <cell r="AD514">
            <v>228172</v>
          </cell>
          <cell r="AE514">
            <v>228172</v>
          </cell>
          <cell r="AF514">
            <v>0</v>
          </cell>
          <cell r="AG514" t="str">
            <v>M</v>
          </cell>
          <cell r="AH514" t="str">
            <v>ENGR. MICHAEL C. SALARDA
MS. LEONARDA M. LATOR
MS. CARMENCITA VALDEZ
MS. SORAYA P. VERGARA</v>
          </cell>
          <cell r="AI514" t="str">
            <v>N/A</v>
          </cell>
          <cell r="AJ514" t="str">
            <v>N/A</v>
          </cell>
          <cell r="AK514" t="str">
            <v>N/A</v>
          </cell>
          <cell r="AL514" t="str">
            <v>N/A</v>
          </cell>
          <cell r="AM514" t="str">
            <v>N/A</v>
          </cell>
          <cell r="AN514" t="str">
            <v>N/A</v>
          </cell>
          <cell r="AO514" t="str">
            <v>COMPLETED</v>
          </cell>
        </row>
        <row r="515">
          <cell r="A515" t="str">
            <v>24-C1199</v>
          </cell>
          <cell r="B515" t="str">
            <v>TARPAULIN</v>
          </cell>
          <cell r="C515" t="str">
            <v>PGO</v>
          </cell>
          <cell r="D515" t="str">
            <v>No</v>
          </cell>
          <cell r="E515" t="str">
            <v>NP-53.9 - Small Value Procurement</v>
          </cell>
          <cell r="F515" t="str">
            <v>N/A</v>
          </cell>
          <cell r="G515">
            <v>45385</v>
          </cell>
          <cell r="H515">
            <v>0</v>
          </cell>
          <cell r="I515" t="str">
            <v>N/A</v>
          </cell>
          <cell r="J515">
            <v>45407</v>
          </cell>
          <cell r="K515">
            <v>45407</v>
          </cell>
          <cell r="L515">
            <v>0</v>
          </cell>
          <cell r="M515" t="str">
            <v>N/A</v>
          </cell>
          <cell r="N515" t="str">
            <v>N/A</v>
          </cell>
          <cell r="O515">
            <v>45411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45427</v>
          </cell>
          <cell r="U515">
            <v>45446</v>
          </cell>
          <cell r="V515">
            <v>0</v>
          </cell>
          <cell r="W515">
            <v>0</v>
          </cell>
          <cell r="X515">
            <v>45462</v>
          </cell>
          <cell r="Y515">
            <v>45462</v>
          </cell>
          <cell r="Z515">
            <v>0</v>
          </cell>
          <cell r="AA515">
            <v>42784</v>
          </cell>
          <cell r="AB515">
            <v>0</v>
          </cell>
          <cell r="AC515">
            <v>42784</v>
          </cell>
          <cell r="AD515">
            <v>42784</v>
          </cell>
          <cell r="AE515">
            <v>0</v>
          </cell>
          <cell r="AF515">
            <v>42784</v>
          </cell>
          <cell r="AG515" t="str">
            <v>C</v>
          </cell>
          <cell r="AH515" t="str">
            <v>ENGR. MICHAEL C. SALARDA
MS. LEONARDA M. LATOR
MS. CARMENCITA VALDEZ
MS. SORAYA P. VERGARA</v>
          </cell>
          <cell r="AI515" t="str">
            <v>N/A</v>
          </cell>
          <cell r="AJ515" t="str">
            <v>N/A</v>
          </cell>
          <cell r="AK515" t="str">
            <v>N/A</v>
          </cell>
          <cell r="AL515" t="str">
            <v>N/A</v>
          </cell>
          <cell r="AM515" t="str">
            <v>N/A</v>
          </cell>
          <cell r="AN515" t="str">
            <v>N/A</v>
          </cell>
          <cell r="AO515" t="str">
            <v>COMPLETED</v>
          </cell>
        </row>
        <row r="516">
          <cell r="A516" t="str">
            <v>24-C1295</v>
          </cell>
          <cell r="B516" t="str">
            <v>FOOD AND CATERING SERVICES</v>
          </cell>
          <cell r="C516" t="str">
            <v>PGO</v>
          </cell>
          <cell r="D516" t="str">
            <v>No</v>
          </cell>
          <cell r="E516" t="str">
            <v>NP-53.9 - Small Value Procurement</v>
          </cell>
          <cell r="F516">
            <v>45384</v>
          </cell>
          <cell r="G516">
            <v>45390</v>
          </cell>
          <cell r="H516">
            <v>0</v>
          </cell>
          <cell r="I516" t="str">
            <v>N/A</v>
          </cell>
          <cell r="J516">
            <v>45407</v>
          </cell>
          <cell r="K516">
            <v>45407</v>
          </cell>
          <cell r="L516">
            <v>0</v>
          </cell>
          <cell r="M516" t="str">
            <v>N/A</v>
          </cell>
          <cell r="N516" t="str">
            <v>N/A</v>
          </cell>
          <cell r="O516">
            <v>45411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45433</v>
          </cell>
          <cell r="U516">
            <v>45435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70140</v>
          </cell>
          <cell r="AB516">
            <v>0</v>
          </cell>
          <cell r="AC516">
            <v>70140</v>
          </cell>
          <cell r="AD516">
            <v>70015</v>
          </cell>
          <cell r="AE516">
            <v>0</v>
          </cell>
          <cell r="AF516">
            <v>70015</v>
          </cell>
          <cell r="AG516" t="str">
            <v>C</v>
          </cell>
          <cell r="AH516" t="str">
            <v>ENGR. MICHAEL C. SALARDA
MS. LEONARDA M. LATOR
MS. CARMENCITA VALDEZ
MS. SORAYA P. VERGARA</v>
          </cell>
          <cell r="AI516" t="str">
            <v>N/A</v>
          </cell>
          <cell r="AJ516" t="str">
            <v>N/A</v>
          </cell>
          <cell r="AK516" t="str">
            <v>N/A</v>
          </cell>
          <cell r="AL516" t="str">
            <v>N/A</v>
          </cell>
          <cell r="AM516" t="str">
            <v>N/A</v>
          </cell>
          <cell r="AN516" t="str">
            <v>N/A</v>
          </cell>
          <cell r="AO516">
            <v>0</v>
          </cell>
        </row>
        <row r="517">
          <cell r="A517" t="str">
            <v>24-1697</v>
          </cell>
          <cell r="B517" t="str">
            <v>POSTER, CALENDAR</v>
          </cell>
          <cell r="C517" t="str">
            <v>PAO</v>
          </cell>
          <cell r="D517" t="str">
            <v>No</v>
          </cell>
          <cell r="E517" t="str">
            <v>NP-53.9 - Small Value Procurement</v>
          </cell>
          <cell r="F517" t="str">
            <v>N/A</v>
          </cell>
          <cell r="G517">
            <v>45385</v>
          </cell>
          <cell r="H517">
            <v>0</v>
          </cell>
          <cell r="I517" t="str">
            <v>N/A</v>
          </cell>
          <cell r="J517">
            <v>45407</v>
          </cell>
          <cell r="K517">
            <v>45407</v>
          </cell>
          <cell r="L517">
            <v>0</v>
          </cell>
          <cell r="M517" t="str">
            <v>N/A</v>
          </cell>
          <cell r="N517" t="str">
            <v>N/A</v>
          </cell>
          <cell r="O517">
            <v>45411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45425</v>
          </cell>
          <cell r="U517">
            <v>45433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21978</v>
          </cell>
          <cell r="AB517">
            <v>0</v>
          </cell>
          <cell r="AC517">
            <v>21978</v>
          </cell>
          <cell r="AD517">
            <v>21978</v>
          </cell>
          <cell r="AE517">
            <v>0</v>
          </cell>
          <cell r="AF517">
            <v>21978</v>
          </cell>
          <cell r="AG517" t="str">
            <v>C</v>
          </cell>
          <cell r="AH517" t="str">
            <v>ENGR. MICHAEL C. SALARDA
MS. LEONARDA M. LATOR
MS. CARMENCITA VALDEZ
MS. SORAYA P. VERGARA</v>
          </cell>
          <cell r="AI517" t="str">
            <v>N/A</v>
          </cell>
          <cell r="AJ517" t="str">
            <v>N/A</v>
          </cell>
          <cell r="AK517" t="str">
            <v>N/A</v>
          </cell>
          <cell r="AL517" t="str">
            <v>N/A</v>
          </cell>
          <cell r="AM517" t="str">
            <v>N/A</v>
          </cell>
          <cell r="AN517" t="str">
            <v>N/A</v>
          </cell>
          <cell r="AO517">
            <v>0</v>
          </cell>
        </row>
        <row r="518">
          <cell r="A518" t="str">
            <v>24-C1293</v>
          </cell>
          <cell r="B518" t="str">
            <v>FOOD/CATERING SERVICES</v>
          </cell>
          <cell r="C518" t="str">
            <v>PAGRO</v>
          </cell>
          <cell r="D518" t="str">
            <v>No</v>
          </cell>
          <cell r="E518" t="str">
            <v>NP-53.9 - Small Value Procurement</v>
          </cell>
          <cell r="F518">
            <v>45384</v>
          </cell>
          <cell r="G518">
            <v>45390</v>
          </cell>
          <cell r="H518">
            <v>0</v>
          </cell>
          <cell r="I518" t="str">
            <v>N/A</v>
          </cell>
          <cell r="J518">
            <v>45407</v>
          </cell>
          <cell r="K518">
            <v>45407</v>
          </cell>
          <cell r="L518">
            <v>0</v>
          </cell>
          <cell r="M518" t="str">
            <v>N/A</v>
          </cell>
          <cell r="N518" t="str">
            <v>N/A</v>
          </cell>
          <cell r="O518">
            <v>45411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45433</v>
          </cell>
          <cell r="U518">
            <v>45435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174820</v>
          </cell>
          <cell r="AB518">
            <v>0</v>
          </cell>
          <cell r="AC518">
            <v>174820</v>
          </cell>
          <cell r="AD518">
            <v>174820</v>
          </cell>
          <cell r="AE518">
            <v>0</v>
          </cell>
          <cell r="AF518">
            <v>174820</v>
          </cell>
          <cell r="AG518" t="str">
            <v>C</v>
          </cell>
          <cell r="AH518" t="str">
            <v>ENGR. MICHAEL C. SALARDA
MS. LEONARDA M. LATOR
MS. CARMENCITA VALDEZ
MS. SORAYA P. VERGARA</v>
          </cell>
          <cell r="AI518" t="str">
            <v>N/A</v>
          </cell>
          <cell r="AJ518" t="str">
            <v>N/A</v>
          </cell>
          <cell r="AK518" t="str">
            <v>N/A</v>
          </cell>
          <cell r="AL518" t="str">
            <v>N/A</v>
          </cell>
          <cell r="AM518" t="str">
            <v>N/A</v>
          </cell>
          <cell r="AN518" t="str">
            <v>N/A</v>
          </cell>
          <cell r="AO518">
            <v>0</v>
          </cell>
        </row>
        <row r="519">
          <cell r="A519" t="str">
            <v>24-1659</v>
          </cell>
          <cell r="B519" t="str">
            <v>SAFETY GEARS &amp; EQUIPMENT</v>
          </cell>
          <cell r="C519" t="str">
            <v>PTO</v>
          </cell>
          <cell r="D519" t="str">
            <v>No</v>
          </cell>
          <cell r="E519" t="str">
            <v>NP-53.9 - Small Value Procurement</v>
          </cell>
          <cell r="F519" t="str">
            <v>N/A</v>
          </cell>
          <cell r="G519">
            <v>45376</v>
          </cell>
          <cell r="H519">
            <v>0</v>
          </cell>
          <cell r="I519" t="str">
            <v>N/A</v>
          </cell>
          <cell r="J519">
            <v>45407</v>
          </cell>
          <cell r="K519">
            <v>45407</v>
          </cell>
          <cell r="L519">
            <v>0</v>
          </cell>
          <cell r="M519" t="str">
            <v>N/A</v>
          </cell>
          <cell r="N519" t="str">
            <v>N/A</v>
          </cell>
          <cell r="O519">
            <v>45411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45425</v>
          </cell>
          <cell r="U519">
            <v>45433</v>
          </cell>
          <cell r="V519">
            <v>0</v>
          </cell>
          <cell r="W519">
            <v>0</v>
          </cell>
          <cell r="X519">
            <v>45464</v>
          </cell>
          <cell r="Y519">
            <v>45464</v>
          </cell>
          <cell r="Z519">
            <v>0</v>
          </cell>
          <cell r="AA519">
            <v>45496</v>
          </cell>
          <cell r="AB519">
            <v>45496</v>
          </cell>
          <cell r="AC519">
            <v>0</v>
          </cell>
          <cell r="AD519">
            <v>45475</v>
          </cell>
          <cell r="AE519">
            <v>45475</v>
          </cell>
          <cell r="AF519">
            <v>0</v>
          </cell>
          <cell r="AG519" t="str">
            <v>M</v>
          </cell>
          <cell r="AH519" t="str">
            <v>ENGR. MICHAEL C. SALARDA
MS. LEONARDA M. LATOR
MS. CARMENCITA VALDEZ
MS. SORAYA P. VERGARA</v>
          </cell>
          <cell r="AI519" t="str">
            <v>N/A</v>
          </cell>
          <cell r="AJ519" t="str">
            <v>N/A</v>
          </cell>
          <cell r="AK519" t="str">
            <v>N/A</v>
          </cell>
          <cell r="AL519" t="str">
            <v>N/A</v>
          </cell>
          <cell r="AM519" t="str">
            <v>N/A</v>
          </cell>
          <cell r="AN519" t="str">
            <v>N/A</v>
          </cell>
          <cell r="AO519" t="str">
            <v>COMPLETED</v>
          </cell>
        </row>
        <row r="520">
          <cell r="A520" t="str">
            <v>24-1695</v>
          </cell>
          <cell r="B520" t="str">
            <v>FIRST AID KIT</v>
          </cell>
          <cell r="C520" t="str">
            <v>PGO</v>
          </cell>
          <cell r="D520" t="str">
            <v>No</v>
          </cell>
          <cell r="E520" t="str">
            <v>NP-53.9 - Small Value Procurement</v>
          </cell>
          <cell r="F520" t="str">
            <v>N/A</v>
          </cell>
          <cell r="G520">
            <v>45385</v>
          </cell>
          <cell r="H520">
            <v>0</v>
          </cell>
          <cell r="I520" t="str">
            <v>N/A</v>
          </cell>
          <cell r="J520">
            <v>45407</v>
          </cell>
          <cell r="K520">
            <v>45407</v>
          </cell>
          <cell r="L520">
            <v>0</v>
          </cell>
          <cell r="M520" t="str">
            <v>N/A</v>
          </cell>
          <cell r="N520" t="str">
            <v>N/A</v>
          </cell>
          <cell r="O520">
            <v>45411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45432</v>
          </cell>
          <cell r="U520">
            <v>45436</v>
          </cell>
          <cell r="V520">
            <v>0</v>
          </cell>
          <cell r="W520">
            <v>0</v>
          </cell>
          <cell r="X520">
            <v>45464</v>
          </cell>
          <cell r="Y520">
            <v>45464</v>
          </cell>
          <cell r="Z520">
            <v>0</v>
          </cell>
          <cell r="AA520">
            <v>4000</v>
          </cell>
          <cell r="AB520">
            <v>0</v>
          </cell>
          <cell r="AC520">
            <v>4000</v>
          </cell>
          <cell r="AD520">
            <v>3990</v>
          </cell>
          <cell r="AE520">
            <v>0</v>
          </cell>
          <cell r="AF520">
            <v>3990</v>
          </cell>
          <cell r="AG520" t="str">
            <v>C</v>
          </cell>
          <cell r="AH520" t="str">
            <v>ENGR. MICHAEL C. SALARDA
MS. LEONARDA M. LATOR
MS. CARMENCITA VALDEZ
MS. SORAYA P. VERGARA</v>
          </cell>
          <cell r="AI520" t="str">
            <v>N/A</v>
          </cell>
          <cell r="AJ520" t="str">
            <v>N/A</v>
          </cell>
          <cell r="AK520" t="str">
            <v>N/A</v>
          </cell>
          <cell r="AL520" t="str">
            <v>N/A</v>
          </cell>
          <cell r="AM520" t="str">
            <v>N/A</v>
          </cell>
          <cell r="AN520" t="str">
            <v>N/A</v>
          </cell>
          <cell r="AO520" t="str">
            <v>COMPLETED</v>
          </cell>
        </row>
        <row r="521">
          <cell r="A521" t="str">
            <v>24-1790</v>
          </cell>
          <cell r="B521" t="str">
            <v>PROJECTOR</v>
          </cell>
          <cell r="C521" t="str">
            <v>PGO</v>
          </cell>
          <cell r="D521" t="str">
            <v>No</v>
          </cell>
          <cell r="E521" t="str">
            <v>NP-53.9 - Small Value Procurement</v>
          </cell>
          <cell r="F521" t="str">
            <v>N/A</v>
          </cell>
          <cell r="G521">
            <v>45385</v>
          </cell>
          <cell r="H521">
            <v>0</v>
          </cell>
          <cell r="I521" t="str">
            <v>N/A</v>
          </cell>
          <cell r="J521">
            <v>45407</v>
          </cell>
          <cell r="K521">
            <v>45407</v>
          </cell>
          <cell r="L521">
            <v>0</v>
          </cell>
          <cell r="M521" t="str">
            <v>N/A</v>
          </cell>
          <cell r="N521" t="str">
            <v>N/A</v>
          </cell>
          <cell r="O521">
            <v>45411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45427</v>
          </cell>
          <cell r="U521">
            <v>45450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49500</v>
          </cell>
          <cell r="AB521">
            <v>0</v>
          </cell>
          <cell r="AC521">
            <v>49500</v>
          </cell>
          <cell r="AD521">
            <v>37939</v>
          </cell>
          <cell r="AE521">
            <v>0</v>
          </cell>
          <cell r="AF521">
            <v>37939</v>
          </cell>
          <cell r="AG521" t="str">
            <v>C</v>
          </cell>
          <cell r="AH521" t="str">
            <v>ENGR. MICHAEL C. SALARDA
MS. LEONARDA M. LATOR
MS. CARMENCITA VALDEZ
MS. SORAYA P. VERGARA</v>
          </cell>
          <cell r="AI521" t="str">
            <v>N/A</v>
          </cell>
          <cell r="AJ521" t="str">
            <v>N/A</v>
          </cell>
          <cell r="AK521" t="str">
            <v>N/A</v>
          </cell>
          <cell r="AL521" t="str">
            <v>N/A</v>
          </cell>
          <cell r="AM521" t="str">
            <v>N/A</v>
          </cell>
          <cell r="AN521" t="str">
            <v>N/A</v>
          </cell>
          <cell r="AO521">
            <v>0</v>
          </cell>
        </row>
        <row r="522">
          <cell r="A522" t="str">
            <v>24-2134</v>
          </cell>
          <cell r="B522" t="str">
            <v>CHAIR, MONOBLOC</v>
          </cell>
          <cell r="C522" t="str">
            <v>SEF</v>
          </cell>
          <cell r="D522" t="str">
            <v>No</v>
          </cell>
          <cell r="E522" t="str">
            <v>NP-53.9 - Small Value Procurement</v>
          </cell>
          <cell r="F522" t="str">
            <v>N/A</v>
          </cell>
          <cell r="G522">
            <v>45384</v>
          </cell>
          <cell r="H522">
            <v>0</v>
          </cell>
          <cell r="I522" t="str">
            <v>N/A</v>
          </cell>
          <cell r="J522">
            <v>45407</v>
          </cell>
          <cell r="K522">
            <v>45407</v>
          </cell>
          <cell r="L522">
            <v>0</v>
          </cell>
          <cell r="M522" t="str">
            <v>N/A</v>
          </cell>
          <cell r="N522" t="str">
            <v>N/A</v>
          </cell>
          <cell r="O522">
            <v>45411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45425</v>
          </cell>
          <cell r="U522">
            <v>45435</v>
          </cell>
          <cell r="V522">
            <v>0</v>
          </cell>
          <cell r="W522">
            <v>0</v>
          </cell>
          <cell r="X522">
            <v>45443</v>
          </cell>
          <cell r="Y522">
            <v>45443</v>
          </cell>
          <cell r="Z522">
            <v>0</v>
          </cell>
          <cell r="AA522">
            <v>72098</v>
          </cell>
          <cell r="AB522">
            <v>0</v>
          </cell>
          <cell r="AC522">
            <v>72098</v>
          </cell>
          <cell r="AD522">
            <v>72068.5</v>
          </cell>
          <cell r="AE522">
            <v>0</v>
          </cell>
          <cell r="AF522">
            <v>72068.5</v>
          </cell>
          <cell r="AG522" t="str">
            <v>C</v>
          </cell>
          <cell r="AH522" t="str">
            <v>ENGR. MICHAEL C. SALARDA
MS. LEONARDA M. LATOR
MS. CARMENCITA VALDEZ
MS. SORAYA P. VERGARA</v>
          </cell>
          <cell r="AI522" t="str">
            <v>N/A</v>
          </cell>
          <cell r="AJ522" t="str">
            <v>N/A</v>
          </cell>
          <cell r="AK522" t="str">
            <v>N/A</v>
          </cell>
          <cell r="AL522" t="str">
            <v>N/A</v>
          </cell>
          <cell r="AM522" t="str">
            <v>N/A</v>
          </cell>
          <cell r="AN522" t="str">
            <v>N/A</v>
          </cell>
          <cell r="AO522" t="str">
            <v>COMPLETED</v>
          </cell>
        </row>
        <row r="523">
          <cell r="A523" t="str">
            <v>24-C1152</v>
          </cell>
          <cell r="B523" t="str">
            <v>REPAIR MATERIALS</v>
          </cell>
          <cell r="C523" t="str">
            <v>PGSO</v>
          </cell>
          <cell r="D523" t="str">
            <v>No</v>
          </cell>
          <cell r="E523" t="str">
            <v>NP-53.9 - Small Value Procurement</v>
          </cell>
          <cell r="F523">
            <v>45373</v>
          </cell>
          <cell r="G523">
            <v>45384</v>
          </cell>
          <cell r="H523">
            <v>0</v>
          </cell>
          <cell r="I523" t="str">
            <v>N/A</v>
          </cell>
          <cell r="J523">
            <v>45407</v>
          </cell>
          <cell r="K523">
            <v>45407</v>
          </cell>
          <cell r="L523">
            <v>0</v>
          </cell>
          <cell r="M523" t="str">
            <v>N/A</v>
          </cell>
          <cell r="N523" t="str">
            <v>N/A</v>
          </cell>
          <cell r="O523">
            <v>45411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45425</v>
          </cell>
          <cell r="U523">
            <v>45448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46511.56</v>
          </cell>
          <cell r="AB523">
            <v>46511.56</v>
          </cell>
          <cell r="AC523">
            <v>0</v>
          </cell>
          <cell r="AD523">
            <v>46506</v>
          </cell>
          <cell r="AE523">
            <v>46506</v>
          </cell>
          <cell r="AF523">
            <v>0</v>
          </cell>
          <cell r="AG523" t="str">
            <v>M</v>
          </cell>
          <cell r="AH523" t="str">
            <v>ENGR. MICHAEL C. SALARDA
MS. LEONARDA M. LATOR
MS. CARMENCITA VALDEZ
MS. SORAYA P. VERGARA</v>
          </cell>
          <cell r="AI523" t="str">
            <v>N/A</v>
          </cell>
          <cell r="AJ523" t="str">
            <v>N/A</v>
          </cell>
          <cell r="AK523" t="str">
            <v>N/A</v>
          </cell>
          <cell r="AL523" t="str">
            <v>N/A</v>
          </cell>
          <cell r="AM523" t="str">
            <v>N/A</v>
          </cell>
          <cell r="AN523" t="str">
            <v>N/A</v>
          </cell>
          <cell r="AO523">
            <v>0</v>
          </cell>
        </row>
        <row r="524">
          <cell r="A524" t="str">
            <v>24-C0937</v>
          </cell>
          <cell r="B524" t="str">
            <v>BOOKBINDING AND TARPAULIN</v>
          </cell>
          <cell r="C524" t="str">
            <v>PPDO</v>
          </cell>
          <cell r="D524" t="str">
            <v>No</v>
          </cell>
          <cell r="E524" t="str">
            <v>NP-53.9 - Small Value Procurement</v>
          </cell>
          <cell r="F524" t="str">
            <v>N/A</v>
          </cell>
          <cell r="G524">
            <v>45376</v>
          </cell>
          <cell r="H524">
            <v>0</v>
          </cell>
          <cell r="I524" t="str">
            <v>N/A</v>
          </cell>
          <cell r="J524">
            <v>45407</v>
          </cell>
          <cell r="K524">
            <v>45407</v>
          </cell>
          <cell r="L524">
            <v>0</v>
          </cell>
          <cell r="M524" t="str">
            <v>N/A</v>
          </cell>
          <cell r="N524" t="str">
            <v>N/A</v>
          </cell>
          <cell r="O524">
            <v>45411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45425</v>
          </cell>
          <cell r="U524">
            <v>45433</v>
          </cell>
          <cell r="V524">
            <v>0</v>
          </cell>
          <cell r="W524">
            <v>0</v>
          </cell>
          <cell r="X524">
            <v>45449</v>
          </cell>
          <cell r="Y524">
            <v>45449</v>
          </cell>
          <cell r="Z524">
            <v>0</v>
          </cell>
          <cell r="AA524">
            <v>25350</v>
          </cell>
          <cell r="AB524">
            <v>25350</v>
          </cell>
          <cell r="AC524">
            <v>0</v>
          </cell>
          <cell r="AD524">
            <v>25350</v>
          </cell>
          <cell r="AE524">
            <v>25350</v>
          </cell>
          <cell r="AF524">
            <v>0</v>
          </cell>
          <cell r="AG524" t="str">
            <v>M</v>
          </cell>
          <cell r="AH524" t="str">
            <v>ENGR. MICHAEL C. SALARDA
MS. LEONARDA M. LATOR
MS. CARMENCITA VALDEZ
MS. SORAYA P. VERGARA</v>
          </cell>
          <cell r="AI524" t="str">
            <v>N/A</v>
          </cell>
          <cell r="AJ524" t="str">
            <v>N/A</v>
          </cell>
          <cell r="AK524" t="str">
            <v>N/A</v>
          </cell>
          <cell r="AL524" t="str">
            <v>N/A</v>
          </cell>
          <cell r="AM524" t="str">
            <v>N/A</v>
          </cell>
          <cell r="AN524" t="str">
            <v>N/A</v>
          </cell>
          <cell r="AO524" t="str">
            <v>COMPLETED</v>
          </cell>
        </row>
        <row r="525">
          <cell r="A525" t="str">
            <v>24-1567</v>
          </cell>
          <cell r="B525" t="str">
            <v>JOB OUT</v>
          </cell>
          <cell r="C525" t="str">
            <v>PGSO</v>
          </cell>
          <cell r="D525" t="str">
            <v>No</v>
          </cell>
          <cell r="E525" t="str">
            <v>NP-53.9 - Small Value Procurement</v>
          </cell>
          <cell r="F525">
            <v>45370</v>
          </cell>
          <cell r="G525">
            <v>45376</v>
          </cell>
          <cell r="H525">
            <v>0</v>
          </cell>
          <cell r="I525" t="str">
            <v>N/A</v>
          </cell>
          <cell r="J525">
            <v>45407</v>
          </cell>
          <cell r="K525">
            <v>45407</v>
          </cell>
          <cell r="L525">
            <v>0</v>
          </cell>
          <cell r="M525" t="str">
            <v>N/A</v>
          </cell>
          <cell r="N525" t="str">
            <v>N/A</v>
          </cell>
          <cell r="O525">
            <v>45411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45425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20500</v>
          </cell>
          <cell r="AB525">
            <v>20500</v>
          </cell>
          <cell r="AC525">
            <v>0</v>
          </cell>
          <cell r="AD525">
            <v>20000</v>
          </cell>
          <cell r="AE525">
            <v>20000</v>
          </cell>
          <cell r="AF525">
            <v>0</v>
          </cell>
          <cell r="AG525" t="str">
            <v>M</v>
          </cell>
          <cell r="AH525" t="str">
            <v>ENGR. MICHAEL C. SALARDA
MS. LEONARDA M. LATOR
MS. CARMENCITA VALDEZ
MS. SORAYA P. VERGARA</v>
          </cell>
          <cell r="AI525" t="str">
            <v>N/A</v>
          </cell>
          <cell r="AJ525" t="str">
            <v>N/A</v>
          </cell>
          <cell r="AK525" t="str">
            <v>N/A</v>
          </cell>
          <cell r="AL525" t="str">
            <v>N/A</v>
          </cell>
          <cell r="AM525" t="str">
            <v>N/A</v>
          </cell>
          <cell r="AN525" t="str">
            <v>N/A</v>
          </cell>
          <cell r="AO525">
            <v>0</v>
          </cell>
        </row>
        <row r="526">
          <cell r="A526" t="str">
            <v>24-C1149</v>
          </cell>
          <cell r="B526" t="str">
            <v>MEIDCAL SUPPLIES</v>
          </cell>
          <cell r="C526" t="str">
            <v>PGO</v>
          </cell>
          <cell r="D526" t="str">
            <v>No</v>
          </cell>
          <cell r="E526" t="str">
            <v>NP-53.9 - Small Value Procurement</v>
          </cell>
          <cell r="F526" t="str">
            <v>N/A</v>
          </cell>
          <cell r="G526">
            <v>45385</v>
          </cell>
          <cell r="H526">
            <v>0</v>
          </cell>
          <cell r="I526" t="str">
            <v>N/A</v>
          </cell>
          <cell r="J526">
            <v>45407</v>
          </cell>
          <cell r="K526">
            <v>45407</v>
          </cell>
          <cell r="L526">
            <v>0</v>
          </cell>
          <cell r="M526" t="str">
            <v>N/A</v>
          </cell>
          <cell r="N526" t="str">
            <v>N/A</v>
          </cell>
          <cell r="O526">
            <v>45411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45427</v>
          </cell>
          <cell r="U526">
            <v>45433</v>
          </cell>
          <cell r="V526">
            <v>0</v>
          </cell>
          <cell r="W526">
            <v>0</v>
          </cell>
          <cell r="X526">
            <v>45448</v>
          </cell>
          <cell r="Y526">
            <v>45448</v>
          </cell>
          <cell r="Z526">
            <v>0</v>
          </cell>
          <cell r="AA526">
            <v>173835</v>
          </cell>
          <cell r="AB526">
            <v>0</v>
          </cell>
          <cell r="AC526">
            <v>173835</v>
          </cell>
          <cell r="AD526">
            <v>153060</v>
          </cell>
          <cell r="AE526">
            <v>0</v>
          </cell>
          <cell r="AF526">
            <v>153060</v>
          </cell>
          <cell r="AG526" t="str">
            <v>C</v>
          </cell>
          <cell r="AH526" t="str">
            <v>ENGR. MICHAEL C. SALARDA
MS. LEONARDA M. LATOR
MS. CARMENCITA VALDEZ
MS. SORAYA P. VERGARA</v>
          </cell>
          <cell r="AI526" t="str">
            <v>N/A</v>
          </cell>
          <cell r="AJ526" t="str">
            <v>N/A</v>
          </cell>
          <cell r="AK526" t="str">
            <v>N/A</v>
          </cell>
          <cell r="AL526" t="str">
            <v>N/A</v>
          </cell>
          <cell r="AM526" t="str">
            <v>N/A</v>
          </cell>
          <cell r="AN526" t="str">
            <v>N/A</v>
          </cell>
          <cell r="AO526" t="str">
            <v>COMPLETED</v>
          </cell>
        </row>
        <row r="527">
          <cell r="A527" t="str">
            <v>24-1872</v>
          </cell>
          <cell r="B527" t="str">
            <v>MONOBLOC PLASTIC CHAIR</v>
          </cell>
          <cell r="C527" t="str">
            <v>PGO</v>
          </cell>
          <cell r="D527" t="str">
            <v>No</v>
          </cell>
          <cell r="E527" t="str">
            <v>NP-53.9 - Small Value Procurement</v>
          </cell>
          <cell r="F527" t="str">
            <v>N/A</v>
          </cell>
          <cell r="G527">
            <v>45376</v>
          </cell>
          <cell r="H527">
            <v>0</v>
          </cell>
          <cell r="I527" t="str">
            <v>N/A</v>
          </cell>
          <cell r="J527">
            <v>45407</v>
          </cell>
          <cell r="K527">
            <v>45407</v>
          </cell>
          <cell r="L527">
            <v>0</v>
          </cell>
          <cell r="M527" t="str">
            <v>N/A</v>
          </cell>
          <cell r="N527" t="str">
            <v>N/A</v>
          </cell>
          <cell r="O527">
            <v>45411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45429</v>
          </cell>
          <cell r="U527">
            <v>45446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133500</v>
          </cell>
          <cell r="AB527">
            <v>0</v>
          </cell>
          <cell r="AC527">
            <v>133500</v>
          </cell>
          <cell r="AD527">
            <v>132500</v>
          </cell>
          <cell r="AE527">
            <v>0</v>
          </cell>
          <cell r="AF527">
            <v>132500</v>
          </cell>
          <cell r="AG527" t="str">
            <v>C</v>
          </cell>
          <cell r="AH527" t="str">
            <v>ENGR. MICHAEL C. SALARDA
MS. LEONARDA M. LATOR
MS. CARMENCITA VALDEZ
MS. SORAYA P. VERGARA</v>
          </cell>
          <cell r="AI527" t="str">
            <v>N/A</v>
          </cell>
          <cell r="AJ527" t="str">
            <v>N/A</v>
          </cell>
          <cell r="AK527" t="str">
            <v>N/A</v>
          </cell>
          <cell r="AL527" t="str">
            <v>N/A</v>
          </cell>
          <cell r="AM527" t="str">
            <v>N/A</v>
          </cell>
          <cell r="AN527" t="str">
            <v>N/A</v>
          </cell>
          <cell r="AO527">
            <v>0</v>
          </cell>
        </row>
        <row r="528">
          <cell r="A528" t="str">
            <v>24-1704</v>
          </cell>
          <cell r="B528" t="str">
            <v>OIL, DIESEL ENGINE</v>
          </cell>
          <cell r="C528" t="str">
            <v>PGO</v>
          </cell>
          <cell r="D528" t="str">
            <v>No</v>
          </cell>
          <cell r="E528" t="str">
            <v>NP-53.9 - Small Value Procurement</v>
          </cell>
          <cell r="F528" t="str">
            <v>N/A</v>
          </cell>
          <cell r="G528">
            <v>45384</v>
          </cell>
          <cell r="H528">
            <v>0</v>
          </cell>
          <cell r="I528" t="str">
            <v>N/A</v>
          </cell>
          <cell r="J528">
            <v>45407</v>
          </cell>
          <cell r="K528">
            <v>45407</v>
          </cell>
          <cell r="L528">
            <v>0</v>
          </cell>
          <cell r="M528" t="str">
            <v>N/A</v>
          </cell>
          <cell r="N528" t="str">
            <v>N/A</v>
          </cell>
          <cell r="O528">
            <v>45411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45432</v>
          </cell>
          <cell r="U528">
            <v>45435</v>
          </cell>
          <cell r="V528">
            <v>0</v>
          </cell>
          <cell r="W528">
            <v>0</v>
          </cell>
          <cell r="X528">
            <v>45441</v>
          </cell>
          <cell r="Y528">
            <v>45441</v>
          </cell>
          <cell r="Z528">
            <v>0</v>
          </cell>
          <cell r="AA528">
            <v>10560</v>
          </cell>
          <cell r="AB528">
            <v>0</v>
          </cell>
          <cell r="AC528">
            <v>10560</v>
          </cell>
          <cell r="AD528">
            <v>10320</v>
          </cell>
          <cell r="AE528">
            <v>0</v>
          </cell>
          <cell r="AF528">
            <v>10320</v>
          </cell>
          <cell r="AG528" t="str">
            <v>C</v>
          </cell>
          <cell r="AH528" t="str">
            <v>ENGR. MICHAEL C. SALARDA
MS. LEONARDA M. LATOR
MS. CARMENCITA VALDEZ
MS. SORAYA P. VERGARA</v>
          </cell>
          <cell r="AI528" t="str">
            <v>N/A</v>
          </cell>
          <cell r="AJ528" t="str">
            <v>N/A</v>
          </cell>
          <cell r="AK528" t="str">
            <v>N/A</v>
          </cell>
          <cell r="AL528" t="str">
            <v>N/A</v>
          </cell>
          <cell r="AM528" t="str">
            <v>N/A</v>
          </cell>
          <cell r="AN528" t="str">
            <v>N/A</v>
          </cell>
          <cell r="AO528" t="str">
            <v>COMPLETED</v>
          </cell>
        </row>
        <row r="529">
          <cell r="A529" t="str">
            <v>24-1980</v>
          </cell>
          <cell r="B529" t="str">
            <v>MEDICAL SUPPLIES</v>
          </cell>
          <cell r="C529" t="str">
            <v>PHO</v>
          </cell>
          <cell r="D529" t="str">
            <v>No</v>
          </cell>
          <cell r="E529" t="str">
            <v>NP-53.9 - Small Value Procurement</v>
          </cell>
          <cell r="F529" t="str">
            <v>N/A</v>
          </cell>
          <cell r="G529">
            <v>45376</v>
          </cell>
          <cell r="H529">
            <v>0</v>
          </cell>
          <cell r="I529" t="str">
            <v>N/A</v>
          </cell>
          <cell r="J529">
            <v>45407</v>
          </cell>
          <cell r="K529">
            <v>45407</v>
          </cell>
          <cell r="L529">
            <v>0</v>
          </cell>
          <cell r="M529" t="str">
            <v>N/A</v>
          </cell>
          <cell r="N529" t="str">
            <v>N/A</v>
          </cell>
          <cell r="O529">
            <v>45411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45432</v>
          </cell>
          <cell r="U529">
            <v>45435</v>
          </cell>
          <cell r="V529">
            <v>0</v>
          </cell>
          <cell r="W529">
            <v>0</v>
          </cell>
          <cell r="X529">
            <v>45457</v>
          </cell>
          <cell r="Y529">
            <v>45457</v>
          </cell>
          <cell r="Z529">
            <v>0</v>
          </cell>
          <cell r="AA529">
            <v>17024</v>
          </cell>
          <cell r="AB529">
            <v>0</v>
          </cell>
          <cell r="AC529">
            <v>17024</v>
          </cell>
          <cell r="AD529">
            <v>12790</v>
          </cell>
          <cell r="AE529">
            <v>0</v>
          </cell>
          <cell r="AF529">
            <v>12790</v>
          </cell>
          <cell r="AG529" t="str">
            <v>C</v>
          </cell>
          <cell r="AH529" t="str">
            <v>ENGR. MICHAEL C. SALARDA
MS. LEONARDA M. LATOR
MS. CARMENCITA VALDEZ
MS. SORAYA P. VERGARA</v>
          </cell>
          <cell r="AI529" t="str">
            <v>N/A</v>
          </cell>
          <cell r="AJ529" t="str">
            <v>N/A</v>
          </cell>
          <cell r="AK529" t="str">
            <v>N/A</v>
          </cell>
          <cell r="AL529" t="str">
            <v>N/A</v>
          </cell>
          <cell r="AM529" t="str">
            <v>N/A</v>
          </cell>
          <cell r="AN529" t="str">
            <v>N/A</v>
          </cell>
          <cell r="AO529" t="str">
            <v>COMPLETED</v>
          </cell>
        </row>
        <row r="530">
          <cell r="A530" t="str">
            <v>24-2072</v>
          </cell>
          <cell r="B530" t="str">
            <v>FOOD/CATERING SERVICES</v>
          </cell>
          <cell r="C530" t="str">
            <v>PHRMDO</v>
          </cell>
          <cell r="D530" t="str">
            <v>No</v>
          </cell>
          <cell r="E530" t="str">
            <v>NP-53.9 - Small Value Procurement</v>
          </cell>
          <cell r="F530">
            <v>45384</v>
          </cell>
          <cell r="G530">
            <v>45390</v>
          </cell>
          <cell r="H530">
            <v>0</v>
          </cell>
          <cell r="I530" t="str">
            <v>N/A</v>
          </cell>
          <cell r="J530">
            <v>45407</v>
          </cell>
          <cell r="K530">
            <v>45407</v>
          </cell>
          <cell r="L530">
            <v>0</v>
          </cell>
          <cell r="M530" t="str">
            <v>N/A</v>
          </cell>
          <cell r="N530" t="str">
            <v>N/A</v>
          </cell>
          <cell r="O530">
            <v>45411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45429</v>
          </cell>
          <cell r="U530">
            <v>45433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33140</v>
          </cell>
          <cell r="AB530">
            <v>33140</v>
          </cell>
          <cell r="AC530">
            <v>0</v>
          </cell>
          <cell r="AD530">
            <v>32822</v>
          </cell>
          <cell r="AE530">
            <v>32822</v>
          </cell>
          <cell r="AF530">
            <v>0</v>
          </cell>
          <cell r="AG530" t="str">
            <v>M</v>
          </cell>
          <cell r="AH530" t="str">
            <v>ENGR. MICHAEL C. SALARDA
MS. LEONARDA M. LATOR
MS. CARMENCITA VALDEZ
MS. SORAYA P. VERGARA</v>
          </cell>
          <cell r="AI530" t="str">
            <v>N/A</v>
          </cell>
          <cell r="AJ530" t="str">
            <v>N/A</v>
          </cell>
          <cell r="AK530" t="str">
            <v>N/A</v>
          </cell>
          <cell r="AL530" t="str">
            <v>N/A</v>
          </cell>
          <cell r="AM530" t="str">
            <v>N/A</v>
          </cell>
          <cell r="AN530" t="str">
            <v>N/A</v>
          </cell>
          <cell r="AO530">
            <v>0</v>
          </cell>
        </row>
        <row r="531">
          <cell r="A531" t="str">
            <v>24-C1184</v>
          </cell>
          <cell r="B531" t="str">
            <v>COMMUNICATION SUPPLIES &amp; EQUIPMENT</v>
          </cell>
          <cell r="C531" t="str">
            <v>PICTO</v>
          </cell>
          <cell r="D531" t="str">
            <v>No</v>
          </cell>
          <cell r="E531" t="str">
            <v>NP-53.9 - Small Value Procurement</v>
          </cell>
          <cell r="F531" t="str">
            <v>N/A</v>
          </cell>
          <cell r="G531">
            <v>45385</v>
          </cell>
          <cell r="H531">
            <v>0</v>
          </cell>
          <cell r="I531" t="str">
            <v>N/A</v>
          </cell>
          <cell r="J531">
            <v>45407</v>
          </cell>
          <cell r="K531">
            <v>45407</v>
          </cell>
          <cell r="L531">
            <v>0</v>
          </cell>
          <cell r="M531" t="str">
            <v>N/A</v>
          </cell>
          <cell r="N531" t="str">
            <v>N/A</v>
          </cell>
          <cell r="O531">
            <v>45411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45425</v>
          </cell>
          <cell r="U531">
            <v>45433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154054</v>
          </cell>
          <cell r="AB531">
            <v>154054</v>
          </cell>
          <cell r="AC531">
            <v>0</v>
          </cell>
          <cell r="AD531">
            <v>154054</v>
          </cell>
          <cell r="AE531">
            <v>154054</v>
          </cell>
          <cell r="AF531">
            <v>0</v>
          </cell>
          <cell r="AG531" t="str">
            <v>M</v>
          </cell>
          <cell r="AH531" t="str">
            <v>ENGR. MICHAEL C. SALARDA
MS. LEONARDA M. LATOR
MS. CARMENCITA VALDEZ
MS. SORAYA P. VERGARA</v>
          </cell>
          <cell r="AI531" t="str">
            <v>N/A</v>
          </cell>
          <cell r="AJ531" t="str">
            <v>N/A</v>
          </cell>
          <cell r="AK531" t="str">
            <v>N/A</v>
          </cell>
          <cell r="AL531" t="str">
            <v>N/A</v>
          </cell>
          <cell r="AM531" t="str">
            <v>N/A</v>
          </cell>
          <cell r="AN531" t="str">
            <v>N/A</v>
          </cell>
          <cell r="AO531">
            <v>0</v>
          </cell>
        </row>
        <row r="532">
          <cell r="A532" t="str">
            <v>24-1574</v>
          </cell>
          <cell r="B532" t="str">
            <v>SPAREPARTS (LIGHT VEHICLES)</v>
          </cell>
          <cell r="C532" t="str">
            <v>PGSO</v>
          </cell>
          <cell r="D532" t="str">
            <v>No</v>
          </cell>
          <cell r="E532" t="str">
            <v>NP-53.9 - Small Value Procurement</v>
          </cell>
          <cell r="F532">
            <v>45370</v>
          </cell>
          <cell r="G532">
            <v>45376</v>
          </cell>
          <cell r="H532">
            <v>0</v>
          </cell>
          <cell r="I532" t="str">
            <v>N/A</v>
          </cell>
          <cell r="J532">
            <v>45407</v>
          </cell>
          <cell r="K532">
            <v>45407</v>
          </cell>
          <cell r="L532">
            <v>0</v>
          </cell>
          <cell r="M532" t="str">
            <v>N/A</v>
          </cell>
          <cell r="N532" t="str">
            <v>N/A</v>
          </cell>
          <cell r="O532">
            <v>45411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45425</v>
          </cell>
          <cell r="U532">
            <v>45448</v>
          </cell>
          <cell r="V532">
            <v>0</v>
          </cell>
          <cell r="W532">
            <v>0</v>
          </cell>
          <cell r="X532">
            <v>45453</v>
          </cell>
          <cell r="Y532">
            <v>45453</v>
          </cell>
          <cell r="Z532">
            <v>0</v>
          </cell>
          <cell r="AA532">
            <v>70600</v>
          </cell>
          <cell r="AB532">
            <v>70600</v>
          </cell>
          <cell r="AC532">
            <v>0</v>
          </cell>
          <cell r="AD532">
            <v>56400</v>
          </cell>
          <cell r="AE532">
            <v>56400</v>
          </cell>
          <cell r="AF532">
            <v>0</v>
          </cell>
          <cell r="AG532" t="str">
            <v>M</v>
          </cell>
          <cell r="AH532" t="str">
            <v>ENGR. MICHAEL C. SALARDA
MS. LEONARDA M. LATOR
MS. CARMENCITA VALDEZ
MS. SORAYA P. VERGARA</v>
          </cell>
          <cell r="AI532" t="str">
            <v>N/A</v>
          </cell>
          <cell r="AJ532" t="str">
            <v>N/A</v>
          </cell>
          <cell r="AK532" t="str">
            <v>N/A</v>
          </cell>
          <cell r="AL532" t="str">
            <v>N/A</v>
          </cell>
          <cell r="AM532" t="str">
            <v>N/A</v>
          </cell>
          <cell r="AN532" t="str">
            <v>N/A</v>
          </cell>
          <cell r="AO532" t="str">
            <v>COMPLETED</v>
          </cell>
        </row>
        <row r="533">
          <cell r="A533" t="str">
            <v>24-C1153</v>
          </cell>
          <cell r="B533" t="str">
            <v>LABOR FOR REPLACEMENT</v>
          </cell>
          <cell r="C533" t="str">
            <v>PGSO</v>
          </cell>
          <cell r="D533" t="str">
            <v>No</v>
          </cell>
          <cell r="E533" t="str">
            <v>NP-53.9 - Small Value Procurement</v>
          </cell>
          <cell r="F533">
            <v>45370</v>
          </cell>
          <cell r="G533">
            <v>45376</v>
          </cell>
          <cell r="H533">
            <v>0</v>
          </cell>
          <cell r="I533" t="str">
            <v>N/A</v>
          </cell>
          <cell r="J533">
            <v>45407</v>
          </cell>
          <cell r="K533">
            <v>45407</v>
          </cell>
          <cell r="L533">
            <v>0</v>
          </cell>
          <cell r="M533" t="str">
            <v>N/A</v>
          </cell>
          <cell r="N533" t="str">
            <v>N/A</v>
          </cell>
          <cell r="O533">
            <v>45411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45427</v>
          </cell>
          <cell r="U533">
            <v>45448</v>
          </cell>
          <cell r="V533">
            <v>0</v>
          </cell>
          <cell r="W533">
            <v>0</v>
          </cell>
          <cell r="X533">
            <v>45458</v>
          </cell>
          <cell r="Y533">
            <v>45458</v>
          </cell>
          <cell r="Z533">
            <v>0</v>
          </cell>
          <cell r="AA533">
            <v>103500</v>
          </cell>
          <cell r="AB533">
            <v>103500</v>
          </cell>
          <cell r="AC533">
            <v>0</v>
          </cell>
          <cell r="AD533">
            <v>83000</v>
          </cell>
          <cell r="AE533">
            <v>83000</v>
          </cell>
          <cell r="AF533">
            <v>0</v>
          </cell>
          <cell r="AG533" t="str">
            <v>M</v>
          </cell>
          <cell r="AH533" t="str">
            <v>ENGR. MICHAEL C. SALARDA
MS. LEONARDA M. LATOR
MS. CARMENCITA VALDEZ
MS. SORAYA P. VERGARA</v>
          </cell>
          <cell r="AI533" t="str">
            <v>N/A</v>
          </cell>
          <cell r="AJ533" t="str">
            <v>N/A</v>
          </cell>
          <cell r="AK533" t="str">
            <v>N/A</v>
          </cell>
          <cell r="AL533" t="str">
            <v>N/A</v>
          </cell>
          <cell r="AM533" t="str">
            <v>N/A</v>
          </cell>
          <cell r="AN533" t="str">
            <v>N/A</v>
          </cell>
          <cell r="AO533" t="str">
            <v>COMPLETED</v>
          </cell>
        </row>
        <row r="534">
          <cell r="A534" t="str">
            <v>24-C1298</v>
          </cell>
          <cell r="B534" t="str">
            <v>JANITORIAL SUPPLIES</v>
          </cell>
          <cell r="C534" t="str">
            <v>PAGRO</v>
          </cell>
          <cell r="D534" t="str">
            <v>No</v>
          </cell>
          <cell r="E534" t="str">
            <v>NP-53.9 - Small Value Procurement</v>
          </cell>
          <cell r="F534" t="str">
            <v>N/A</v>
          </cell>
          <cell r="G534">
            <v>45390</v>
          </cell>
          <cell r="H534">
            <v>0</v>
          </cell>
          <cell r="I534" t="str">
            <v>N/A</v>
          </cell>
          <cell r="J534">
            <v>45407</v>
          </cell>
          <cell r="K534">
            <v>45407</v>
          </cell>
          <cell r="L534">
            <v>0</v>
          </cell>
          <cell r="M534" t="str">
            <v>N/A</v>
          </cell>
          <cell r="N534" t="str">
            <v>N/A</v>
          </cell>
          <cell r="O534">
            <v>45411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45432</v>
          </cell>
          <cell r="U534">
            <v>45433</v>
          </cell>
          <cell r="V534">
            <v>0</v>
          </cell>
          <cell r="W534">
            <v>0</v>
          </cell>
          <cell r="X534">
            <v>45457</v>
          </cell>
          <cell r="Y534">
            <v>45457</v>
          </cell>
          <cell r="Z534">
            <v>0</v>
          </cell>
          <cell r="AA534">
            <v>13451</v>
          </cell>
          <cell r="AB534">
            <v>13451</v>
          </cell>
          <cell r="AC534">
            <v>0</v>
          </cell>
          <cell r="AD534">
            <v>13002</v>
          </cell>
          <cell r="AE534">
            <v>13002</v>
          </cell>
          <cell r="AF534">
            <v>0</v>
          </cell>
          <cell r="AG534" t="str">
            <v>M</v>
          </cell>
          <cell r="AH534" t="str">
            <v>ENGR. MICHAEL C. SALARDA
MS. LEONARDA M. LATOR
MS. CARMENCITA VALDEZ
MS. SORAYA P. VERGARA</v>
          </cell>
          <cell r="AI534" t="str">
            <v>N/A</v>
          </cell>
          <cell r="AJ534" t="str">
            <v>N/A</v>
          </cell>
          <cell r="AK534" t="str">
            <v>N/A</v>
          </cell>
          <cell r="AL534" t="str">
            <v>N/A</v>
          </cell>
          <cell r="AM534" t="str">
            <v>N/A</v>
          </cell>
          <cell r="AN534" t="str">
            <v>N/A</v>
          </cell>
          <cell r="AO534" t="str">
            <v>COMPLETED</v>
          </cell>
        </row>
        <row r="535">
          <cell r="A535" t="str">
            <v>24-C1320</v>
          </cell>
          <cell r="B535" t="str">
            <v>MEDICAL CERTIFICATE</v>
          </cell>
          <cell r="C535" t="str">
            <v>PVO</v>
          </cell>
          <cell r="D535" t="str">
            <v>No</v>
          </cell>
          <cell r="E535" t="str">
            <v>NP-53.9 - Small Value Procurement</v>
          </cell>
          <cell r="F535">
            <v>45384</v>
          </cell>
          <cell r="G535">
            <v>45390</v>
          </cell>
          <cell r="H535">
            <v>0</v>
          </cell>
          <cell r="I535" t="str">
            <v>N/A</v>
          </cell>
          <cell r="J535">
            <v>45407</v>
          </cell>
          <cell r="K535">
            <v>45407</v>
          </cell>
          <cell r="L535">
            <v>0</v>
          </cell>
          <cell r="M535" t="str">
            <v>N/A</v>
          </cell>
          <cell r="N535" t="str">
            <v>N/A</v>
          </cell>
          <cell r="O535">
            <v>45411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45427</v>
          </cell>
          <cell r="U535">
            <v>45433</v>
          </cell>
          <cell r="V535">
            <v>0</v>
          </cell>
          <cell r="W535">
            <v>0</v>
          </cell>
          <cell r="X535">
            <v>45446</v>
          </cell>
          <cell r="Y535">
            <v>45446</v>
          </cell>
          <cell r="Z535">
            <v>0</v>
          </cell>
          <cell r="AA535">
            <v>3850</v>
          </cell>
          <cell r="AB535">
            <v>0</v>
          </cell>
          <cell r="AC535">
            <v>3850</v>
          </cell>
          <cell r="AD535">
            <v>3746</v>
          </cell>
          <cell r="AE535">
            <v>0</v>
          </cell>
          <cell r="AF535">
            <v>3746</v>
          </cell>
          <cell r="AG535" t="str">
            <v>C</v>
          </cell>
          <cell r="AH535" t="str">
            <v>ENGR. MICHAEL C. SALARDA
MS. LEONARDA M. LATOR
MS. CARMENCITA VALDEZ
MS. SORAYA P. VERGARA</v>
          </cell>
          <cell r="AI535" t="str">
            <v>N/A</v>
          </cell>
          <cell r="AJ535" t="str">
            <v>N/A</v>
          </cell>
          <cell r="AK535" t="str">
            <v>N/A</v>
          </cell>
          <cell r="AL535" t="str">
            <v>N/A</v>
          </cell>
          <cell r="AM535" t="str">
            <v>N/A</v>
          </cell>
          <cell r="AN535" t="str">
            <v>N/A</v>
          </cell>
          <cell r="AO535" t="str">
            <v>COMPLETED</v>
          </cell>
        </row>
        <row r="536">
          <cell r="A536" t="str">
            <v>24-C0968</v>
          </cell>
          <cell r="B536" t="str">
            <v>ELECTRICAL SUPPLIES</v>
          </cell>
          <cell r="C536" t="str">
            <v>PEEMO</v>
          </cell>
          <cell r="D536" t="str">
            <v>No</v>
          </cell>
          <cell r="E536" t="str">
            <v>NP-53.9 - Small Value Procurement</v>
          </cell>
          <cell r="F536" t="str">
            <v>N/A</v>
          </cell>
          <cell r="G536">
            <v>45390</v>
          </cell>
          <cell r="H536">
            <v>0</v>
          </cell>
          <cell r="I536" t="str">
            <v>N/A</v>
          </cell>
          <cell r="J536">
            <v>45407</v>
          </cell>
          <cell r="K536">
            <v>45407</v>
          </cell>
          <cell r="L536">
            <v>0</v>
          </cell>
          <cell r="M536" t="str">
            <v>N/A</v>
          </cell>
          <cell r="N536" t="str">
            <v>N/A</v>
          </cell>
          <cell r="O536">
            <v>45411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45425</v>
          </cell>
          <cell r="U536">
            <v>45434</v>
          </cell>
          <cell r="V536">
            <v>0</v>
          </cell>
          <cell r="W536">
            <v>0</v>
          </cell>
          <cell r="X536">
            <v>45471</v>
          </cell>
          <cell r="Y536">
            <v>45471</v>
          </cell>
          <cell r="Z536">
            <v>0</v>
          </cell>
          <cell r="AA536">
            <v>162933.4</v>
          </cell>
          <cell r="AB536">
            <v>162933.4</v>
          </cell>
          <cell r="AC536">
            <v>0</v>
          </cell>
          <cell r="AD536">
            <v>161647</v>
          </cell>
          <cell r="AE536">
            <v>161647</v>
          </cell>
          <cell r="AF536">
            <v>0</v>
          </cell>
          <cell r="AG536" t="str">
            <v>M</v>
          </cell>
          <cell r="AH536" t="str">
            <v>ENGR. MICHAEL C. SALARDA
MS. LEONARDA M. LATOR
MS. CARMENCITA VALDEZ
MS. SORAYA P. VERGARA</v>
          </cell>
          <cell r="AI536" t="str">
            <v>N/A</v>
          </cell>
          <cell r="AJ536" t="str">
            <v>N/A</v>
          </cell>
          <cell r="AK536" t="str">
            <v>N/A</v>
          </cell>
          <cell r="AL536" t="str">
            <v>N/A</v>
          </cell>
          <cell r="AM536" t="str">
            <v>N/A</v>
          </cell>
          <cell r="AN536" t="str">
            <v>N/A</v>
          </cell>
          <cell r="AO536" t="str">
            <v>COMPLETED</v>
          </cell>
        </row>
        <row r="537">
          <cell r="A537" t="str">
            <v>24-0428</v>
          </cell>
          <cell r="B537" t="str">
            <v>T-SHIRT WITH PRINT</v>
          </cell>
          <cell r="C537" t="str">
            <v>PGO</v>
          </cell>
          <cell r="D537" t="str">
            <v>No</v>
          </cell>
          <cell r="E537" t="str">
            <v>NP-53.9 - Small Value Procurement</v>
          </cell>
          <cell r="F537" t="str">
            <v>N/A</v>
          </cell>
          <cell r="G537">
            <v>45397</v>
          </cell>
          <cell r="H537">
            <v>0</v>
          </cell>
          <cell r="I537" t="str">
            <v>N/A</v>
          </cell>
          <cell r="J537">
            <v>45407</v>
          </cell>
          <cell r="K537">
            <v>45407</v>
          </cell>
          <cell r="L537">
            <v>0</v>
          </cell>
          <cell r="M537" t="str">
            <v>N/A</v>
          </cell>
          <cell r="N537" t="str">
            <v>N/A</v>
          </cell>
          <cell r="O537">
            <v>45411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13475</v>
          </cell>
          <cell r="AB537">
            <v>0</v>
          </cell>
          <cell r="AC537">
            <v>13475</v>
          </cell>
          <cell r="AD537">
            <v>13475</v>
          </cell>
          <cell r="AE537">
            <v>0</v>
          </cell>
          <cell r="AF537">
            <v>13475</v>
          </cell>
          <cell r="AG537" t="str">
            <v>C</v>
          </cell>
          <cell r="AH537" t="str">
            <v>ENGR. MICHAEL C. SALARDA
MS. LEONARDA M. LATOR
MS. CARMENCITA VALDEZ
MS. SORAYA P. VERGARA</v>
          </cell>
          <cell r="AI537" t="str">
            <v>N/A</v>
          </cell>
          <cell r="AJ537" t="str">
            <v>N/A</v>
          </cell>
          <cell r="AK537" t="str">
            <v>N/A</v>
          </cell>
          <cell r="AL537" t="str">
            <v>N/A</v>
          </cell>
          <cell r="AM537" t="str">
            <v>N/A</v>
          </cell>
          <cell r="AN537" t="str">
            <v>N/A</v>
          </cell>
          <cell r="AO537">
            <v>0</v>
          </cell>
        </row>
        <row r="538">
          <cell r="A538" t="str">
            <v>24-2353</v>
          </cell>
          <cell r="B538" t="str">
            <v>STICKER</v>
          </cell>
          <cell r="C538" t="str">
            <v>PTO</v>
          </cell>
          <cell r="D538" t="str">
            <v>No</v>
          </cell>
          <cell r="E538" t="str">
            <v>NP-53.9 - Small Value Procurement</v>
          </cell>
          <cell r="F538" t="str">
            <v>N/A</v>
          </cell>
          <cell r="G538">
            <v>45397</v>
          </cell>
          <cell r="H538">
            <v>0</v>
          </cell>
          <cell r="I538" t="str">
            <v>N/A</v>
          </cell>
          <cell r="J538">
            <v>45407</v>
          </cell>
          <cell r="K538">
            <v>45407</v>
          </cell>
          <cell r="L538">
            <v>0</v>
          </cell>
          <cell r="M538" t="str">
            <v>N/A</v>
          </cell>
          <cell r="N538" t="str">
            <v>N/A</v>
          </cell>
          <cell r="O538">
            <v>45411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45432</v>
          </cell>
          <cell r="U538">
            <v>45434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98000</v>
          </cell>
          <cell r="AB538">
            <v>98000</v>
          </cell>
          <cell r="AC538">
            <v>0</v>
          </cell>
          <cell r="AD538">
            <v>87500</v>
          </cell>
          <cell r="AE538">
            <v>87500</v>
          </cell>
          <cell r="AF538">
            <v>0</v>
          </cell>
          <cell r="AG538" t="str">
            <v>M</v>
          </cell>
          <cell r="AH538" t="str">
            <v>ENGR. MICHAEL C. SALARDA
MS. LEONARDA M. LATOR
MS. CARMENCITA VALDEZ
MS. SORAYA P. VERGARA</v>
          </cell>
          <cell r="AI538" t="str">
            <v>N/A</v>
          </cell>
          <cell r="AJ538" t="str">
            <v>N/A</v>
          </cell>
          <cell r="AK538" t="str">
            <v>N/A</v>
          </cell>
          <cell r="AL538" t="str">
            <v>N/A</v>
          </cell>
          <cell r="AM538" t="str">
            <v>N/A</v>
          </cell>
          <cell r="AN538" t="str">
            <v>N/A</v>
          </cell>
          <cell r="AO538">
            <v>0</v>
          </cell>
        </row>
        <row r="539">
          <cell r="A539" t="str">
            <v>24-2345</v>
          </cell>
          <cell r="B539" t="str">
            <v>COMPUTER SET</v>
          </cell>
          <cell r="C539" t="str">
            <v>PTO</v>
          </cell>
          <cell r="D539" t="str">
            <v>No</v>
          </cell>
          <cell r="E539" t="str">
            <v>NP-53.9 - Small Value Procurement</v>
          </cell>
          <cell r="F539" t="str">
            <v>N/A</v>
          </cell>
          <cell r="G539">
            <v>45397</v>
          </cell>
          <cell r="H539">
            <v>0</v>
          </cell>
          <cell r="I539" t="str">
            <v>N/A</v>
          </cell>
          <cell r="J539">
            <v>45407</v>
          </cell>
          <cell r="K539">
            <v>45407</v>
          </cell>
          <cell r="L539">
            <v>0</v>
          </cell>
          <cell r="M539" t="str">
            <v>N/A</v>
          </cell>
          <cell r="N539" t="str">
            <v>N/A</v>
          </cell>
          <cell r="O539">
            <v>45411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45425</v>
          </cell>
          <cell r="U539">
            <v>45433</v>
          </cell>
          <cell r="V539">
            <v>0</v>
          </cell>
          <cell r="W539">
            <v>0</v>
          </cell>
          <cell r="X539">
            <v>45443</v>
          </cell>
          <cell r="Y539">
            <v>45443</v>
          </cell>
          <cell r="Z539">
            <v>0</v>
          </cell>
          <cell r="AA539">
            <v>135000</v>
          </cell>
          <cell r="AB539">
            <v>135000</v>
          </cell>
          <cell r="AC539">
            <v>0</v>
          </cell>
          <cell r="AD539">
            <v>134700</v>
          </cell>
          <cell r="AE539">
            <v>134700</v>
          </cell>
          <cell r="AF539">
            <v>0</v>
          </cell>
          <cell r="AG539" t="str">
            <v>M</v>
          </cell>
          <cell r="AH539" t="str">
            <v>ENGR. MICHAEL C. SALARDA
MS. LEONARDA M. LATOR
MS. CARMENCITA VALDEZ
MS. SORAYA P. VERGARA</v>
          </cell>
          <cell r="AI539" t="str">
            <v>N/A</v>
          </cell>
          <cell r="AJ539" t="str">
            <v>N/A</v>
          </cell>
          <cell r="AK539" t="str">
            <v>N/A</v>
          </cell>
          <cell r="AL539" t="str">
            <v>N/A</v>
          </cell>
          <cell r="AM539" t="str">
            <v>N/A</v>
          </cell>
          <cell r="AN539" t="str">
            <v>N/A</v>
          </cell>
          <cell r="AO539" t="str">
            <v>COMPLETED</v>
          </cell>
        </row>
        <row r="540">
          <cell r="A540" t="str">
            <v>24-C1304</v>
          </cell>
          <cell r="B540" t="str">
            <v>VETERINARY SUPPLIES</v>
          </cell>
          <cell r="C540" t="str">
            <v>PVO</v>
          </cell>
          <cell r="D540" t="str">
            <v>No</v>
          </cell>
          <cell r="E540" t="str">
            <v>NP-53.9 - Small Value Procurement</v>
          </cell>
          <cell r="F540" t="str">
            <v>N/A</v>
          </cell>
          <cell r="G540">
            <v>45385</v>
          </cell>
          <cell r="H540">
            <v>0</v>
          </cell>
          <cell r="I540" t="str">
            <v>N/A</v>
          </cell>
          <cell r="J540">
            <v>45407</v>
          </cell>
          <cell r="K540">
            <v>45407</v>
          </cell>
          <cell r="L540">
            <v>0</v>
          </cell>
          <cell r="M540" t="str">
            <v>N/A</v>
          </cell>
          <cell r="N540" t="str">
            <v>N/A</v>
          </cell>
          <cell r="O540">
            <v>45411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45433</v>
          </cell>
          <cell r="U540">
            <v>45435</v>
          </cell>
          <cell r="V540">
            <v>0</v>
          </cell>
          <cell r="W540">
            <v>0</v>
          </cell>
          <cell r="X540">
            <v>45456</v>
          </cell>
          <cell r="Y540">
            <v>45456</v>
          </cell>
          <cell r="Z540">
            <v>0</v>
          </cell>
          <cell r="AA540">
            <v>72177</v>
          </cell>
          <cell r="AB540">
            <v>72177</v>
          </cell>
          <cell r="AC540">
            <v>0</v>
          </cell>
          <cell r="AD540">
            <v>71932</v>
          </cell>
          <cell r="AE540">
            <v>71932</v>
          </cell>
          <cell r="AF540">
            <v>0</v>
          </cell>
          <cell r="AG540" t="str">
            <v>M</v>
          </cell>
          <cell r="AH540" t="str">
            <v>ENGR. MICHAEL C. SALARDA
MS. LEONARDA M. LATOR
MS. CARMENCITA VALDEZ
MS. SORAYA P. VERGARA</v>
          </cell>
          <cell r="AI540" t="str">
            <v>N/A</v>
          </cell>
          <cell r="AJ540" t="str">
            <v>N/A</v>
          </cell>
          <cell r="AK540" t="str">
            <v>N/A</v>
          </cell>
          <cell r="AL540" t="str">
            <v>N/A</v>
          </cell>
          <cell r="AM540" t="str">
            <v>N/A</v>
          </cell>
          <cell r="AN540" t="str">
            <v>N/A</v>
          </cell>
          <cell r="AO540" t="str">
            <v>COMPLETED</v>
          </cell>
        </row>
        <row r="541">
          <cell r="A541" t="str">
            <v>24-2340</v>
          </cell>
          <cell r="B541" t="str">
            <v>EXTERNAL DRIVE</v>
          </cell>
          <cell r="C541" t="str">
            <v>PTO</v>
          </cell>
          <cell r="D541" t="str">
            <v>No</v>
          </cell>
          <cell r="E541" t="str">
            <v>NP-53.9 - Small Value Procurement</v>
          </cell>
          <cell r="F541" t="str">
            <v>N/A</v>
          </cell>
          <cell r="G541">
            <v>45397</v>
          </cell>
          <cell r="H541">
            <v>0</v>
          </cell>
          <cell r="I541" t="str">
            <v>N/A</v>
          </cell>
          <cell r="J541">
            <v>45407</v>
          </cell>
          <cell r="K541">
            <v>45407</v>
          </cell>
          <cell r="L541">
            <v>0</v>
          </cell>
          <cell r="M541" t="str">
            <v>N/A</v>
          </cell>
          <cell r="N541" t="str">
            <v>N/A</v>
          </cell>
          <cell r="O541">
            <v>45411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45429</v>
          </cell>
          <cell r="U541">
            <v>45433</v>
          </cell>
          <cell r="V541">
            <v>0</v>
          </cell>
          <cell r="W541">
            <v>0</v>
          </cell>
          <cell r="X541">
            <v>45439</v>
          </cell>
          <cell r="Y541">
            <v>45439</v>
          </cell>
          <cell r="Z541">
            <v>0</v>
          </cell>
          <cell r="AA541">
            <v>18700</v>
          </cell>
          <cell r="AB541">
            <v>18700</v>
          </cell>
          <cell r="AC541">
            <v>0</v>
          </cell>
          <cell r="AD541">
            <v>18000</v>
          </cell>
          <cell r="AE541">
            <v>18000</v>
          </cell>
          <cell r="AF541">
            <v>0</v>
          </cell>
          <cell r="AG541">
            <v>0</v>
          </cell>
          <cell r="AH541" t="str">
            <v>ENGR. MICHAEL C. SALARDA
MS. LEONARDA M. LATOR
MS. CARMENCITA VALDEZ
MS. SORAYA P. VERGARA</v>
          </cell>
          <cell r="AI541" t="str">
            <v>N/A</v>
          </cell>
          <cell r="AJ541" t="str">
            <v>N/A</v>
          </cell>
          <cell r="AK541" t="str">
            <v>N/A</v>
          </cell>
          <cell r="AL541" t="str">
            <v>N/A</v>
          </cell>
          <cell r="AM541" t="str">
            <v>N/A</v>
          </cell>
          <cell r="AN541" t="str">
            <v>N/A</v>
          </cell>
          <cell r="AO541" t="str">
            <v>COMPLETED</v>
          </cell>
        </row>
        <row r="542">
          <cell r="A542" t="str">
            <v>24-C1214</v>
          </cell>
          <cell r="B542" t="str">
            <v>DOG VACCINATION CERTIFICATE AND TARPAULIN</v>
          </cell>
          <cell r="C542" t="str">
            <v>PVO</v>
          </cell>
          <cell r="D542" t="str">
            <v>No</v>
          </cell>
          <cell r="E542" t="str">
            <v>NP-53.9 - Small Value Procurement</v>
          </cell>
          <cell r="F542" t="str">
            <v>N/A</v>
          </cell>
          <cell r="G542">
            <v>45390</v>
          </cell>
          <cell r="H542">
            <v>0</v>
          </cell>
          <cell r="I542" t="str">
            <v>N/A</v>
          </cell>
          <cell r="J542">
            <v>45407</v>
          </cell>
          <cell r="K542">
            <v>45407</v>
          </cell>
          <cell r="L542">
            <v>0</v>
          </cell>
          <cell r="M542" t="str">
            <v>N/A</v>
          </cell>
          <cell r="N542" t="str">
            <v>N/A</v>
          </cell>
          <cell r="O542">
            <v>45411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45432</v>
          </cell>
          <cell r="U542">
            <v>45435</v>
          </cell>
          <cell r="V542">
            <v>0</v>
          </cell>
          <cell r="W542">
            <v>0</v>
          </cell>
          <cell r="X542">
            <v>45447</v>
          </cell>
          <cell r="Y542">
            <v>45447</v>
          </cell>
          <cell r="Z542">
            <v>0</v>
          </cell>
          <cell r="AA542">
            <v>31560</v>
          </cell>
          <cell r="AB542">
            <v>31560</v>
          </cell>
          <cell r="AC542">
            <v>0</v>
          </cell>
          <cell r="AD542">
            <v>31560</v>
          </cell>
          <cell r="AE542">
            <v>31560</v>
          </cell>
          <cell r="AF542">
            <v>0</v>
          </cell>
          <cell r="AG542" t="str">
            <v>M</v>
          </cell>
          <cell r="AH542" t="str">
            <v>ENGR. MICHAEL C. SALARDA
MS. LEONARDA M. LATOR
MS. CARMENCITA VALDEZ
MS. SORAYA P. VERGARA</v>
          </cell>
          <cell r="AI542" t="str">
            <v>N/A</v>
          </cell>
          <cell r="AJ542" t="str">
            <v>N/A</v>
          </cell>
          <cell r="AK542" t="str">
            <v>N/A</v>
          </cell>
          <cell r="AL542" t="str">
            <v>N/A</v>
          </cell>
          <cell r="AM542" t="str">
            <v>N/A</v>
          </cell>
          <cell r="AN542" t="str">
            <v>N/A</v>
          </cell>
          <cell r="AO542" t="str">
            <v>COMPLETED</v>
          </cell>
        </row>
        <row r="543">
          <cell r="A543" t="str">
            <v>24-2289</v>
          </cell>
          <cell r="B543" t="str">
            <v>SPAREPARTS (MOTORCYCLE)</v>
          </cell>
          <cell r="C543" t="str">
            <v>PGSO</v>
          </cell>
          <cell r="D543" t="str">
            <v>No</v>
          </cell>
          <cell r="E543" t="str">
            <v>NP-53.9 - Small Value Procurement</v>
          </cell>
          <cell r="F543">
            <v>45390</v>
          </cell>
          <cell r="G543">
            <v>45397</v>
          </cell>
          <cell r="H543">
            <v>0</v>
          </cell>
          <cell r="I543" t="str">
            <v>N/A</v>
          </cell>
          <cell r="J543">
            <v>45407</v>
          </cell>
          <cell r="K543">
            <v>45407</v>
          </cell>
          <cell r="L543">
            <v>0</v>
          </cell>
          <cell r="M543" t="str">
            <v>N/A</v>
          </cell>
          <cell r="N543" t="str">
            <v>N/A</v>
          </cell>
          <cell r="O543">
            <v>45411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45426</v>
          </cell>
          <cell r="U543">
            <v>45446</v>
          </cell>
          <cell r="V543">
            <v>0</v>
          </cell>
          <cell r="W543">
            <v>0</v>
          </cell>
          <cell r="X543">
            <v>45449</v>
          </cell>
          <cell r="Y543">
            <v>45449</v>
          </cell>
          <cell r="Z543">
            <v>0</v>
          </cell>
          <cell r="AA543">
            <v>8680</v>
          </cell>
          <cell r="AB543">
            <v>8680</v>
          </cell>
          <cell r="AC543">
            <v>0</v>
          </cell>
          <cell r="AD543">
            <v>8620</v>
          </cell>
          <cell r="AE543">
            <v>8620</v>
          </cell>
          <cell r="AF543">
            <v>0</v>
          </cell>
          <cell r="AG543" t="str">
            <v>M</v>
          </cell>
          <cell r="AH543" t="str">
            <v>ENGR. MICHAEL C. SALARDA
MS. LEONARDA M. LATOR
MS. CARMENCITA VALDEZ
MS. SORAYA P. VERGARA</v>
          </cell>
          <cell r="AI543" t="str">
            <v>N/A</v>
          </cell>
          <cell r="AJ543" t="str">
            <v>N/A</v>
          </cell>
          <cell r="AK543" t="str">
            <v>N/A</v>
          </cell>
          <cell r="AL543" t="str">
            <v>N/A</v>
          </cell>
          <cell r="AM543" t="str">
            <v>N/A</v>
          </cell>
          <cell r="AN543" t="str">
            <v>N/A</v>
          </cell>
          <cell r="AO543" t="str">
            <v>COMPLETED</v>
          </cell>
        </row>
        <row r="544">
          <cell r="A544" t="str">
            <v>24-0848</v>
          </cell>
          <cell r="B544" t="str">
            <v>GARMENTS</v>
          </cell>
          <cell r="C544" t="str">
            <v>PGO</v>
          </cell>
          <cell r="D544" t="str">
            <v>No</v>
          </cell>
          <cell r="E544" t="str">
            <v>NP-53.9 - Small Value Procurement</v>
          </cell>
          <cell r="F544" t="str">
            <v>N/A</v>
          </cell>
          <cell r="G544">
            <v>45390</v>
          </cell>
          <cell r="H544">
            <v>0</v>
          </cell>
          <cell r="I544" t="str">
            <v>N/A</v>
          </cell>
          <cell r="J544">
            <v>45407</v>
          </cell>
          <cell r="K544">
            <v>45407</v>
          </cell>
          <cell r="L544">
            <v>0</v>
          </cell>
          <cell r="M544" t="str">
            <v>N/A</v>
          </cell>
          <cell r="N544" t="str">
            <v>N/A</v>
          </cell>
          <cell r="O544">
            <v>45411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45425</v>
          </cell>
          <cell r="U544">
            <v>45435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26400</v>
          </cell>
          <cell r="AB544">
            <v>0</v>
          </cell>
          <cell r="AC544">
            <v>26400</v>
          </cell>
          <cell r="AD544">
            <v>26400</v>
          </cell>
          <cell r="AE544">
            <v>0</v>
          </cell>
          <cell r="AF544">
            <v>26400</v>
          </cell>
          <cell r="AG544" t="str">
            <v>C</v>
          </cell>
          <cell r="AH544" t="str">
            <v>ENGR. MICHAEL C. SALARDA
MS. LEONARDA M. LATOR
MS. CARMENCITA VALDEZ
MS. SORAYA P. VERGARA</v>
          </cell>
          <cell r="AI544" t="str">
            <v>N/A</v>
          </cell>
          <cell r="AJ544" t="str">
            <v>N/A</v>
          </cell>
          <cell r="AK544" t="str">
            <v>N/A</v>
          </cell>
          <cell r="AL544" t="str">
            <v>N/A</v>
          </cell>
          <cell r="AM544" t="str">
            <v>N/A</v>
          </cell>
          <cell r="AN544" t="str">
            <v>N/A</v>
          </cell>
          <cell r="AO544">
            <v>0</v>
          </cell>
        </row>
        <row r="545">
          <cell r="A545" t="str">
            <v>24-2279</v>
          </cell>
          <cell r="B545" t="str">
            <v>SPAREPARTS (MOTORCYCLE)</v>
          </cell>
          <cell r="C545" t="str">
            <v>PGSO</v>
          </cell>
          <cell r="D545" t="str">
            <v>No</v>
          </cell>
          <cell r="E545" t="str">
            <v>NP-53.9 - Small Value Procurement</v>
          </cell>
          <cell r="F545">
            <v>45390</v>
          </cell>
          <cell r="G545">
            <v>45397</v>
          </cell>
          <cell r="H545">
            <v>0</v>
          </cell>
          <cell r="I545" t="str">
            <v>N/A</v>
          </cell>
          <cell r="J545">
            <v>45407</v>
          </cell>
          <cell r="K545">
            <v>45407</v>
          </cell>
          <cell r="L545">
            <v>0</v>
          </cell>
          <cell r="M545" t="str">
            <v>N/A</v>
          </cell>
          <cell r="N545" t="str">
            <v>N/A</v>
          </cell>
          <cell r="O545">
            <v>45411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45427</v>
          </cell>
          <cell r="U545">
            <v>45446</v>
          </cell>
          <cell r="V545">
            <v>0</v>
          </cell>
          <cell r="W545">
            <v>0</v>
          </cell>
          <cell r="X545">
            <v>45449</v>
          </cell>
          <cell r="Y545">
            <v>45449</v>
          </cell>
          <cell r="Z545">
            <v>0</v>
          </cell>
          <cell r="AA545">
            <v>4900</v>
          </cell>
          <cell r="AB545">
            <v>4900</v>
          </cell>
          <cell r="AC545">
            <v>0</v>
          </cell>
          <cell r="AD545">
            <v>4863</v>
          </cell>
          <cell r="AE545">
            <v>4863</v>
          </cell>
          <cell r="AF545">
            <v>0</v>
          </cell>
          <cell r="AG545" t="str">
            <v>M</v>
          </cell>
          <cell r="AH545" t="str">
            <v>ENGR. MICHAEL C. SALARDA
MS. LEONARDA M. LATOR
MS. CARMENCITA VALDEZ
MS. SORAYA P. VERGARA</v>
          </cell>
          <cell r="AI545" t="str">
            <v>N/A</v>
          </cell>
          <cell r="AJ545" t="str">
            <v>N/A</v>
          </cell>
          <cell r="AK545" t="str">
            <v>N/A</v>
          </cell>
          <cell r="AL545" t="str">
            <v>N/A</v>
          </cell>
          <cell r="AM545" t="str">
            <v>N/A</v>
          </cell>
          <cell r="AN545" t="str">
            <v>N/A</v>
          </cell>
          <cell r="AO545" t="str">
            <v>COMPLETED</v>
          </cell>
        </row>
        <row r="546">
          <cell r="A546" t="str">
            <v>24-C1215</v>
          </cell>
          <cell r="B546" t="str">
            <v>AGRICULTURAL SUPPLIES</v>
          </cell>
          <cell r="C546" t="str">
            <v>PVO</v>
          </cell>
          <cell r="D546" t="str">
            <v>No</v>
          </cell>
          <cell r="E546" t="str">
            <v>NP-53.9 - Small Value Procurement</v>
          </cell>
          <cell r="F546" t="str">
            <v>N/A</v>
          </cell>
          <cell r="G546">
            <v>45390</v>
          </cell>
          <cell r="H546">
            <v>0</v>
          </cell>
          <cell r="I546" t="str">
            <v>N/A</v>
          </cell>
          <cell r="J546">
            <v>45407</v>
          </cell>
          <cell r="K546">
            <v>45407</v>
          </cell>
          <cell r="L546">
            <v>0</v>
          </cell>
          <cell r="M546" t="str">
            <v>N/A</v>
          </cell>
          <cell r="N546" t="str">
            <v>N/A</v>
          </cell>
          <cell r="O546">
            <v>45411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45425</v>
          </cell>
          <cell r="U546">
            <v>45435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249835</v>
          </cell>
          <cell r="AB546">
            <v>0</v>
          </cell>
          <cell r="AC546">
            <v>249835</v>
          </cell>
          <cell r="AD546">
            <v>248050</v>
          </cell>
          <cell r="AE546">
            <v>0</v>
          </cell>
          <cell r="AF546">
            <v>248050</v>
          </cell>
          <cell r="AG546" t="str">
            <v>C</v>
          </cell>
          <cell r="AH546" t="str">
            <v>ENGR. MICHAEL C. SALARDA
MS. LEONARDA M. LATOR
MS. CARMENCITA VALDEZ
MS. SORAYA P. VERGARA</v>
          </cell>
          <cell r="AI546" t="str">
            <v>N/A</v>
          </cell>
          <cell r="AJ546" t="str">
            <v>N/A</v>
          </cell>
          <cell r="AK546" t="str">
            <v>N/A</v>
          </cell>
          <cell r="AL546" t="str">
            <v>N/A</v>
          </cell>
          <cell r="AM546" t="str">
            <v>N/A</v>
          </cell>
          <cell r="AN546" t="str">
            <v>N/A</v>
          </cell>
          <cell r="AO546">
            <v>0</v>
          </cell>
        </row>
        <row r="547">
          <cell r="A547" t="str">
            <v>24-2286</v>
          </cell>
          <cell r="B547" t="str">
            <v>SPAREPARTS (MOTORCYCLE)</v>
          </cell>
          <cell r="C547" t="str">
            <v>PGSO</v>
          </cell>
          <cell r="D547" t="str">
            <v>No</v>
          </cell>
          <cell r="E547" t="str">
            <v>NP-53.9 - Small Value Procurement</v>
          </cell>
          <cell r="F547">
            <v>45390</v>
          </cell>
          <cell r="G547">
            <v>45397</v>
          </cell>
          <cell r="H547">
            <v>0</v>
          </cell>
          <cell r="I547" t="str">
            <v>N/A</v>
          </cell>
          <cell r="J547">
            <v>45407</v>
          </cell>
          <cell r="K547">
            <v>45407</v>
          </cell>
          <cell r="L547">
            <v>0</v>
          </cell>
          <cell r="M547" t="str">
            <v>N/A</v>
          </cell>
          <cell r="N547" t="str">
            <v>N/A</v>
          </cell>
          <cell r="O547">
            <v>45411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45425</v>
          </cell>
          <cell r="U547">
            <v>45446</v>
          </cell>
          <cell r="V547">
            <v>0</v>
          </cell>
          <cell r="W547">
            <v>0</v>
          </cell>
          <cell r="X547">
            <v>45449</v>
          </cell>
          <cell r="Y547">
            <v>45449</v>
          </cell>
          <cell r="Z547">
            <v>0</v>
          </cell>
          <cell r="AA547">
            <v>12430</v>
          </cell>
          <cell r="AB547">
            <v>12430</v>
          </cell>
          <cell r="AC547">
            <v>0</v>
          </cell>
          <cell r="AD547">
            <v>12250</v>
          </cell>
          <cell r="AE547">
            <v>12250</v>
          </cell>
          <cell r="AF547">
            <v>0</v>
          </cell>
          <cell r="AG547" t="str">
            <v>M</v>
          </cell>
          <cell r="AH547" t="str">
            <v>ENGR. MICHAEL C. SALARDA
MS. LEONARDA M. LATOR
MS. CARMENCITA VALDEZ
MS. SORAYA P. VERGARA</v>
          </cell>
          <cell r="AI547" t="str">
            <v>N/A</v>
          </cell>
          <cell r="AJ547" t="str">
            <v>N/A</v>
          </cell>
          <cell r="AK547" t="str">
            <v>N/A</v>
          </cell>
          <cell r="AL547" t="str">
            <v>N/A</v>
          </cell>
          <cell r="AM547" t="str">
            <v>N/A</v>
          </cell>
          <cell r="AN547" t="str">
            <v>N/A</v>
          </cell>
          <cell r="AO547" t="str">
            <v>COMPLETED</v>
          </cell>
        </row>
        <row r="548">
          <cell r="A548" t="str">
            <v>24-0466</v>
          </cell>
          <cell r="B548" t="str">
            <v>GARMENTS</v>
          </cell>
          <cell r="C548" t="str">
            <v>PGO</v>
          </cell>
          <cell r="D548" t="str">
            <v>No</v>
          </cell>
          <cell r="E548" t="str">
            <v>NP-53.9 - Small Value Procurement</v>
          </cell>
          <cell r="F548" t="str">
            <v>N/A</v>
          </cell>
          <cell r="G548">
            <v>45390</v>
          </cell>
          <cell r="H548">
            <v>0</v>
          </cell>
          <cell r="I548" t="str">
            <v>N/A</v>
          </cell>
          <cell r="J548">
            <v>45407</v>
          </cell>
          <cell r="K548">
            <v>45407</v>
          </cell>
          <cell r="L548">
            <v>0</v>
          </cell>
          <cell r="M548" t="str">
            <v>N/A</v>
          </cell>
          <cell r="N548" t="str">
            <v>N/A</v>
          </cell>
          <cell r="O548">
            <v>45411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45425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28000</v>
          </cell>
          <cell r="AB548">
            <v>0</v>
          </cell>
          <cell r="AC548">
            <v>28000</v>
          </cell>
          <cell r="AD548">
            <v>28000</v>
          </cell>
          <cell r="AE548">
            <v>0</v>
          </cell>
          <cell r="AF548">
            <v>28000</v>
          </cell>
          <cell r="AG548" t="str">
            <v>C</v>
          </cell>
          <cell r="AH548" t="str">
            <v>ENGR. MICHAEL C. SALARDA
MS. LEONARDA M. LATOR
MS. CARMENCITA VALDEZ
MS. SORAYA P. VERGARA</v>
          </cell>
          <cell r="AI548" t="str">
            <v>N/A</v>
          </cell>
          <cell r="AJ548" t="str">
            <v>N/A</v>
          </cell>
          <cell r="AK548" t="str">
            <v>N/A</v>
          </cell>
          <cell r="AL548" t="str">
            <v>N/A</v>
          </cell>
          <cell r="AM548" t="str">
            <v>N/A</v>
          </cell>
          <cell r="AN548" t="str">
            <v>N/A</v>
          </cell>
          <cell r="AO548">
            <v>0</v>
          </cell>
        </row>
        <row r="549">
          <cell r="A549" t="str">
            <v>24-1906</v>
          </cell>
          <cell r="B549" t="str">
            <v>RICE, WELL MILLED</v>
          </cell>
          <cell r="C549" t="str">
            <v>PGO</v>
          </cell>
          <cell r="D549" t="str">
            <v>No</v>
          </cell>
          <cell r="E549" t="str">
            <v>NP-53.9 - Small Value Procurement</v>
          </cell>
          <cell r="F549">
            <v>45384</v>
          </cell>
          <cell r="G549">
            <v>45390</v>
          </cell>
          <cell r="H549">
            <v>0</v>
          </cell>
          <cell r="I549" t="str">
            <v>N/A</v>
          </cell>
          <cell r="J549">
            <v>45407</v>
          </cell>
          <cell r="K549">
            <v>45407</v>
          </cell>
          <cell r="L549">
            <v>0</v>
          </cell>
          <cell r="M549" t="str">
            <v>N/A</v>
          </cell>
          <cell r="N549" t="str">
            <v>N/A</v>
          </cell>
          <cell r="O549">
            <v>45411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45425</v>
          </cell>
          <cell r="U549">
            <v>45433</v>
          </cell>
          <cell r="V549">
            <v>0</v>
          </cell>
          <cell r="W549">
            <v>0</v>
          </cell>
          <cell r="X549">
            <v>45436</v>
          </cell>
          <cell r="Y549">
            <v>45436</v>
          </cell>
          <cell r="Z549">
            <v>0</v>
          </cell>
          <cell r="AA549">
            <v>128535</v>
          </cell>
          <cell r="AB549">
            <v>0</v>
          </cell>
          <cell r="AC549">
            <v>128535</v>
          </cell>
          <cell r="AD549">
            <v>123000</v>
          </cell>
          <cell r="AE549">
            <v>0</v>
          </cell>
          <cell r="AF549">
            <v>123000</v>
          </cell>
          <cell r="AG549" t="str">
            <v>C</v>
          </cell>
          <cell r="AH549" t="str">
            <v>ENGR. MICHAEL C. SALARDA
MS. LEONARDA M. LATOR
MS. CARMENCITA VALDEZ
MS. SORAYA P. VERGARA</v>
          </cell>
          <cell r="AI549" t="str">
            <v>N/A</v>
          </cell>
          <cell r="AJ549" t="str">
            <v>N/A</v>
          </cell>
          <cell r="AK549" t="str">
            <v>N/A</v>
          </cell>
          <cell r="AL549" t="str">
            <v>N/A</v>
          </cell>
          <cell r="AM549" t="str">
            <v>N/A</v>
          </cell>
          <cell r="AN549" t="str">
            <v>N/A</v>
          </cell>
          <cell r="AO549" t="str">
            <v>COMPLETED</v>
          </cell>
        </row>
        <row r="550">
          <cell r="A550" t="str">
            <v>24-C1066</v>
          </cell>
          <cell r="B550" t="str">
            <v>TARPAULIN</v>
          </cell>
          <cell r="C550" t="str">
            <v>PVO</v>
          </cell>
          <cell r="D550" t="str">
            <v>No</v>
          </cell>
          <cell r="E550" t="str">
            <v>NP-53.9 - Small Value Procurement</v>
          </cell>
          <cell r="F550">
            <v>45384</v>
          </cell>
          <cell r="G550">
            <v>45390</v>
          </cell>
          <cell r="H550">
            <v>0</v>
          </cell>
          <cell r="I550" t="str">
            <v>N/A</v>
          </cell>
          <cell r="J550">
            <v>45407</v>
          </cell>
          <cell r="K550">
            <v>45407</v>
          </cell>
          <cell r="L550">
            <v>0</v>
          </cell>
          <cell r="M550" t="str">
            <v>N/A</v>
          </cell>
          <cell r="N550" t="str">
            <v>N/A</v>
          </cell>
          <cell r="O550">
            <v>45411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45427</v>
          </cell>
          <cell r="U550">
            <v>45433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3584</v>
          </cell>
          <cell r="AB550">
            <v>0</v>
          </cell>
          <cell r="AC550">
            <v>3584</v>
          </cell>
          <cell r="AD550">
            <v>3584</v>
          </cell>
          <cell r="AE550">
            <v>0</v>
          </cell>
          <cell r="AF550">
            <v>3584</v>
          </cell>
          <cell r="AG550" t="str">
            <v>C</v>
          </cell>
          <cell r="AH550" t="str">
            <v>ENGR. MICHAEL C. SALARDA
MS. LEONARDA M. LATOR
MS. CARMENCITA VALDEZ
MS. SORAYA P. VERGARA</v>
          </cell>
          <cell r="AI550" t="str">
            <v>N/A</v>
          </cell>
          <cell r="AJ550" t="str">
            <v>N/A</v>
          </cell>
          <cell r="AK550" t="str">
            <v>N/A</v>
          </cell>
          <cell r="AL550" t="str">
            <v>N/A</v>
          </cell>
          <cell r="AM550" t="str">
            <v>N/A</v>
          </cell>
          <cell r="AN550" t="str">
            <v>N/A</v>
          </cell>
          <cell r="AO550">
            <v>0</v>
          </cell>
        </row>
        <row r="551">
          <cell r="A551" t="str">
            <v>24-1237</v>
          </cell>
          <cell r="B551" t="str">
            <v>FREON</v>
          </cell>
          <cell r="C551" t="str">
            <v>SPO</v>
          </cell>
          <cell r="D551" t="str">
            <v>No</v>
          </cell>
          <cell r="E551" t="str">
            <v>NP-53.9 - Small Value Procurement</v>
          </cell>
          <cell r="F551" t="str">
            <v>N/A</v>
          </cell>
          <cell r="G551">
            <v>45359</v>
          </cell>
          <cell r="H551">
            <v>0</v>
          </cell>
          <cell r="I551" t="str">
            <v>N/A</v>
          </cell>
          <cell r="J551">
            <v>45407</v>
          </cell>
          <cell r="K551">
            <v>45407</v>
          </cell>
          <cell r="L551">
            <v>0</v>
          </cell>
          <cell r="M551" t="str">
            <v>N/A</v>
          </cell>
          <cell r="N551" t="str">
            <v>N/A</v>
          </cell>
          <cell r="O551">
            <v>45411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45449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9300</v>
          </cell>
          <cell r="AB551">
            <v>9300</v>
          </cell>
          <cell r="AC551">
            <v>0</v>
          </cell>
          <cell r="AD551">
            <v>9150</v>
          </cell>
          <cell r="AE551">
            <v>9150</v>
          </cell>
          <cell r="AF551">
            <v>0</v>
          </cell>
          <cell r="AG551" t="str">
            <v>M</v>
          </cell>
          <cell r="AH551" t="str">
            <v>ENGR. MICHAEL C. SALARDA
MS. LEONARDA M. LATOR
MS. CARMENCITA VALDEZ
MS. SORAYA P. VERGARA</v>
          </cell>
          <cell r="AI551" t="str">
            <v>N/A</v>
          </cell>
          <cell r="AJ551" t="str">
            <v>N/A</v>
          </cell>
          <cell r="AK551" t="str">
            <v>N/A</v>
          </cell>
          <cell r="AL551" t="str">
            <v>N/A</v>
          </cell>
          <cell r="AM551" t="str">
            <v>N/A</v>
          </cell>
          <cell r="AN551" t="str">
            <v>N/A</v>
          </cell>
          <cell r="AO551">
            <v>0</v>
          </cell>
        </row>
        <row r="552">
          <cell r="A552" t="str">
            <v>24-2281</v>
          </cell>
          <cell r="B552" t="str">
            <v>SPAREPARTS (MOTORCYCLE)</v>
          </cell>
          <cell r="C552" t="str">
            <v>PGSO</v>
          </cell>
          <cell r="D552" t="str">
            <v>No</v>
          </cell>
          <cell r="E552" t="str">
            <v>NP-53.9 - Small Value Procurement</v>
          </cell>
          <cell r="F552">
            <v>45390</v>
          </cell>
          <cell r="G552">
            <v>45407</v>
          </cell>
          <cell r="H552">
            <v>0</v>
          </cell>
          <cell r="I552" t="str">
            <v>N/A</v>
          </cell>
          <cell r="J552">
            <v>45407</v>
          </cell>
          <cell r="K552">
            <v>45407</v>
          </cell>
          <cell r="L552">
            <v>0</v>
          </cell>
          <cell r="M552" t="str">
            <v>N/A</v>
          </cell>
          <cell r="N552" t="str">
            <v>N/A</v>
          </cell>
          <cell r="O552">
            <v>45411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45427</v>
          </cell>
          <cell r="U552">
            <v>45446</v>
          </cell>
          <cell r="V552">
            <v>0</v>
          </cell>
          <cell r="W552">
            <v>0</v>
          </cell>
          <cell r="X552">
            <v>45449</v>
          </cell>
          <cell r="Y552">
            <v>45449</v>
          </cell>
          <cell r="Z552">
            <v>0</v>
          </cell>
          <cell r="AA552">
            <v>10300</v>
          </cell>
          <cell r="AB552">
            <v>10300</v>
          </cell>
          <cell r="AC552">
            <v>0</v>
          </cell>
          <cell r="AD552">
            <v>10252</v>
          </cell>
          <cell r="AE552">
            <v>10252</v>
          </cell>
          <cell r="AF552">
            <v>0</v>
          </cell>
          <cell r="AG552" t="str">
            <v>M</v>
          </cell>
          <cell r="AH552" t="str">
            <v>ENGR. MICHAEL C. SALARDA
MS. LEONARDA M. LATOR
MS. CARMENCITA VALDEZ
MS. SORAYA P. VERGARA</v>
          </cell>
          <cell r="AI552" t="str">
            <v>N/A</v>
          </cell>
          <cell r="AJ552" t="str">
            <v>N/A</v>
          </cell>
          <cell r="AK552" t="str">
            <v>N/A</v>
          </cell>
          <cell r="AL552" t="str">
            <v>N/A</v>
          </cell>
          <cell r="AM552" t="str">
            <v>N/A</v>
          </cell>
          <cell r="AN552" t="str">
            <v>N/A</v>
          </cell>
          <cell r="AO552" t="str">
            <v>COMPLETED</v>
          </cell>
        </row>
        <row r="553">
          <cell r="A553" t="str">
            <v>24-2288</v>
          </cell>
          <cell r="B553" t="str">
            <v>SPAREPARTS (LIGHT VEHICLES)</v>
          </cell>
          <cell r="C553" t="str">
            <v>PGSO</v>
          </cell>
          <cell r="D553" t="str">
            <v>No</v>
          </cell>
          <cell r="E553" t="str">
            <v>NP-53.9 - Small Value Procurement</v>
          </cell>
          <cell r="F553">
            <v>45390</v>
          </cell>
          <cell r="G553">
            <v>45397</v>
          </cell>
          <cell r="H553">
            <v>0</v>
          </cell>
          <cell r="I553" t="str">
            <v>N/A</v>
          </cell>
          <cell r="J553">
            <v>45407</v>
          </cell>
          <cell r="K553">
            <v>45407</v>
          </cell>
          <cell r="L553">
            <v>0</v>
          </cell>
          <cell r="M553" t="str">
            <v>N/A</v>
          </cell>
          <cell r="N553" t="str">
            <v>N/A</v>
          </cell>
          <cell r="O553">
            <v>45411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45434</v>
          </cell>
          <cell r="U553">
            <v>45435</v>
          </cell>
          <cell r="V553">
            <v>0</v>
          </cell>
          <cell r="W553">
            <v>0</v>
          </cell>
          <cell r="X553">
            <v>45441</v>
          </cell>
          <cell r="Y553">
            <v>45441</v>
          </cell>
          <cell r="Z553">
            <v>0</v>
          </cell>
          <cell r="AA553">
            <v>70212</v>
          </cell>
          <cell r="AB553">
            <v>70212</v>
          </cell>
          <cell r="AC553">
            <v>0</v>
          </cell>
          <cell r="AD553">
            <v>70212</v>
          </cell>
          <cell r="AE553">
            <v>70212</v>
          </cell>
          <cell r="AF553">
            <v>0</v>
          </cell>
          <cell r="AG553" t="str">
            <v>M</v>
          </cell>
          <cell r="AH553" t="str">
            <v>ENGR. MICHAEL C. SALARDA
MS. LEONARDA M. LATOR
MS. CARMENCITA VALDEZ
MS. SORAYA P. VERGARA</v>
          </cell>
          <cell r="AI553" t="str">
            <v>N/A</v>
          </cell>
          <cell r="AJ553" t="str">
            <v>N/A</v>
          </cell>
          <cell r="AK553" t="str">
            <v>N/A</v>
          </cell>
          <cell r="AL553" t="str">
            <v>N/A</v>
          </cell>
          <cell r="AM553" t="str">
            <v>N/A</v>
          </cell>
          <cell r="AN553" t="str">
            <v>N/A</v>
          </cell>
          <cell r="AO553" t="str">
            <v>COMPLETED</v>
          </cell>
        </row>
        <row r="554">
          <cell r="A554" t="str">
            <v>24-0514</v>
          </cell>
          <cell r="B554" t="str">
            <v>OTHER MACHINERIES AND EQUIPMENT</v>
          </cell>
          <cell r="C554" t="str">
            <v>PDRRMO</v>
          </cell>
          <cell r="D554" t="str">
            <v>No</v>
          </cell>
          <cell r="E554" t="str">
            <v>NP-53.9 - Small Value Procurement</v>
          </cell>
          <cell r="F554" t="str">
            <v>N/A</v>
          </cell>
          <cell r="G554">
            <v>45359</v>
          </cell>
          <cell r="H554">
            <v>0</v>
          </cell>
          <cell r="I554" t="str">
            <v>N/A</v>
          </cell>
          <cell r="J554">
            <v>45407</v>
          </cell>
          <cell r="K554">
            <v>45407</v>
          </cell>
          <cell r="L554">
            <v>0</v>
          </cell>
          <cell r="M554" t="str">
            <v>N/A</v>
          </cell>
          <cell r="N554" t="str">
            <v>N/A</v>
          </cell>
          <cell r="O554">
            <v>45411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45429</v>
          </cell>
          <cell r="U554">
            <v>45463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62535</v>
          </cell>
          <cell r="AB554">
            <v>0</v>
          </cell>
          <cell r="AC554">
            <v>62535</v>
          </cell>
          <cell r="AD554">
            <v>61400</v>
          </cell>
          <cell r="AE554">
            <v>0</v>
          </cell>
          <cell r="AF554">
            <v>61400</v>
          </cell>
          <cell r="AG554" t="str">
            <v>C</v>
          </cell>
          <cell r="AH554" t="str">
            <v>ENGR. MICHAEL C. SALARDA
MS. LEONARDA M. LATOR
MS. CARMENCITA VALDEZ
MS. SORAYA P. VERGARA</v>
          </cell>
          <cell r="AI554" t="str">
            <v>N/A</v>
          </cell>
          <cell r="AJ554" t="str">
            <v>N/A</v>
          </cell>
          <cell r="AK554" t="str">
            <v>N/A</v>
          </cell>
          <cell r="AL554" t="str">
            <v>N/A</v>
          </cell>
          <cell r="AM554" t="str">
            <v>N/A</v>
          </cell>
          <cell r="AN554" t="str">
            <v>N/A</v>
          </cell>
          <cell r="AO554">
            <v>0</v>
          </cell>
        </row>
        <row r="555">
          <cell r="A555" t="str">
            <v>24-0542</v>
          </cell>
          <cell r="B555" t="str">
            <v>TARPAULIN</v>
          </cell>
          <cell r="C555" t="str">
            <v>PGO</v>
          </cell>
          <cell r="D555" t="str">
            <v>No</v>
          </cell>
          <cell r="E555" t="str">
            <v>NP-53.9 - Small Value Procurement</v>
          </cell>
          <cell r="F555">
            <v>45390</v>
          </cell>
          <cell r="G555">
            <v>45397</v>
          </cell>
          <cell r="H555">
            <v>0</v>
          </cell>
          <cell r="I555" t="str">
            <v>N/A</v>
          </cell>
          <cell r="J555">
            <v>45407</v>
          </cell>
          <cell r="K555">
            <v>45407</v>
          </cell>
          <cell r="L555">
            <v>0</v>
          </cell>
          <cell r="M555" t="str">
            <v>N/A</v>
          </cell>
          <cell r="N555" t="str">
            <v>N/A</v>
          </cell>
          <cell r="O555">
            <v>45411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45432</v>
          </cell>
          <cell r="U555">
            <v>45435</v>
          </cell>
          <cell r="V555">
            <v>0</v>
          </cell>
          <cell r="W555">
            <v>0</v>
          </cell>
          <cell r="X555">
            <v>45461</v>
          </cell>
          <cell r="Y555">
            <v>45461</v>
          </cell>
          <cell r="Z555">
            <v>0</v>
          </cell>
          <cell r="AA555">
            <v>24976</v>
          </cell>
          <cell r="AB555">
            <v>0</v>
          </cell>
          <cell r="AC555">
            <v>24976</v>
          </cell>
          <cell r="AD555">
            <v>24976</v>
          </cell>
          <cell r="AE555">
            <v>0</v>
          </cell>
          <cell r="AF555">
            <v>24976</v>
          </cell>
          <cell r="AG555" t="str">
            <v>C</v>
          </cell>
          <cell r="AH555" t="str">
            <v>ENGR. MICHAEL C. SALARDA
MS. LEONARDA M. LATOR
MS. CARMENCITA VALDEZ
MS. SORAYA P. VERGARA</v>
          </cell>
          <cell r="AI555" t="str">
            <v>N/A</v>
          </cell>
          <cell r="AJ555" t="str">
            <v>N/A</v>
          </cell>
          <cell r="AK555" t="str">
            <v>N/A</v>
          </cell>
          <cell r="AL555" t="str">
            <v>N/A</v>
          </cell>
          <cell r="AM555" t="str">
            <v>N/A</v>
          </cell>
          <cell r="AN555" t="str">
            <v>N/A</v>
          </cell>
          <cell r="AO555" t="str">
            <v>COMPLETED</v>
          </cell>
        </row>
        <row r="556">
          <cell r="A556" t="str">
            <v>24-1327</v>
          </cell>
          <cell r="B556" t="str">
            <v>PADLOCK &amp; VARNISH</v>
          </cell>
          <cell r="C556" t="str">
            <v>PGSO</v>
          </cell>
          <cell r="D556" t="str">
            <v>No</v>
          </cell>
          <cell r="E556" t="str">
            <v>NP-53.9 - Small Value Procurement</v>
          </cell>
          <cell r="F556" t="str">
            <v>N/A</v>
          </cell>
          <cell r="G556">
            <v>45397</v>
          </cell>
          <cell r="H556">
            <v>0</v>
          </cell>
          <cell r="I556" t="str">
            <v>N/A</v>
          </cell>
          <cell r="J556">
            <v>45407</v>
          </cell>
          <cell r="K556">
            <v>45407</v>
          </cell>
          <cell r="L556">
            <v>0</v>
          </cell>
          <cell r="M556" t="str">
            <v>N/A</v>
          </cell>
          <cell r="N556" t="str">
            <v>N/A</v>
          </cell>
          <cell r="O556">
            <v>45411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45427</v>
          </cell>
          <cell r="U556">
            <v>45446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2785</v>
          </cell>
          <cell r="AB556">
            <v>2785</v>
          </cell>
          <cell r="AC556">
            <v>0</v>
          </cell>
          <cell r="AD556">
            <v>2785</v>
          </cell>
          <cell r="AE556">
            <v>2785</v>
          </cell>
          <cell r="AF556">
            <v>0</v>
          </cell>
          <cell r="AG556" t="str">
            <v>M</v>
          </cell>
          <cell r="AH556" t="str">
            <v>ENGR. MICHAEL C. SALARDA
MS. LEONARDA M. LATOR
MS. CARMENCITA VALDEZ
MS. SORAYA P. VERGARA</v>
          </cell>
          <cell r="AI556" t="str">
            <v>N/A</v>
          </cell>
          <cell r="AJ556" t="str">
            <v>N/A</v>
          </cell>
          <cell r="AK556" t="str">
            <v>N/A</v>
          </cell>
          <cell r="AL556" t="str">
            <v>N/A</v>
          </cell>
          <cell r="AM556" t="str">
            <v>N/A</v>
          </cell>
          <cell r="AN556" t="str">
            <v>N/A</v>
          </cell>
          <cell r="AO556">
            <v>0</v>
          </cell>
        </row>
        <row r="557">
          <cell r="A557" t="str">
            <v>24-1325</v>
          </cell>
          <cell r="B557" t="str">
            <v>POWER SPRAYER, ELECTRIC POWER SPRAY</v>
          </cell>
          <cell r="C557" t="str">
            <v>PGSO</v>
          </cell>
          <cell r="D557" t="str">
            <v>No</v>
          </cell>
          <cell r="E557" t="str">
            <v>NP-53.9 - Small Value Procurement</v>
          </cell>
          <cell r="F557" t="str">
            <v>N/A</v>
          </cell>
          <cell r="G557">
            <v>45376</v>
          </cell>
          <cell r="H557">
            <v>0</v>
          </cell>
          <cell r="I557" t="str">
            <v>N/A</v>
          </cell>
          <cell r="J557">
            <v>45407</v>
          </cell>
          <cell r="K557">
            <v>45407</v>
          </cell>
          <cell r="L557">
            <v>0</v>
          </cell>
          <cell r="M557" t="str">
            <v>N/A</v>
          </cell>
          <cell r="N557" t="str">
            <v>N/A</v>
          </cell>
          <cell r="O557">
            <v>45411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45427</v>
          </cell>
          <cell r="U557">
            <v>45448</v>
          </cell>
          <cell r="V557">
            <v>0</v>
          </cell>
          <cell r="W557">
            <v>0</v>
          </cell>
          <cell r="X557">
            <v>45464</v>
          </cell>
          <cell r="Y557">
            <v>45464</v>
          </cell>
          <cell r="Z557">
            <v>0</v>
          </cell>
          <cell r="AA557">
            <v>26000</v>
          </cell>
          <cell r="AB557">
            <v>26000</v>
          </cell>
          <cell r="AC557">
            <v>0</v>
          </cell>
          <cell r="AD557">
            <v>25999.599999999999</v>
          </cell>
          <cell r="AE557">
            <v>25999.599999999999</v>
          </cell>
          <cell r="AF557">
            <v>0</v>
          </cell>
          <cell r="AG557" t="str">
            <v>M</v>
          </cell>
          <cell r="AH557" t="str">
            <v>ENGR. MICHAEL C. SALARDA
MS. LEONARDA M. LATOR
MS. CARMENCITA VALDEZ
MS. SORAYA P. VERGARA</v>
          </cell>
          <cell r="AI557" t="str">
            <v>N/A</v>
          </cell>
          <cell r="AJ557" t="str">
            <v>N/A</v>
          </cell>
          <cell r="AK557" t="str">
            <v>N/A</v>
          </cell>
          <cell r="AL557" t="str">
            <v>N/A</v>
          </cell>
          <cell r="AM557" t="str">
            <v>N/A</v>
          </cell>
          <cell r="AN557" t="str">
            <v>N/A</v>
          </cell>
          <cell r="AO557" t="str">
            <v>COMPLETED</v>
          </cell>
        </row>
        <row r="558">
          <cell r="A558" t="str">
            <v>24-0853</v>
          </cell>
          <cell r="B558" t="str">
            <v>MEGAPHONE W/ SIREN &amp; WHISTLE</v>
          </cell>
          <cell r="C558" t="str">
            <v>PGO</v>
          </cell>
          <cell r="D558" t="str">
            <v>No</v>
          </cell>
          <cell r="E558" t="str">
            <v>NP-53.9 - Small Value Procurement</v>
          </cell>
          <cell r="F558" t="str">
            <v>N/A</v>
          </cell>
          <cell r="G558">
            <v>45390</v>
          </cell>
          <cell r="H558">
            <v>0</v>
          </cell>
          <cell r="I558" t="str">
            <v>N/A</v>
          </cell>
          <cell r="J558">
            <v>45407</v>
          </cell>
          <cell r="K558">
            <v>45407</v>
          </cell>
          <cell r="L558">
            <v>0</v>
          </cell>
          <cell r="M558" t="str">
            <v>N/A</v>
          </cell>
          <cell r="N558" t="str">
            <v>N/A</v>
          </cell>
          <cell r="O558">
            <v>45411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45432</v>
          </cell>
          <cell r="U558">
            <v>45434</v>
          </cell>
          <cell r="V558">
            <v>0</v>
          </cell>
          <cell r="W558">
            <v>0</v>
          </cell>
          <cell r="X558">
            <v>45447</v>
          </cell>
          <cell r="Y558">
            <v>45447</v>
          </cell>
          <cell r="Z558">
            <v>0</v>
          </cell>
          <cell r="AA558">
            <v>7000</v>
          </cell>
          <cell r="AB558">
            <v>0</v>
          </cell>
          <cell r="AC558">
            <v>7000</v>
          </cell>
          <cell r="AD558">
            <v>5000</v>
          </cell>
          <cell r="AE558">
            <v>0</v>
          </cell>
          <cell r="AF558">
            <v>5000</v>
          </cell>
          <cell r="AG558" t="str">
            <v>C</v>
          </cell>
          <cell r="AH558" t="str">
            <v>ENGR. MICHAEL C. SALARDA
MS. LEONARDA M. LATOR
MS. CARMENCITA VALDEZ
MS. SORAYA P. VERGARA</v>
          </cell>
          <cell r="AI558" t="str">
            <v>N/A</v>
          </cell>
          <cell r="AJ558" t="str">
            <v>N/A</v>
          </cell>
          <cell r="AK558" t="str">
            <v>N/A</v>
          </cell>
          <cell r="AL558" t="str">
            <v>N/A</v>
          </cell>
          <cell r="AM558" t="str">
            <v>N/A</v>
          </cell>
          <cell r="AN558" t="str">
            <v>N/A</v>
          </cell>
          <cell r="AO558" t="str">
            <v>COMPLETED</v>
          </cell>
        </row>
        <row r="559">
          <cell r="A559" t="str">
            <v>24-2119</v>
          </cell>
          <cell r="B559" t="str">
            <v>SPAREPARTS ( MOTORCYCLE)</v>
          </cell>
          <cell r="C559" t="str">
            <v>PGSO</v>
          </cell>
          <cell r="D559" t="str">
            <v>No</v>
          </cell>
          <cell r="E559" t="str">
            <v>NP-53.9 - Small Value Procurement</v>
          </cell>
          <cell r="F559">
            <v>45390</v>
          </cell>
          <cell r="G559">
            <v>45397</v>
          </cell>
          <cell r="H559">
            <v>0</v>
          </cell>
          <cell r="I559" t="str">
            <v>N/A</v>
          </cell>
          <cell r="J559">
            <v>45407</v>
          </cell>
          <cell r="K559">
            <v>45407</v>
          </cell>
          <cell r="L559">
            <v>0</v>
          </cell>
          <cell r="M559" t="str">
            <v>N/A</v>
          </cell>
          <cell r="N559" t="str">
            <v>N/A</v>
          </cell>
          <cell r="O559">
            <v>45411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45427</v>
          </cell>
          <cell r="U559">
            <v>45446</v>
          </cell>
          <cell r="V559">
            <v>0</v>
          </cell>
          <cell r="W559">
            <v>0</v>
          </cell>
          <cell r="X559">
            <v>45461</v>
          </cell>
          <cell r="Y559">
            <v>45461</v>
          </cell>
          <cell r="Z559">
            <v>0</v>
          </cell>
          <cell r="AA559">
            <v>17390</v>
          </cell>
          <cell r="AB559">
            <v>17390</v>
          </cell>
          <cell r="AC559">
            <v>0</v>
          </cell>
          <cell r="AD559">
            <v>17225</v>
          </cell>
          <cell r="AE559">
            <v>17225</v>
          </cell>
          <cell r="AF559">
            <v>0</v>
          </cell>
          <cell r="AG559" t="str">
            <v>M</v>
          </cell>
          <cell r="AH559" t="str">
            <v>ENGR. MICHAEL C. SALARDA
MS. LEONARDA M. LATOR
MS. CARMENCITA VALDEZ
MS. SORAYA P. VERGARA</v>
          </cell>
          <cell r="AI559" t="str">
            <v>N/A</v>
          </cell>
          <cell r="AJ559" t="str">
            <v>N/A</v>
          </cell>
          <cell r="AK559" t="str">
            <v>N/A</v>
          </cell>
          <cell r="AL559" t="str">
            <v>N/A</v>
          </cell>
          <cell r="AM559" t="str">
            <v>N/A</v>
          </cell>
          <cell r="AN559" t="str">
            <v>N/A</v>
          </cell>
          <cell r="AO559" t="str">
            <v>COMPLETED</v>
          </cell>
        </row>
        <row r="560">
          <cell r="A560" t="str">
            <v>24-1960</v>
          </cell>
          <cell r="B560" t="str">
            <v>TARPAULIN</v>
          </cell>
          <cell r="C560" t="str">
            <v>PHO</v>
          </cell>
          <cell r="D560" t="str">
            <v>No</v>
          </cell>
          <cell r="E560" t="str">
            <v>NP-53.9 - Small Value Procurement</v>
          </cell>
          <cell r="F560" t="str">
            <v>N/A</v>
          </cell>
          <cell r="G560">
            <v>45397</v>
          </cell>
          <cell r="H560">
            <v>0</v>
          </cell>
          <cell r="I560" t="str">
            <v>N/A</v>
          </cell>
          <cell r="J560">
            <v>45407</v>
          </cell>
          <cell r="K560">
            <v>45407</v>
          </cell>
          <cell r="L560">
            <v>0</v>
          </cell>
          <cell r="M560" t="str">
            <v>N/A</v>
          </cell>
          <cell r="N560" t="str">
            <v>N/A</v>
          </cell>
          <cell r="O560">
            <v>45411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45429</v>
          </cell>
          <cell r="U560">
            <v>45433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5628</v>
          </cell>
          <cell r="AB560">
            <v>0</v>
          </cell>
          <cell r="AC560">
            <v>5628</v>
          </cell>
          <cell r="AD560">
            <v>5628</v>
          </cell>
          <cell r="AE560">
            <v>0</v>
          </cell>
          <cell r="AF560">
            <v>5628</v>
          </cell>
          <cell r="AG560" t="str">
            <v>C</v>
          </cell>
          <cell r="AH560" t="str">
            <v>ENGR. MICHAEL C. SALARDA
MS. LEONARDA M. LATOR
MS. CARMENCITA VALDEZ
MS. SORAYA P. VERGARA</v>
          </cell>
          <cell r="AI560" t="str">
            <v>N/A</v>
          </cell>
          <cell r="AJ560" t="str">
            <v>N/A</v>
          </cell>
          <cell r="AK560" t="str">
            <v>N/A</v>
          </cell>
          <cell r="AL560" t="str">
            <v>N/A</v>
          </cell>
          <cell r="AM560" t="str">
            <v>N/A</v>
          </cell>
          <cell r="AN560" t="str">
            <v>N/A</v>
          </cell>
          <cell r="AO560">
            <v>0</v>
          </cell>
        </row>
        <row r="561">
          <cell r="A561" t="str">
            <v>24-C1119</v>
          </cell>
          <cell r="B561" t="str">
            <v>OFFICE EQUIPMENT</v>
          </cell>
          <cell r="C561" t="str">
            <v>PDRRMO</v>
          </cell>
          <cell r="D561" t="str">
            <v>No</v>
          </cell>
          <cell r="E561" t="str">
            <v>NP-53.9 - Small Value Procurement</v>
          </cell>
          <cell r="F561" t="str">
            <v>N/A</v>
          </cell>
          <cell r="G561">
            <v>45385</v>
          </cell>
          <cell r="H561">
            <v>0</v>
          </cell>
          <cell r="I561" t="str">
            <v>N/A</v>
          </cell>
          <cell r="J561">
            <v>45407</v>
          </cell>
          <cell r="K561">
            <v>45407</v>
          </cell>
          <cell r="L561">
            <v>0</v>
          </cell>
          <cell r="M561" t="str">
            <v>N/A</v>
          </cell>
          <cell r="N561" t="str">
            <v>N/A</v>
          </cell>
          <cell r="O561">
            <v>45411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45425</v>
          </cell>
          <cell r="U561">
            <v>45433</v>
          </cell>
          <cell r="V561">
            <v>0</v>
          </cell>
          <cell r="W561">
            <v>0</v>
          </cell>
          <cell r="X561">
            <v>45440</v>
          </cell>
          <cell r="Y561">
            <v>45440</v>
          </cell>
          <cell r="Z561">
            <v>0</v>
          </cell>
          <cell r="AA561">
            <v>196864</v>
          </cell>
          <cell r="AB561">
            <v>0</v>
          </cell>
          <cell r="AC561">
            <v>196864</v>
          </cell>
          <cell r="AD561">
            <v>196200</v>
          </cell>
          <cell r="AE561">
            <v>0</v>
          </cell>
          <cell r="AF561">
            <v>196200</v>
          </cell>
          <cell r="AG561" t="str">
            <v>C</v>
          </cell>
          <cell r="AH561" t="str">
            <v>ENGR. MICHAEL C. SALARDA
MS. LEONARDA M. LATOR
MS. CARMENCITA VALDEZ
MS. SORAYA P. VERGARA</v>
          </cell>
          <cell r="AI561" t="str">
            <v>N/A</v>
          </cell>
          <cell r="AJ561" t="str">
            <v>N/A</v>
          </cell>
          <cell r="AK561" t="str">
            <v>N/A</v>
          </cell>
          <cell r="AL561" t="str">
            <v>N/A</v>
          </cell>
          <cell r="AM561" t="str">
            <v>N/A</v>
          </cell>
          <cell r="AN561" t="str">
            <v>N/A</v>
          </cell>
          <cell r="AO561" t="str">
            <v>COMPLETED</v>
          </cell>
        </row>
        <row r="562">
          <cell r="A562" t="str">
            <v>24-2020</v>
          </cell>
          <cell r="B562" t="str">
            <v>COMPUTER PRINTER</v>
          </cell>
          <cell r="C562" t="str">
            <v>PDRRMO</v>
          </cell>
          <cell r="D562" t="str">
            <v>No</v>
          </cell>
          <cell r="E562" t="str">
            <v>NP-53.9 - Small Value Procurement</v>
          </cell>
          <cell r="F562" t="str">
            <v>N/A</v>
          </cell>
          <cell r="G562">
            <v>45390</v>
          </cell>
          <cell r="H562">
            <v>0</v>
          </cell>
          <cell r="I562" t="str">
            <v>N/A</v>
          </cell>
          <cell r="J562">
            <v>45407</v>
          </cell>
          <cell r="K562">
            <v>45407</v>
          </cell>
          <cell r="L562">
            <v>0</v>
          </cell>
          <cell r="M562" t="str">
            <v>N/A</v>
          </cell>
          <cell r="N562" t="str">
            <v>N/A</v>
          </cell>
          <cell r="O562">
            <v>45411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45429</v>
          </cell>
          <cell r="U562">
            <v>45433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10000</v>
          </cell>
          <cell r="AB562">
            <v>0</v>
          </cell>
          <cell r="AC562">
            <v>10000</v>
          </cell>
          <cell r="AD562">
            <v>9323</v>
          </cell>
          <cell r="AE562">
            <v>0</v>
          </cell>
          <cell r="AF562">
            <v>9323</v>
          </cell>
          <cell r="AG562" t="str">
            <v>C</v>
          </cell>
          <cell r="AH562" t="str">
            <v>ENGR. MICHAEL C. SALARDA
MS. LEONARDA M. LATOR
MS. CARMENCITA VALDEZ
MS. SORAYA P. VERGARA</v>
          </cell>
          <cell r="AI562" t="str">
            <v>N/A</v>
          </cell>
          <cell r="AJ562" t="str">
            <v>N/A</v>
          </cell>
          <cell r="AK562" t="str">
            <v>N/A</v>
          </cell>
          <cell r="AL562" t="str">
            <v>N/A</v>
          </cell>
          <cell r="AM562" t="str">
            <v>N/A</v>
          </cell>
          <cell r="AN562" t="str">
            <v>N/A</v>
          </cell>
          <cell r="AO562">
            <v>0</v>
          </cell>
        </row>
        <row r="563">
          <cell r="A563" t="str">
            <v>24-C1332</v>
          </cell>
          <cell r="B563" t="str">
            <v>GRASSCUTTER &amp; SUBMERSIBLE PUMP</v>
          </cell>
          <cell r="C563" t="str">
            <v>PAGRO</v>
          </cell>
          <cell r="D563" t="str">
            <v>No</v>
          </cell>
          <cell r="E563" t="str">
            <v>NP-53.9 - Small Value Procurement</v>
          </cell>
          <cell r="F563" t="str">
            <v>N/A</v>
          </cell>
          <cell r="G563">
            <v>45397</v>
          </cell>
          <cell r="H563">
            <v>0</v>
          </cell>
          <cell r="I563" t="str">
            <v>N/A</v>
          </cell>
          <cell r="J563">
            <v>45407</v>
          </cell>
          <cell r="K563">
            <v>45407</v>
          </cell>
          <cell r="L563">
            <v>0</v>
          </cell>
          <cell r="M563" t="str">
            <v>N/A</v>
          </cell>
          <cell r="N563" t="str">
            <v>N/A</v>
          </cell>
          <cell r="O563">
            <v>45411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45432</v>
          </cell>
          <cell r="U563">
            <v>45433</v>
          </cell>
          <cell r="V563">
            <v>0</v>
          </cell>
          <cell r="W563">
            <v>0</v>
          </cell>
          <cell r="X563">
            <v>45440</v>
          </cell>
          <cell r="Y563">
            <v>45440</v>
          </cell>
          <cell r="Z563">
            <v>0</v>
          </cell>
          <cell r="AA563">
            <v>28500</v>
          </cell>
          <cell r="AB563">
            <v>0</v>
          </cell>
          <cell r="AC563">
            <v>28500</v>
          </cell>
          <cell r="AD563">
            <v>27750</v>
          </cell>
          <cell r="AE563">
            <v>0</v>
          </cell>
          <cell r="AF563">
            <v>27750</v>
          </cell>
          <cell r="AG563" t="str">
            <v>C</v>
          </cell>
          <cell r="AH563" t="str">
            <v>ENGR. MICHAEL C. SALARDA
MS. LEONARDA M. LATOR
MS. CARMENCITA VALDEZ
MS. SORAYA P. VERGARA</v>
          </cell>
          <cell r="AI563" t="str">
            <v>N/A</v>
          </cell>
          <cell r="AJ563" t="str">
            <v>N/A</v>
          </cell>
          <cell r="AK563" t="str">
            <v>N/A</v>
          </cell>
          <cell r="AL563" t="str">
            <v>N/A</v>
          </cell>
          <cell r="AM563" t="str">
            <v>N/A</v>
          </cell>
          <cell r="AN563" t="str">
            <v>N/A</v>
          </cell>
          <cell r="AO563" t="str">
            <v>COMPLETED</v>
          </cell>
        </row>
        <row r="564">
          <cell r="A564" t="str">
            <v>24-2037</v>
          </cell>
          <cell r="B564" t="str">
            <v>TARPAULIN</v>
          </cell>
          <cell r="C564" t="str">
            <v>SEF</v>
          </cell>
          <cell r="D564" t="str">
            <v>No</v>
          </cell>
          <cell r="E564" t="str">
            <v>NP-53.9 - Small Value Procurement</v>
          </cell>
          <cell r="F564">
            <v>45390</v>
          </cell>
          <cell r="G564">
            <v>45397</v>
          </cell>
          <cell r="H564">
            <v>0</v>
          </cell>
          <cell r="I564" t="str">
            <v>N/A</v>
          </cell>
          <cell r="J564">
            <v>45407</v>
          </cell>
          <cell r="K564">
            <v>45407</v>
          </cell>
          <cell r="L564">
            <v>0</v>
          </cell>
          <cell r="M564" t="str">
            <v>N/A</v>
          </cell>
          <cell r="N564" t="str">
            <v>N/A</v>
          </cell>
          <cell r="O564">
            <v>45411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45432</v>
          </cell>
          <cell r="U564">
            <v>45435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1792</v>
          </cell>
          <cell r="AB564">
            <v>0</v>
          </cell>
          <cell r="AC564">
            <v>1792</v>
          </cell>
          <cell r="AD564">
            <v>1792</v>
          </cell>
          <cell r="AE564">
            <v>0</v>
          </cell>
          <cell r="AF564">
            <v>1792</v>
          </cell>
          <cell r="AG564" t="str">
            <v>C</v>
          </cell>
          <cell r="AH564" t="str">
            <v>ENGR. MICHAEL C. SALARDA
MS. LEONARDA M. LATOR
MS. CARMENCITA VALDEZ
MS. SORAYA P. VERGARA</v>
          </cell>
          <cell r="AI564" t="str">
            <v>N/A</v>
          </cell>
          <cell r="AJ564" t="str">
            <v>N/A</v>
          </cell>
          <cell r="AK564" t="str">
            <v>N/A</v>
          </cell>
          <cell r="AL564" t="str">
            <v>N/A</v>
          </cell>
          <cell r="AM564" t="str">
            <v>N/A</v>
          </cell>
          <cell r="AN564" t="str">
            <v>N/A</v>
          </cell>
          <cell r="AO564">
            <v>0</v>
          </cell>
        </row>
        <row r="565">
          <cell r="A565" t="str">
            <v>24-C1283</v>
          </cell>
          <cell r="B565" t="str">
            <v>RICE-WELL MILLED</v>
          </cell>
          <cell r="C565" t="str">
            <v>PGO</v>
          </cell>
          <cell r="D565" t="str">
            <v>No</v>
          </cell>
          <cell r="E565" t="str">
            <v>NP-53.9 - Small Value Procurement</v>
          </cell>
          <cell r="F565" t="str">
            <v>N/A</v>
          </cell>
          <cell r="G565">
            <v>45385</v>
          </cell>
          <cell r="H565">
            <v>0</v>
          </cell>
          <cell r="I565" t="str">
            <v>N/A</v>
          </cell>
          <cell r="J565">
            <v>45407</v>
          </cell>
          <cell r="K565">
            <v>45407</v>
          </cell>
          <cell r="L565">
            <v>0</v>
          </cell>
          <cell r="M565" t="str">
            <v>N/A</v>
          </cell>
          <cell r="N565" t="str">
            <v>N/A</v>
          </cell>
          <cell r="O565">
            <v>45411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45432</v>
          </cell>
          <cell r="U565">
            <v>45434</v>
          </cell>
          <cell r="V565">
            <v>0</v>
          </cell>
          <cell r="W565">
            <v>0</v>
          </cell>
          <cell r="X565">
            <v>45449</v>
          </cell>
          <cell r="Y565">
            <v>45449</v>
          </cell>
          <cell r="Z565">
            <v>0</v>
          </cell>
          <cell r="AA565">
            <v>272745</v>
          </cell>
          <cell r="AB565">
            <v>0</v>
          </cell>
          <cell r="AC565">
            <v>272745</v>
          </cell>
          <cell r="AD565">
            <v>272745</v>
          </cell>
          <cell r="AE565">
            <v>0</v>
          </cell>
          <cell r="AF565">
            <v>272745</v>
          </cell>
          <cell r="AG565" t="str">
            <v>C</v>
          </cell>
          <cell r="AH565" t="str">
            <v>ENGR. MICHAEL C. SALARDA
MS. LEONARDA M. LATOR
MS. CARMENCITA VALDEZ
MS. SORAYA P. VERGARA</v>
          </cell>
          <cell r="AI565" t="str">
            <v>N/A</v>
          </cell>
          <cell r="AJ565" t="str">
            <v>N/A</v>
          </cell>
          <cell r="AK565" t="str">
            <v>N/A</v>
          </cell>
          <cell r="AL565" t="str">
            <v>N/A</v>
          </cell>
          <cell r="AM565" t="str">
            <v>N/A</v>
          </cell>
          <cell r="AN565" t="str">
            <v>N/A</v>
          </cell>
          <cell r="AO565" t="str">
            <v>COMPLETED</v>
          </cell>
        </row>
        <row r="566">
          <cell r="A566" t="str">
            <v>24-C1286</v>
          </cell>
          <cell r="B566" t="str">
            <v>FOOD SUPPLIES</v>
          </cell>
          <cell r="C566" t="str">
            <v>PEEMO</v>
          </cell>
          <cell r="D566" t="str">
            <v>No</v>
          </cell>
          <cell r="E566" t="str">
            <v>NP-53.9 - Small Value Procurement</v>
          </cell>
          <cell r="F566">
            <v>45390</v>
          </cell>
          <cell r="G566">
            <v>45397</v>
          </cell>
          <cell r="H566">
            <v>0</v>
          </cell>
          <cell r="I566" t="str">
            <v>N/A</v>
          </cell>
          <cell r="J566">
            <v>45407</v>
          </cell>
          <cell r="K566">
            <v>45407</v>
          </cell>
          <cell r="L566">
            <v>0</v>
          </cell>
          <cell r="M566" t="str">
            <v>N/A</v>
          </cell>
          <cell r="N566" t="str">
            <v>N/A</v>
          </cell>
          <cell r="O566">
            <v>45411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45425</v>
          </cell>
          <cell r="U566">
            <v>45434</v>
          </cell>
          <cell r="V566">
            <v>0</v>
          </cell>
          <cell r="W566">
            <v>0</v>
          </cell>
          <cell r="X566">
            <v>45446</v>
          </cell>
          <cell r="Y566">
            <v>45446</v>
          </cell>
          <cell r="Z566">
            <v>0</v>
          </cell>
          <cell r="AA566">
            <v>133014</v>
          </cell>
          <cell r="AB566">
            <v>133014</v>
          </cell>
          <cell r="AC566">
            <v>0</v>
          </cell>
          <cell r="AD566">
            <v>132249</v>
          </cell>
          <cell r="AE566">
            <v>132249</v>
          </cell>
          <cell r="AF566">
            <v>0</v>
          </cell>
          <cell r="AG566" t="str">
            <v>M</v>
          </cell>
          <cell r="AH566" t="str">
            <v>ENGR. MICHAEL C. SALARDA
MS. LEONARDA M. LATOR
MS. CARMENCITA VALDEZ
MS. SORAYA P. VERGARA</v>
          </cell>
          <cell r="AI566" t="str">
            <v>N/A</v>
          </cell>
          <cell r="AJ566" t="str">
            <v>N/A</v>
          </cell>
          <cell r="AK566" t="str">
            <v>N/A</v>
          </cell>
          <cell r="AL566" t="str">
            <v>N/A</v>
          </cell>
          <cell r="AM566" t="str">
            <v>N/A</v>
          </cell>
          <cell r="AN566" t="str">
            <v>N/A</v>
          </cell>
          <cell r="AO566" t="str">
            <v>COMPLETED</v>
          </cell>
        </row>
        <row r="567">
          <cell r="A567" t="str">
            <v>24-C1192</v>
          </cell>
          <cell r="B567" t="str">
            <v>SPAREPARTS (OFFICE &amp; IT EQUIPMENT)</v>
          </cell>
          <cell r="C567" t="str">
            <v>PICTO</v>
          </cell>
          <cell r="D567" t="str">
            <v>No</v>
          </cell>
          <cell r="E567" t="str">
            <v>NP-53.9 - Small Value Procurement</v>
          </cell>
          <cell r="F567" t="str">
            <v>N/A</v>
          </cell>
          <cell r="G567">
            <v>45385</v>
          </cell>
          <cell r="H567">
            <v>0</v>
          </cell>
          <cell r="I567" t="str">
            <v>N/A</v>
          </cell>
          <cell r="J567">
            <v>45407</v>
          </cell>
          <cell r="K567">
            <v>45407</v>
          </cell>
          <cell r="L567">
            <v>0</v>
          </cell>
          <cell r="M567" t="str">
            <v>N/A</v>
          </cell>
          <cell r="N567" t="str">
            <v>N/A</v>
          </cell>
          <cell r="O567">
            <v>45411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45425</v>
          </cell>
          <cell r="U567">
            <v>45433</v>
          </cell>
          <cell r="V567">
            <v>0</v>
          </cell>
          <cell r="W567">
            <v>0</v>
          </cell>
          <cell r="X567">
            <v>45464</v>
          </cell>
          <cell r="Y567">
            <v>45464</v>
          </cell>
          <cell r="Z567">
            <v>0</v>
          </cell>
          <cell r="AA567">
            <v>157734</v>
          </cell>
          <cell r="AB567">
            <v>0</v>
          </cell>
          <cell r="AC567">
            <v>157734</v>
          </cell>
          <cell r="AD567">
            <v>142348</v>
          </cell>
          <cell r="AE567">
            <v>0</v>
          </cell>
          <cell r="AF567">
            <v>142348</v>
          </cell>
          <cell r="AG567" t="str">
            <v>C</v>
          </cell>
          <cell r="AH567" t="str">
            <v>ENGR. MICHAEL C. SALARDA
MS. LEONARDA M. LATOR
MS. CARMENCITA VALDEZ
MS. SORAYA P. VERGARA</v>
          </cell>
          <cell r="AI567" t="str">
            <v>N/A</v>
          </cell>
          <cell r="AJ567" t="str">
            <v>N/A</v>
          </cell>
          <cell r="AK567" t="str">
            <v>N/A</v>
          </cell>
          <cell r="AL567" t="str">
            <v>N/A</v>
          </cell>
          <cell r="AM567" t="str">
            <v>N/A</v>
          </cell>
          <cell r="AN567" t="str">
            <v>N/A</v>
          </cell>
          <cell r="AO567" t="str">
            <v>COMPLETED</v>
          </cell>
        </row>
        <row r="568">
          <cell r="A568" t="str">
            <v>24-1932</v>
          </cell>
          <cell r="B568" t="str">
            <v>SPAREPARTS (HEAVY EQUIPMENT)</v>
          </cell>
          <cell r="C568" t="str">
            <v>PEO-Motorpool</v>
          </cell>
          <cell r="D568" t="str">
            <v>No</v>
          </cell>
          <cell r="E568" t="str">
            <v>Direct Contracting</v>
          </cell>
          <cell r="F568">
            <v>45373</v>
          </cell>
          <cell r="G568">
            <v>45384</v>
          </cell>
          <cell r="H568">
            <v>0</v>
          </cell>
          <cell r="I568" t="str">
            <v>N/A</v>
          </cell>
          <cell r="J568">
            <v>45407</v>
          </cell>
          <cell r="K568">
            <v>45407</v>
          </cell>
          <cell r="L568">
            <v>0</v>
          </cell>
          <cell r="M568" t="str">
            <v>N/A</v>
          </cell>
          <cell r="N568" t="str">
            <v>N/A</v>
          </cell>
          <cell r="O568">
            <v>45411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45432</v>
          </cell>
          <cell r="U568">
            <v>45434</v>
          </cell>
          <cell r="V568">
            <v>0</v>
          </cell>
          <cell r="W568">
            <v>0</v>
          </cell>
          <cell r="X568">
            <v>45461</v>
          </cell>
          <cell r="Y568">
            <v>45461</v>
          </cell>
          <cell r="Z568">
            <v>0</v>
          </cell>
          <cell r="AA568">
            <v>30825.75</v>
          </cell>
          <cell r="AB568">
            <v>30825.75</v>
          </cell>
          <cell r="AC568">
            <v>0</v>
          </cell>
          <cell r="AD568">
            <v>30825.75</v>
          </cell>
          <cell r="AE568">
            <v>30825.75</v>
          </cell>
          <cell r="AF568">
            <v>0</v>
          </cell>
          <cell r="AG568" t="str">
            <v>M</v>
          </cell>
          <cell r="AH568" t="str">
            <v>ENGR. MICHAEL C. SALARDA
MS. LEONARDA M. LATOR
MS. CARMENCITA VALDEZ
MS. SORAYA P. VERGARA</v>
          </cell>
          <cell r="AI568" t="str">
            <v>N/A</v>
          </cell>
          <cell r="AJ568" t="str">
            <v>N/A</v>
          </cell>
          <cell r="AK568" t="str">
            <v>N/A</v>
          </cell>
          <cell r="AL568" t="str">
            <v>N/A</v>
          </cell>
          <cell r="AM568" t="str">
            <v>N/A</v>
          </cell>
          <cell r="AN568" t="str">
            <v>N/A</v>
          </cell>
          <cell r="AO568" t="str">
            <v>COMPLETED</v>
          </cell>
        </row>
        <row r="569">
          <cell r="A569" t="str">
            <v>24-1622</v>
          </cell>
          <cell r="B569" t="str">
            <v>SPAREPARTS (HEAVY EQUIPMENT)</v>
          </cell>
          <cell r="C569" t="str">
            <v>PEO-Motorpool</v>
          </cell>
          <cell r="D569" t="str">
            <v>No</v>
          </cell>
          <cell r="E569" t="str">
            <v>Direct Contracting</v>
          </cell>
          <cell r="F569">
            <v>45390</v>
          </cell>
          <cell r="G569">
            <v>45397</v>
          </cell>
          <cell r="H569">
            <v>0</v>
          </cell>
          <cell r="I569" t="str">
            <v>N/A</v>
          </cell>
          <cell r="J569">
            <v>45407</v>
          </cell>
          <cell r="K569">
            <v>45407</v>
          </cell>
          <cell r="L569">
            <v>0</v>
          </cell>
          <cell r="M569" t="str">
            <v>N/A</v>
          </cell>
          <cell r="N569" t="str">
            <v>N/A</v>
          </cell>
          <cell r="O569">
            <v>45411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45429</v>
          </cell>
          <cell r="U569">
            <v>45434</v>
          </cell>
          <cell r="V569">
            <v>0</v>
          </cell>
          <cell r="W569">
            <v>0</v>
          </cell>
          <cell r="X569">
            <v>45461</v>
          </cell>
          <cell r="Y569">
            <v>45461</v>
          </cell>
          <cell r="Z569">
            <v>0</v>
          </cell>
          <cell r="AA569">
            <v>118872.51</v>
          </cell>
          <cell r="AB569">
            <v>118872.51</v>
          </cell>
          <cell r="AC569">
            <v>0</v>
          </cell>
          <cell r="AD569">
            <v>118872.51</v>
          </cell>
          <cell r="AE569">
            <v>118872.51</v>
          </cell>
          <cell r="AF569">
            <v>0</v>
          </cell>
          <cell r="AG569" t="str">
            <v>M</v>
          </cell>
          <cell r="AH569" t="str">
            <v>ENGR. MICHAEL C. SALARDA
MS. LEONARDA M. LATOR
MS. CARMENCITA VALDEZ
MS. SORAYA P. VERGARA</v>
          </cell>
          <cell r="AI569" t="str">
            <v>N/A</v>
          </cell>
          <cell r="AJ569" t="str">
            <v>N/A</v>
          </cell>
          <cell r="AK569" t="str">
            <v>N/A</v>
          </cell>
          <cell r="AL569" t="str">
            <v>N/A</v>
          </cell>
          <cell r="AM569" t="str">
            <v>N/A</v>
          </cell>
          <cell r="AN569" t="str">
            <v>N/A</v>
          </cell>
          <cell r="AO569" t="str">
            <v>COMPLETED</v>
          </cell>
        </row>
        <row r="570">
          <cell r="A570" t="str">
            <v>24-C1308</v>
          </cell>
          <cell r="B570" t="str">
            <v>ELECTROLYTES ANALYZER</v>
          </cell>
          <cell r="C570" t="str">
            <v>PEEMO</v>
          </cell>
          <cell r="D570" t="str">
            <v>No</v>
          </cell>
          <cell r="E570" t="str">
            <v>Direct Contracting</v>
          </cell>
          <cell r="F570" t="str">
            <v>N/A</v>
          </cell>
          <cell r="G570">
            <v>45385</v>
          </cell>
          <cell r="H570">
            <v>0</v>
          </cell>
          <cell r="I570" t="str">
            <v>N/A</v>
          </cell>
          <cell r="J570">
            <v>45407</v>
          </cell>
          <cell r="K570">
            <v>45407</v>
          </cell>
          <cell r="L570">
            <v>0</v>
          </cell>
          <cell r="M570" t="str">
            <v>N/A</v>
          </cell>
          <cell r="N570" t="str">
            <v>N/A</v>
          </cell>
          <cell r="O570">
            <v>45411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45425</v>
          </cell>
          <cell r="U570">
            <v>45436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630375</v>
          </cell>
          <cell r="AB570">
            <v>630375</v>
          </cell>
          <cell r="AC570">
            <v>0</v>
          </cell>
          <cell r="AD570">
            <v>630375</v>
          </cell>
          <cell r="AE570">
            <v>630375</v>
          </cell>
          <cell r="AF570">
            <v>0</v>
          </cell>
          <cell r="AG570" t="str">
            <v>M</v>
          </cell>
          <cell r="AH570" t="str">
            <v>ENGR. MICHAEL C. SALARDA
MS. LEONARDA M. LATOR
MS. CARMENCITA VALDEZ
MS. SORAYA P. VERGARA</v>
          </cell>
          <cell r="AI570" t="str">
            <v>N/A</v>
          </cell>
          <cell r="AJ570" t="str">
            <v>N/A</v>
          </cell>
          <cell r="AK570" t="str">
            <v>N/A</v>
          </cell>
          <cell r="AL570" t="str">
            <v>N/A</v>
          </cell>
          <cell r="AM570" t="str">
            <v>N/A</v>
          </cell>
          <cell r="AN570" t="str">
            <v>N/A</v>
          </cell>
          <cell r="AO570">
            <v>0</v>
          </cell>
        </row>
        <row r="571">
          <cell r="A571" t="str">
            <v>24-1847</v>
          </cell>
          <cell r="B571" t="str">
            <v>GAS</v>
          </cell>
          <cell r="C571" t="str">
            <v>PEO-Motorpool</v>
          </cell>
          <cell r="D571" t="str">
            <v>No</v>
          </cell>
          <cell r="E571" t="str">
            <v>Direct Contracting</v>
          </cell>
          <cell r="F571">
            <v>45387</v>
          </cell>
          <cell r="G571">
            <v>45397</v>
          </cell>
          <cell r="H571">
            <v>0</v>
          </cell>
          <cell r="I571" t="str">
            <v>N/A</v>
          </cell>
          <cell r="J571">
            <v>45407</v>
          </cell>
          <cell r="K571">
            <v>45407</v>
          </cell>
          <cell r="L571">
            <v>0</v>
          </cell>
          <cell r="M571" t="str">
            <v>N/A</v>
          </cell>
          <cell r="N571" t="str">
            <v>N/A</v>
          </cell>
          <cell r="O571">
            <v>45411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45425</v>
          </cell>
          <cell r="U571">
            <v>45434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47140</v>
          </cell>
          <cell r="AB571">
            <v>47140</v>
          </cell>
          <cell r="AC571">
            <v>0</v>
          </cell>
          <cell r="AD571">
            <v>47140</v>
          </cell>
          <cell r="AE571">
            <v>47140</v>
          </cell>
          <cell r="AF571">
            <v>0</v>
          </cell>
          <cell r="AG571" t="str">
            <v>M</v>
          </cell>
          <cell r="AH571" t="str">
            <v>ENGR. MICHAEL C. SALARDA
MS. LEONARDA M. LATOR
MS. CARMENCITA VALDEZ
MS. SORAYA P. VERGARA</v>
          </cell>
          <cell r="AI571" t="str">
            <v>N/A</v>
          </cell>
          <cell r="AJ571" t="str">
            <v>N/A</v>
          </cell>
          <cell r="AK571" t="str">
            <v>N/A</v>
          </cell>
          <cell r="AL571" t="str">
            <v>N/A</v>
          </cell>
          <cell r="AM571" t="str">
            <v>N/A</v>
          </cell>
          <cell r="AN571" t="str">
            <v>N/A</v>
          </cell>
          <cell r="AO571">
            <v>0</v>
          </cell>
        </row>
        <row r="572">
          <cell r="A572" t="str">
            <v>24-1753</v>
          </cell>
          <cell r="B572" t="str">
            <v>TONER CARTRIDGE</v>
          </cell>
          <cell r="C572" t="str">
            <v>PAO</v>
          </cell>
          <cell r="D572" t="str">
            <v>No</v>
          </cell>
          <cell r="E572" t="str">
            <v>Direct Contracting</v>
          </cell>
          <cell r="F572">
            <v>45387</v>
          </cell>
          <cell r="G572">
            <v>45397</v>
          </cell>
          <cell r="H572">
            <v>0</v>
          </cell>
          <cell r="I572" t="str">
            <v>N/A</v>
          </cell>
          <cell r="J572">
            <v>45407</v>
          </cell>
          <cell r="K572">
            <v>45407</v>
          </cell>
          <cell r="L572">
            <v>0</v>
          </cell>
          <cell r="M572" t="str">
            <v>N/A</v>
          </cell>
          <cell r="N572" t="str">
            <v>N/A</v>
          </cell>
          <cell r="O572">
            <v>45411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45425</v>
          </cell>
          <cell r="U572">
            <v>45436</v>
          </cell>
          <cell r="V572">
            <v>0</v>
          </cell>
          <cell r="W572">
            <v>0</v>
          </cell>
          <cell r="X572">
            <v>45440</v>
          </cell>
          <cell r="Y572">
            <v>45440</v>
          </cell>
          <cell r="Z572">
            <v>0</v>
          </cell>
          <cell r="AA572">
            <v>4810</v>
          </cell>
          <cell r="AB572">
            <v>4810</v>
          </cell>
          <cell r="AC572">
            <v>0</v>
          </cell>
          <cell r="AD572">
            <v>4810</v>
          </cell>
          <cell r="AE572">
            <v>4810</v>
          </cell>
          <cell r="AF572">
            <v>0</v>
          </cell>
          <cell r="AG572" t="str">
            <v>M</v>
          </cell>
          <cell r="AH572" t="str">
            <v>ENGR. MICHAEL C. SALARDA
MS. LEONARDA M. LATOR
MS. CARMENCITA VALDEZ
MS. SORAYA P. VERGARA</v>
          </cell>
          <cell r="AI572" t="str">
            <v>N/A</v>
          </cell>
          <cell r="AJ572" t="str">
            <v>N/A</v>
          </cell>
          <cell r="AK572" t="str">
            <v>N/A</v>
          </cell>
          <cell r="AL572" t="str">
            <v>N/A</v>
          </cell>
          <cell r="AM572" t="str">
            <v>N/A</v>
          </cell>
          <cell r="AN572" t="str">
            <v>N/A</v>
          </cell>
          <cell r="AO572" t="str">
            <v>COMPLETED</v>
          </cell>
        </row>
        <row r="573">
          <cell r="A573" t="str">
            <v>24-C1306</v>
          </cell>
          <cell r="B573" t="str">
            <v>CTNL (TROPONIN) AND HEMOGLOBIN</v>
          </cell>
          <cell r="C573" t="str">
            <v>PEEMO</v>
          </cell>
          <cell r="D573" t="str">
            <v>No</v>
          </cell>
          <cell r="E573" t="str">
            <v>Direct Contracting</v>
          </cell>
          <cell r="F573" t="str">
            <v>N/A</v>
          </cell>
          <cell r="G573">
            <v>45385</v>
          </cell>
          <cell r="H573">
            <v>0</v>
          </cell>
          <cell r="I573" t="str">
            <v>N/A</v>
          </cell>
          <cell r="J573">
            <v>45407</v>
          </cell>
          <cell r="K573">
            <v>45407</v>
          </cell>
          <cell r="L573">
            <v>0</v>
          </cell>
          <cell r="M573" t="str">
            <v>N/A</v>
          </cell>
          <cell r="N573" t="str">
            <v>N/A</v>
          </cell>
          <cell r="O573">
            <v>45411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45432</v>
          </cell>
          <cell r="U573">
            <v>45436</v>
          </cell>
          <cell r="V573">
            <v>0</v>
          </cell>
          <cell r="W573">
            <v>0</v>
          </cell>
          <cell r="X573">
            <v>45456</v>
          </cell>
          <cell r="Y573">
            <v>45456</v>
          </cell>
          <cell r="Z573">
            <v>0</v>
          </cell>
          <cell r="AA573">
            <v>120960</v>
          </cell>
          <cell r="AB573">
            <v>120960</v>
          </cell>
          <cell r="AC573">
            <v>0</v>
          </cell>
          <cell r="AD573">
            <v>120960</v>
          </cell>
          <cell r="AE573">
            <v>120960</v>
          </cell>
          <cell r="AF573">
            <v>0</v>
          </cell>
          <cell r="AG573" t="str">
            <v>M</v>
          </cell>
          <cell r="AH573" t="str">
            <v>ENGR. MICHAEL C. SALARDA
MS. LEONARDA M. LATOR
MS. CARMENCITA VALDEZ
MS. SORAYA P. VERGARA</v>
          </cell>
          <cell r="AI573" t="str">
            <v>N/A</v>
          </cell>
          <cell r="AJ573" t="str">
            <v>N/A</v>
          </cell>
          <cell r="AK573" t="str">
            <v>N/A</v>
          </cell>
          <cell r="AL573" t="str">
            <v>N/A</v>
          </cell>
          <cell r="AM573" t="str">
            <v>N/A</v>
          </cell>
          <cell r="AN573" t="str">
            <v>N/A</v>
          </cell>
          <cell r="AO573" t="str">
            <v>COMPLETED</v>
          </cell>
        </row>
        <row r="574">
          <cell r="A574" t="str">
            <v>24-2191</v>
          </cell>
          <cell r="B574" t="str">
            <v>SPAREPARTS (LIGHT VEHICLES)</v>
          </cell>
          <cell r="C574" t="str">
            <v>PGSO</v>
          </cell>
          <cell r="D574" t="str">
            <v>No</v>
          </cell>
          <cell r="E574" t="str">
            <v>Shopping 52.1(a) - Unforeseen Contingency</v>
          </cell>
          <cell r="F574" t="str">
            <v>N/A</v>
          </cell>
          <cell r="G574">
            <v>45397</v>
          </cell>
          <cell r="H574">
            <v>0</v>
          </cell>
          <cell r="I574" t="str">
            <v>N/A</v>
          </cell>
          <cell r="J574">
            <v>45412</v>
          </cell>
          <cell r="K574">
            <v>45412</v>
          </cell>
          <cell r="L574">
            <v>0</v>
          </cell>
          <cell r="M574" t="str">
            <v>N/A</v>
          </cell>
          <cell r="N574" t="str">
            <v>N/A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45425</v>
          </cell>
          <cell r="U574">
            <v>45448</v>
          </cell>
          <cell r="V574">
            <v>0</v>
          </cell>
          <cell r="W574">
            <v>0</v>
          </cell>
          <cell r="X574">
            <v>45448</v>
          </cell>
          <cell r="Y574">
            <v>45448</v>
          </cell>
          <cell r="Z574">
            <v>0</v>
          </cell>
          <cell r="AA574">
            <v>18000</v>
          </cell>
          <cell r="AB574">
            <v>18000</v>
          </cell>
          <cell r="AC574">
            <v>0</v>
          </cell>
          <cell r="AD574">
            <v>18000</v>
          </cell>
          <cell r="AE574">
            <v>18000</v>
          </cell>
          <cell r="AF574">
            <v>0</v>
          </cell>
          <cell r="AG574" t="str">
            <v>M</v>
          </cell>
          <cell r="AH574" t="str">
            <v>ENGR. MICHAEL C. SALARDA
MS. LEONARDA M. LATOR
MS. CARMENCITA VALDEZ
MS. SORAYA P. VERGARA</v>
          </cell>
          <cell r="AI574" t="str">
            <v>N/A</v>
          </cell>
          <cell r="AJ574" t="str">
            <v>N/A</v>
          </cell>
          <cell r="AK574" t="str">
            <v>N/A</v>
          </cell>
          <cell r="AL574" t="str">
            <v>N/A</v>
          </cell>
          <cell r="AM574" t="str">
            <v>N/A</v>
          </cell>
          <cell r="AN574" t="str">
            <v>N/A</v>
          </cell>
          <cell r="AO574" t="str">
            <v>COMPLETED</v>
          </cell>
        </row>
        <row r="575">
          <cell r="A575" t="str">
            <v>24-2194</v>
          </cell>
          <cell r="B575" t="str">
            <v>SPAREPARTS (LIGHT VEHICLES)</v>
          </cell>
          <cell r="C575" t="str">
            <v>PGSO</v>
          </cell>
          <cell r="D575" t="str">
            <v>No</v>
          </cell>
          <cell r="E575" t="str">
            <v>Shopping 52.1(a) - Unforeseen Contingency</v>
          </cell>
          <cell r="F575" t="str">
            <v>N/A</v>
          </cell>
          <cell r="G575">
            <v>45397</v>
          </cell>
          <cell r="H575">
            <v>0</v>
          </cell>
          <cell r="I575" t="str">
            <v>N/A</v>
          </cell>
          <cell r="J575">
            <v>45412</v>
          </cell>
          <cell r="K575">
            <v>45412</v>
          </cell>
          <cell r="L575">
            <v>0</v>
          </cell>
          <cell r="M575" t="str">
            <v>N/A</v>
          </cell>
          <cell r="N575" t="str">
            <v>N/A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45425</v>
          </cell>
          <cell r="U575">
            <v>45447</v>
          </cell>
          <cell r="V575">
            <v>0</v>
          </cell>
          <cell r="W575">
            <v>0</v>
          </cell>
          <cell r="X575">
            <v>45447</v>
          </cell>
          <cell r="Y575">
            <v>45447</v>
          </cell>
          <cell r="Z575">
            <v>0</v>
          </cell>
          <cell r="AA575">
            <v>173850</v>
          </cell>
          <cell r="AB575">
            <v>173850</v>
          </cell>
          <cell r="AC575">
            <v>0</v>
          </cell>
          <cell r="AD575">
            <v>173580</v>
          </cell>
          <cell r="AE575">
            <v>173580</v>
          </cell>
          <cell r="AF575">
            <v>0</v>
          </cell>
          <cell r="AG575" t="str">
            <v>M</v>
          </cell>
          <cell r="AH575" t="str">
            <v>ENGR. MICHAEL C. SALARDA
MS. LEONARDA M. LATOR
MS. CARMENCITA VALDEZ
MS. SORAYA P. VERGARA</v>
          </cell>
          <cell r="AI575" t="str">
            <v>N/A</v>
          </cell>
          <cell r="AJ575" t="str">
            <v>N/A</v>
          </cell>
          <cell r="AK575" t="str">
            <v>N/A</v>
          </cell>
          <cell r="AL575" t="str">
            <v>N/A</v>
          </cell>
          <cell r="AM575" t="str">
            <v>N/A</v>
          </cell>
          <cell r="AN575" t="str">
            <v>N/A</v>
          </cell>
          <cell r="AO575" t="str">
            <v>COMPLETED</v>
          </cell>
        </row>
        <row r="576">
          <cell r="A576" t="str">
            <v>24-2193</v>
          </cell>
          <cell r="B576" t="str">
            <v>SPAREPARTS (MOTORCYCLE)</v>
          </cell>
          <cell r="C576" t="str">
            <v>PGSO</v>
          </cell>
          <cell r="D576" t="str">
            <v>No</v>
          </cell>
          <cell r="E576" t="str">
            <v>Shopping 52.1(a) - Unforeseen Contingency</v>
          </cell>
          <cell r="F576" t="str">
            <v>N/A</v>
          </cell>
          <cell r="G576">
            <v>45397</v>
          </cell>
          <cell r="H576">
            <v>0</v>
          </cell>
          <cell r="I576" t="str">
            <v>N/A</v>
          </cell>
          <cell r="J576">
            <v>45412</v>
          </cell>
          <cell r="K576">
            <v>45412</v>
          </cell>
          <cell r="L576">
            <v>0</v>
          </cell>
          <cell r="M576" t="str">
            <v>N/A</v>
          </cell>
          <cell r="N576" t="str">
            <v>N/A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45426</v>
          </cell>
          <cell r="U576">
            <v>45448</v>
          </cell>
          <cell r="V576">
            <v>0</v>
          </cell>
          <cell r="W576">
            <v>0</v>
          </cell>
          <cell r="X576">
            <v>45448</v>
          </cell>
          <cell r="Y576">
            <v>45448</v>
          </cell>
          <cell r="Z576">
            <v>0</v>
          </cell>
          <cell r="AA576">
            <v>17030</v>
          </cell>
          <cell r="AB576">
            <v>17030</v>
          </cell>
          <cell r="AC576">
            <v>0</v>
          </cell>
          <cell r="AD576">
            <v>17030</v>
          </cell>
          <cell r="AE576">
            <v>17030</v>
          </cell>
          <cell r="AF576">
            <v>0</v>
          </cell>
          <cell r="AG576" t="str">
            <v>M</v>
          </cell>
          <cell r="AH576" t="str">
            <v>ENGR. MICHAEL C. SALARDA
MS. LEONARDA M. LATOR
MS. CARMENCITA VALDEZ
MS. SORAYA P. VERGARA</v>
          </cell>
          <cell r="AI576" t="str">
            <v>N/A</v>
          </cell>
          <cell r="AJ576" t="str">
            <v>N/A</v>
          </cell>
          <cell r="AK576" t="str">
            <v>N/A</v>
          </cell>
          <cell r="AL576" t="str">
            <v>N/A</v>
          </cell>
          <cell r="AM576" t="str">
            <v>N/A</v>
          </cell>
          <cell r="AN576" t="str">
            <v>N/A</v>
          </cell>
          <cell r="AO576" t="str">
            <v>COMPLETED</v>
          </cell>
        </row>
        <row r="577">
          <cell r="A577" t="str">
            <v>24-2321</v>
          </cell>
          <cell r="B577" t="str">
            <v>SPAREPARTS (LIGHT VEHICLES)</v>
          </cell>
          <cell r="C577" t="str">
            <v>SPO</v>
          </cell>
          <cell r="D577" t="str">
            <v>No</v>
          </cell>
          <cell r="E577" t="str">
            <v>Shopping 52.1(a) - Unforeseen Contingency</v>
          </cell>
          <cell r="F577" t="str">
            <v>N/A</v>
          </cell>
          <cell r="G577">
            <v>45397</v>
          </cell>
          <cell r="H577">
            <v>0</v>
          </cell>
          <cell r="I577" t="str">
            <v>N/A</v>
          </cell>
          <cell r="J577">
            <v>45412</v>
          </cell>
          <cell r="K577">
            <v>45412</v>
          </cell>
          <cell r="L577">
            <v>0</v>
          </cell>
          <cell r="M577" t="str">
            <v>N/A</v>
          </cell>
          <cell r="N577" t="str">
            <v>N/A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45449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29900</v>
          </cell>
          <cell r="AB577">
            <v>29900</v>
          </cell>
          <cell r="AC577">
            <v>0</v>
          </cell>
          <cell r="AD577">
            <v>29900</v>
          </cell>
          <cell r="AE577">
            <v>29900</v>
          </cell>
          <cell r="AF577">
            <v>0</v>
          </cell>
          <cell r="AG577" t="str">
            <v>M</v>
          </cell>
          <cell r="AH577" t="str">
            <v>ENGR. MICHAEL C. SALARDA
MS. LEONARDA M. LATOR
MS. CARMENCITA VALDEZ
MS. SORAYA P. VERGARA</v>
          </cell>
          <cell r="AI577" t="str">
            <v>N/A</v>
          </cell>
          <cell r="AJ577" t="str">
            <v>N/A</v>
          </cell>
          <cell r="AK577" t="str">
            <v>N/A</v>
          </cell>
          <cell r="AL577" t="str">
            <v>N/A</v>
          </cell>
          <cell r="AM577" t="str">
            <v>N/A</v>
          </cell>
          <cell r="AN577" t="str">
            <v>N/A</v>
          </cell>
          <cell r="AO577">
            <v>0</v>
          </cell>
        </row>
        <row r="578">
          <cell r="A578" t="str">
            <v>24-2192</v>
          </cell>
          <cell r="B578" t="str">
            <v>SPAREPARTS (LIGHT VEHICLES)</v>
          </cell>
          <cell r="C578" t="str">
            <v>PGSO</v>
          </cell>
          <cell r="D578" t="str">
            <v>No</v>
          </cell>
          <cell r="E578" t="str">
            <v>Shopping 52.1(a) - Unforeseen Contingency</v>
          </cell>
          <cell r="F578" t="str">
            <v>N/A</v>
          </cell>
          <cell r="G578">
            <v>45404</v>
          </cell>
          <cell r="H578">
            <v>0</v>
          </cell>
          <cell r="I578" t="str">
            <v>N/A</v>
          </cell>
          <cell r="J578">
            <v>45412</v>
          </cell>
          <cell r="K578">
            <v>45412</v>
          </cell>
          <cell r="L578">
            <v>0</v>
          </cell>
          <cell r="M578" t="str">
            <v>N/A</v>
          </cell>
          <cell r="N578" t="str">
            <v>N/A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45427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1950</v>
          </cell>
          <cell r="AB578">
            <v>1950</v>
          </cell>
          <cell r="AC578">
            <v>0</v>
          </cell>
          <cell r="AD578">
            <v>1950</v>
          </cell>
          <cell r="AE578">
            <v>1950</v>
          </cell>
          <cell r="AF578">
            <v>0</v>
          </cell>
          <cell r="AG578" t="str">
            <v>M</v>
          </cell>
          <cell r="AH578" t="str">
            <v>ENGR. MICHAEL C. SALARDA
MS. LEONARDA M. LATOR
MS. CARMENCITA VALDEZ
MS. SORAYA P. VERGARA</v>
          </cell>
          <cell r="AI578" t="str">
            <v>N/A</v>
          </cell>
          <cell r="AJ578" t="str">
            <v>N/A</v>
          </cell>
          <cell r="AK578" t="str">
            <v>N/A</v>
          </cell>
          <cell r="AL578" t="str">
            <v>N/A</v>
          </cell>
          <cell r="AM578" t="str">
            <v>N/A</v>
          </cell>
          <cell r="AN578" t="str">
            <v>N/A</v>
          </cell>
          <cell r="AO578">
            <v>0</v>
          </cell>
        </row>
        <row r="579">
          <cell r="A579" t="str">
            <v>24-C1105</v>
          </cell>
          <cell r="B579" t="str">
            <v>OFFICE SUPPLIES</v>
          </cell>
          <cell r="C579" t="str">
            <v>PHO</v>
          </cell>
          <cell r="D579" t="str">
            <v>No</v>
          </cell>
          <cell r="E579" t="str">
            <v>Shopping 52.1(b) - Regular Office Supplies and Equipment no available in PS</v>
          </cell>
          <cell r="F579" t="str">
            <v>N/A</v>
          </cell>
          <cell r="G579">
            <v>45390</v>
          </cell>
          <cell r="H579">
            <v>0</v>
          </cell>
          <cell r="I579" t="str">
            <v>N/A</v>
          </cell>
          <cell r="J579">
            <v>45412</v>
          </cell>
          <cell r="K579">
            <v>45412</v>
          </cell>
          <cell r="L579">
            <v>0</v>
          </cell>
          <cell r="M579" t="str">
            <v>N/A</v>
          </cell>
          <cell r="N579" t="str">
            <v>N/A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45425</v>
          </cell>
          <cell r="U579">
            <v>45433</v>
          </cell>
          <cell r="V579">
            <v>0</v>
          </cell>
          <cell r="W579">
            <v>0</v>
          </cell>
          <cell r="X579">
            <v>45443</v>
          </cell>
          <cell r="Y579">
            <v>45443</v>
          </cell>
          <cell r="Z579">
            <v>0</v>
          </cell>
          <cell r="AA579">
            <v>298649</v>
          </cell>
          <cell r="AB579">
            <v>298649</v>
          </cell>
          <cell r="AC579">
            <v>0</v>
          </cell>
          <cell r="AD579">
            <v>295661</v>
          </cell>
          <cell r="AE579">
            <v>295661</v>
          </cell>
          <cell r="AF579">
            <v>0</v>
          </cell>
          <cell r="AG579" t="str">
            <v>M</v>
          </cell>
          <cell r="AH579" t="str">
            <v>ENGR. MICHAEL C. SALARDA
MS. LEONARDA M. LATOR
MS. CARMENCITA VALDEZ
MS. SORAYA P. VERGARA</v>
          </cell>
          <cell r="AI579" t="str">
            <v>N/A</v>
          </cell>
          <cell r="AJ579" t="str">
            <v>N/A</v>
          </cell>
          <cell r="AK579" t="str">
            <v>N/A</v>
          </cell>
          <cell r="AL579" t="str">
            <v>N/A</v>
          </cell>
          <cell r="AM579" t="str">
            <v>N/A</v>
          </cell>
          <cell r="AN579" t="str">
            <v>N/A</v>
          </cell>
          <cell r="AO579" t="str">
            <v>COMPLETED</v>
          </cell>
        </row>
        <row r="580">
          <cell r="A580" t="str">
            <v>24-C1087</v>
          </cell>
          <cell r="B580" t="str">
            <v>CONSTRUCTION SUPPLIES</v>
          </cell>
          <cell r="C580" t="str">
            <v>PENRO</v>
          </cell>
          <cell r="D580" t="str">
            <v>No</v>
          </cell>
          <cell r="E580" t="str">
            <v>NP-53.9 - Small Value Procurement</v>
          </cell>
          <cell r="F580">
            <v>45370</v>
          </cell>
          <cell r="G580">
            <v>45385</v>
          </cell>
          <cell r="H580">
            <v>0</v>
          </cell>
          <cell r="I580" t="str">
            <v>N/A</v>
          </cell>
          <cell r="J580">
            <v>45412</v>
          </cell>
          <cell r="K580">
            <v>45412</v>
          </cell>
          <cell r="L580">
            <v>0</v>
          </cell>
          <cell r="M580" t="str">
            <v>N/A</v>
          </cell>
          <cell r="N580" t="str">
            <v>N/A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45432</v>
          </cell>
          <cell r="U580">
            <v>45435</v>
          </cell>
          <cell r="V580">
            <v>0</v>
          </cell>
          <cell r="W580">
            <v>0</v>
          </cell>
          <cell r="X580">
            <v>45448</v>
          </cell>
          <cell r="Y580">
            <v>45448</v>
          </cell>
          <cell r="Z580">
            <v>0</v>
          </cell>
          <cell r="AA580">
            <v>63191</v>
          </cell>
          <cell r="AB580">
            <v>0</v>
          </cell>
          <cell r="AC580">
            <v>63191</v>
          </cell>
          <cell r="AD580">
            <v>63091</v>
          </cell>
          <cell r="AE580">
            <v>0</v>
          </cell>
          <cell r="AF580">
            <v>63091</v>
          </cell>
          <cell r="AG580" t="str">
            <v>C</v>
          </cell>
          <cell r="AH580" t="str">
            <v>ENGR. MICHAEL C. SALARDA
MS. LEONARDA M. LATOR
MS. CARMENCITA VALDEZ
MS. SORAYA P. VERGARA</v>
          </cell>
          <cell r="AI580" t="str">
            <v>N/A</v>
          </cell>
          <cell r="AJ580" t="str">
            <v>N/A</v>
          </cell>
          <cell r="AK580" t="str">
            <v>N/A</v>
          </cell>
          <cell r="AL580" t="str">
            <v>N/A</v>
          </cell>
          <cell r="AM580" t="str">
            <v>N/A</v>
          </cell>
          <cell r="AN580" t="str">
            <v>N/A</v>
          </cell>
          <cell r="AO580" t="str">
            <v>COMPLETED</v>
          </cell>
        </row>
        <row r="581">
          <cell r="A581" t="str">
            <v>24-1262</v>
          </cell>
          <cell r="B581" t="str">
            <v>CONSTRUCTION SUPPLIES</v>
          </cell>
          <cell r="C581" t="str">
            <v>SEF</v>
          </cell>
          <cell r="D581" t="str">
            <v>No</v>
          </cell>
          <cell r="E581" t="str">
            <v>NP-53.9 - Small Value Procurement</v>
          </cell>
          <cell r="F581">
            <v>45384</v>
          </cell>
          <cell r="G581">
            <v>45390</v>
          </cell>
          <cell r="H581">
            <v>0</v>
          </cell>
          <cell r="I581" t="str">
            <v>N/A</v>
          </cell>
          <cell r="J581">
            <v>45412</v>
          </cell>
          <cell r="K581">
            <v>45412</v>
          </cell>
          <cell r="L581">
            <v>0</v>
          </cell>
          <cell r="M581" t="str">
            <v>N/A</v>
          </cell>
          <cell r="N581" t="str">
            <v>N/A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45432</v>
          </cell>
          <cell r="U581">
            <v>45435</v>
          </cell>
          <cell r="V581">
            <v>0</v>
          </cell>
          <cell r="W581">
            <v>0</v>
          </cell>
          <cell r="X581">
            <v>45448</v>
          </cell>
          <cell r="Y581">
            <v>45448</v>
          </cell>
          <cell r="Z581">
            <v>0</v>
          </cell>
          <cell r="AA581">
            <v>116752.4</v>
          </cell>
          <cell r="AB581">
            <v>0</v>
          </cell>
          <cell r="AC581">
            <v>116752.4</v>
          </cell>
          <cell r="AD581">
            <v>116652.4</v>
          </cell>
          <cell r="AE581">
            <v>0</v>
          </cell>
          <cell r="AF581">
            <v>116652.4</v>
          </cell>
          <cell r="AG581" t="str">
            <v>C</v>
          </cell>
          <cell r="AH581" t="str">
            <v>ENGR. MICHAEL C. SALARDA
MS. LEONARDA M. LATOR
MS. CARMENCITA VALDEZ
MS. SORAYA P. VERGARA</v>
          </cell>
          <cell r="AI581" t="str">
            <v>N/A</v>
          </cell>
          <cell r="AJ581" t="str">
            <v>N/A</v>
          </cell>
          <cell r="AK581" t="str">
            <v>N/A</v>
          </cell>
          <cell r="AL581" t="str">
            <v>N/A</v>
          </cell>
          <cell r="AM581" t="str">
            <v>N/A</v>
          </cell>
          <cell r="AN581" t="str">
            <v>N/A</v>
          </cell>
          <cell r="AO581" t="str">
            <v>COMPLETED</v>
          </cell>
        </row>
        <row r="582">
          <cell r="A582" t="str">
            <v>24-1759</v>
          </cell>
          <cell r="B582" t="str">
            <v>SPAREPARTS (LIGHT VEHICLES)</v>
          </cell>
          <cell r="C582" t="str">
            <v>PGSO</v>
          </cell>
          <cell r="D582" t="str">
            <v>No</v>
          </cell>
          <cell r="E582" t="str">
            <v>NP-53.9 - Small Value Procurement</v>
          </cell>
          <cell r="F582">
            <v>45384</v>
          </cell>
          <cell r="G582">
            <v>45390</v>
          </cell>
          <cell r="H582">
            <v>0</v>
          </cell>
          <cell r="I582" t="str">
            <v>N/A</v>
          </cell>
          <cell r="J582">
            <v>45412</v>
          </cell>
          <cell r="K582">
            <v>45412</v>
          </cell>
          <cell r="L582">
            <v>0</v>
          </cell>
          <cell r="M582" t="str">
            <v>N/A</v>
          </cell>
          <cell r="N582" t="str">
            <v>N/A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1950</v>
          </cell>
          <cell r="AB582">
            <v>1950</v>
          </cell>
          <cell r="AC582">
            <v>0</v>
          </cell>
          <cell r="AD582">
            <v>1950</v>
          </cell>
          <cell r="AE582">
            <v>1950</v>
          </cell>
          <cell r="AF582">
            <v>0</v>
          </cell>
          <cell r="AG582" t="str">
            <v>M</v>
          </cell>
          <cell r="AH582" t="str">
            <v>ENGR. MICHAEL C. SALARDA
MS. LEONARDA M. LATOR
MS. CARMENCITA VALDEZ
MS. SORAYA P. VERGARA</v>
          </cell>
          <cell r="AI582" t="str">
            <v>N/A</v>
          </cell>
          <cell r="AJ582" t="str">
            <v>N/A</v>
          </cell>
          <cell r="AK582" t="str">
            <v>N/A</v>
          </cell>
          <cell r="AL582" t="str">
            <v>N/A</v>
          </cell>
          <cell r="AM582" t="str">
            <v>N/A</v>
          </cell>
          <cell r="AN582" t="str">
            <v>N/A</v>
          </cell>
          <cell r="AO582">
            <v>0</v>
          </cell>
        </row>
        <row r="583">
          <cell r="A583" t="str">
            <v>24-1979</v>
          </cell>
          <cell r="B583" t="str">
            <v>DRUGS AND MEDICINES</v>
          </cell>
          <cell r="C583" t="str">
            <v>PHO</v>
          </cell>
          <cell r="D583" t="str">
            <v>No</v>
          </cell>
          <cell r="E583" t="str">
            <v>NP-53.9 - Small Value Procurement</v>
          </cell>
          <cell r="F583" t="str">
            <v>N/A</v>
          </cell>
          <cell r="G583">
            <v>45385</v>
          </cell>
          <cell r="H583">
            <v>0</v>
          </cell>
          <cell r="I583" t="str">
            <v>N/A</v>
          </cell>
          <cell r="J583">
            <v>45412</v>
          </cell>
          <cell r="K583">
            <v>45412</v>
          </cell>
          <cell r="L583">
            <v>0</v>
          </cell>
          <cell r="M583" t="str">
            <v>N/A</v>
          </cell>
          <cell r="N583" t="str">
            <v>N/A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74256</v>
          </cell>
          <cell r="AB583">
            <v>0</v>
          </cell>
          <cell r="AC583">
            <v>74256</v>
          </cell>
          <cell r="AD583">
            <v>36283</v>
          </cell>
          <cell r="AE583">
            <v>0</v>
          </cell>
          <cell r="AF583">
            <v>36283</v>
          </cell>
          <cell r="AG583" t="e">
            <v>#N/A</v>
          </cell>
          <cell r="AH583" t="str">
            <v>ENGR. MICHAEL C. SALARDA
MS. LEONARDA M. LATOR
MS. CARMENCITA VALDEZ
MS. SORAYA P. VERGARA</v>
          </cell>
          <cell r="AI583" t="str">
            <v>N/A</v>
          </cell>
          <cell r="AJ583" t="str">
            <v>N/A</v>
          </cell>
          <cell r="AK583" t="str">
            <v>N/A</v>
          </cell>
          <cell r="AL583" t="str">
            <v>N/A</v>
          </cell>
          <cell r="AM583" t="str">
            <v>N/A</v>
          </cell>
          <cell r="AN583" t="str">
            <v>N/A</v>
          </cell>
          <cell r="AO583">
            <v>0</v>
          </cell>
        </row>
        <row r="584">
          <cell r="A584" t="str">
            <v>24-1632</v>
          </cell>
          <cell r="B584" t="str">
            <v>AIRCONDITION</v>
          </cell>
          <cell r="C584" t="str">
            <v>PICTO</v>
          </cell>
          <cell r="D584" t="str">
            <v>No</v>
          </cell>
          <cell r="E584" t="str">
            <v>NP-53.9 - Small Value Procurement</v>
          </cell>
          <cell r="F584" t="str">
            <v>N/A</v>
          </cell>
          <cell r="G584">
            <v>45390</v>
          </cell>
          <cell r="H584">
            <v>0</v>
          </cell>
          <cell r="I584" t="str">
            <v>N/A</v>
          </cell>
          <cell r="J584">
            <v>45412</v>
          </cell>
          <cell r="K584">
            <v>45412</v>
          </cell>
          <cell r="L584">
            <v>0</v>
          </cell>
          <cell r="M584" t="str">
            <v>N/A</v>
          </cell>
          <cell r="N584" t="str">
            <v>N/A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45425</v>
          </cell>
          <cell r="U584">
            <v>45433</v>
          </cell>
          <cell r="V584">
            <v>0</v>
          </cell>
          <cell r="W584">
            <v>0</v>
          </cell>
          <cell r="X584">
            <v>45441</v>
          </cell>
          <cell r="Y584">
            <v>45441</v>
          </cell>
          <cell r="Z584">
            <v>0</v>
          </cell>
          <cell r="AA584">
            <v>30000</v>
          </cell>
          <cell r="AB584">
            <v>0</v>
          </cell>
          <cell r="AC584">
            <v>30000</v>
          </cell>
          <cell r="AD584">
            <v>28395</v>
          </cell>
          <cell r="AE584">
            <v>0</v>
          </cell>
          <cell r="AF584">
            <v>28395</v>
          </cell>
          <cell r="AG584" t="str">
            <v>C</v>
          </cell>
          <cell r="AH584" t="str">
            <v>ENGR. MICHAEL C. SALARDA
MS. LEONARDA M. LATOR
MS. CARMENCITA VALDEZ
MS. SORAYA P. VERGARA</v>
          </cell>
          <cell r="AI584" t="str">
            <v>N/A</v>
          </cell>
          <cell r="AJ584" t="str">
            <v>N/A</v>
          </cell>
          <cell r="AK584" t="str">
            <v>N/A</v>
          </cell>
          <cell r="AL584" t="str">
            <v>N/A</v>
          </cell>
          <cell r="AM584" t="str">
            <v>N/A</v>
          </cell>
          <cell r="AN584" t="str">
            <v>N/A</v>
          </cell>
          <cell r="AO584" t="str">
            <v>COMPLETED</v>
          </cell>
        </row>
        <row r="585">
          <cell r="A585" t="str">
            <v>24-1740</v>
          </cell>
          <cell r="B585" t="str">
            <v>SPAREPARTS (LIGHT VEHICLES)</v>
          </cell>
          <cell r="C585" t="str">
            <v>PGSO</v>
          </cell>
          <cell r="D585" t="str">
            <v>No</v>
          </cell>
          <cell r="E585" t="str">
            <v>NP-53.9 - Small Value Procurement</v>
          </cell>
          <cell r="F585">
            <v>45384</v>
          </cell>
          <cell r="G585">
            <v>45390</v>
          </cell>
          <cell r="H585">
            <v>0</v>
          </cell>
          <cell r="I585" t="str">
            <v>N/A</v>
          </cell>
          <cell r="J585">
            <v>45412</v>
          </cell>
          <cell r="K585">
            <v>45412</v>
          </cell>
          <cell r="L585">
            <v>0</v>
          </cell>
          <cell r="M585" t="str">
            <v>N/A</v>
          </cell>
          <cell r="N585" t="str">
            <v>N/A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45427</v>
          </cell>
          <cell r="U585">
            <v>45448</v>
          </cell>
          <cell r="V585">
            <v>0</v>
          </cell>
          <cell r="W585">
            <v>0</v>
          </cell>
          <cell r="X585">
            <v>45453</v>
          </cell>
          <cell r="Y585">
            <v>45453</v>
          </cell>
          <cell r="Z585">
            <v>0</v>
          </cell>
          <cell r="AA585">
            <v>14000</v>
          </cell>
          <cell r="AB585">
            <v>14000</v>
          </cell>
          <cell r="AC585">
            <v>0</v>
          </cell>
          <cell r="AD585">
            <v>14000</v>
          </cell>
          <cell r="AE585">
            <v>14000</v>
          </cell>
          <cell r="AF585">
            <v>0</v>
          </cell>
          <cell r="AG585" t="str">
            <v>M</v>
          </cell>
          <cell r="AH585" t="str">
            <v>ENGR. MICHAEL C. SALARDA
MS. LEONARDA M. LATOR
MS. CARMENCITA VALDEZ
MS. SORAYA P. VERGARA</v>
          </cell>
          <cell r="AI585" t="str">
            <v>N/A</v>
          </cell>
          <cell r="AJ585" t="str">
            <v>N/A</v>
          </cell>
          <cell r="AK585" t="str">
            <v>N/A</v>
          </cell>
          <cell r="AL585" t="str">
            <v>N/A</v>
          </cell>
          <cell r="AM585" t="str">
            <v>N/A</v>
          </cell>
          <cell r="AN585" t="str">
            <v>N/A</v>
          </cell>
          <cell r="AO585" t="str">
            <v>COMPLETED</v>
          </cell>
        </row>
        <row r="586">
          <cell r="A586" t="str">
            <v>24-C1213</v>
          </cell>
          <cell r="B586" t="str">
            <v>ABSORBENT GAUZE SPONGE, OXYGEN MASK, RESUSCITATOR, SURGICAL MASK</v>
          </cell>
          <cell r="C586" t="str">
            <v>PDRRMO</v>
          </cell>
          <cell r="D586" t="str">
            <v>No</v>
          </cell>
          <cell r="E586" t="str">
            <v>NP-53.9 - Small Value Procurement</v>
          </cell>
          <cell r="F586" t="str">
            <v>N/A</v>
          </cell>
          <cell r="G586">
            <v>45390</v>
          </cell>
          <cell r="H586">
            <v>0</v>
          </cell>
          <cell r="I586" t="str">
            <v>N/A</v>
          </cell>
          <cell r="J586">
            <v>45412</v>
          </cell>
          <cell r="K586">
            <v>45412</v>
          </cell>
          <cell r="L586">
            <v>0</v>
          </cell>
          <cell r="M586" t="str">
            <v>N/A</v>
          </cell>
          <cell r="N586" t="str">
            <v>N/A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45425</v>
          </cell>
          <cell r="U586">
            <v>45436</v>
          </cell>
          <cell r="V586">
            <v>0</v>
          </cell>
          <cell r="W586">
            <v>0</v>
          </cell>
          <cell r="X586">
            <v>45464</v>
          </cell>
          <cell r="Y586">
            <v>45464</v>
          </cell>
          <cell r="Z586">
            <v>0</v>
          </cell>
          <cell r="AA586">
            <v>32420</v>
          </cell>
          <cell r="AB586">
            <v>0</v>
          </cell>
          <cell r="AC586">
            <v>32420</v>
          </cell>
          <cell r="AD586">
            <v>32338</v>
          </cell>
          <cell r="AE586">
            <v>0</v>
          </cell>
          <cell r="AF586">
            <v>32338</v>
          </cell>
          <cell r="AG586" t="str">
            <v>C</v>
          </cell>
          <cell r="AH586" t="str">
            <v>ENGR. MICHAEL C. SALARDA
MS. LEONARDA M. LATOR
MS. CARMENCITA VALDEZ
MS. SORAYA P. VERGARA</v>
          </cell>
          <cell r="AI586" t="str">
            <v>N/A</v>
          </cell>
          <cell r="AJ586" t="str">
            <v>N/A</v>
          </cell>
          <cell r="AK586" t="str">
            <v>N/A</v>
          </cell>
          <cell r="AL586" t="str">
            <v>N/A</v>
          </cell>
          <cell r="AM586" t="str">
            <v>N/A</v>
          </cell>
          <cell r="AN586" t="str">
            <v>N/A</v>
          </cell>
          <cell r="AO586" t="str">
            <v>COMPLETED</v>
          </cell>
        </row>
        <row r="587">
          <cell r="A587" t="str">
            <v>24-1757</v>
          </cell>
          <cell r="B587" t="str">
            <v>SPAREPARTS (LIGHT VEHICLES)</v>
          </cell>
          <cell r="C587" t="str">
            <v>PGSO</v>
          </cell>
          <cell r="D587" t="str">
            <v>No</v>
          </cell>
          <cell r="E587" t="str">
            <v>NP-53.9 - Small Value Procurement</v>
          </cell>
          <cell r="F587">
            <v>45384</v>
          </cell>
          <cell r="G587">
            <v>45390</v>
          </cell>
          <cell r="H587">
            <v>0</v>
          </cell>
          <cell r="I587" t="str">
            <v>N/A</v>
          </cell>
          <cell r="J587">
            <v>45412</v>
          </cell>
          <cell r="K587">
            <v>45412</v>
          </cell>
          <cell r="L587">
            <v>0</v>
          </cell>
          <cell r="M587" t="str">
            <v>N/A</v>
          </cell>
          <cell r="N587" t="str">
            <v>N/A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45426</v>
          </cell>
          <cell r="U587">
            <v>45448</v>
          </cell>
          <cell r="V587">
            <v>0</v>
          </cell>
          <cell r="W587">
            <v>0</v>
          </cell>
          <cell r="X587">
            <v>45453</v>
          </cell>
          <cell r="Y587">
            <v>45453</v>
          </cell>
          <cell r="Z587">
            <v>0</v>
          </cell>
          <cell r="AA587">
            <v>3500</v>
          </cell>
          <cell r="AB587">
            <v>3500</v>
          </cell>
          <cell r="AC587">
            <v>0</v>
          </cell>
          <cell r="AD587">
            <v>3500</v>
          </cell>
          <cell r="AE587">
            <v>3500</v>
          </cell>
          <cell r="AF587">
            <v>0</v>
          </cell>
          <cell r="AG587" t="str">
            <v>M</v>
          </cell>
          <cell r="AH587" t="str">
            <v>ENGR. MICHAEL C. SALARDA
MS. LEONARDA M. LATOR
MS. CARMENCITA VALDEZ
MS. SORAYA P. VERGARA</v>
          </cell>
          <cell r="AI587" t="str">
            <v>N/A</v>
          </cell>
          <cell r="AJ587" t="str">
            <v>N/A</v>
          </cell>
          <cell r="AK587" t="str">
            <v>N/A</v>
          </cell>
          <cell r="AL587" t="str">
            <v>N/A</v>
          </cell>
          <cell r="AM587" t="str">
            <v>N/A</v>
          </cell>
          <cell r="AN587" t="str">
            <v>N/A</v>
          </cell>
          <cell r="AO587" t="str">
            <v>COMPLETED</v>
          </cell>
        </row>
        <row r="588">
          <cell r="A588" t="str">
            <v>24-C1176</v>
          </cell>
          <cell r="B588" t="str">
            <v>COMPUTER SUPPLIES</v>
          </cell>
          <cell r="C588" t="str">
            <v>PHO</v>
          </cell>
          <cell r="D588" t="str">
            <v>No</v>
          </cell>
          <cell r="E588" t="str">
            <v>NP-53.9 - Small Value Procurement</v>
          </cell>
          <cell r="F588" t="str">
            <v>N/A</v>
          </cell>
          <cell r="G588">
            <v>45390</v>
          </cell>
          <cell r="H588">
            <v>0</v>
          </cell>
          <cell r="I588" t="str">
            <v>N/A</v>
          </cell>
          <cell r="J588">
            <v>45412</v>
          </cell>
          <cell r="K588">
            <v>45412</v>
          </cell>
          <cell r="L588">
            <v>0</v>
          </cell>
          <cell r="M588" t="str">
            <v>N/A</v>
          </cell>
          <cell r="N588" t="str">
            <v>N/A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45425</v>
          </cell>
          <cell r="U588">
            <v>45434</v>
          </cell>
          <cell r="V588">
            <v>0</v>
          </cell>
          <cell r="W588">
            <v>0</v>
          </cell>
          <cell r="X588">
            <v>45443</v>
          </cell>
          <cell r="Y588">
            <v>45443</v>
          </cell>
          <cell r="Z588">
            <v>0</v>
          </cell>
          <cell r="AA588">
            <v>18424</v>
          </cell>
          <cell r="AB588">
            <v>0</v>
          </cell>
          <cell r="AC588">
            <v>18424</v>
          </cell>
          <cell r="AD588">
            <v>17970</v>
          </cell>
          <cell r="AE588">
            <v>0</v>
          </cell>
          <cell r="AF588">
            <v>17970</v>
          </cell>
          <cell r="AG588" t="str">
            <v>C</v>
          </cell>
          <cell r="AH588" t="str">
            <v>ENGR. MICHAEL C. SALARDA
MS. LEONARDA M. LATOR
MS. CARMENCITA VALDEZ
MS. SORAYA P. VERGARA</v>
          </cell>
          <cell r="AI588" t="str">
            <v>N/A</v>
          </cell>
          <cell r="AJ588" t="str">
            <v>N/A</v>
          </cell>
          <cell r="AK588" t="str">
            <v>N/A</v>
          </cell>
          <cell r="AL588" t="str">
            <v>N/A</v>
          </cell>
          <cell r="AM588" t="str">
            <v>N/A</v>
          </cell>
          <cell r="AN588" t="str">
            <v>N/A</v>
          </cell>
          <cell r="AO588" t="str">
            <v>COMPLETED</v>
          </cell>
        </row>
        <row r="589">
          <cell r="A589" t="str">
            <v>24-1750</v>
          </cell>
          <cell r="B589" t="str">
            <v>SPAREPARTS (LIGHT VEHICLES)</v>
          </cell>
          <cell r="C589" t="str">
            <v>PGSO</v>
          </cell>
          <cell r="D589" t="str">
            <v>No</v>
          </cell>
          <cell r="E589" t="str">
            <v>NP-53.9 - Small Value Procurement</v>
          </cell>
          <cell r="F589">
            <v>45384</v>
          </cell>
          <cell r="G589">
            <v>45390</v>
          </cell>
          <cell r="H589">
            <v>0</v>
          </cell>
          <cell r="I589" t="str">
            <v>N/A</v>
          </cell>
          <cell r="J589">
            <v>45412</v>
          </cell>
          <cell r="K589">
            <v>45412</v>
          </cell>
          <cell r="L589">
            <v>0</v>
          </cell>
          <cell r="M589" t="str">
            <v>N/A</v>
          </cell>
          <cell r="N589" t="str">
            <v>N/A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5300</v>
          </cell>
          <cell r="AB589">
            <v>5300</v>
          </cell>
          <cell r="AC589">
            <v>0</v>
          </cell>
          <cell r="AD589">
            <v>5300</v>
          </cell>
          <cell r="AE589">
            <v>5300</v>
          </cell>
          <cell r="AF589">
            <v>0</v>
          </cell>
          <cell r="AG589" t="str">
            <v>M</v>
          </cell>
          <cell r="AH589" t="str">
            <v>ENGR. MICHAEL C. SALARDA
MS. LEONARDA M. LATOR
MS. CARMENCITA VALDEZ
MS. SORAYA P. VERGARA</v>
          </cell>
          <cell r="AI589" t="str">
            <v>N/A</v>
          </cell>
          <cell r="AJ589" t="str">
            <v>N/A</v>
          </cell>
          <cell r="AK589" t="str">
            <v>N/A</v>
          </cell>
          <cell r="AL589" t="str">
            <v>N/A</v>
          </cell>
          <cell r="AM589" t="str">
            <v>N/A</v>
          </cell>
          <cell r="AN589" t="str">
            <v>N/A</v>
          </cell>
          <cell r="AO589">
            <v>0</v>
          </cell>
        </row>
        <row r="590">
          <cell r="A590" t="str">
            <v>24-1959</v>
          </cell>
          <cell r="B590" t="str">
            <v>PLAQUE</v>
          </cell>
          <cell r="C590" t="str">
            <v>PHO</v>
          </cell>
          <cell r="D590" t="str">
            <v>No</v>
          </cell>
          <cell r="E590" t="str">
            <v>NP-53.9 - Small Value Procurement</v>
          </cell>
          <cell r="F590" t="str">
            <v>N/A</v>
          </cell>
          <cell r="G590">
            <v>45397</v>
          </cell>
          <cell r="H590">
            <v>0</v>
          </cell>
          <cell r="I590" t="str">
            <v>N/A</v>
          </cell>
          <cell r="J590">
            <v>45412</v>
          </cell>
          <cell r="K590">
            <v>45412</v>
          </cell>
          <cell r="L590">
            <v>0</v>
          </cell>
          <cell r="M590" t="str">
            <v>N/A</v>
          </cell>
          <cell r="N590" t="str">
            <v>N/A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45425</v>
          </cell>
          <cell r="U590">
            <v>45433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9500</v>
          </cell>
          <cell r="AB590">
            <v>0</v>
          </cell>
          <cell r="AC590">
            <v>9500</v>
          </cell>
          <cell r="AD590">
            <v>9500</v>
          </cell>
          <cell r="AE590">
            <v>0</v>
          </cell>
          <cell r="AF590">
            <v>9500</v>
          </cell>
          <cell r="AG590" t="str">
            <v>C</v>
          </cell>
          <cell r="AH590" t="str">
            <v>ENGR. MICHAEL C. SALARDA
MS. LEONARDA M. LATOR
MS. CARMENCITA VALDEZ
MS. SORAYA P. VERGARA</v>
          </cell>
          <cell r="AI590" t="str">
            <v>N/A</v>
          </cell>
          <cell r="AJ590" t="str">
            <v>N/A</v>
          </cell>
          <cell r="AK590" t="str">
            <v>N/A</v>
          </cell>
          <cell r="AL590" t="str">
            <v>N/A</v>
          </cell>
          <cell r="AM590" t="str">
            <v>N/A</v>
          </cell>
          <cell r="AN590" t="str">
            <v>N/A</v>
          </cell>
          <cell r="AO590">
            <v>0</v>
          </cell>
        </row>
        <row r="591">
          <cell r="A591" t="str">
            <v>24-C1324</v>
          </cell>
          <cell r="B591" t="str">
            <v>MINERAL WATER</v>
          </cell>
          <cell r="C591" t="str">
            <v>PEEMO</v>
          </cell>
          <cell r="D591" t="str">
            <v>No</v>
          </cell>
          <cell r="E591" t="str">
            <v>NP-53.9 - Small Value Procurement</v>
          </cell>
          <cell r="F591" t="str">
            <v>N/A</v>
          </cell>
          <cell r="G591">
            <v>45397</v>
          </cell>
          <cell r="H591">
            <v>0</v>
          </cell>
          <cell r="I591" t="str">
            <v>N/A</v>
          </cell>
          <cell r="J591">
            <v>45412</v>
          </cell>
          <cell r="K591">
            <v>45412</v>
          </cell>
          <cell r="L591">
            <v>0</v>
          </cell>
          <cell r="M591" t="str">
            <v>N/A</v>
          </cell>
          <cell r="N591" t="str">
            <v>N/A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45425</v>
          </cell>
          <cell r="U591">
            <v>45447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49200</v>
          </cell>
          <cell r="AB591">
            <v>49200</v>
          </cell>
          <cell r="AC591">
            <v>0</v>
          </cell>
          <cell r="AD591">
            <v>48000</v>
          </cell>
          <cell r="AE591">
            <v>48000</v>
          </cell>
          <cell r="AF591">
            <v>0</v>
          </cell>
          <cell r="AG591" t="str">
            <v>M</v>
          </cell>
          <cell r="AH591" t="str">
            <v>ENGR. MICHAEL C. SALARDA
MS. LEONARDA M. LATOR
MS. CARMENCITA VALDEZ
MS. SORAYA P. VERGARA</v>
          </cell>
          <cell r="AI591" t="str">
            <v>N/A</v>
          </cell>
          <cell r="AJ591" t="str">
            <v>N/A</v>
          </cell>
          <cell r="AK591" t="str">
            <v>N/A</v>
          </cell>
          <cell r="AL591" t="str">
            <v>N/A</v>
          </cell>
          <cell r="AM591" t="str">
            <v>N/A</v>
          </cell>
          <cell r="AN591" t="str">
            <v>N/A</v>
          </cell>
          <cell r="AO591">
            <v>0</v>
          </cell>
        </row>
        <row r="592">
          <cell r="A592" t="str">
            <v>24-1720</v>
          </cell>
          <cell r="B592" t="str">
            <v>SPAREPARTS (MOTORCYCLE)</v>
          </cell>
          <cell r="C592" t="str">
            <v>PGSO</v>
          </cell>
          <cell r="D592" t="str">
            <v>No</v>
          </cell>
          <cell r="E592" t="str">
            <v>NP-53.9 - Small Value Procurement</v>
          </cell>
          <cell r="F592">
            <v>45384</v>
          </cell>
          <cell r="G592">
            <v>45390</v>
          </cell>
          <cell r="H592">
            <v>0</v>
          </cell>
          <cell r="I592" t="str">
            <v>N/A</v>
          </cell>
          <cell r="J592">
            <v>45412</v>
          </cell>
          <cell r="K592">
            <v>45412</v>
          </cell>
          <cell r="L592">
            <v>0</v>
          </cell>
          <cell r="M592" t="str">
            <v>N/A</v>
          </cell>
          <cell r="N592" t="str">
            <v>N/A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45427</v>
          </cell>
          <cell r="U592">
            <v>45448</v>
          </cell>
          <cell r="V592">
            <v>0</v>
          </cell>
          <cell r="W592">
            <v>0</v>
          </cell>
          <cell r="X592">
            <v>45453</v>
          </cell>
          <cell r="Y592">
            <v>45453</v>
          </cell>
          <cell r="Z592">
            <v>0</v>
          </cell>
          <cell r="AA592">
            <v>6850</v>
          </cell>
          <cell r="AB592">
            <v>6850</v>
          </cell>
          <cell r="AC592">
            <v>0</v>
          </cell>
          <cell r="AD592">
            <v>6850</v>
          </cell>
          <cell r="AE592">
            <v>6850</v>
          </cell>
          <cell r="AF592">
            <v>0</v>
          </cell>
          <cell r="AG592" t="str">
            <v>M</v>
          </cell>
          <cell r="AH592" t="str">
            <v>ENGR. MICHAEL C. SALARDA
MS. LEONARDA M. LATOR
MS. CARMENCITA VALDEZ
MS. SORAYA P. VERGARA</v>
          </cell>
          <cell r="AI592" t="str">
            <v>N/A</v>
          </cell>
          <cell r="AJ592" t="str">
            <v>N/A</v>
          </cell>
          <cell r="AK592" t="str">
            <v>N/A</v>
          </cell>
          <cell r="AL592" t="str">
            <v>N/A</v>
          </cell>
          <cell r="AM592" t="str">
            <v>N/A</v>
          </cell>
          <cell r="AN592" t="str">
            <v>N/A</v>
          </cell>
          <cell r="AO592" t="str">
            <v>COMPLETED</v>
          </cell>
        </row>
        <row r="593">
          <cell r="A593" t="str">
            <v>24-1898</v>
          </cell>
          <cell r="B593" t="str">
            <v>MEDICAL SUPPLIES</v>
          </cell>
          <cell r="C593" t="str">
            <v>PGO</v>
          </cell>
          <cell r="D593" t="str">
            <v>No</v>
          </cell>
          <cell r="E593" t="str">
            <v>NP-53.9 - Small Value Procurement</v>
          </cell>
          <cell r="F593">
            <v>45390</v>
          </cell>
          <cell r="G593">
            <v>45397</v>
          </cell>
          <cell r="H593">
            <v>0</v>
          </cell>
          <cell r="I593" t="str">
            <v>N/A</v>
          </cell>
          <cell r="J593">
            <v>45412</v>
          </cell>
          <cell r="K593">
            <v>45412</v>
          </cell>
          <cell r="L593">
            <v>0</v>
          </cell>
          <cell r="M593" t="str">
            <v>N/A</v>
          </cell>
          <cell r="N593" t="str">
            <v>N/A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45425</v>
          </cell>
          <cell r="U593">
            <v>45434</v>
          </cell>
          <cell r="V593">
            <v>0</v>
          </cell>
          <cell r="W593">
            <v>0</v>
          </cell>
          <cell r="X593">
            <v>45441</v>
          </cell>
          <cell r="Y593">
            <v>45441</v>
          </cell>
          <cell r="Z593">
            <v>0</v>
          </cell>
          <cell r="AA593">
            <v>115000</v>
          </cell>
          <cell r="AB593">
            <v>0</v>
          </cell>
          <cell r="AC593">
            <v>115000</v>
          </cell>
          <cell r="AD593">
            <v>84500</v>
          </cell>
          <cell r="AE593">
            <v>0</v>
          </cell>
          <cell r="AF593">
            <v>84500</v>
          </cell>
          <cell r="AG593" t="str">
            <v>C</v>
          </cell>
          <cell r="AH593" t="str">
            <v>ENGR. MICHAEL C. SALARDA
MS. LEONARDA M. LATOR
MS. CARMENCITA VALDEZ
MS. SORAYA P. VERGARA</v>
          </cell>
          <cell r="AI593" t="str">
            <v>N/A</v>
          </cell>
          <cell r="AJ593" t="str">
            <v>N/A</v>
          </cell>
          <cell r="AK593" t="str">
            <v>N/A</v>
          </cell>
          <cell r="AL593" t="str">
            <v>N/A</v>
          </cell>
          <cell r="AM593" t="str">
            <v>N/A</v>
          </cell>
          <cell r="AN593" t="str">
            <v>N/A</v>
          </cell>
          <cell r="AO593" t="str">
            <v>COMPLETED</v>
          </cell>
        </row>
        <row r="594">
          <cell r="A594" t="str">
            <v>24-C1263</v>
          </cell>
          <cell r="B594" t="str">
            <v>CONSTRUCTION SUPPLIES</v>
          </cell>
          <cell r="C594" t="str">
            <v>PDRRMO</v>
          </cell>
          <cell r="D594" t="str">
            <v>No</v>
          </cell>
          <cell r="E594" t="str">
            <v>NP-53.9 - Small Value Procurement</v>
          </cell>
          <cell r="F594">
            <v>45398</v>
          </cell>
          <cell r="G594">
            <v>45408</v>
          </cell>
          <cell r="H594">
            <v>0</v>
          </cell>
          <cell r="I594" t="str">
            <v>N/A</v>
          </cell>
          <cell r="J594">
            <v>45412</v>
          </cell>
          <cell r="K594">
            <v>45412</v>
          </cell>
          <cell r="L594">
            <v>0</v>
          </cell>
          <cell r="M594" t="str">
            <v>N/A</v>
          </cell>
          <cell r="N594" t="str">
            <v>N/A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45425</v>
          </cell>
          <cell r="U594">
            <v>45433</v>
          </cell>
          <cell r="V594">
            <v>0</v>
          </cell>
          <cell r="W594">
            <v>0</v>
          </cell>
          <cell r="X594">
            <v>45453</v>
          </cell>
          <cell r="Y594">
            <v>45453</v>
          </cell>
          <cell r="Z594">
            <v>0</v>
          </cell>
          <cell r="AA594">
            <v>86286</v>
          </cell>
          <cell r="AB594">
            <v>0</v>
          </cell>
          <cell r="AC594">
            <v>86286</v>
          </cell>
          <cell r="AD594">
            <v>86044</v>
          </cell>
          <cell r="AE594">
            <v>0</v>
          </cell>
          <cell r="AF594">
            <v>86044</v>
          </cell>
          <cell r="AG594" t="str">
            <v>C</v>
          </cell>
          <cell r="AH594" t="str">
            <v>ENGR. MICHAEL C. SALARDA
MS. LEONARDA M. LATOR
MS. CARMENCITA VALDEZ
MS. SORAYA P. VERGARA</v>
          </cell>
          <cell r="AI594" t="str">
            <v>N/A</v>
          </cell>
          <cell r="AJ594" t="str">
            <v>N/A</v>
          </cell>
          <cell r="AK594" t="str">
            <v>N/A</v>
          </cell>
          <cell r="AL594" t="str">
            <v>N/A</v>
          </cell>
          <cell r="AM594" t="str">
            <v>N/A</v>
          </cell>
          <cell r="AN594" t="str">
            <v>N/A</v>
          </cell>
          <cell r="AO594" t="str">
            <v>COMPLETED</v>
          </cell>
        </row>
        <row r="595">
          <cell r="A595" t="str">
            <v>24-C1151</v>
          </cell>
          <cell r="B595" t="str">
            <v>CONSTRUCTION SUPPLIES</v>
          </cell>
          <cell r="C595" t="str">
            <v>PVGO</v>
          </cell>
          <cell r="D595" t="str">
            <v>No</v>
          </cell>
          <cell r="E595" t="str">
            <v>NP-53.9 - Small Value Procurement</v>
          </cell>
          <cell r="F595">
            <v>45398</v>
          </cell>
          <cell r="G595">
            <v>45408</v>
          </cell>
          <cell r="H595">
            <v>0</v>
          </cell>
          <cell r="I595" t="str">
            <v>N/A</v>
          </cell>
          <cell r="J595">
            <v>45412</v>
          </cell>
          <cell r="K595">
            <v>45412</v>
          </cell>
          <cell r="L595">
            <v>0</v>
          </cell>
          <cell r="M595" t="str">
            <v>N/A</v>
          </cell>
          <cell r="N595" t="str">
            <v>N/A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45443</v>
          </cell>
          <cell r="U595">
            <v>45450</v>
          </cell>
          <cell r="V595">
            <v>0</v>
          </cell>
          <cell r="W595">
            <v>0</v>
          </cell>
          <cell r="X595">
            <v>45468</v>
          </cell>
          <cell r="Y595">
            <v>45468</v>
          </cell>
          <cell r="Z595">
            <v>0</v>
          </cell>
          <cell r="AA595">
            <v>64762</v>
          </cell>
          <cell r="AB595">
            <v>64762</v>
          </cell>
          <cell r="AC595">
            <v>0</v>
          </cell>
          <cell r="AD595">
            <v>63725</v>
          </cell>
          <cell r="AE595">
            <v>63725</v>
          </cell>
          <cell r="AF595">
            <v>0</v>
          </cell>
          <cell r="AG595" t="str">
            <v>M</v>
          </cell>
          <cell r="AH595" t="str">
            <v>ENGR. MICHAEL C. SALARDA
MS. LEONARDA M. LATOR
MS. CARMENCITA VALDEZ
MS. SORAYA P. VERGARA</v>
          </cell>
          <cell r="AI595" t="str">
            <v>N/A</v>
          </cell>
          <cell r="AJ595" t="str">
            <v>N/A</v>
          </cell>
          <cell r="AK595" t="str">
            <v>N/A</v>
          </cell>
          <cell r="AL595" t="str">
            <v>N/A</v>
          </cell>
          <cell r="AM595" t="str">
            <v>N/A</v>
          </cell>
          <cell r="AN595" t="str">
            <v>N/A</v>
          </cell>
          <cell r="AO595" t="str">
            <v>COMPLETED</v>
          </cell>
        </row>
        <row r="596">
          <cell r="A596" t="str">
            <v>24-0761</v>
          </cell>
          <cell r="B596" t="str">
            <v>FEED INGREDIENTS</v>
          </cell>
          <cell r="C596" t="str">
            <v>PAGRO</v>
          </cell>
          <cell r="D596" t="str">
            <v>No</v>
          </cell>
          <cell r="E596" t="str">
            <v>NP-53.9 - Small Value Procurement</v>
          </cell>
          <cell r="F596" t="str">
            <v>N/A</v>
          </cell>
          <cell r="G596">
            <v>45371</v>
          </cell>
          <cell r="H596">
            <v>0</v>
          </cell>
          <cell r="I596" t="str">
            <v>N/A</v>
          </cell>
          <cell r="J596">
            <v>45412</v>
          </cell>
          <cell r="K596">
            <v>45412</v>
          </cell>
          <cell r="L596">
            <v>0</v>
          </cell>
          <cell r="M596" t="str">
            <v>N/A</v>
          </cell>
          <cell r="N596" t="str">
            <v>N/A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45425</v>
          </cell>
          <cell r="U596">
            <v>45436</v>
          </cell>
          <cell r="V596">
            <v>0</v>
          </cell>
          <cell r="W596">
            <v>0</v>
          </cell>
          <cell r="X596">
            <v>45442</v>
          </cell>
          <cell r="Y596">
            <v>45442</v>
          </cell>
          <cell r="Z596">
            <v>0</v>
          </cell>
          <cell r="AA596">
            <v>96470</v>
          </cell>
          <cell r="AB596">
            <v>0</v>
          </cell>
          <cell r="AC596">
            <v>96470</v>
          </cell>
          <cell r="AD596">
            <v>96045</v>
          </cell>
          <cell r="AE596">
            <v>0</v>
          </cell>
          <cell r="AF596">
            <v>96045</v>
          </cell>
          <cell r="AG596" t="str">
            <v>C</v>
          </cell>
          <cell r="AH596" t="str">
            <v>ENGR. MICHAEL C. SALARDA
MS. LEONARDA M. LATOR
MS. CARMENCITA VALDEZ
MS. SORAYA P. VERGARA</v>
          </cell>
          <cell r="AI596" t="str">
            <v>N/A</v>
          </cell>
          <cell r="AJ596" t="str">
            <v>N/A</v>
          </cell>
          <cell r="AK596" t="str">
            <v>N/A</v>
          </cell>
          <cell r="AL596" t="str">
            <v>N/A</v>
          </cell>
          <cell r="AM596" t="str">
            <v>N/A</v>
          </cell>
          <cell r="AN596" t="str">
            <v>N/A</v>
          </cell>
          <cell r="AO596" t="str">
            <v>COMPLETED</v>
          </cell>
        </row>
        <row r="597">
          <cell r="A597" t="str">
            <v>24-1921</v>
          </cell>
          <cell r="B597" t="str">
            <v>FOOD/CATERING SERVICES</v>
          </cell>
          <cell r="C597" t="str">
            <v>PGO</v>
          </cell>
          <cell r="D597" t="str">
            <v>No</v>
          </cell>
          <cell r="E597" t="str">
            <v>NP-53.9 - Small Value Procurement</v>
          </cell>
          <cell r="F597" t="str">
            <v>N/A</v>
          </cell>
          <cell r="G597">
            <v>45404</v>
          </cell>
          <cell r="H597">
            <v>0</v>
          </cell>
          <cell r="I597" t="str">
            <v>N/A</v>
          </cell>
          <cell r="J597">
            <v>45412</v>
          </cell>
          <cell r="K597">
            <v>45412</v>
          </cell>
          <cell r="L597">
            <v>0</v>
          </cell>
          <cell r="M597" t="str">
            <v>N/A</v>
          </cell>
          <cell r="N597" t="str">
            <v>N/A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45425</v>
          </cell>
          <cell r="U597">
            <v>45433</v>
          </cell>
          <cell r="V597">
            <v>0</v>
          </cell>
          <cell r="W597">
            <v>0</v>
          </cell>
          <cell r="X597">
            <v>45440</v>
          </cell>
          <cell r="Y597">
            <v>45440</v>
          </cell>
          <cell r="Z597">
            <v>0</v>
          </cell>
          <cell r="AA597">
            <v>375000</v>
          </cell>
          <cell r="AB597">
            <v>0</v>
          </cell>
          <cell r="AC597">
            <v>375000</v>
          </cell>
          <cell r="AD597">
            <v>375000</v>
          </cell>
          <cell r="AE597">
            <v>0</v>
          </cell>
          <cell r="AF597">
            <v>375000</v>
          </cell>
          <cell r="AG597" t="str">
            <v>C</v>
          </cell>
          <cell r="AH597" t="str">
            <v>ENGR. MICHAEL C. SALARDA
MS. LEONARDA M. LATOR
MS. CARMENCITA VALDEZ
MS. SORAYA P. VERGARA</v>
          </cell>
          <cell r="AI597" t="str">
            <v>N/A</v>
          </cell>
          <cell r="AJ597" t="str">
            <v>N/A</v>
          </cell>
          <cell r="AK597" t="str">
            <v>N/A</v>
          </cell>
          <cell r="AL597" t="str">
            <v>N/A</v>
          </cell>
          <cell r="AM597" t="str">
            <v>N/A</v>
          </cell>
          <cell r="AN597" t="str">
            <v>N/A</v>
          </cell>
          <cell r="AO597" t="str">
            <v>COMPLETED</v>
          </cell>
        </row>
        <row r="598">
          <cell r="A598" t="str">
            <v>24-C1291</v>
          </cell>
          <cell r="B598" t="str">
            <v>OIL &amp; LUBRICANTS</v>
          </cell>
          <cell r="C598" t="str">
            <v>PEEMO</v>
          </cell>
          <cell r="D598" t="str">
            <v>No</v>
          </cell>
          <cell r="E598" t="str">
            <v>NP-53.9 - Small Value Procurement</v>
          </cell>
          <cell r="F598">
            <v>45384</v>
          </cell>
          <cell r="G598">
            <v>45390</v>
          </cell>
          <cell r="H598">
            <v>0</v>
          </cell>
          <cell r="I598" t="str">
            <v>N/A</v>
          </cell>
          <cell r="J598">
            <v>45412</v>
          </cell>
          <cell r="K598">
            <v>45412</v>
          </cell>
          <cell r="L598">
            <v>0</v>
          </cell>
          <cell r="M598" t="str">
            <v>N/A</v>
          </cell>
          <cell r="N598" t="str">
            <v>N/A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45425</v>
          </cell>
          <cell r="U598">
            <v>45436</v>
          </cell>
          <cell r="V598">
            <v>0</v>
          </cell>
          <cell r="W598">
            <v>0</v>
          </cell>
          <cell r="X598">
            <v>45448</v>
          </cell>
          <cell r="Y598">
            <v>45448</v>
          </cell>
          <cell r="Z598">
            <v>0</v>
          </cell>
          <cell r="AA598">
            <v>155851.79999999999</v>
          </cell>
          <cell r="AB598">
            <v>155851.79999999999</v>
          </cell>
          <cell r="AC598">
            <v>0</v>
          </cell>
          <cell r="AD598">
            <v>155269</v>
          </cell>
          <cell r="AE598">
            <v>155269</v>
          </cell>
          <cell r="AF598">
            <v>0</v>
          </cell>
          <cell r="AG598" t="str">
            <v>M</v>
          </cell>
          <cell r="AH598" t="str">
            <v>ENGR. MICHAEL C. SALARDA
MS. LEONARDA M. LATOR
MS. CARMENCITA VALDEZ
MS. SORAYA P. VERGARA</v>
          </cell>
          <cell r="AI598" t="str">
            <v>N/A</v>
          </cell>
          <cell r="AJ598" t="str">
            <v>N/A</v>
          </cell>
          <cell r="AK598" t="str">
            <v>N/A</v>
          </cell>
          <cell r="AL598" t="str">
            <v>N/A</v>
          </cell>
          <cell r="AM598" t="str">
            <v>N/A</v>
          </cell>
          <cell r="AN598" t="str">
            <v>N/A</v>
          </cell>
          <cell r="AO598" t="str">
            <v>COMPLETED</v>
          </cell>
        </row>
        <row r="599">
          <cell r="A599" t="str">
            <v>24-1916</v>
          </cell>
          <cell r="B599" t="str">
            <v>FOOD/CATERING SERVICES</v>
          </cell>
          <cell r="C599" t="str">
            <v>PGO</v>
          </cell>
          <cell r="D599" t="str">
            <v>No</v>
          </cell>
          <cell r="E599" t="str">
            <v>NP-53.9 - Small Value Procurement</v>
          </cell>
          <cell r="F599" t="str">
            <v>N/A</v>
          </cell>
          <cell r="G599">
            <v>45404</v>
          </cell>
          <cell r="H599">
            <v>0</v>
          </cell>
          <cell r="I599" t="str">
            <v>N/A</v>
          </cell>
          <cell r="J599">
            <v>45412</v>
          </cell>
          <cell r="K599">
            <v>45412</v>
          </cell>
          <cell r="L599">
            <v>0</v>
          </cell>
          <cell r="M599" t="str">
            <v>N/A</v>
          </cell>
          <cell r="N599" t="str">
            <v>N/A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45425</v>
          </cell>
          <cell r="U599">
            <v>45435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375000</v>
          </cell>
          <cell r="AB599">
            <v>0</v>
          </cell>
          <cell r="AC599">
            <v>375000</v>
          </cell>
          <cell r="AD599">
            <v>375000</v>
          </cell>
          <cell r="AE599">
            <v>0</v>
          </cell>
          <cell r="AF599">
            <v>375000</v>
          </cell>
          <cell r="AG599" t="str">
            <v>C</v>
          </cell>
          <cell r="AH599" t="str">
            <v>ENGR. MICHAEL C. SALARDA
MS. LEONARDA M. LATOR
MS. CARMENCITA VALDEZ
MS. SORAYA P. VERGARA</v>
          </cell>
          <cell r="AI599" t="str">
            <v>N/A</v>
          </cell>
          <cell r="AJ599" t="str">
            <v>N/A</v>
          </cell>
          <cell r="AK599" t="str">
            <v>N/A</v>
          </cell>
          <cell r="AL599" t="str">
            <v>N/A</v>
          </cell>
          <cell r="AM599" t="str">
            <v>N/A</v>
          </cell>
          <cell r="AN599" t="str">
            <v>N/A</v>
          </cell>
          <cell r="AO599">
            <v>0</v>
          </cell>
        </row>
        <row r="600">
          <cell r="A600" t="str">
            <v>24-1867</v>
          </cell>
          <cell r="B600" t="str">
            <v>FEED INGREDIENTS</v>
          </cell>
          <cell r="C600" t="str">
            <v>PAGRO</v>
          </cell>
          <cell r="D600" t="str">
            <v>No</v>
          </cell>
          <cell r="E600" t="str">
            <v>NP-53.9 - Small Value Procurement</v>
          </cell>
          <cell r="F600" t="str">
            <v>N/A</v>
          </cell>
          <cell r="G600">
            <v>45385</v>
          </cell>
          <cell r="H600">
            <v>0</v>
          </cell>
          <cell r="I600" t="str">
            <v>N/A</v>
          </cell>
          <cell r="J600">
            <v>45412</v>
          </cell>
          <cell r="K600">
            <v>45412</v>
          </cell>
          <cell r="L600">
            <v>0</v>
          </cell>
          <cell r="M600" t="str">
            <v>N/A</v>
          </cell>
          <cell r="N600" t="str">
            <v>N/A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45425</v>
          </cell>
          <cell r="U600">
            <v>45436</v>
          </cell>
          <cell r="V600">
            <v>0</v>
          </cell>
          <cell r="W600">
            <v>0</v>
          </cell>
          <cell r="X600">
            <v>45442</v>
          </cell>
          <cell r="Y600">
            <v>45442</v>
          </cell>
          <cell r="Z600">
            <v>0</v>
          </cell>
          <cell r="AA600">
            <v>82110</v>
          </cell>
          <cell r="AB600">
            <v>0</v>
          </cell>
          <cell r="AC600">
            <v>82110</v>
          </cell>
          <cell r="AD600">
            <v>81756</v>
          </cell>
          <cell r="AE600">
            <v>0</v>
          </cell>
          <cell r="AF600">
            <v>81756</v>
          </cell>
          <cell r="AG600" t="str">
            <v>C</v>
          </cell>
          <cell r="AH600" t="str">
            <v>ENGR. MICHAEL C. SALARDA
MS. LEONARDA M. LATOR
MS. CARMENCITA VALDEZ
MS. SORAYA P. VERGARA</v>
          </cell>
          <cell r="AI600" t="str">
            <v>N/A</v>
          </cell>
          <cell r="AJ600" t="str">
            <v>N/A</v>
          </cell>
          <cell r="AK600" t="str">
            <v>N/A</v>
          </cell>
          <cell r="AL600" t="str">
            <v>N/A</v>
          </cell>
          <cell r="AM600" t="str">
            <v>N/A</v>
          </cell>
          <cell r="AN600" t="str">
            <v>N/A</v>
          </cell>
          <cell r="AO600" t="str">
            <v>COMPLETED</v>
          </cell>
        </row>
        <row r="601">
          <cell r="A601" t="str">
            <v>24-C1321</v>
          </cell>
          <cell r="B601" t="str">
            <v>OFFICE SUPPLIES</v>
          </cell>
          <cell r="C601" t="str">
            <v>PEEMO</v>
          </cell>
          <cell r="D601" t="str">
            <v>No</v>
          </cell>
          <cell r="E601" t="str">
            <v>Shopping 52.1(b) - Regular Office Supplies and Equipment no available in PS</v>
          </cell>
          <cell r="F601">
            <v>45398</v>
          </cell>
          <cell r="G601">
            <v>45404</v>
          </cell>
          <cell r="H601">
            <v>0</v>
          </cell>
          <cell r="I601" t="str">
            <v>N/A</v>
          </cell>
          <cell r="J601">
            <v>45421</v>
          </cell>
          <cell r="K601">
            <v>45421</v>
          </cell>
          <cell r="L601">
            <v>0</v>
          </cell>
          <cell r="M601" t="str">
            <v>N/A</v>
          </cell>
          <cell r="N601" t="str">
            <v>N/A</v>
          </cell>
          <cell r="O601">
            <v>45425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45435</v>
          </cell>
          <cell r="U601">
            <v>45441</v>
          </cell>
          <cell r="V601">
            <v>0</v>
          </cell>
          <cell r="W601">
            <v>0</v>
          </cell>
          <cell r="X601">
            <v>45454</v>
          </cell>
          <cell r="Y601">
            <v>45454</v>
          </cell>
          <cell r="Z601">
            <v>0</v>
          </cell>
          <cell r="AA601">
            <v>49971</v>
          </cell>
          <cell r="AB601">
            <v>49971</v>
          </cell>
          <cell r="AC601">
            <v>0</v>
          </cell>
          <cell r="AD601">
            <v>49910</v>
          </cell>
          <cell r="AE601">
            <v>49910</v>
          </cell>
          <cell r="AF601">
            <v>0</v>
          </cell>
          <cell r="AG601" t="str">
            <v>M</v>
          </cell>
          <cell r="AH601" t="str">
            <v>ENGR. MICHAEL C. SALARDA
MS. LEONARDA M. LATOR
MS. CARMENCITA VALDEZ
MS. SORAYA P. VERGARA</v>
          </cell>
          <cell r="AI601" t="str">
            <v>N/A</v>
          </cell>
          <cell r="AJ601" t="str">
            <v>N/A</v>
          </cell>
          <cell r="AK601" t="str">
            <v>N/A</v>
          </cell>
          <cell r="AL601" t="str">
            <v>N/A</v>
          </cell>
          <cell r="AM601" t="str">
            <v>N/A</v>
          </cell>
          <cell r="AN601" t="str">
            <v>N/A</v>
          </cell>
          <cell r="AO601" t="str">
            <v>COMPLETED</v>
          </cell>
        </row>
        <row r="602">
          <cell r="A602" t="str">
            <v>24-C1132</v>
          </cell>
          <cell r="B602" t="str">
            <v>PAINTING MATERIALS</v>
          </cell>
          <cell r="C602" t="str">
            <v>PEO-Motorpool</v>
          </cell>
          <cell r="D602" t="str">
            <v>No</v>
          </cell>
          <cell r="E602" t="str">
            <v>NP-53.9 - Small Value Procurement</v>
          </cell>
          <cell r="F602">
            <v>45384</v>
          </cell>
          <cell r="G602">
            <v>45390</v>
          </cell>
          <cell r="H602">
            <v>0</v>
          </cell>
          <cell r="I602" t="str">
            <v>N/A</v>
          </cell>
          <cell r="J602">
            <v>45421</v>
          </cell>
          <cell r="K602">
            <v>45421</v>
          </cell>
          <cell r="L602">
            <v>0</v>
          </cell>
          <cell r="M602" t="str">
            <v>N/A</v>
          </cell>
          <cell r="N602" t="str">
            <v>N/A</v>
          </cell>
          <cell r="O602">
            <v>45425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45435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274632</v>
          </cell>
          <cell r="AB602">
            <v>274632</v>
          </cell>
          <cell r="AC602">
            <v>0</v>
          </cell>
          <cell r="AD602">
            <v>271008</v>
          </cell>
          <cell r="AE602">
            <v>271008</v>
          </cell>
          <cell r="AF602">
            <v>0</v>
          </cell>
          <cell r="AG602" t="str">
            <v>M</v>
          </cell>
          <cell r="AH602" t="str">
            <v>ENGR. MICHAEL C. SALARDA
MS. LEONARDA M. LATOR
MS. CARMENCITA VALDEZ
MS. SORAYA P. VERGARA</v>
          </cell>
          <cell r="AI602" t="str">
            <v>N/A</v>
          </cell>
          <cell r="AJ602" t="str">
            <v>N/A</v>
          </cell>
          <cell r="AK602" t="str">
            <v>N/A</v>
          </cell>
          <cell r="AL602" t="str">
            <v>N/A</v>
          </cell>
          <cell r="AM602" t="str">
            <v>N/A</v>
          </cell>
          <cell r="AN602" t="str">
            <v>N/A</v>
          </cell>
          <cell r="AO602">
            <v>0</v>
          </cell>
        </row>
        <row r="603">
          <cell r="A603" t="str">
            <v>24-1715</v>
          </cell>
          <cell r="B603" t="str">
            <v>SPAREPARTS (MOTORCYCLE)</v>
          </cell>
          <cell r="C603" t="str">
            <v>PGSO</v>
          </cell>
          <cell r="D603" t="str">
            <v>No</v>
          </cell>
          <cell r="E603" t="str">
            <v>NP-53.9 - Small Value Procurement</v>
          </cell>
          <cell r="F603">
            <v>45384</v>
          </cell>
          <cell r="G603">
            <v>45390</v>
          </cell>
          <cell r="H603">
            <v>0</v>
          </cell>
          <cell r="I603" t="str">
            <v>N/A</v>
          </cell>
          <cell r="J603">
            <v>45421</v>
          </cell>
          <cell r="K603">
            <v>45421</v>
          </cell>
          <cell r="L603">
            <v>0</v>
          </cell>
          <cell r="M603" t="str">
            <v>N/A</v>
          </cell>
          <cell r="N603" t="str">
            <v>N/A</v>
          </cell>
          <cell r="O603">
            <v>45425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45434</v>
          </cell>
          <cell r="U603">
            <v>45454</v>
          </cell>
          <cell r="V603">
            <v>0</v>
          </cell>
          <cell r="W603">
            <v>0</v>
          </cell>
          <cell r="X603">
            <v>45462</v>
          </cell>
          <cell r="Y603">
            <v>45462</v>
          </cell>
          <cell r="Z603">
            <v>0</v>
          </cell>
          <cell r="AA603">
            <v>6370</v>
          </cell>
          <cell r="AB603">
            <v>6370</v>
          </cell>
          <cell r="AC603">
            <v>0</v>
          </cell>
          <cell r="AD603">
            <v>6370</v>
          </cell>
          <cell r="AE603">
            <v>6370</v>
          </cell>
          <cell r="AF603">
            <v>0</v>
          </cell>
          <cell r="AG603" t="str">
            <v>M</v>
          </cell>
          <cell r="AH603" t="str">
            <v>ENGR. MICHAEL C. SALARDA
MS. LEONARDA M. LATOR
MS. CARMENCITA VALDEZ
MS. SORAYA P. VERGARA</v>
          </cell>
          <cell r="AI603" t="str">
            <v>N/A</v>
          </cell>
          <cell r="AJ603" t="str">
            <v>N/A</v>
          </cell>
          <cell r="AK603" t="str">
            <v>N/A</v>
          </cell>
          <cell r="AL603" t="str">
            <v>N/A</v>
          </cell>
          <cell r="AM603" t="str">
            <v>N/A</v>
          </cell>
          <cell r="AN603" t="str">
            <v>N/A</v>
          </cell>
          <cell r="AO603" t="str">
            <v>COMPLETED</v>
          </cell>
        </row>
        <row r="604">
          <cell r="A604" t="str">
            <v>24-1107</v>
          </cell>
          <cell r="B604" t="str">
            <v>DRY SEAL</v>
          </cell>
          <cell r="C604" t="str">
            <v>PHO</v>
          </cell>
          <cell r="D604" t="str">
            <v>No</v>
          </cell>
          <cell r="E604" t="str">
            <v>NP-53.9 - Small Value Procurement</v>
          </cell>
          <cell r="F604" t="str">
            <v>N/A</v>
          </cell>
          <cell r="G604">
            <v>45363</v>
          </cell>
          <cell r="H604">
            <v>0</v>
          </cell>
          <cell r="I604" t="str">
            <v>N/A</v>
          </cell>
          <cell r="J604">
            <v>45421</v>
          </cell>
          <cell r="K604">
            <v>45421</v>
          </cell>
          <cell r="L604">
            <v>0</v>
          </cell>
          <cell r="M604" t="str">
            <v>N/A</v>
          </cell>
          <cell r="N604" t="str">
            <v>N/A</v>
          </cell>
          <cell r="O604">
            <v>45425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45434</v>
          </cell>
          <cell r="U604">
            <v>45446</v>
          </cell>
          <cell r="V604">
            <v>0</v>
          </cell>
          <cell r="W604">
            <v>0</v>
          </cell>
          <cell r="X604">
            <v>45456</v>
          </cell>
          <cell r="Y604">
            <v>45456</v>
          </cell>
          <cell r="Z604">
            <v>0</v>
          </cell>
          <cell r="AA604">
            <v>5500</v>
          </cell>
          <cell r="AB604">
            <v>5500</v>
          </cell>
          <cell r="AC604">
            <v>0</v>
          </cell>
          <cell r="AD604">
            <v>5500</v>
          </cell>
          <cell r="AE604">
            <v>5500</v>
          </cell>
          <cell r="AF604">
            <v>0</v>
          </cell>
          <cell r="AG604" t="str">
            <v>M</v>
          </cell>
          <cell r="AH604" t="str">
            <v>ENGR. MICHAEL C. SALARDA
MS. LEONARDA M. LATOR
MS. CARMENCITA VALDEZ
MS. SORAYA P. VERGARA</v>
          </cell>
          <cell r="AI604" t="str">
            <v>N/A</v>
          </cell>
          <cell r="AJ604" t="str">
            <v>N/A</v>
          </cell>
          <cell r="AK604" t="str">
            <v>N/A</v>
          </cell>
          <cell r="AL604" t="str">
            <v>N/A</v>
          </cell>
          <cell r="AM604" t="str">
            <v>N/A</v>
          </cell>
          <cell r="AN604" t="str">
            <v>N/A</v>
          </cell>
          <cell r="AO604" t="str">
            <v>COMPLETED</v>
          </cell>
        </row>
        <row r="605">
          <cell r="A605" t="str">
            <v>24-2388</v>
          </cell>
          <cell r="B605" t="str">
            <v>DAVAO DE ORO TOKEN</v>
          </cell>
          <cell r="C605" t="str">
            <v>PHRMDO</v>
          </cell>
          <cell r="D605" t="str">
            <v>No</v>
          </cell>
          <cell r="E605" t="str">
            <v>NP-53.9 - Small Value Procurement</v>
          </cell>
          <cell r="F605">
            <v>45407</v>
          </cell>
          <cell r="G605">
            <v>45412</v>
          </cell>
          <cell r="H605">
            <v>0</v>
          </cell>
          <cell r="I605" t="str">
            <v>N/A</v>
          </cell>
          <cell r="J605">
            <v>45421</v>
          </cell>
          <cell r="K605">
            <v>45421</v>
          </cell>
          <cell r="L605">
            <v>0</v>
          </cell>
          <cell r="M605" t="str">
            <v>N/A</v>
          </cell>
          <cell r="N605" t="str">
            <v>N/A</v>
          </cell>
          <cell r="O605">
            <v>45425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45434</v>
          </cell>
          <cell r="U605">
            <v>45446</v>
          </cell>
          <cell r="V605">
            <v>0</v>
          </cell>
          <cell r="W605">
            <v>0</v>
          </cell>
          <cell r="X605">
            <v>45457</v>
          </cell>
          <cell r="Y605">
            <v>45457</v>
          </cell>
          <cell r="Z605">
            <v>0</v>
          </cell>
          <cell r="AA605">
            <v>148500</v>
          </cell>
          <cell r="AB605">
            <v>0</v>
          </cell>
          <cell r="AC605">
            <v>148500</v>
          </cell>
          <cell r="AD605">
            <v>123750</v>
          </cell>
          <cell r="AE605">
            <v>0</v>
          </cell>
          <cell r="AF605">
            <v>123750</v>
          </cell>
          <cell r="AG605" t="str">
            <v>C</v>
          </cell>
          <cell r="AH605" t="str">
            <v>ENGR. MICHAEL C. SALARDA
MS. LEONARDA M. LATOR
MS. CARMENCITA VALDEZ
MS. SORAYA P. VERGARA</v>
          </cell>
          <cell r="AI605" t="str">
            <v>N/A</v>
          </cell>
          <cell r="AJ605" t="str">
            <v>N/A</v>
          </cell>
          <cell r="AK605" t="str">
            <v>N/A</v>
          </cell>
          <cell r="AL605" t="str">
            <v>N/A</v>
          </cell>
          <cell r="AM605" t="str">
            <v>N/A</v>
          </cell>
          <cell r="AN605" t="str">
            <v>N/A</v>
          </cell>
          <cell r="AO605" t="str">
            <v>COMPLETED</v>
          </cell>
        </row>
        <row r="606">
          <cell r="A606" t="str">
            <v>24-C1315</v>
          </cell>
          <cell r="B606" t="str">
            <v>TIRES</v>
          </cell>
          <cell r="C606" t="str">
            <v>PEEMO</v>
          </cell>
          <cell r="D606" t="str">
            <v>No</v>
          </cell>
          <cell r="E606" t="str">
            <v>NP-53.9 - Small Value Procurement</v>
          </cell>
          <cell r="F606">
            <v>45398</v>
          </cell>
          <cell r="G606">
            <v>45404</v>
          </cell>
          <cell r="H606">
            <v>0</v>
          </cell>
          <cell r="I606" t="str">
            <v>N/A</v>
          </cell>
          <cell r="J606">
            <v>45421</v>
          </cell>
          <cell r="K606">
            <v>45421</v>
          </cell>
          <cell r="L606">
            <v>0</v>
          </cell>
          <cell r="M606" t="str">
            <v>N/A</v>
          </cell>
          <cell r="N606" t="str">
            <v>N/A</v>
          </cell>
          <cell r="O606">
            <v>45425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45436</v>
          </cell>
          <cell r="U606">
            <v>45440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199352</v>
          </cell>
          <cell r="AB606">
            <v>199352</v>
          </cell>
          <cell r="AC606">
            <v>0</v>
          </cell>
          <cell r="AD606">
            <v>173912</v>
          </cell>
          <cell r="AE606">
            <v>173912</v>
          </cell>
          <cell r="AF606">
            <v>0</v>
          </cell>
          <cell r="AG606" t="str">
            <v>M</v>
          </cell>
          <cell r="AH606" t="str">
            <v>ENGR. MICHAEL C. SALARDA
MS. LEONARDA M. LATOR
MS. CARMENCITA VALDEZ
MS. SORAYA P. VERGARA</v>
          </cell>
          <cell r="AI606" t="str">
            <v>N/A</v>
          </cell>
          <cell r="AJ606" t="str">
            <v>N/A</v>
          </cell>
          <cell r="AK606" t="str">
            <v>N/A</v>
          </cell>
          <cell r="AL606" t="str">
            <v>N/A</v>
          </cell>
          <cell r="AM606" t="str">
            <v>N/A</v>
          </cell>
          <cell r="AN606" t="str">
            <v>N/A</v>
          </cell>
          <cell r="AO606">
            <v>0</v>
          </cell>
        </row>
        <row r="607">
          <cell r="A607" t="str">
            <v>24-C1257</v>
          </cell>
          <cell r="B607" t="str">
            <v>FOOD/CATERING SERVICES</v>
          </cell>
          <cell r="C607" t="str">
            <v>PGO</v>
          </cell>
          <cell r="D607" t="str">
            <v>No</v>
          </cell>
          <cell r="E607" t="str">
            <v>NP-53.9 - Small Value Procurement</v>
          </cell>
          <cell r="F607">
            <v>45398</v>
          </cell>
          <cell r="G607">
            <v>45404</v>
          </cell>
          <cell r="H607">
            <v>0</v>
          </cell>
          <cell r="I607" t="str">
            <v>N/A</v>
          </cell>
          <cell r="J607">
            <v>45421</v>
          </cell>
          <cell r="K607">
            <v>45421</v>
          </cell>
          <cell r="L607">
            <v>0</v>
          </cell>
          <cell r="M607" t="str">
            <v>N/A</v>
          </cell>
          <cell r="N607" t="str">
            <v>N/A</v>
          </cell>
          <cell r="O607">
            <v>45425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45442</v>
          </cell>
          <cell r="U607">
            <v>45447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99820</v>
          </cell>
          <cell r="AB607">
            <v>0</v>
          </cell>
          <cell r="AC607">
            <v>99820</v>
          </cell>
          <cell r="AD607">
            <v>99655</v>
          </cell>
          <cell r="AE607">
            <v>0</v>
          </cell>
          <cell r="AF607">
            <v>99655</v>
          </cell>
          <cell r="AG607" t="str">
            <v>C</v>
          </cell>
          <cell r="AH607" t="str">
            <v>ENGR. MICHAEL C. SALARDA
MS. LEONARDA M. LATOR
MS. CARMENCITA VALDEZ
MS. SORAYA P. VERGARA</v>
          </cell>
          <cell r="AI607" t="str">
            <v>N/A</v>
          </cell>
          <cell r="AJ607" t="str">
            <v>N/A</v>
          </cell>
          <cell r="AK607" t="str">
            <v>N/A</v>
          </cell>
          <cell r="AL607" t="str">
            <v>N/A</v>
          </cell>
          <cell r="AM607" t="str">
            <v>N/A</v>
          </cell>
          <cell r="AN607" t="str">
            <v>N/A</v>
          </cell>
          <cell r="AO607">
            <v>0</v>
          </cell>
        </row>
        <row r="608">
          <cell r="A608" t="str">
            <v>24-C1333</v>
          </cell>
          <cell r="B608" t="str">
            <v>FOOD/CATERING SERVICES</v>
          </cell>
          <cell r="C608" t="str">
            <v>PGSO</v>
          </cell>
          <cell r="D608" t="str">
            <v>No</v>
          </cell>
          <cell r="E608" t="str">
            <v>NP-53.9 - Small Value Procurement</v>
          </cell>
          <cell r="F608" t="str">
            <v>N/A</v>
          </cell>
          <cell r="G608">
            <v>45404</v>
          </cell>
          <cell r="H608">
            <v>0</v>
          </cell>
          <cell r="I608" t="str">
            <v>N/A</v>
          </cell>
          <cell r="J608">
            <v>45421</v>
          </cell>
          <cell r="K608">
            <v>45421</v>
          </cell>
          <cell r="L608">
            <v>0</v>
          </cell>
          <cell r="M608" t="str">
            <v>N/A</v>
          </cell>
          <cell r="N608" t="str">
            <v>N/A</v>
          </cell>
          <cell r="O608">
            <v>45425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45434</v>
          </cell>
          <cell r="U608">
            <v>45449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20000</v>
          </cell>
          <cell r="AB608">
            <v>0</v>
          </cell>
          <cell r="AC608">
            <v>20000</v>
          </cell>
          <cell r="AD608">
            <v>19680</v>
          </cell>
          <cell r="AE608">
            <v>0</v>
          </cell>
          <cell r="AF608">
            <v>19680</v>
          </cell>
          <cell r="AG608" t="str">
            <v>C</v>
          </cell>
          <cell r="AH608" t="str">
            <v>ENGR. MICHAEL C. SALARDA
MS. LEONARDA M. LATOR
MS. CARMENCITA VALDEZ
MS. SORAYA P. VERGARA</v>
          </cell>
          <cell r="AI608" t="str">
            <v>N/A</v>
          </cell>
          <cell r="AJ608" t="str">
            <v>N/A</v>
          </cell>
          <cell r="AK608" t="str">
            <v>N/A</v>
          </cell>
          <cell r="AL608" t="str">
            <v>N/A</v>
          </cell>
          <cell r="AM608" t="str">
            <v>N/A</v>
          </cell>
          <cell r="AN608" t="str">
            <v>N/A</v>
          </cell>
          <cell r="AO608">
            <v>0</v>
          </cell>
        </row>
        <row r="609">
          <cell r="A609" t="str">
            <v>24-2220</v>
          </cell>
          <cell r="B609" t="str">
            <v>SPAREPARTS (MOTORCYCLE)</v>
          </cell>
          <cell r="C609" t="str">
            <v>PGSO</v>
          </cell>
          <cell r="D609" t="str">
            <v>No</v>
          </cell>
          <cell r="E609" t="str">
            <v>NP-53.9 - Small Value Procurement</v>
          </cell>
          <cell r="F609">
            <v>45398</v>
          </cell>
          <cell r="G609">
            <v>45404</v>
          </cell>
          <cell r="H609">
            <v>0</v>
          </cell>
          <cell r="I609" t="str">
            <v>N/A</v>
          </cell>
          <cell r="J609">
            <v>45421</v>
          </cell>
          <cell r="K609">
            <v>45421</v>
          </cell>
          <cell r="L609">
            <v>0</v>
          </cell>
          <cell r="M609" t="str">
            <v>N/A</v>
          </cell>
          <cell r="N609" t="str">
            <v>N/A</v>
          </cell>
          <cell r="O609">
            <v>45425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45434</v>
          </cell>
          <cell r="U609">
            <v>45449</v>
          </cell>
          <cell r="V609">
            <v>0</v>
          </cell>
          <cell r="W609">
            <v>0</v>
          </cell>
          <cell r="X609">
            <v>45453</v>
          </cell>
          <cell r="Y609">
            <v>45453</v>
          </cell>
          <cell r="Z609">
            <v>0</v>
          </cell>
          <cell r="AA609">
            <v>2400</v>
          </cell>
          <cell r="AB609">
            <v>2400</v>
          </cell>
          <cell r="AC609">
            <v>0</v>
          </cell>
          <cell r="AD609">
            <v>2370</v>
          </cell>
          <cell r="AE609">
            <v>2370</v>
          </cell>
          <cell r="AF609">
            <v>0</v>
          </cell>
          <cell r="AG609" t="str">
            <v>M</v>
          </cell>
          <cell r="AH609" t="str">
            <v>ENGR. MICHAEL C. SALARDA
MS. LEONARDA M. LATOR
MS. CARMENCITA VALDEZ
MS. SORAYA P. VERGARA</v>
          </cell>
          <cell r="AI609" t="str">
            <v>N/A</v>
          </cell>
          <cell r="AJ609" t="str">
            <v>N/A</v>
          </cell>
          <cell r="AK609" t="str">
            <v>N/A</v>
          </cell>
          <cell r="AL609" t="str">
            <v>N/A</v>
          </cell>
          <cell r="AM609" t="str">
            <v>N/A</v>
          </cell>
          <cell r="AN609" t="str">
            <v>N/A</v>
          </cell>
          <cell r="AO609" t="str">
            <v>COMPLETED</v>
          </cell>
        </row>
        <row r="610">
          <cell r="A610" t="str">
            <v>24-2228</v>
          </cell>
          <cell r="B610" t="str">
            <v>FOOD/CATERING SERVICES</v>
          </cell>
          <cell r="C610" t="str">
            <v>PGO</v>
          </cell>
          <cell r="D610" t="str">
            <v>No</v>
          </cell>
          <cell r="E610" t="str">
            <v>NP-53.9 - Small Value Procurement</v>
          </cell>
          <cell r="F610" t="str">
            <v>N/A</v>
          </cell>
          <cell r="G610">
            <v>45404</v>
          </cell>
          <cell r="H610">
            <v>0</v>
          </cell>
          <cell r="I610" t="str">
            <v>N/A</v>
          </cell>
          <cell r="J610">
            <v>45421</v>
          </cell>
          <cell r="K610">
            <v>45421</v>
          </cell>
          <cell r="L610">
            <v>0</v>
          </cell>
          <cell r="M610" t="str">
            <v>N/A</v>
          </cell>
          <cell r="N610" t="str">
            <v>N/A</v>
          </cell>
          <cell r="O610">
            <v>45425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45434</v>
          </cell>
          <cell r="U610">
            <v>45447</v>
          </cell>
          <cell r="V610">
            <v>0</v>
          </cell>
          <cell r="W610">
            <v>0</v>
          </cell>
          <cell r="X610">
            <v>45461</v>
          </cell>
          <cell r="Y610">
            <v>45461</v>
          </cell>
          <cell r="Z610">
            <v>0</v>
          </cell>
          <cell r="AA610">
            <v>66300</v>
          </cell>
          <cell r="AB610">
            <v>0</v>
          </cell>
          <cell r="AC610">
            <v>66300</v>
          </cell>
          <cell r="AD610">
            <v>66202.5</v>
          </cell>
          <cell r="AE610">
            <v>0</v>
          </cell>
          <cell r="AF610">
            <v>66202.5</v>
          </cell>
          <cell r="AG610" t="str">
            <v>C</v>
          </cell>
          <cell r="AH610" t="str">
            <v>ENGR. MICHAEL C. SALARDA
MS. LEONARDA M. LATOR
MS. CARMENCITA VALDEZ
MS. SORAYA P. VERGARA</v>
          </cell>
          <cell r="AI610" t="str">
            <v>N/A</v>
          </cell>
          <cell r="AJ610" t="str">
            <v>N/A</v>
          </cell>
          <cell r="AK610" t="str">
            <v>N/A</v>
          </cell>
          <cell r="AL610" t="str">
            <v>N/A</v>
          </cell>
          <cell r="AM610" t="str">
            <v>N/A</v>
          </cell>
          <cell r="AN610" t="str">
            <v>N/A</v>
          </cell>
          <cell r="AO610" t="str">
            <v>COMPLETED</v>
          </cell>
        </row>
        <row r="611">
          <cell r="A611" t="str">
            <v>24-C1275</v>
          </cell>
          <cell r="B611" t="str">
            <v>SPAREPARTS (MOTORCYCLE)</v>
          </cell>
          <cell r="C611" t="str">
            <v>PGSO</v>
          </cell>
          <cell r="D611" t="str">
            <v>No</v>
          </cell>
          <cell r="E611" t="str">
            <v>NP-53.9 - Small Value Procurement</v>
          </cell>
          <cell r="F611">
            <v>45398</v>
          </cell>
          <cell r="G611">
            <v>45404</v>
          </cell>
          <cell r="H611">
            <v>0</v>
          </cell>
          <cell r="I611" t="str">
            <v>N/A</v>
          </cell>
          <cell r="J611">
            <v>45421</v>
          </cell>
          <cell r="K611">
            <v>45421</v>
          </cell>
          <cell r="L611">
            <v>0</v>
          </cell>
          <cell r="M611" t="str">
            <v>N/A</v>
          </cell>
          <cell r="N611" t="str">
            <v>N/A</v>
          </cell>
          <cell r="O611">
            <v>45425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45434</v>
          </cell>
          <cell r="U611">
            <v>45449</v>
          </cell>
          <cell r="V611">
            <v>0</v>
          </cell>
          <cell r="W611">
            <v>0</v>
          </cell>
          <cell r="X611">
            <v>45454</v>
          </cell>
          <cell r="Y611">
            <v>45454</v>
          </cell>
          <cell r="Z611">
            <v>0</v>
          </cell>
          <cell r="AA611">
            <v>17911</v>
          </cell>
          <cell r="AB611">
            <v>17911</v>
          </cell>
          <cell r="AC611">
            <v>0</v>
          </cell>
          <cell r="AD611">
            <v>17595</v>
          </cell>
          <cell r="AE611">
            <v>17595</v>
          </cell>
          <cell r="AF611">
            <v>0</v>
          </cell>
          <cell r="AG611" t="str">
            <v>M</v>
          </cell>
          <cell r="AH611" t="str">
            <v>ENGR. MICHAEL C. SALARDA
MS. LEONARDA M. LATOR
MS. CARMENCITA VALDEZ
MS. SORAYA P. VERGARA</v>
          </cell>
          <cell r="AI611" t="str">
            <v>N/A</v>
          </cell>
          <cell r="AJ611" t="str">
            <v>N/A</v>
          </cell>
          <cell r="AK611" t="str">
            <v>N/A</v>
          </cell>
          <cell r="AL611" t="str">
            <v>N/A</v>
          </cell>
          <cell r="AM611" t="str">
            <v>N/A</v>
          </cell>
          <cell r="AN611" t="str">
            <v>N/A</v>
          </cell>
          <cell r="AO611" t="str">
            <v>COMPLETED</v>
          </cell>
        </row>
        <row r="612">
          <cell r="A612" t="str">
            <v>24-2351</v>
          </cell>
          <cell r="B612" t="str">
            <v>FOOD/CATERING SERVICES</v>
          </cell>
          <cell r="C612" t="str">
            <v>PTO</v>
          </cell>
          <cell r="D612" t="str">
            <v>No</v>
          </cell>
          <cell r="E612" t="str">
            <v>NP-53.9 - Small Value Procurement</v>
          </cell>
          <cell r="F612" t="str">
            <v>N/A</v>
          </cell>
          <cell r="G612">
            <v>45397</v>
          </cell>
          <cell r="H612">
            <v>0</v>
          </cell>
          <cell r="I612" t="str">
            <v>N/A</v>
          </cell>
          <cell r="J612">
            <v>45421</v>
          </cell>
          <cell r="K612">
            <v>45421</v>
          </cell>
          <cell r="L612">
            <v>0</v>
          </cell>
          <cell r="M612" t="str">
            <v>N/A</v>
          </cell>
          <cell r="N612" t="str">
            <v>N/A</v>
          </cell>
          <cell r="O612">
            <v>45425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45434</v>
          </cell>
          <cell r="U612">
            <v>45443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21000</v>
          </cell>
          <cell r="AB612">
            <v>21000</v>
          </cell>
          <cell r="AC612">
            <v>0</v>
          </cell>
          <cell r="AD612">
            <v>20850</v>
          </cell>
          <cell r="AE612">
            <v>20850</v>
          </cell>
          <cell r="AF612">
            <v>0</v>
          </cell>
          <cell r="AG612" t="str">
            <v>M</v>
          </cell>
          <cell r="AH612" t="str">
            <v>ENGR. MICHAEL C. SALARDA
MS. LEONARDA M. LATOR
MS. CARMENCITA VALDEZ
MS. SORAYA P. VERGARA</v>
          </cell>
          <cell r="AI612" t="str">
            <v>N/A</v>
          </cell>
          <cell r="AJ612" t="str">
            <v>N/A</v>
          </cell>
          <cell r="AK612" t="str">
            <v>N/A</v>
          </cell>
          <cell r="AL612" t="str">
            <v>N/A</v>
          </cell>
          <cell r="AM612" t="str">
            <v>N/A</v>
          </cell>
          <cell r="AN612" t="str">
            <v>N/A</v>
          </cell>
          <cell r="AO612">
            <v>0</v>
          </cell>
        </row>
        <row r="613">
          <cell r="A613" t="str">
            <v>24-1448</v>
          </cell>
          <cell r="B613" t="str">
            <v>DRONE</v>
          </cell>
          <cell r="C613" t="str">
            <v>PGO</v>
          </cell>
          <cell r="D613" t="str">
            <v>No</v>
          </cell>
          <cell r="E613" t="str">
            <v>NP-53.9 - Small Value Procurement</v>
          </cell>
          <cell r="F613">
            <v>45390</v>
          </cell>
          <cell r="G613">
            <v>45397</v>
          </cell>
          <cell r="H613">
            <v>0</v>
          </cell>
          <cell r="I613" t="str">
            <v>N/A</v>
          </cell>
          <cell r="J613">
            <v>45421</v>
          </cell>
          <cell r="K613">
            <v>45421</v>
          </cell>
          <cell r="L613">
            <v>0</v>
          </cell>
          <cell r="M613" t="str">
            <v>N/A</v>
          </cell>
          <cell r="N613" t="str">
            <v>N/A</v>
          </cell>
          <cell r="O613">
            <v>45425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45435</v>
          </cell>
          <cell r="U613">
            <v>45441</v>
          </cell>
          <cell r="V613">
            <v>0</v>
          </cell>
          <cell r="W613">
            <v>0</v>
          </cell>
          <cell r="X613">
            <v>45443</v>
          </cell>
          <cell r="Y613">
            <v>45443</v>
          </cell>
          <cell r="Z613">
            <v>0</v>
          </cell>
          <cell r="AA613">
            <v>50000</v>
          </cell>
          <cell r="AB613">
            <v>0</v>
          </cell>
          <cell r="AC613">
            <v>50000</v>
          </cell>
          <cell r="AD613">
            <v>49900</v>
          </cell>
          <cell r="AE613">
            <v>0</v>
          </cell>
          <cell r="AF613">
            <v>49900</v>
          </cell>
          <cell r="AG613" t="str">
            <v>C</v>
          </cell>
          <cell r="AH613" t="str">
            <v>ENGR. MICHAEL C. SALARDA
MS. LEONARDA M. LATOR
MS. CARMENCITA VALDEZ
MS. SORAYA P. VERGARA</v>
          </cell>
          <cell r="AI613" t="str">
            <v>N/A</v>
          </cell>
          <cell r="AJ613" t="str">
            <v>N/A</v>
          </cell>
          <cell r="AK613" t="str">
            <v>N/A</v>
          </cell>
          <cell r="AL613" t="str">
            <v>N/A</v>
          </cell>
          <cell r="AM613" t="str">
            <v>N/A</v>
          </cell>
          <cell r="AN613" t="str">
            <v>N/A</v>
          </cell>
          <cell r="AO613" t="str">
            <v>COMPLETED</v>
          </cell>
        </row>
        <row r="614">
          <cell r="A614" t="str">
            <v>24-C1330</v>
          </cell>
          <cell r="B614" t="str">
            <v>SPAREPARTS (MOTORCYCLE)</v>
          </cell>
          <cell r="C614" t="str">
            <v>PGSO</v>
          </cell>
          <cell r="D614" t="str">
            <v>No</v>
          </cell>
          <cell r="E614" t="str">
            <v>NP-53.9 - Small Value Procurement</v>
          </cell>
          <cell r="F614">
            <v>45398</v>
          </cell>
          <cell r="G614">
            <v>45404</v>
          </cell>
          <cell r="H614">
            <v>0</v>
          </cell>
          <cell r="I614" t="str">
            <v>N/A</v>
          </cell>
          <cell r="J614">
            <v>45421</v>
          </cell>
          <cell r="K614">
            <v>45421</v>
          </cell>
          <cell r="L614">
            <v>0</v>
          </cell>
          <cell r="M614" t="str">
            <v>N/A</v>
          </cell>
          <cell r="N614" t="str">
            <v>N/A</v>
          </cell>
          <cell r="O614">
            <v>45425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45434</v>
          </cell>
          <cell r="U614">
            <v>45449</v>
          </cell>
          <cell r="V614">
            <v>0</v>
          </cell>
          <cell r="W614">
            <v>0</v>
          </cell>
          <cell r="X614">
            <v>45463</v>
          </cell>
          <cell r="Y614">
            <v>45463</v>
          </cell>
          <cell r="Z614">
            <v>0</v>
          </cell>
          <cell r="AA614">
            <v>12102</v>
          </cell>
          <cell r="AB614">
            <v>12102</v>
          </cell>
          <cell r="AC614">
            <v>0</v>
          </cell>
          <cell r="AD614">
            <v>12039</v>
          </cell>
          <cell r="AE614">
            <v>12039</v>
          </cell>
          <cell r="AF614">
            <v>0</v>
          </cell>
          <cell r="AG614" t="str">
            <v>M</v>
          </cell>
          <cell r="AH614" t="str">
            <v>ENGR. MICHAEL C. SALARDA
MS. LEONARDA M. LATOR
MS. CARMENCITA VALDEZ
MS. SORAYA P. VERGARA</v>
          </cell>
          <cell r="AI614" t="str">
            <v>N/A</v>
          </cell>
          <cell r="AJ614" t="str">
            <v>N/A</v>
          </cell>
          <cell r="AK614" t="str">
            <v>N/A</v>
          </cell>
          <cell r="AL614" t="str">
            <v>N/A</v>
          </cell>
          <cell r="AM614" t="str">
            <v>N/A</v>
          </cell>
          <cell r="AN614" t="str">
            <v>N/A</v>
          </cell>
          <cell r="AO614" t="str">
            <v>COMPLETED</v>
          </cell>
        </row>
        <row r="615">
          <cell r="A615" t="str">
            <v>24-2183</v>
          </cell>
          <cell r="B615" t="str">
            <v>SPAREPARTS (LIGHT VEHICLES)</v>
          </cell>
          <cell r="C615" t="str">
            <v>PGSO</v>
          </cell>
          <cell r="D615" t="str">
            <v>No</v>
          </cell>
          <cell r="E615" t="str">
            <v>NP-53.9 - Small Value Procurement</v>
          </cell>
          <cell r="F615">
            <v>45398</v>
          </cell>
          <cell r="G615">
            <v>45404</v>
          </cell>
          <cell r="H615">
            <v>0</v>
          </cell>
          <cell r="I615" t="str">
            <v>N/A</v>
          </cell>
          <cell r="J615">
            <v>45421</v>
          </cell>
          <cell r="K615">
            <v>45421</v>
          </cell>
          <cell r="L615">
            <v>0</v>
          </cell>
          <cell r="M615" t="str">
            <v>N/A</v>
          </cell>
          <cell r="N615" t="str">
            <v>N/A</v>
          </cell>
          <cell r="O615">
            <v>45425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45434</v>
          </cell>
          <cell r="U615">
            <v>45450</v>
          </cell>
          <cell r="V615">
            <v>0</v>
          </cell>
          <cell r="W615">
            <v>0</v>
          </cell>
          <cell r="X615">
            <v>45457</v>
          </cell>
          <cell r="Y615">
            <v>45457</v>
          </cell>
          <cell r="Z615">
            <v>0</v>
          </cell>
          <cell r="AA615">
            <v>4730</v>
          </cell>
          <cell r="AB615">
            <v>4730</v>
          </cell>
          <cell r="AC615">
            <v>0</v>
          </cell>
          <cell r="AD615">
            <v>4300</v>
          </cell>
          <cell r="AE615">
            <v>4300</v>
          </cell>
          <cell r="AF615">
            <v>0</v>
          </cell>
          <cell r="AG615" t="str">
            <v>M</v>
          </cell>
          <cell r="AH615" t="str">
            <v>ENGR. MICHAEL C. SALARDA
MS. LEONARDA M. LATOR
MS. CARMENCITA VALDEZ
MS. SORAYA P. VERGARA</v>
          </cell>
          <cell r="AI615" t="str">
            <v>N/A</v>
          </cell>
          <cell r="AJ615" t="str">
            <v>N/A</v>
          </cell>
          <cell r="AK615" t="str">
            <v>N/A</v>
          </cell>
          <cell r="AL615" t="str">
            <v>N/A</v>
          </cell>
          <cell r="AM615" t="str">
            <v>N/A</v>
          </cell>
          <cell r="AN615" t="str">
            <v>N/A</v>
          </cell>
          <cell r="AO615" t="str">
            <v>COMPLETED</v>
          </cell>
        </row>
        <row r="616">
          <cell r="A616" t="str">
            <v>24-2264</v>
          </cell>
          <cell r="B616" t="str">
            <v>SPAREPARTS (LIGHT VEHICLES)</v>
          </cell>
          <cell r="C616" t="str">
            <v>PGSO</v>
          </cell>
          <cell r="D616" t="str">
            <v>No</v>
          </cell>
          <cell r="E616" t="str">
            <v>NP-53.9 - Small Value Procurement</v>
          </cell>
          <cell r="F616">
            <v>45398</v>
          </cell>
          <cell r="G616">
            <v>45404</v>
          </cell>
          <cell r="H616">
            <v>0</v>
          </cell>
          <cell r="I616" t="str">
            <v>N/A</v>
          </cell>
          <cell r="J616">
            <v>45421</v>
          </cell>
          <cell r="K616">
            <v>45421</v>
          </cell>
          <cell r="L616">
            <v>0</v>
          </cell>
          <cell r="M616" t="str">
            <v>N/A</v>
          </cell>
          <cell r="N616" t="str">
            <v>N/A</v>
          </cell>
          <cell r="O616">
            <v>45425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45434</v>
          </cell>
          <cell r="U616">
            <v>45450</v>
          </cell>
          <cell r="V616">
            <v>0</v>
          </cell>
          <cell r="W616">
            <v>0</v>
          </cell>
          <cell r="X616">
            <v>45461</v>
          </cell>
          <cell r="Y616">
            <v>45461</v>
          </cell>
          <cell r="Z616">
            <v>0</v>
          </cell>
          <cell r="AA616">
            <v>14085</v>
          </cell>
          <cell r="AB616">
            <v>14085</v>
          </cell>
          <cell r="AC616">
            <v>0</v>
          </cell>
          <cell r="AD616">
            <v>12600</v>
          </cell>
          <cell r="AE616">
            <v>12600</v>
          </cell>
          <cell r="AF616">
            <v>0</v>
          </cell>
          <cell r="AG616" t="str">
            <v>M</v>
          </cell>
          <cell r="AH616" t="str">
            <v>ENGR. MICHAEL C. SALARDA
MS. LEONARDA M. LATOR
MS. CARMENCITA VALDEZ
MS. SORAYA P. VERGARA</v>
          </cell>
          <cell r="AI616" t="str">
            <v>N/A</v>
          </cell>
          <cell r="AJ616" t="str">
            <v>N/A</v>
          </cell>
          <cell r="AK616" t="str">
            <v>N/A</v>
          </cell>
          <cell r="AL616" t="str">
            <v>N/A</v>
          </cell>
          <cell r="AM616" t="str">
            <v>N/A</v>
          </cell>
          <cell r="AN616" t="str">
            <v>N/A</v>
          </cell>
          <cell r="AO616" t="str">
            <v>COMPLETED</v>
          </cell>
        </row>
        <row r="617">
          <cell r="A617" t="str">
            <v>24-2282</v>
          </cell>
          <cell r="B617" t="str">
            <v>SPAREPARTS (MOTORCYCLE)</v>
          </cell>
          <cell r="C617" t="str">
            <v>PGSO</v>
          </cell>
          <cell r="D617" t="str">
            <v>No</v>
          </cell>
          <cell r="E617" t="str">
            <v>NP-53.9 - Small Value Procurement</v>
          </cell>
          <cell r="F617">
            <v>45398</v>
          </cell>
          <cell r="G617">
            <v>45404</v>
          </cell>
          <cell r="H617">
            <v>0</v>
          </cell>
          <cell r="I617" t="str">
            <v>N/A</v>
          </cell>
          <cell r="J617">
            <v>45421</v>
          </cell>
          <cell r="K617">
            <v>45421</v>
          </cell>
          <cell r="L617">
            <v>0</v>
          </cell>
          <cell r="M617" t="str">
            <v>N/A</v>
          </cell>
          <cell r="N617" t="str">
            <v>N/A</v>
          </cell>
          <cell r="O617">
            <v>45425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45434</v>
          </cell>
          <cell r="U617">
            <v>45449</v>
          </cell>
          <cell r="V617">
            <v>0</v>
          </cell>
          <cell r="W617">
            <v>0</v>
          </cell>
          <cell r="X617">
            <v>45461</v>
          </cell>
          <cell r="Y617">
            <v>45461</v>
          </cell>
          <cell r="Z617">
            <v>0</v>
          </cell>
          <cell r="AA617">
            <v>16250</v>
          </cell>
          <cell r="AB617">
            <v>16250</v>
          </cell>
          <cell r="AC617">
            <v>0</v>
          </cell>
          <cell r="AD617">
            <v>16086</v>
          </cell>
          <cell r="AE617">
            <v>16086</v>
          </cell>
          <cell r="AF617">
            <v>0</v>
          </cell>
          <cell r="AG617" t="str">
            <v>M</v>
          </cell>
          <cell r="AH617" t="str">
            <v>ENGR. MICHAEL C. SALARDA
MS. LEONARDA M. LATOR
MS. CARMENCITA VALDEZ
MS. SORAYA P. VERGARA</v>
          </cell>
          <cell r="AI617" t="str">
            <v>N/A</v>
          </cell>
          <cell r="AJ617" t="str">
            <v>N/A</v>
          </cell>
          <cell r="AK617" t="str">
            <v>N/A</v>
          </cell>
          <cell r="AL617" t="str">
            <v>N/A</v>
          </cell>
          <cell r="AM617" t="str">
            <v>N/A</v>
          </cell>
          <cell r="AN617" t="str">
            <v>N/A</v>
          </cell>
          <cell r="AO617" t="str">
            <v>COMPLETED</v>
          </cell>
        </row>
        <row r="618">
          <cell r="A618" t="str">
            <v>24-2263</v>
          </cell>
          <cell r="B618" t="str">
            <v>SPAREPARTS (LIGHT VEHICLES)</v>
          </cell>
          <cell r="C618" t="str">
            <v>PGSO</v>
          </cell>
          <cell r="D618" t="str">
            <v>No</v>
          </cell>
          <cell r="E618" t="str">
            <v>NP-53.9 - Small Value Procurement</v>
          </cell>
          <cell r="F618">
            <v>45398</v>
          </cell>
          <cell r="G618">
            <v>45404</v>
          </cell>
          <cell r="H618">
            <v>0</v>
          </cell>
          <cell r="I618" t="str">
            <v>N/A</v>
          </cell>
          <cell r="J618">
            <v>45421</v>
          </cell>
          <cell r="K618">
            <v>45421</v>
          </cell>
          <cell r="L618">
            <v>0</v>
          </cell>
          <cell r="M618" t="str">
            <v>N/A</v>
          </cell>
          <cell r="N618" t="str">
            <v>N/A</v>
          </cell>
          <cell r="O618">
            <v>45425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45434</v>
          </cell>
          <cell r="U618">
            <v>45450</v>
          </cell>
          <cell r="V618">
            <v>0</v>
          </cell>
          <cell r="W618">
            <v>0</v>
          </cell>
          <cell r="X618">
            <v>45461</v>
          </cell>
          <cell r="Y618">
            <v>45461</v>
          </cell>
          <cell r="Z618">
            <v>0</v>
          </cell>
          <cell r="AA618">
            <v>49830</v>
          </cell>
          <cell r="AB618">
            <v>49830</v>
          </cell>
          <cell r="AC618">
            <v>0</v>
          </cell>
          <cell r="AD618">
            <v>42800</v>
          </cell>
          <cell r="AE618">
            <v>42800</v>
          </cell>
          <cell r="AF618">
            <v>0</v>
          </cell>
          <cell r="AG618" t="str">
            <v>M</v>
          </cell>
          <cell r="AH618" t="str">
            <v>ENGR. MICHAEL C. SALARDA
MS. LEONARDA M. LATOR
MS. CARMENCITA VALDEZ
MS. SORAYA P. VERGARA</v>
          </cell>
          <cell r="AI618" t="str">
            <v>N/A</v>
          </cell>
          <cell r="AJ618" t="str">
            <v>N/A</v>
          </cell>
          <cell r="AK618" t="str">
            <v>N/A</v>
          </cell>
          <cell r="AL618" t="str">
            <v>N/A</v>
          </cell>
          <cell r="AM618" t="str">
            <v>N/A</v>
          </cell>
          <cell r="AN618" t="str">
            <v>N/A</v>
          </cell>
          <cell r="AO618" t="str">
            <v>COMPLETED</v>
          </cell>
        </row>
        <row r="619">
          <cell r="A619" t="str">
            <v>24-2358</v>
          </cell>
          <cell r="B619" t="str">
            <v>COMPUTER SUPPLIES/SPAREPARTS</v>
          </cell>
          <cell r="C619" t="str">
            <v>PTO</v>
          </cell>
          <cell r="D619" t="str">
            <v>No</v>
          </cell>
          <cell r="E619" t="str">
            <v>NP-53.9 - Small Value Procurement</v>
          </cell>
          <cell r="F619" t="str">
            <v>N/A</v>
          </cell>
          <cell r="G619">
            <v>45404</v>
          </cell>
          <cell r="H619">
            <v>0</v>
          </cell>
          <cell r="I619" t="str">
            <v>N/A</v>
          </cell>
          <cell r="J619">
            <v>45421</v>
          </cell>
          <cell r="K619">
            <v>45421</v>
          </cell>
          <cell r="L619">
            <v>0</v>
          </cell>
          <cell r="M619" t="str">
            <v>N/A</v>
          </cell>
          <cell r="N619" t="str">
            <v>N/A</v>
          </cell>
          <cell r="O619">
            <v>45425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45439</v>
          </cell>
          <cell r="U619">
            <v>45441</v>
          </cell>
          <cell r="V619">
            <v>0</v>
          </cell>
          <cell r="W619">
            <v>0</v>
          </cell>
          <cell r="X619">
            <v>45443</v>
          </cell>
          <cell r="Y619">
            <v>45443</v>
          </cell>
          <cell r="Z619">
            <v>0</v>
          </cell>
          <cell r="AA619">
            <v>11379</v>
          </cell>
          <cell r="AB619">
            <v>11379</v>
          </cell>
          <cell r="AC619">
            <v>0</v>
          </cell>
          <cell r="AD619">
            <v>11100</v>
          </cell>
          <cell r="AE619">
            <v>11100</v>
          </cell>
          <cell r="AF619">
            <v>0</v>
          </cell>
          <cell r="AG619" t="str">
            <v>M</v>
          </cell>
          <cell r="AH619" t="str">
            <v>ENGR. MICHAEL C. SALARDA
MS. LEONARDA M. LATOR
MS. CARMENCITA VALDEZ
MS. SORAYA P. VERGARA</v>
          </cell>
          <cell r="AI619" t="str">
            <v>N/A</v>
          </cell>
          <cell r="AJ619" t="str">
            <v>N/A</v>
          </cell>
          <cell r="AK619" t="str">
            <v>N/A</v>
          </cell>
          <cell r="AL619" t="str">
            <v>N/A</v>
          </cell>
          <cell r="AM619" t="str">
            <v>N/A</v>
          </cell>
          <cell r="AN619" t="str">
            <v>N/A</v>
          </cell>
          <cell r="AO619" t="str">
            <v>COMPLETED</v>
          </cell>
        </row>
        <row r="620">
          <cell r="A620" t="str">
            <v>24-2328</v>
          </cell>
          <cell r="B620" t="str">
            <v>SPAREPARTS (MOTORCYCLE)</v>
          </cell>
          <cell r="C620" t="str">
            <v>PGSO</v>
          </cell>
          <cell r="D620" t="str">
            <v>No</v>
          </cell>
          <cell r="E620" t="str">
            <v>NP-53.9 - Small Value Procurement</v>
          </cell>
          <cell r="F620">
            <v>45407</v>
          </cell>
          <cell r="G620">
            <v>45412</v>
          </cell>
          <cell r="H620">
            <v>0</v>
          </cell>
          <cell r="I620" t="str">
            <v>N/A</v>
          </cell>
          <cell r="J620">
            <v>45421</v>
          </cell>
          <cell r="K620">
            <v>45421</v>
          </cell>
          <cell r="L620">
            <v>0</v>
          </cell>
          <cell r="M620" t="str">
            <v>N/A</v>
          </cell>
          <cell r="N620" t="str">
            <v>N/A</v>
          </cell>
          <cell r="O620">
            <v>45425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45434</v>
          </cell>
          <cell r="U620">
            <v>45454</v>
          </cell>
          <cell r="V620">
            <v>0</v>
          </cell>
          <cell r="W620">
            <v>0</v>
          </cell>
          <cell r="X620">
            <v>45462</v>
          </cell>
          <cell r="Y620">
            <v>45462</v>
          </cell>
          <cell r="Z620">
            <v>0</v>
          </cell>
          <cell r="AA620">
            <v>9200</v>
          </cell>
          <cell r="AB620">
            <v>9200</v>
          </cell>
          <cell r="AC620">
            <v>0</v>
          </cell>
          <cell r="AD620">
            <v>9200</v>
          </cell>
          <cell r="AE620">
            <v>9200</v>
          </cell>
          <cell r="AF620">
            <v>0</v>
          </cell>
          <cell r="AG620" t="str">
            <v>M</v>
          </cell>
          <cell r="AH620" t="str">
            <v>ENGR. MICHAEL C. SALARDA
MS. LEONARDA M. LATOR
MS. CARMENCITA VALDEZ
MS. SORAYA P. VERGARA</v>
          </cell>
          <cell r="AI620" t="str">
            <v>N/A</v>
          </cell>
          <cell r="AJ620" t="str">
            <v>N/A</v>
          </cell>
          <cell r="AK620" t="str">
            <v>N/A</v>
          </cell>
          <cell r="AL620" t="str">
            <v>N/A</v>
          </cell>
          <cell r="AM620" t="str">
            <v>N/A</v>
          </cell>
          <cell r="AN620" t="str">
            <v>N/A</v>
          </cell>
          <cell r="AO620" t="str">
            <v>COMPLETED</v>
          </cell>
        </row>
        <row r="621">
          <cell r="A621" t="str">
            <v>24-2124</v>
          </cell>
          <cell r="B621" t="str">
            <v>SPAREPARTS (MOTORCYCLE)</v>
          </cell>
          <cell r="C621" t="str">
            <v>PGSO</v>
          </cell>
          <cell r="D621" t="str">
            <v>No</v>
          </cell>
          <cell r="E621" t="str">
            <v>NP-53.9 - Small Value Procurement</v>
          </cell>
          <cell r="F621">
            <v>45398</v>
          </cell>
          <cell r="G621">
            <v>45404</v>
          </cell>
          <cell r="H621">
            <v>0</v>
          </cell>
          <cell r="I621" t="str">
            <v>N/A</v>
          </cell>
          <cell r="J621">
            <v>45421</v>
          </cell>
          <cell r="K621">
            <v>45421</v>
          </cell>
          <cell r="L621">
            <v>0</v>
          </cell>
          <cell r="M621" t="str">
            <v>N/A</v>
          </cell>
          <cell r="N621" t="str">
            <v>N/A</v>
          </cell>
          <cell r="O621">
            <v>45425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45434</v>
          </cell>
          <cell r="U621">
            <v>45449</v>
          </cell>
          <cell r="V621">
            <v>0</v>
          </cell>
          <cell r="W621">
            <v>0</v>
          </cell>
          <cell r="X621">
            <v>45461</v>
          </cell>
          <cell r="Y621">
            <v>45461</v>
          </cell>
          <cell r="Z621">
            <v>0</v>
          </cell>
          <cell r="AA621">
            <v>1560</v>
          </cell>
          <cell r="AB621">
            <v>1560</v>
          </cell>
          <cell r="AC621">
            <v>0</v>
          </cell>
          <cell r="AD621">
            <v>1540</v>
          </cell>
          <cell r="AE621">
            <v>1540</v>
          </cell>
          <cell r="AF621">
            <v>0</v>
          </cell>
          <cell r="AG621" t="str">
            <v>M</v>
          </cell>
          <cell r="AH621" t="str">
            <v>ENGR. MICHAEL C. SALARDA
MS. LEONARDA M. LATOR
MS. CARMENCITA VALDEZ
MS. SORAYA P. VERGARA</v>
          </cell>
          <cell r="AI621" t="str">
            <v>N/A</v>
          </cell>
          <cell r="AJ621" t="str">
            <v>N/A</v>
          </cell>
          <cell r="AK621" t="str">
            <v>N/A</v>
          </cell>
          <cell r="AL621" t="str">
            <v>N/A</v>
          </cell>
          <cell r="AM621" t="str">
            <v>N/A</v>
          </cell>
          <cell r="AN621" t="str">
            <v>N/A</v>
          </cell>
          <cell r="AO621" t="str">
            <v>COMPLETED</v>
          </cell>
        </row>
        <row r="622">
          <cell r="A622" t="str">
            <v>24-2150</v>
          </cell>
          <cell r="B622" t="str">
            <v>DOGFOOD</v>
          </cell>
          <cell r="C622" t="str">
            <v>PGO</v>
          </cell>
          <cell r="D622" t="str">
            <v>No</v>
          </cell>
          <cell r="E622" t="str">
            <v>NP-53.9 - Small Value Procurement</v>
          </cell>
          <cell r="F622">
            <v>45384</v>
          </cell>
          <cell r="G622">
            <v>45390</v>
          </cell>
          <cell r="H622">
            <v>0</v>
          </cell>
          <cell r="I622" t="str">
            <v>N/A</v>
          </cell>
          <cell r="J622">
            <v>45421</v>
          </cell>
          <cell r="K622">
            <v>45421</v>
          </cell>
          <cell r="L622">
            <v>0</v>
          </cell>
          <cell r="M622" t="str">
            <v>N/A</v>
          </cell>
          <cell r="N622" t="str">
            <v>N/A</v>
          </cell>
          <cell r="O622">
            <v>45425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45434</v>
          </cell>
          <cell r="U622">
            <v>45446</v>
          </cell>
          <cell r="V622">
            <v>0</v>
          </cell>
          <cell r="W622">
            <v>0</v>
          </cell>
          <cell r="X622">
            <v>45457</v>
          </cell>
          <cell r="Y622">
            <v>45457</v>
          </cell>
          <cell r="Z622">
            <v>0</v>
          </cell>
          <cell r="AA622">
            <v>48840</v>
          </cell>
          <cell r="AB622">
            <v>0</v>
          </cell>
          <cell r="AC622">
            <v>48840</v>
          </cell>
          <cell r="AD622">
            <v>44400</v>
          </cell>
          <cell r="AE622">
            <v>0</v>
          </cell>
          <cell r="AF622">
            <v>44400</v>
          </cell>
          <cell r="AG622" t="str">
            <v>C</v>
          </cell>
          <cell r="AH622" t="str">
            <v>ENGR. MICHAEL C. SALARDA
MS. LEONARDA M. LATOR
MS. CARMENCITA VALDEZ
MS. SORAYA P. VERGARA</v>
          </cell>
          <cell r="AI622" t="str">
            <v>N/A</v>
          </cell>
          <cell r="AJ622" t="str">
            <v>N/A</v>
          </cell>
          <cell r="AK622" t="str">
            <v>N/A</v>
          </cell>
          <cell r="AL622" t="str">
            <v>N/A</v>
          </cell>
          <cell r="AM622" t="str">
            <v>N/A</v>
          </cell>
          <cell r="AN622" t="str">
            <v>N/A</v>
          </cell>
          <cell r="AO622" t="str">
            <v>COMPLETED</v>
          </cell>
        </row>
        <row r="623">
          <cell r="A623" t="str">
            <v>24-2361</v>
          </cell>
          <cell r="B623" t="str">
            <v>SPAREPARTS (MOTORCYCLE)</v>
          </cell>
          <cell r="C623" t="str">
            <v>PGSO</v>
          </cell>
          <cell r="D623" t="str">
            <v>No</v>
          </cell>
          <cell r="E623" t="str">
            <v>NP-53.9 - Small Value Procurement</v>
          </cell>
          <cell r="F623">
            <v>45407</v>
          </cell>
          <cell r="G623">
            <v>45412</v>
          </cell>
          <cell r="H623">
            <v>0</v>
          </cell>
          <cell r="I623" t="str">
            <v>N/A</v>
          </cell>
          <cell r="J623">
            <v>45421</v>
          </cell>
          <cell r="K623">
            <v>45421</v>
          </cell>
          <cell r="L623">
            <v>0</v>
          </cell>
          <cell r="M623" t="str">
            <v>N/A</v>
          </cell>
          <cell r="N623" t="str">
            <v>N/A</v>
          </cell>
          <cell r="O623">
            <v>45425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900</v>
          </cell>
          <cell r="AB623">
            <v>900</v>
          </cell>
          <cell r="AC623">
            <v>0</v>
          </cell>
          <cell r="AD623">
            <v>900</v>
          </cell>
          <cell r="AE623">
            <v>900</v>
          </cell>
          <cell r="AF623">
            <v>0</v>
          </cell>
          <cell r="AG623" t="str">
            <v>M</v>
          </cell>
          <cell r="AH623" t="str">
            <v>ENGR. MICHAEL C. SALARDA
MS. LEONARDA M. LATOR
MS. CARMENCITA VALDEZ
MS. SORAYA P. VERGARA</v>
          </cell>
          <cell r="AI623" t="str">
            <v>N/A</v>
          </cell>
          <cell r="AJ623" t="str">
            <v>N/A</v>
          </cell>
          <cell r="AK623" t="str">
            <v>N/A</v>
          </cell>
          <cell r="AL623" t="str">
            <v>N/A</v>
          </cell>
          <cell r="AM623" t="str">
            <v>N/A</v>
          </cell>
          <cell r="AN623" t="str">
            <v>N/A</v>
          </cell>
          <cell r="AO623">
            <v>0</v>
          </cell>
        </row>
        <row r="624">
          <cell r="A624" t="str">
            <v>24-C1322</v>
          </cell>
          <cell r="B624" t="str">
            <v>DRUGS AND MEDICINES</v>
          </cell>
          <cell r="C624" t="str">
            <v>PEEMO</v>
          </cell>
          <cell r="D624" t="str">
            <v>No</v>
          </cell>
          <cell r="E624" t="str">
            <v>NP-53.9 - Small Value Procurement</v>
          </cell>
          <cell r="F624">
            <v>45398</v>
          </cell>
          <cell r="G624">
            <v>45404</v>
          </cell>
          <cell r="H624">
            <v>0</v>
          </cell>
          <cell r="I624" t="str">
            <v>N/A</v>
          </cell>
          <cell r="J624">
            <v>45421</v>
          </cell>
          <cell r="K624">
            <v>45421</v>
          </cell>
          <cell r="L624">
            <v>0</v>
          </cell>
          <cell r="M624" t="str">
            <v>N/A</v>
          </cell>
          <cell r="N624" t="str">
            <v>N/A</v>
          </cell>
          <cell r="O624">
            <v>45425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45436</v>
          </cell>
          <cell r="U624">
            <v>45441</v>
          </cell>
          <cell r="V624">
            <v>0</v>
          </cell>
          <cell r="W624">
            <v>0</v>
          </cell>
          <cell r="X624">
            <v>45448</v>
          </cell>
          <cell r="Y624">
            <v>45448</v>
          </cell>
          <cell r="Z624">
            <v>0</v>
          </cell>
          <cell r="AA624">
            <v>72000</v>
          </cell>
          <cell r="AB624">
            <v>72000</v>
          </cell>
          <cell r="AC624">
            <v>0</v>
          </cell>
          <cell r="AD624">
            <v>59937</v>
          </cell>
          <cell r="AE624">
            <v>59937</v>
          </cell>
          <cell r="AF624">
            <v>0</v>
          </cell>
          <cell r="AG624" t="str">
            <v>M</v>
          </cell>
          <cell r="AH624" t="str">
            <v>ENGR. MICHAEL C. SALARDA
MS. LEONARDA M. LATOR
MS. CARMENCITA VALDEZ
MS. SORAYA P. VERGARA</v>
          </cell>
          <cell r="AI624" t="str">
            <v>N/A</v>
          </cell>
          <cell r="AJ624" t="str">
            <v>N/A</v>
          </cell>
          <cell r="AK624" t="str">
            <v>N/A</v>
          </cell>
          <cell r="AL624" t="str">
            <v>N/A</v>
          </cell>
          <cell r="AM624" t="str">
            <v>N/A</v>
          </cell>
          <cell r="AN624" t="str">
            <v>N/A</v>
          </cell>
          <cell r="AO624" t="str">
            <v>COMPLETED</v>
          </cell>
        </row>
        <row r="625">
          <cell r="A625" t="str">
            <v>24-2307</v>
          </cell>
          <cell r="B625" t="str">
            <v>SPAREPARTS (MOTORCYCLE)</v>
          </cell>
          <cell r="C625" t="str">
            <v>PGSO</v>
          </cell>
          <cell r="D625" t="str">
            <v>No</v>
          </cell>
          <cell r="E625" t="str">
            <v>NP-53.9 - Small Value Procurement</v>
          </cell>
          <cell r="F625">
            <v>45407</v>
          </cell>
          <cell r="G625">
            <v>45412</v>
          </cell>
          <cell r="H625">
            <v>0</v>
          </cell>
          <cell r="I625" t="str">
            <v>N/A</v>
          </cell>
          <cell r="J625">
            <v>45421</v>
          </cell>
          <cell r="K625">
            <v>45421</v>
          </cell>
          <cell r="L625">
            <v>0</v>
          </cell>
          <cell r="M625" t="str">
            <v>N/A</v>
          </cell>
          <cell r="N625" t="str">
            <v>N/A</v>
          </cell>
          <cell r="O625">
            <v>45425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45434</v>
          </cell>
          <cell r="U625">
            <v>45454</v>
          </cell>
          <cell r="V625">
            <v>0</v>
          </cell>
          <cell r="W625">
            <v>0</v>
          </cell>
          <cell r="X625">
            <v>45462</v>
          </cell>
          <cell r="Y625">
            <v>45462</v>
          </cell>
          <cell r="Z625">
            <v>0</v>
          </cell>
          <cell r="AA625">
            <v>8800</v>
          </cell>
          <cell r="AB625">
            <v>8800</v>
          </cell>
          <cell r="AC625">
            <v>0</v>
          </cell>
          <cell r="AD625">
            <v>8800</v>
          </cell>
          <cell r="AE625">
            <v>8800</v>
          </cell>
          <cell r="AF625">
            <v>0</v>
          </cell>
          <cell r="AG625" t="str">
            <v>M</v>
          </cell>
          <cell r="AH625" t="str">
            <v>ENGR. MICHAEL C. SALARDA
MS. LEONARDA M. LATOR
MS. CARMENCITA VALDEZ
MS. SORAYA P. VERGARA</v>
          </cell>
          <cell r="AI625" t="str">
            <v>N/A</v>
          </cell>
          <cell r="AJ625" t="str">
            <v>N/A</v>
          </cell>
          <cell r="AK625" t="str">
            <v>N/A</v>
          </cell>
          <cell r="AL625" t="str">
            <v>N/A</v>
          </cell>
          <cell r="AM625" t="str">
            <v>N/A</v>
          </cell>
          <cell r="AN625" t="str">
            <v>N/A</v>
          </cell>
          <cell r="AO625" t="str">
            <v>COMPLETED</v>
          </cell>
        </row>
        <row r="626">
          <cell r="A626" t="str">
            <v>24-2366</v>
          </cell>
          <cell r="B626" t="str">
            <v>SPAREPARTS (MOTORCYCLE)</v>
          </cell>
          <cell r="C626" t="str">
            <v>PGSO</v>
          </cell>
          <cell r="D626" t="str">
            <v>No</v>
          </cell>
          <cell r="E626" t="str">
            <v>NP-53.9 - Small Value Procurement</v>
          </cell>
          <cell r="F626">
            <v>45407</v>
          </cell>
          <cell r="G626">
            <v>45412</v>
          </cell>
          <cell r="H626">
            <v>0</v>
          </cell>
          <cell r="I626" t="str">
            <v>N/A</v>
          </cell>
          <cell r="J626">
            <v>45421</v>
          </cell>
          <cell r="K626">
            <v>45421</v>
          </cell>
          <cell r="L626">
            <v>0</v>
          </cell>
          <cell r="M626" t="str">
            <v>N/A</v>
          </cell>
          <cell r="N626" t="str">
            <v>N/A</v>
          </cell>
          <cell r="O626">
            <v>45425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45435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23000</v>
          </cell>
          <cell r="AB626">
            <v>23000</v>
          </cell>
          <cell r="AC626">
            <v>0</v>
          </cell>
          <cell r="AD626">
            <v>23000</v>
          </cell>
          <cell r="AE626">
            <v>23000</v>
          </cell>
          <cell r="AF626">
            <v>0</v>
          </cell>
          <cell r="AG626" t="str">
            <v>M</v>
          </cell>
          <cell r="AH626" t="str">
            <v>ENGR. MICHAEL C. SALARDA
MS. LEONARDA M. LATOR
MS. CARMENCITA VALDEZ
MS. SORAYA P. VERGARA</v>
          </cell>
          <cell r="AI626" t="str">
            <v>N/A</v>
          </cell>
          <cell r="AJ626" t="str">
            <v>N/A</v>
          </cell>
          <cell r="AK626" t="str">
            <v>N/A</v>
          </cell>
          <cell r="AL626" t="str">
            <v>N/A</v>
          </cell>
          <cell r="AM626" t="str">
            <v>N/A</v>
          </cell>
          <cell r="AN626" t="str">
            <v>N/A</v>
          </cell>
          <cell r="AO626">
            <v>0</v>
          </cell>
        </row>
        <row r="627">
          <cell r="A627" t="str">
            <v>24-C1264</v>
          </cell>
          <cell r="B627" t="str">
            <v>TARPAULIN</v>
          </cell>
          <cell r="C627" t="str">
            <v>PDRRMO</v>
          </cell>
          <cell r="D627" t="str">
            <v>No</v>
          </cell>
          <cell r="E627" t="str">
            <v>NP-53.9 - Small Value Procurement</v>
          </cell>
          <cell r="F627" t="str">
            <v>N/A</v>
          </cell>
          <cell r="G627">
            <v>45404</v>
          </cell>
          <cell r="H627">
            <v>0</v>
          </cell>
          <cell r="I627" t="str">
            <v>N/A</v>
          </cell>
          <cell r="J627">
            <v>45421</v>
          </cell>
          <cell r="K627">
            <v>45421</v>
          </cell>
          <cell r="L627">
            <v>0</v>
          </cell>
          <cell r="M627" t="str">
            <v>N/A</v>
          </cell>
          <cell r="N627" t="str">
            <v>N/A</v>
          </cell>
          <cell r="O627">
            <v>45425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45434</v>
          </cell>
          <cell r="U627">
            <v>45446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9184</v>
          </cell>
          <cell r="AB627">
            <v>0</v>
          </cell>
          <cell r="AC627">
            <v>9184</v>
          </cell>
          <cell r="AD627">
            <v>9184</v>
          </cell>
          <cell r="AE627">
            <v>0</v>
          </cell>
          <cell r="AF627">
            <v>9184</v>
          </cell>
          <cell r="AG627" t="str">
            <v>C</v>
          </cell>
          <cell r="AH627" t="str">
            <v>ENGR. MICHAEL C. SALARDA
MS. LEONARDA M. LATOR
MS. CARMENCITA VALDEZ
MS. SORAYA P. VERGARA</v>
          </cell>
          <cell r="AI627" t="str">
            <v>N/A</v>
          </cell>
          <cell r="AJ627" t="str">
            <v>N/A</v>
          </cell>
          <cell r="AK627" t="str">
            <v>N/A</v>
          </cell>
          <cell r="AL627" t="str">
            <v>N/A</v>
          </cell>
          <cell r="AM627" t="str">
            <v>N/A</v>
          </cell>
          <cell r="AN627" t="str">
            <v>N/A</v>
          </cell>
          <cell r="AO627">
            <v>0</v>
          </cell>
        </row>
        <row r="628">
          <cell r="A628" t="str">
            <v>24-2180</v>
          </cell>
          <cell r="B628" t="str">
            <v>MEDALS</v>
          </cell>
          <cell r="C628" t="str">
            <v>PGO</v>
          </cell>
          <cell r="D628" t="str">
            <v>No</v>
          </cell>
          <cell r="E628" t="str">
            <v>NP-53.9 - Small Value Procurement</v>
          </cell>
          <cell r="F628">
            <v>45385</v>
          </cell>
          <cell r="G628">
            <v>45386</v>
          </cell>
          <cell r="H628">
            <v>0</v>
          </cell>
          <cell r="I628" t="str">
            <v>N/A</v>
          </cell>
          <cell r="J628">
            <v>45421</v>
          </cell>
          <cell r="K628">
            <v>45421</v>
          </cell>
          <cell r="L628">
            <v>0</v>
          </cell>
          <cell r="M628" t="str">
            <v>N/A</v>
          </cell>
          <cell r="N628" t="str">
            <v>N/A</v>
          </cell>
          <cell r="O628">
            <v>45425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45434</v>
          </cell>
          <cell r="U628">
            <v>45441</v>
          </cell>
          <cell r="V628">
            <v>0</v>
          </cell>
          <cell r="W628">
            <v>0</v>
          </cell>
          <cell r="X628">
            <v>45456</v>
          </cell>
          <cell r="Y628">
            <v>45456</v>
          </cell>
          <cell r="Z628">
            <v>0</v>
          </cell>
          <cell r="AA628">
            <v>22100</v>
          </cell>
          <cell r="AB628">
            <v>0</v>
          </cell>
          <cell r="AC628">
            <v>22100</v>
          </cell>
          <cell r="AD628">
            <v>22100</v>
          </cell>
          <cell r="AE628">
            <v>0</v>
          </cell>
          <cell r="AF628">
            <v>22100</v>
          </cell>
          <cell r="AG628" t="str">
            <v>C</v>
          </cell>
          <cell r="AH628" t="str">
            <v>ENGR. MICHAEL C. SALARDA
MS. LEONARDA M. LATOR
MS. CARMENCITA VALDEZ
MS. SORAYA P. VERGARA</v>
          </cell>
          <cell r="AI628" t="str">
            <v>N/A</v>
          </cell>
          <cell r="AJ628" t="str">
            <v>N/A</v>
          </cell>
          <cell r="AK628" t="str">
            <v>N/A</v>
          </cell>
          <cell r="AL628" t="str">
            <v>N/A</v>
          </cell>
          <cell r="AM628" t="str">
            <v>N/A</v>
          </cell>
          <cell r="AN628" t="str">
            <v>N/A</v>
          </cell>
          <cell r="AO628" t="str">
            <v>COMPLETED</v>
          </cell>
        </row>
        <row r="629">
          <cell r="A629" t="str">
            <v>24-C1255</v>
          </cell>
          <cell r="B629" t="str">
            <v>MINERAL WATER</v>
          </cell>
          <cell r="C629" t="str">
            <v>PGO</v>
          </cell>
          <cell r="D629" t="str">
            <v>No</v>
          </cell>
          <cell r="E629" t="str">
            <v>NP-53.9 - Small Value Procurement</v>
          </cell>
          <cell r="F629" t="str">
            <v>N/A</v>
          </cell>
          <cell r="G629">
            <v>45404</v>
          </cell>
          <cell r="H629">
            <v>0</v>
          </cell>
          <cell r="I629" t="str">
            <v>N/A</v>
          </cell>
          <cell r="J629">
            <v>45421</v>
          </cell>
          <cell r="K629">
            <v>45421</v>
          </cell>
          <cell r="L629">
            <v>0</v>
          </cell>
          <cell r="M629" t="str">
            <v>N/A</v>
          </cell>
          <cell r="N629" t="str">
            <v>N/A</v>
          </cell>
          <cell r="O629">
            <v>45425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45434</v>
          </cell>
          <cell r="U629">
            <v>45447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67650</v>
          </cell>
          <cell r="AB629">
            <v>67650</v>
          </cell>
          <cell r="AC629">
            <v>0</v>
          </cell>
          <cell r="AD629">
            <v>66000</v>
          </cell>
          <cell r="AE629">
            <v>66000</v>
          </cell>
          <cell r="AF629">
            <v>0</v>
          </cell>
          <cell r="AG629" t="str">
            <v>M</v>
          </cell>
          <cell r="AH629" t="str">
            <v>ENGR. MICHAEL C. SALARDA
MS. LEONARDA M. LATOR
MS. CARMENCITA VALDEZ
MS. SORAYA P. VERGARA</v>
          </cell>
          <cell r="AI629" t="str">
            <v>N/A</v>
          </cell>
          <cell r="AJ629" t="str">
            <v>N/A</v>
          </cell>
          <cell r="AK629" t="str">
            <v>N/A</v>
          </cell>
          <cell r="AL629" t="str">
            <v>N/A</v>
          </cell>
          <cell r="AM629" t="str">
            <v>N/A</v>
          </cell>
          <cell r="AN629" t="str">
            <v>N/A</v>
          </cell>
          <cell r="AO629">
            <v>0</v>
          </cell>
        </row>
        <row r="630">
          <cell r="A630" t="str">
            <v>24-2367</v>
          </cell>
          <cell r="B630" t="str">
            <v>SPAREPARTS (MOTORCYCLE)</v>
          </cell>
          <cell r="C630" t="str">
            <v>PGSO</v>
          </cell>
          <cell r="D630" t="str">
            <v>No</v>
          </cell>
          <cell r="E630" t="str">
            <v>NP-53.9 - Small Value Procurement</v>
          </cell>
          <cell r="F630">
            <v>45407</v>
          </cell>
          <cell r="G630">
            <v>45412</v>
          </cell>
          <cell r="H630">
            <v>0</v>
          </cell>
          <cell r="I630" t="str">
            <v>N/A</v>
          </cell>
          <cell r="J630">
            <v>45421</v>
          </cell>
          <cell r="K630">
            <v>45421</v>
          </cell>
          <cell r="L630">
            <v>0</v>
          </cell>
          <cell r="M630" t="str">
            <v>N/A</v>
          </cell>
          <cell r="N630" t="str">
            <v>N/A</v>
          </cell>
          <cell r="O630">
            <v>45425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45435</v>
          </cell>
          <cell r="U630">
            <v>45454</v>
          </cell>
          <cell r="V630">
            <v>0</v>
          </cell>
          <cell r="W630">
            <v>0</v>
          </cell>
          <cell r="X630">
            <v>45462</v>
          </cell>
          <cell r="Y630">
            <v>45462</v>
          </cell>
          <cell r="Z630">
            <v>0</v>
          </cell>
          <cell r="AA630">
            <v>2600</v>
          </cell>
          <cell r="AB630">
            <v>2600</v>
          </cell>
          <cell r="AC630">
            <v>0</v>
          </cell>
          <cell r="AD630">
            <v>2600</v>
          </cell>
          <cell r="AE630">
            <v>2600</v>
          </cell>
          <cell r="AF630">
            <v>0</v>
          </cell>
          <cell r="AG630" t="str">
            <v>M</v>
          </cell>
          <cell r="AH630" t="str">
            <v>ENGR. MICHAEL C. SALARDA
MS. LEONARDA M. LATOR
MS. CARMENCITA VALDEZ
MS. SORAYA P. VERGARA</v>
          </cell>
          <cell r="AI630" t="str">
            <v>N/A</v>
          </cell>
          <cell r="AJ630" t="str">
            <v>N/A</v>
          </cell>
          <cell r="AK630" t="str">
            <v>N/A</v>
          </cell>
          <cell r="AL630" t="str">
            <v>N/A</v>
          </cell>
          <cell r="AM630" t="str">
            <v>N/A</v>
          </cell>
          <cell r="AN630" t="str">
            <v>N/A</v>
          </cell>
          <cell r="AO630" t="str">
            <v>COMPLETED</v>
          </cell>
        </row>
        <row r="631">
          <cell r="A631" t="str">
            <v>24-C1190</v>
          </cell>
          <cell r="B631" t="str">
            <v>TARPAULIN</v>
          </cell>
          <cell r="C631" t="str">
            <v>PDRRMO</v>
          </cell>
          <cell r="D631" t="str">
            <v>No</v>
          </cell>
          <cell r="E631" t="str">
            <v>NP-53.9 - Small Value Procurement</v>
          </cell>
          <cell r="F631" t="str">
            <v>N/A</v>
          </cell>
          <cell r="G631">
            <v>45404</v>
          </cell>
          <cell r="H631">
            <v>0</v>
          </cell>
          <cell r="I631" t="str">
            <v>N/A</v>
          </cell>
          <cell r="J631">
            <v>45421</v>
          </cell>
          <cell r="K631">
            <v>45421</v>
          </cell>
          <cell r="L631">
            <v>0</v>
          </cell>
          <cell r="M631" t="str">
            <v>N/A</v>
          </cell>
          <cell r="N631" t="str">
            <v>N/A</v>
          </cell>
          <cell r="O631">
            <v>45425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45435</v>
          </cell>
          <cell r="U631">
            <v>45446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14980</v>
          </cell>
          <cell r="AB631">
            <v>0</v>
          </cell>
          <cell r="AC631">
            <v>14980</v>
          </cell>
          <cell r="AD631">
            <v>14980</v>
          </cell>
          <cell r="AE631">
            <v>0</v>
          </cell>
          <cell r="AF631">
            <v>14980</v>
          </cell>
          <cell r="AG631" t="str">
            <v>C</v>
          </cell>
          <cell r="AH631" t="str">
            <v>ENGR. MICHAEL C. SALARDA
MS. LEONARDA M. LATOR
MS. CARMENCITA VALDEZ
MS. SORAYA P. VERGARA</v>
          </cell>
          <cell r="AI631" t="str">
            <v>N/A</v>
          </cell>
          <cell r="AJ631" t="str">
            <v>N/A</v>
          </cell>
          <cell r="AK631" t="str">
            <v>N/A</v>
          </cell>
          <cell r="AL631" t="str">
            <v>N/A</v>
          </cell>
          <cell r="AM631" t="str">
            <v>N/A</v>
          </cell>
          <cell r="AN631" t="str">
            <v>N/A</v>
          </cell>
          <cell r="AO631">
            <v>0</v>
          </cell>
        </row>
        <row r="632">
          <cell r="A632" t="str">
            <v>24-C1072</v>
          </cell>
          <cell r="B632" t="str">
            <v>OTHER SUPPLIES/MATERIALS (PRINTERS, COMPUTER SETS WITH COMPLETE ACCESSORIES</v>
          </cell>
          <cell r="C632" t="str">
            <v>PAO</v>
          </cell>
          <cell r="D632" t="str">
            <v>No</v>
          </cell>
          <cell r="E632" t="str">
            <v>NP-53.9 - Small Value Procurement</v>
          </cell>
          <cell r="F632" t="str">
            <v>N/A</v>
          </cell>
          <cell r="G632">
            <v>45404</v>
          </cell>
          <cell r="H632">
            <v>0</v>
          </cell>
          <cell r="I632" t="str">
            <v>N/A</v>
          </cell>
          <cell r="J632">
            <v>45421</v>
          </cell>
          <cell r="K632">
            <v>45421</v>
          </cell>
          <cell r="L632">
            <v>0</v>
          </cell>
          <cell r="M632" t="str">
            <v>N/A</v>
          </cell>
          <cell r="N632" t="str">
            <v>N/A</v>
          </cell>
          <cell r="O632">
            <v>45425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45435</v>
          </cell>
          <cell r="U632">
            <v>45441</v>
          </cell>
          <cell r="V632">
            <v>0</v>
          </cell>
          <cell r="W632">
            <v>0</v>
          </cell>
          <cell r="X632">
            <v>45453</v>
          </cell>
          <cell r="Y632">
            <v>45453</v>
          </cell>
          <cell r="Z632">
            <v>0</v>
          </cell>
          <cell r="AA632">
            <v>217138</v>
          </cell>
          <cell r="AB632">
            <v>217138</v>
          </cell>
          <cell r="AC632">
            <v>0</v>
          </cell>
          <cell r="AD632">
            <v>214232</v>
          </cell>
          <cell r="AE632">
            <v>214232</v>
          </cell>
          <cell r="AF632">
            <v>0</v>
          </cell>
          <cell r="AG632" t="str">
            <v>M</v>
          </cell>
          <cell r="AH632" t="str">
            <v>ENGR. MICHAEL C. SALARDA
MS. LEONARDA M. LATOR
MS. CARMENCITA VALDEZ
MS. SORAYA P. VERGARA</v>
          </cell>
          <cell r="AI632" t="str">
            <v>N/A</v>
          </cell>
          <cell r="AJ632" t="str">
            <v>N/A</v>
          </cell>
          <cell r="AK632" t="str">
            <v>N/A</v>
          </cell>
          <cell r="AL632" t="str">
            <v>N/A</v>
          </cell>
          <cell r="AM632" t="str">
            <v>N/A</v>
          </cell>
          <cell r="AN632" t="str">
            <v>N/A</v>
          </cell>
          <cell r="AO632" t="str">
            <v>COMPLETED</v>
          </cell>
        </row>
        <row r="633">
          <cell r="A633" t="str">
            <v>24-2317</v>
          </cell>
          <cell r="B633" t="str">
            <v>JOB ORDER (LABOR &amp; MATERIALS) ELECTRIC SUBMERSIBLE PUMP</v>
          </cell>
          <cell r="C633" t="str">
            <v>PGSO</v>
          </cell>
          <cell r="D633" t="str">
            <v>No</v>
          </cell>
          <cell r="E633" t="str">
            <v>NP-53.9 - Small Value Procurement</v>
          </cell>
          <cell r="F633">
            <v>45385</v>
          </cell>
          <cell r="G633">
            <v>45412</v>
          </cell>
          <cell r="H633">
            <v>0</v>
          </cell>
          <cell r="I633" t="str">
            <v>N/A</v>
          </cell>
          <cell r="J633">
            <v>45421</v>
          </cell>
          <cell r="K633">
            <v>45421</v>
          </cell>
          <cell r="L633">
            <v>0</v>
          </cell>
          <cell r="M633" t="str">
            <v>N/A</v>
          </cell>
          <cell r="N633" t="str">
            <v>N/A</v>
          </cell>
          <cell r="O633">
            <v>45425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45434</v>
          </cell>
          <cell r="U633">
            <v>45454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220000</v>
          </cell>
          <cell r="AB633">
            <v>220000</v>
          </cell>
          <cell r="AC633">
            <v>0</v>
          </cell>
          <cell r="AD633">
            <v>220000</v>
          </cell>
          <cell r="AE633">
            <v>220000</v>
          </cell>
          <cell r="AF633">
            <v>0</v>
          </cell>
          <cell r="AG633" t="str">
            <v>M</v>
          </cell>
          <cell r="AH633" t="str">
            <v>ENGR. MICHAEL C. SALARDA
MS. LEONARDA M. LATOR
MS. CARMENCITA VALDEZ
MS. SORAYA P. VERGARA</v>
          </cell>
          <cell r="AI633" t="str">
            <v>N/A</v>
          </cell>
          <cell r="AJ633" t="str">
            <v>N/A</v>
          </cell>
          <cell r="AK633" t="str">
            <v>N/A</v>
          </cell>
          <cell r="AL633" t="str">
            <v>N/A</v>
          </cell>
          <cell r="AM633" t="str">
            <v>N/A</v>
          </cell>
          <cell r="AN633" t="str">
            <v>N/A</v>
          </cell>
          <cell r="AO633">
            <v>0</v>
          </cell>
        </row>
        <row r="634">
          <cell r="A634" t="str">
            <v>24-1987</v>
          </cell>
          <cell r="B634" t="str">
            <v>HELMET</v>
          </cell>
          <cell r="C634" t="str">
            <v>PVO</v>
          </cell>
          <cell r="D634" t="str">
            <v>No</v>
          </cell>
          <cell r="E634" t="str">
            <v>NP-53.9 - Small Value Procurement</v>
          </cell>
          <cell r="F634" t="str">
            <v>N/A</v>
          </cell>
          <cell r="G634">
            <v>45404</v>
          </cell>
          <cell r="H634">
            <v>0</v>
          </cell>
          <cell r="I634" t="str">
            <v>N/A</v>
          </cell>
          <cell r="J634">
            <v>45421</v>
          </cell>
          <cell r="K634">
            <v>45421</v>
          </cell>
          <cell r="L634">
            <v>0</v>
          </cell>
          <cell r="M634" t="str">
            <v>N/A</v>
          </cell>
          <cell r="N634" t="str">
            <v>N/A</v>
          </cell>
          <cell r="O634">
            <v>45425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45434</v>
          </cell>
          <cell r="U634">
            <v>45441</v>
          </cell>
          <cell r="V634">
            <v>0</v>
          </cell>
          <cell r="W634">
            <v>0</v>
          </cell>
          <cell r="X634">
            <v>45454</v>
          </cell>
          <cell r="Y634">
            <v>45454</v>
          </cell>
          <cell r="Z634">
            <v>0</v>
          </cell>
          <cell r="AA634">
            <v>11000</v>
          </cell>
          <cell r="AB634">
            <v>11000</v>
          </cell>
          <cell r="AC634">
            <v>0</v>
          </cell>
          <cell r="AD634">
            <v>11000</v>
          </cell>
          <cell r="AE634">
            <v>11000</v>
          </cell>
          <cell r="AF634">
            <v>0</v>
          </cell>
          <cell r="AG634" t="str">
            <v>M</v>
          </cell>
          <cell r="AH634" t="str">
            <v>ENGR. MICHAEL C. SALARDA
MS. LEONARDA M. LATOR
MS. CARMENCITA VALDEZ
MS. SORAYA P. VERGARA</v>
          </cell>
          <cell r="AI634" t="str">
            <v>N/A</v>
          </cell>
          <cell r="AJ634" t="str">
            <v>N/A</v>
          </cell>
          <cell r="AK634" t="str">
            <v>N/A</v>
          </cell>
          <cell r="AL634" t="str">
            <v>N/A</v>
          </cell>
          <cell r="AM634" t="str">
            <v>N/A</v>
          </cell>
          <cell r="AN634" t="str">
            <v>N/A</v>
          </cell>
          <cell r="AO634" t="str">
            <v>COMPLETED</v>
          </cell>
        </row>
        <row r="635">
          <cell r="A635" t="str">
            <v>24-C1302</v>
          </cell>
          <cell r="B635" t="str">
            <v>LAPTOP &amp; COMPUTER SUPPLIES</v>
          </cell>
          <cell r="C635" t="str">
            <v>PVO</v>
          </cell>
          <cell r="D635" t="str">
            <v>No</v>
          </cell>
          <cell r="E635" t="str">
            <v>NP-53.9 - Small Value Procurement</v>
          </cell>
          <cell r="F635" t="str">
            <v>N/A</v>
          </cell>
          <cell r="G635">
            <v>45385</v>
          </cell>
          <cell r="H635">
            <v>0</v>
          </cell>
          <cell r="I635" t="str">
            <v>N/A</v>
          </cell>
          <cell r="J635">
            <v>45421</v>
          </cell>
          <cell r="K635">
            <v>45421</v>
          </cell>
          <cell r="L635">
            <v>0</v>
          </cell>
          <cell r="M635" t="str">
            <v>N/A</v>
          </cell>
          <cell r="N635" t="str">
            <v>N/A</v>
          </cell>
          <cell r="O635">
            <v>45425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45434</v>
          </cell>
          <cell r="U635">
            <v>45446</v>
          </cell>
          <cell r="V635">
            <v>0</v>
          </cell>
          <cell r="W635">
            <v>0</v>
          </cell>
          <cell r="X635">
            <v>45450</v>
          </cell>
          <cell r="Y635">
            <v>45450</v>
          </cell>
          <cell r="Z635">
            <v>0</v>
          </cell>
          <cell r="AA635">
            <v>90242</v>
          </cell>
          <cell r="AB635">
            <v>90242</v>
          </cell>
          <cell r="AC635">
            <v>0</v>
          </cell>
          <cell r="AD635">
            <v>74174</v>
          </cell>
          <cell r="AE635">
            <v>74174</v>
          </cell>
          <cell r="AF635">
            <v>0</v>
          </cell>
          <cell r="AG635" t="str">
            <v>M</v>
          </cell>
          <cell r="AH635" t="str">
            <v>ENGR. MICHAEL C. SALARDA
MS. LEONARDA M. LATOR
MS. CARMENCITA VALDEZ
MS. SORAYA P. VERGARA</v>
          </cell>
          <cell r="AI635" t="str">
            <v>N/A</v>
          </cell>
          <cell r="AJ635" t="str">
            <v>N/A</v>
          </cell>
          <cell r="AK635" t="str">
            <v>N/A</v>
          </cell>
          <cell r="AL635" t="str">
            <v>N/A</v>
          </cell>
          <cell r="AM635" t="str">
            <v>N/A</v>
          </cell>
          <cell r="AN635" t="str">
            <v>N/A</v>
          </cell>
          <cell r="AO635" t="str">
            <v>COMPLETED</v>
          </cell>
        </row>
        <row r="636">
          <cell r="A636" t="str">
            <v>24-0772</v>
          </cell>
          <cell r="B636" t="str">
            <v>SCUBA DIVING BOOTS</v>
          </cell>
          <cell r="C636" t="str">
            <v>PAGRO</v>
          </cell>
          <cell r="D636" t="str">
            <v>No</v>
          </cell>
          <cell r="E636" t="str">
            <v>NP-53.9 - Small Value Procurement</v>
          </cell>
          <cell r="F636" t="str">
            <v>N/A</v>
          </cell>
          <cell r="G636">
            <v>45397</v>
          </cell>
          <cell r="H636">
            <v>0</v>
          </cell>
          <cell r="I636" t="str">
            <v>N/A</v>
          </cell>
          <cell r="J636">
            <v>45421</v>
          </cell>
          <cell r="K636">
            <v>45421</v>
          </cell>
          <cell r="L636">
            <v>0</v>
          </cell>
          <cell r="M636" t="str">
            <v>N/A</v>
          </cell>
          <cell r="N636" t="str">
            <v>N/A</v>
          </cell>
          <cell r="O636">
            <v>45425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45434</v>
          </cell>
          <cell r="U636">
            <v>45446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25000</v>
          </cell>
          <cell r="AB636">
            <v>0</v>
          </cell>
          <cell r="AC636">
            <v>25000</v>
          </cell>
          <cell r="AD636">
            <v>25000</v>
          </cell>
          <cell r="AE636">
            <v>0</v>
          </cell>
          <cell r="AF636">
            <v>25000</v>
          </cell>
          <cell r="AG636" t="str">
            <v>C</v>
          </cell>
          <cell r="AH636" t="str">
            <v>ENGR. MICHAEL C. SALARDA
MS. LEONARDA M. LATOR
MS. CARMENCITA VALDEZ
MS. SORAYA P. VERGARA</v>
          </cell>
          <cell r="AI636" t="str">
            <v>N/A</v>
          </cell>
          <cell r="AJ636" t="str">
            <v>N/A</v>
          </cell>
          <cell r="AK636" t="str">
            <v>N/A</v>
          </cell>
          <cell r="AL636" t="str">
            <v>N/A</v>
          </cell>
          <cell r="AM636" t="str">
            <v>N/A</v>
          </cell>
          <cell r="AN636" t="str">
            <v>N/A</v>
          </cell>
          <cell r="AO636">
            <v>0</v>
          </cell>
        </row>
        <row r="637">
          <cell r="A637" t="str">
            <v>24-2339</v>
          </cell>
          <cell r="B637" t="str">
            <v>PICTURE FRAME</v>
          </cell>
          <cell r="C637" t="str">
            <v>PHO</v>
          </cell>
          <cell r="D637" t="str">
            <v>No</v>
          </cell>
          <cell r="E637" t="str">
            <v>NP-53.9 - Small Value Procurement</v>
          </cell>
          <cell r="F637" t="str">
            <v>N/A</v>
          </cell>
          <cell r="G637">
            <v>45404</v>
          </cell>
          <cell r="H637">
            <v>0</v>
          </cell>
          <cell r="I637" t="str">
            <v>N/A</v>
          </cell>
          <cell r="J637">
            <v>45421</v>
          </cell>
          <cell r="K637">
            <v>45421</v>
          </cell>
          <cell r="L637">
            <v>0</v>
          </cell>
          <cell r="M637" t="str">
            <v>N/A</v>
          </cell>
          <cell r="N637" t="str">
            <v>N/A</v>
          </cell>
          <cell r="O637">
            <v>45425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45434</v>
          </cell>
          <cell r="U637">
            <v>45441</v>
          </cell>
          <cell r="V637">
            <v>0</v>
          </cell>
          <cell r="W637">
            <v>0</v>
          </cell>
          <cell r="X637">
            <v>45450</v>
          </cell>
          <cell r="Y637">
            <v>45450</v>
          </cell>
          <cell r="Z637">
            <v>0</v>
          </cell>
          <cell r="AA637">
            <v>29750</v>
          </cell>
          <cell r="AB637">
            <v>0</v>
          </cell>
          <cell r="AC637">
            <v>29750</v>
          </cell>
          <cell r="AD637">
            <v>29750</v>
          </cell>
          <cell r="AE637">
            <v>0</v>
          </cell>
          <cell r="AF637">
            <v>29750</v>
          </cell>
          <cell r="AG637" t="str">
            <v>C</v>
          </cell>
          <cell r="AH637" t="str">
            <v>ENGR. MICHAEL C. SALARDA
MS. LEONARDA M. LATOR
MS. CARMENCITA VALDEZ
MS. SORAYA P. VERGARA</v>
          </cell>
          <cell r="AI637" t="str">
            <v>N/A</v>
          </cell>
          <cell r="AJ637" t="str">
            <v>N/A</v>
          </cell>
          <cell r="AK637" t="str">
            <v>N/A</v>
          </cell>
          <cell r="AL637" t="str">
            <v>N/A</v>
          </cell>
          <cell r="AM637" t="str">
            <v>N/A</v>
          </cell>
          <cell r="AN637" t="str">
            <v>N/A</v>
          </cell>
          <cell r="AO637" t="str">
            <v>COMPLETED</v>
          </cell>
        </row>
        <row r="638">
          <cell r="A638" t="str">
            <v>24-C1300</v>
          </cell>
          <cell r="B638" t="str">
            <v>AGRICULTURAL SUPPLIES</v>
          </cell>
          <cell r="C638" t="str">
            <v>PAGRO</v>
          </cell>
          <cell r="D638" t="str">
            <v>No</v>
          </cell>
          <cell r="E638" t="str">
            <v>NP-53.9 - Small Value Procurement</v>
          </cell>
          <cell r="F638" t="str">
            <v>N/A</v>
          </cell>
          <cell r="G638">
            <v>45404</v>
          </cell>
          <cell r="H638">
            <v>0</v>
          </cell>
          <cell r="I638" t="str">
            <v>N/A</v>
          </cell>
          <cell r="J638">
            <v>45421</v>
          </cell>
          <cell r="K638">
            <v>45421</v>
          </cell>
          <cell r="L638">
            <v>0</v>
          </cell>
          <cell r="M638" t="str">
            <v>N/A</v>
          </cell>
          <cell r="N638" t="str">
            <v>N/A</v>
          </cell>
          <cell r="O638">
            <v>45425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45434</v>
          </cell>
          <cell r="U638">
            <v>45448</v>
          </cell>
          <cell r="V638">
            <v>0</v>
          </cell>
          <cell r="W638">
            <v>0</v>
          </cell>
          <cell r="X638">
            <v>45469</v>
          </cell>
          <cell r="Y638">
            <v>45469</v>
          </cell>
          <cell r="Z638">
            <v>0</v>
          </cell>
          <cell r="AA638">
            <v>72764</v>
          </cell>
          <cell r="AB638">
            <v>0</v>
          </cell>
          <cell r="AC638">
            <v>72764</v>
          </cell>
          <cell r="AD638">
            <v>71680</v>
          </cell>
          <cell r="AE638">
            <v>0</v>
          </cell>
          <cell r="AF638">
            <v>71680</v>
          </cell>
          <cell r="AG638" t="str">
            <v>C</v>
          </cell>
          <cell r="AH638" t="str">
            <v>ENGR. MICHAEL C. SALARDA
MS. LEONARDA M. LATOR
MS. CARMENCITA VALDEZ
MS. SORAYA P. VERGARA</v>
          </cell>
          <cell r="AI638" t="str">
            <v>N/A</v>
          </cell>
          <cell r="AJ638" t="str">
            <v>N/A</v>
          </cell>
          <cell r="AK638" t="str">
            <v>N/A</v>
          </cell>
          <cell r="AL638" t="str">
            <v>N/A</v>
          </cell>
          <cell r="AM638" t="str">
            <v>N/A</v>
          </cell>
          <cell r="AN638" t="str">
            <v>N/A</v>
          </cell>
          <cell r="AO638" t="str">
            <v>COMPLETED</v>
          </cell>
        </row>
        <row r="639">
          <cell r="A639" t="str">
            <v>24-C1141</v>
          </cell>
          <cell r="B639" t="str">
            <v>JANITORIAL SUPPLIES/HOUSEKEEPING</v>
          </cell>
          <cell r="C639" t="str">
            <v>PENRO</v>
          </cell>
          <cell r="D639" t="str">
            <v>No</v>
          </cell>
          <cell r="E639" t="str">
            <v>NP-53.9 - Small Value Procurement</v>
          </cell>
          <cell r="F639">
            <v>45370</v>
          </cell>
          <cell r="G639">
            <v>45376</v>
          </cell>
          <cell r="H639">
            <v>0</v>
          </cell>
          <cell r="I639" t="str">
            <v>N/A</v>
          </cell>
          <cell r="J639">
            <v>45421</v>
          </cell>
          <cell r="K639">
            <v>45421</v>
          </cell>
          <cell r="L639">
            <v>0</v>
          </cell>
          <cell r="M639" t="str">
            <v>N/A</v>
          </cell>
          <cell r="N639" t="str">
            <v>N/A</v>
          </cell>
          <cell r="O639">
            <v>45425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45434</v>
          </cell>
          <cell r="U639">
            <v>45446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16185</v>
          </cell>
          <cell r="AB639">
            <v>0</v>
          </cell>
          <cell r="AC639">
            <v>16185</v>
          </cell>
          <cell r="AD639">
            <v>16185</v>
          </cell>
          <cell r="AE639">
            <v>0</v>
          </cell>
          <cell r="AF639">
            <v>16185</v>
          </cell>
          <cell r="AG639" t="str">
            <v>C</v>
          </cell>
          <cell r="AH639" t="str">
            <v>ENGR. MICHAEL C. SALARDA
MS. LEONARDA M. LATOR
MS. CARMENCITA VALDEZ
MS. SORAYA P. VERGARA</v>
          </cell>
          <cell r="AI639" t="str">
            <v>N/A</v>
          </cell>
          <cell r="AJ639" t="str">
            <v>N/A</v>
          </cell>
          <cell r="AK639" t="str">
            <v>N/A</v>
          </cell>
          <cell r="AL639" t="str">
            <v>N/A</v>
          </cell>
          <cell r="AM639" t="str">
            <v>N/A</v>
          </cell>
          <cell r="AN639" t="str">
            <v>N/A</v>
          </cell>
          <cell r="AO639">
            <v>0</v>
          </cell>
        </row>
        <row r="640">
          <cell r="A640" t="str">
            <v>24-2274</v>
          </cell>
          <cell r="B640" t="str">
            <v>SPAREPARTS (LIGHT VEHICLES)</v>
          </cell>
          <cell r="C640" t="str">
            <v>PGSO</v>
          </cell>
          <cell r="D640" t="str">
            <v>No</v>
          </cell>
          <cell r="E640" t="str">
            <v>NP-53.9 - Small Value Procurement</v>
          </cell>
          <cell r="F640">
            <v>45390</v>
          </cell>
          <cell r="G640">
            <v>45397</v>
          </cell>
          <cell r="H640">
            <v>0</v>
          </cell>
          <cell r="I640" t="str">
            <v>N/A</v>
          </cell>
          <cell r="J640">
            <v>45421</v>
          </cell>
          <cell r="K640">
            <v>45421</v>
          </cell>
          <cell r="L640">
            <v>0</v>
          </cell>
          <cell r="M640" t="str">
            <v>N/A</v>
          </cell>
          <cell r="N640" t="str">
            <v>N/A</v>
          </cell>
          <cell r="O640">
            <v>45425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45434</v>
          </cell>
          <cell r="U640">
            <v>45454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45500</v>
          </cell>
          <cell r="AB640">
            <v>45500</v>
          </cell>
          <cell r="AC640">
            <v>0</v>
          </cell>
          <cell r="AD640">
            <v>45500</v>
          </cell>
          <cell r="AE640">
            <v>45500</v>
          </cell>
          <cell r="AF640">
            <v>0</v>
          </cell>
          <cell r="AG640" t="str">
            <v>M</v>
          </cell>
          <cell r="AH640" t="str">
            <v>ENGR. MICHAEL C. SALARDA
MS. LEONARDA M. LATOR
MS. CARMENCITA VALDEZ
MS. SORAYA P. VERGARA</v>
          </cell>
          <cell r="AI640" t="str">
            <v>N/A</v>
          </cell>
          <cell r="AJ640" t="str">
            <v>N/A</v>
          </cell>
          <cell r="AK640" t="str">
            <v>N/A</v>
          </cell>
          <cell r="AL640" t="str">
            <v>N/A</v>
          </cell>
          <cell r="AM640" t="str">
            <v>N/A</v>
          </cell>
          <cell r="AN640" t="str">
            <v>N/A</v>
          </cell>
          <cell r="AO640">
            <v>0</v>
          </cell>
        </row>
        <row r="641">
          <cell r="A641" t="str">
            <v>24-C1104</v>
          </cell>
          <cell r="B641" t="str">
            <v>LABORATOTY SUPPLIES</v>
          </cell>
          <cell r="C641" t="str">
            <v>PENRO</v>
          </cell>
          <cell r="D641" t="str">
            <v>No</v>
          </cell>
          <cell r="E641" t="str">
            <v>NP-53.9 - Small Value Procurement</v>
          </cell>
          <cell r="F641" t="str">
            <v>N/A</v>
          </cell>
          <cell r="G641">
            <v>45359</v>
          </cell>
          <cell r="H641">
            <v>0</v>
          </cell>
          <cell r="I641" t="str">
            <v>N/A</v>
          </cell>
          <cell r="J641">
            <v>45421</v>
          </cell>
          <cell r="K641">
            <v>45421</v>
          </cell>
          <cell r="L641">
            <v>0</v>
          </cell>
          <cell r="M641" t="str">
            <v>N/A</v>
          </cell>
          <cell r="N641" t="str">
            <v>N/A</v>
          </cell>
          <cell r="O641">
            <v>45425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45434</v>
          </cell>
          <cell r="U641">
            <v>45446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401221</v>
          </cell>
          <cell r="AB641">
            <v>0</v>
          </cell>
          <cell r="AC641">
            <v>401221</v>
          </cell>
          <cell r="AD641">
            <v>40121</v>
          </cell>
          <cell r="AE641">
            <v>0</v>
          </cell>
          <cell r="AF641">
            <v>40121</v>
          </cell>
          <cell r="AG641" t="str">
            <v>C</v>
          </cell>
          <cell r="AH641" t="str">
            <v>ENGR. MICHAEL C. SALARDA
MS. LEONARDA M. LATOR
MS. CARMENCITA VALDEZ
MS. SORAYA P. VERGARA</v>
          </cell>
          <cell r="AI641" t="str">
            <v>N/A</v>
          </cell>
          <cell r="AJ641" t="str">
            <v>N/A</v>
          </cell>
          <cell r="AK641" t="str">
            <v>N/A</v>
          </cell>
          <cell r="AL641" t="str">
            <v>N/A</v>
          </cell>
          <cell r="AM641" t="str">
            <v>N/A</v>
          </cell>
          <cell r="AN641" t="str">
            <v>N/A</v>
          </cell>
          <cell r="AO641">
            <v>0</v>
          </cell>
        </row>
        <row r="642">
          <cell r="A642" t="str">
            <v>24-C1169</v>
          </cell>
          <cell r="B642" t="str">
            <v>KITCHENWARE &amp; UTENSILS</v>
          </cell>
          <cell r="C642" t="str">
            <v>PAO</v>
          </cell>
          <cell r="D642" t="str">
            <v>No</v>
          </cell>
          <cell r="E642" t="str">
            <v>NP-53.9 - Small Value Procurement</v>
          </cell>
          <cell r="F642" t="str">
            <v>N/A</v>
          </cell>
          <cell r="G642">
            <v>45376</v>
          </cell>
          <cell r="H642">
            <v>0</v>
          </cell>
          <cell r="I642" t="str">
            <v>N/A</v>
          </cell>
          <cell r="J642">
            <v>45421</v>
          </cell>
          <cell r="K642">
            <v>45421</v>
          </cell>
          <cell r="L642">
            <v>0</v>
          </cell>
          <cell r="M642" t="str">
            <v>N/A</v>
          </cell>
          <cell r="N642" t="str">
            <v>N/A</v>
          </cell>
          <cell r="O642">
            <v>45425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45434</v>
          </cell>
          <cell r="U642">
            <v>45441</v>
          </cell>
          <cell r="V642">
            <v>0</v>
          </cell>
          <cell r="W642">
            <v>0</v>
          </cell>
          <cell r="X642">
            <v>45446</v>
          </cell>
          <cell r="Y642">
            <v>45446</v>
          </cell>
          <cell r="Z642">
            <v>0</v>
          </cell>
          <cell r="AA642">
            <v>15575</v>
          </cell>
          <cell r="AB642">
            <v>15575</v>
          </cell>
          <cell r="AC642">
            <v>0</v>
          </cell>
          <cell r="AD642">
            <v>15508</v>
          </cell>
          <cell r="AE642">
            <v>15508</v>
          </cell>
          <cell r="AF642">
            <v>0</v>
          </cell>
          <cell r="AG642" t="str">
            <v>M</v>
          </cell>
          <cell r="AH642" t="str">
            <v>ENGR. MICHAEL C. SALARDA
MS. LEONARDA M. LATOR
MS. CARMENCITA VALDEZ
MS. SORAYA P. VERGARA</v>
          </cell>
          <cell r="AI642" t="str">
            <v>N/A</v>
          </cell>
          <cell r="AJ642" t="str">
            <v>N/A</v>
          </cell>
          <cell r="AK642" t="str">
            <v>N/A</v>
          </cell>
          <cell r="AL642" t="str">
            <v>N/A</v>
          </cell>
          <cell r="AM642" t="str">
            <v>N/A</v>
          </cell>
          <cell r="AN642" t="str">
            <v>N/A</v>
          </cell>
          <cell r="AO642" t="str">
            <v>COMPLETED</v>
          </cell>
        </row>
        <row r="643">
          <cell r="A643" t="str">
            <v>24-C1337</v>
          </cell>
          <cell r="B643" t="str">
            <v>FOOD SUPPLIES</v>
          </cell>
          <cell r="C643" t="str">
            <v>PAO</v>
          </cell>
          <cell r="D643" t="str">
            <v>No</v>
          </cell>
          <cell r="E643" t="str">
            <v>NP-53.9 - Small Value Procurement</v>
          </cell>
          <cell r="F643" t="str">
            <v>N/A</v>
          </cell>
          <cell r="G643">
            <v>45404</v>
          </cell>
          <cell r="H643">
            <v>0</v>
          </cell>
          <cell r="I643" t="str">
            <v>N/A</v>
          </cell>
          <cell r="J643">
            <v>45421</v>
          </cell>
          <cell r="K643">
            <v>45421</v>
          </cell>
          <cell r="L643">
            <v>0</v>
          </cell>
          <cell r="M643" t="str">
            <v>N/A</v>
          </cell>
          <cell r="N643" t="str">
            <v>N/A</v>
          </cell>
          <cell r="O643">
            <v>45425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45434</v>
          </cell>
          <cell r="U643">
            <v>45446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24771</v>
          </cell>
          <cell r="AB643">
            <v>0</v>
          </cell>
          <cell r="AC643">
            <v>24771</v>
          </cell>
          <cell r="AD643">
            <v>24771</v>
          </cell>
          <cell r="AE643">
            <v>0</v>
          </cell>
          <cell r="AF643">
            <v>24771</v>
          </cell>
          <cell r="AG643" t="str">
            <v>C</v>
          </cell>
          <cell r="AH643" t="str">
            <v>ENGR. MICHAEL C. SALARDA
MS. LEONARDA M. LATOR
MS. CARMENCITA VALDEZ
MS. SORAYA P. VERGARA</v>
          </cell>
          <cell r="AI643" t="str">
            <v>N/A</v>
          </cell>
          <cell r="AJ643" t="str">
            <v>N/A</v>
          </cell>
          <cell r="AK643" t="str">
            <v>N/A</v>
          </cell>
          <cell r="AL643" t="str">
            <v>N/A</v>
          </cell>
          <cell r="AM643" t="str">
            <v>N/A</v>
          </cell>
          <cell r="AN643" t="str">
            <v>N/A</v>
          </cell>
          <cell r="AO643">
            <v>0</v>
          </cell>
        </row>
        <row r="644">
          <cell r="A644" t="str">
            <v>24-2273</v>
          </cell>
          <cell r="B644" t="str">
            <v>SPAREPARTS (LIGHT VEHICLES)</v>
          </cell>
          <cell r="C644" t="str">
            <v>PGSO</v>
          </cell>
          <cell r="D644" t="str">
            <v>No</v>
          </cell>
          <cell r="E644" t="str">
            <v>NP-53.9 - Small Value Procurement</v>
          </cell>
          <cell r="F644">
            <v>45398</v>
          </cell>
          <cell r="G644">
            <v>45404</v>
          </cell>
          <cell r="H644">
            <v>0</v>
          </cell>
          <cell r="I644" t="str">
            <v>N/A</v>
          </cell>
          <cell r="J644">
            <v>45421</v>
          </cell>
          <cell r="K644">
            <v>45421</v>
          </cell>
          <cell r="L644">
            <v>0</v>
          </cell>
          <cell r="M644" t="str">
            <v>N/A</v>
          </cell>
          <cell r="N644" t="str">
            <v>N/A</v>
          </cell>
          <cell r="O644">
            <v>45425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45434</v>
          </cell>
          <cell r="U644">
            <v>45449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9075</v>
          </cell>
          <cell r="AB644">
            <v>9075</v>
          </cell>
          <cell r="AC644">
            <v>0</v>
          </cell>
          <cell r="AD644">
            <v>9050</v>
          </cell>
          <cell r="AE644">
            <v>9050</v>
          </cell>
          <cell r="AF644">
            <v>0</v>
          </cell>
          <cell r="AG644" t="str">
            <v>M</v>
          </cell>
          <cell r="AH644" t="str">
            <v>ENGR. MICHAEL C. SALARDA
MS. LEONARDA M. LATOR
MS. CARMENCITA VALDEZ
MS. SORAYA P. VERGARA</v>
          </cell>
          <cell r="AI644" t="str">
            <v>N/A</v>
          </cell>
          <cell r="AJ644" t="str">
            <v>N/A</v>
          </cell>
          <cell r="AK644" t="str">
            <v>N/A</v>
          </cell>
          <cell r="AL644" t="str">
            <v>N/A</v>
          </cell>
          <cell r="AM644" t="str">
            <v>N/A</v>
          </cell>
          <cell r="AN644" t="str">
            <v>N/A</v>
          </cell>
          <cell r="AO644">
            <v>0</v>
          </cell>
        </row>
        <row r="645">
          <cell r="A645" t="str">
            <v>24-2271</v>
          </cell>
          <cell r="B645" t="str">
            <v>SPAREPARTS (LIGHT VEHICLES)</v>
          </cell>
          <cell r="C645" t="str">
            <v>PGSO</v>
          </cell>
          <cell r="D645" t="str">
            <v>No</v>
          </cell>
          <cell r="E645" t="str">
            <v>NP-53.9 - Small Value Procurement</v>
          </cell>
          <cell r="F645">
            <v>45390</v>
          </cell>
          <cell r="G645">
            <v>45397</v>
          </cell>
          <cell r="H645">
            <v>0</v>
          </cell>
          <cell r="I645" t="str">
            <v>N/A</v>
          </cell>
          <cell r="J645">
            <v>45421</v>
          </cell>
          <cell r="K645">
            <v>45421</v>
          </cell>
          <cell r="L645">
            <v>0</v>
          </cell>
          <cell r="M645" t="str">
            <v>N/A</v>
          </cell>
          <cell r="N645" t="str">
            <v>N/A</v>
          </cell>
          <cell r="O645">
            <v>45425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45434</v>
          </cell>
          <cell r="U645">
            <v>45454</v>
          </cell>
          <cell r="V645">
            <v>0</v>
          </cell>
          <cell r="W645">
            <v>0</v>
          </cell>
          <cell r="X645">
            <v>45462</v>
          </cell>
          <cell r="Y645">
            <v>45462</v>
          </cell>
          <cell r="Z645">
            <v>0</v>
          </cell>
          <cell r="AA645">
            <v>45000</v>
          </cell>
          <cell r="AB645">
            <v>45000</v>
          </cell>
          <cell r="AC645">
            <v>0</v>
          </cell>
          <cell r="AD645">
            <v>45000</v>
          </cell>
          <cell r="AE645">
            <v>45000</v>
          </cell>
          <cell r="AF645">
            <v>0</v>
          </cell>
          <cell r="AG645" t="str">
            <v>M</v>
          </cell>
          <cell r="AH645" t="str">
            <v>ENGR. MICHAEL C. SALARDA
MS. LEONARDA M. LATOR
MS. CARMENCITA VALDEZ
MS. SORAYA P. VERGARA</v>
          </cell>
          <cell r="AI645" t="str">
            <v>N/A</v>
          </cell>
          <cell r="AJ645" t="str">
            <v>N/A</v>
          </cell>
          <cell r="AK645" t="str">
            <v>N/A</v>
          </cell>
          <cell r="AL645" t="str">
            <v>N/A</v>
          </cell>
          <cell r="AM645" t="str">
            <v>N/A</v>
          </cell>
          <cell r="AN645" t="str">
            <v>N/A</v>
          </cell>
          <cell r="AO645" t="str">
            <v>COMPLETED</v>
          </cell>
        </row>
        <row r="646">
          <cell r="A646" t="str">
            <v>24-C1317</v>
          </cell>
          <cell r="B646" t="str">
            <v>DYNAMIC MICROPHONE &amp; PORTABLE OUTDOOR SPEAKER</v>
          </cell>
          <cell r="C646" t="str">
            <v>PVO</v>
          </cell>
          <cell r="D646" t="str">
            <v>No</v>
          </cell>
          <cell r="E646" t="str">
            <v>NP-53.9 - Small Value Procurement</v>
          </cell>
          <cell r="F646" t="str">
            <v>N/A</v>
          </cell>
          <cell r="G646">
            <v>45404</v>
          </cell>
          <cell r="H646">
            <v>0</v>
          </cell>
          <cell r="I646" t="str">
            <v>N/A</v>
          </cell>
          <cell r="J646">
            <v>45421</v>
          </cell>
          <cell r="K646">
            <v>45421</v>
          </cell>
          <cell r="L646">
            <v>0</v>
          </cell>
          <cell r="M646" t="str">
            <v>N/A</v>
          </cell>
          <cell r="N646" t="str">
            <v>N/A</v>
          </cell>
          <cell r="O646">
            <v>45425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45434</v>
          </cell>
          <cell r="U646">
            <v>45441</v>
          </cell>
          <cell r="V646">
            <v>0</v>
          </cell>
          <cell r="W646">
            <v>0</v>
          </cell>
          <cell r="X646">
            <v>45456</v>
          </cell>
          <cell r="Y646">
            <v>45456</v>
          </cell>
          <cell r="Z646">
            <v>0</v>
          </cell>
          <cell r="AA646">
            <v>15970</v>
          </cell>
          <cell r="AB646">
            <v>0</v>
          </cell>
          <cell r="AC646">
            <v>15970</v>
          </cell>
          <cell r="AD646">
            <v>15970</v>
          </cell>
          <cell r="AE646">
            <v>0</v>
          </cell>
          <cell r="AF646">
            <v>15970</v>
          </cell>
          <cell r="AG646" t="str">
            <v>C</v>
          </cell>
          <cell r="AH646" t="str">
            <v>ENGR. MICHAEL C. SALARDA
MS. LEONARDA M. LATOR
MS. CARMENCITA VALDEZ
MS. SORAYA P. VERGARA</v>
          </cell>
          <cell r="AI646" t="str">
            <v>N/A</v>
          </cell>
          <cell r="AJ646" t="str">
            <v>N/A</v>
          </cell>
          <cell r="AK646" t="str">
            <v>N/A</v>
          </cell>
          <cell r="AL646" t="str">
            <v>N/A</v>
          </cell>
          <cell r="AM646" t="str">
            <v>N/A</v>
          </cell>
          <cell r="AN646" t="str">
            <v>N/A</v>
          </cell>
          <cell r="AO646" t="str">
            <v>COMPLETED</v>
          </cell>
        </row>
        <row r="647">
          <cell r="A647" t="str">
            <v>24-C1312</v>
          </cell>
          <cell r="B647" t="str">
            <v>BATTERY</v>
          </cell>
          <cell r="C647" t="str">
            <v>PEEMO</v>
          </cell>
          <cell r="D647" t="str">
            <v>No</v>
          </cell>
          <cell r="E647" t="str">
            <v>NP-53.9 - Small Value Procurement</v>
          </cell>
          <cell r="F647" t="str">
            <v>N/A</v>
          </cell>
          <cell r="G647">
            <v>45397</v>
          </cell>
          <cell r="H647">
            <v>0</v>
          </cell>
          <cell r="I647" t="str">
            <v>N/A</v>
          </cell>
          <cell r="J647">
            <v>45421</v>
          </cell>
          <cell r="K647">
            <v>45421</v>
          </cell>
          <cell r="L647">
            <v>0</v>
          </cell>
          <cell r="M647" t="str">
            <v>N/A</v>
          </cell>
          <cell r="N647" t="str">
            <v>N/A</v>
          </cell>
          <cell r="O647">
            <v>45425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45434</v>
          </cell>
          <cell r="U647">
            <v>45446</v>
          </cell>
          <cell r="V647">
            <v>0</v>
          </cell>
          <cell r="W647">
            <v>0</v>
          </cell>
          <cell r="X647">
            <v>45448</v>
          </cell>
          <cell r="Y647">
            <v>45448</v>
          </cell>
          <cell r="Z647">
            <v>0</v>
          </cell>
          <cell r="AA647">
            <v>18150</v>
          </cell>
          <cell r="AB647">
            <v>18150</v>
          </cell>
          <cell r="AC647">
            <v>0</v>
          </cell>
          <cell r="AD647">
            <v>18150</v>
          </cell>
          <cell r="AE647">
            <v>18150</v>
          </cell>
          <cell r="AF647">
            <v>0</v>
          </cell>
          <cell r="AG647" t="str">
            <v>M</v>
          </cell>
          <cell r="AH647" t="str">
            <v>ENGR. MICHAEL C. SALARDA
MS. LEONARDA M. LATOR
MS. CARMENCITA VALDEZ
MS. SORAYA P. VERGARA</v>
          </cell>
          <cell r="AI647" t="str">
            <v>N/A</v>
          </cell>
          <cell r="AJ647" t="str">
            <v>N/A</v>
          </cell>
          <cell r="AK647" t="str">
            <v>N/A</v>
          </cell>
          <cell r="AL647" t="str">
            <v>N/A</v>
          </cell>
          <cell r="AM647" t="str">
            <v>N/A</v>
          </cell>
          <cell r="AN647" t="str">
            <v>N/A</v>
          </cell>
          <cell r="AO647" t="str">
            <v>COMPLETED</v>
          </cell>
        </row>
        <row r="648">
          <cell r="A648" t="str">
            <v>24-2265</v>
          </cell>
          <cell r="B648" t="str">
            <v>SPAREPARTS (LIGHT VEHICLES)</v>
          </cell>
          <cell r="C648" t="str">
            <v>PGSO</v>
          </cell>
          <cell r="D648" t="str">
            <v>No</v>
          </cell>
          <cell r="E648" t="str">
            <v>NP-53.9 - Small Value Procurement</v>
          </cell>
          <cell r="F648">
            <v>45398</v>
          </cell>
          <cell r="G648">
            <v>45404</v>
          </cell>
          <cell r="H648">
            <v>0</v>
          </cell>
          <cell r="I648" t="str">
            <v>N/A</v>
          </cell>
          <cell r="J648">
            <v>45421</v>
          </cell>
          <cell r="K648">
            <v>45421</v>
          </cell>
          <cell r="L648">
            <v>0</v>
          </cell>
          <cell r="M648" t="str">
            <v>N/A</v>
          </cell>
          <cell r="N648" t="str">
            <v>N/A</v>
          </cell>
          <cell r="O648">
            <v>45425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45434</v>
          </cell>
          <cell r="U648">
            <v>45449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7950</v>
          </cell>
          <cell r="AB648">
            <v>7950</v>
          </cell>
          <cell r="AC648">
            <v>0</v>
          </cell>
          <cell r="AD648">
            <v>7930</v>
          </cell>
          <cell r="AE648">
            <v>7930</v>
          </cell>
          <cell r="AF648">
            <v>0</v>
          </cell>
          <cell r="AG648" t="str">
            <v>M</v>
          </cell>
          <cell r="AH648" t="str">
            <v>ENGR. MICHAEL C. SALARDA
MS. LEONARDA M. LATOR
MS. CARMENCITA VALDEZ
MS. SORAYA P. VERGARA</v>
          </cell>
          <cell r="AI648" t="str">
            <v>N/A</v>
          </cell>
          <cell r="AJ648" t="str">
            <v>N/A</v>
          </cell>
          <cell r="AK648" t="str">
            <v>N/A</v>
          </cell>
          <cell r="AL648" t="str">
            <v>N/A</v>
          </cell>
          <cell r="AM648" t="str">
            <v>N/A</v>
          </cell>
          <cell r="AN648" t="str">
            <v>N/A</v>
          </cell>
          <cell r="AO648">
            <v>0</v>
          </cell>
        </row>
        <row r="649">
          <cell r="A649" t="str">
            <v>24-1465</v>
          </cell>
          <cell r="B649" t="str">
            <v>FOLDING SINGLE CAPMING BED</v>
          </cell>
          <cell r="C649" t="str">
            <v>PGO</v>
          </cell>
          <cell r="D649" t="str">
            <v>No</v>
          </cell>
          <cell r="E649" t="str">
            <v>NP-53.9 - Small Value Procurement</v>
          </cell>
          <cell r="F649" t="str">
            <v>N/A</v>
          </cell>
          <cell r="G649">
            <v>45404</v>
          </cell>
          <cell r="H649">
            <v>0</v>
          </cell>
          <cell r="I649" t="str">
            <v>N/A</v>
          </cell>
          <cell r="J649">
            <v>45421</v>
          </cell>
          <cell r="K649">
            <v>45421</v>
          </cell>
          <cell r="L649">
            <v>0</v>
          </cell>
          <cell r="M649" t="str">
            <v>N/A</v>
          </cell>
          <cell r="N649" t="str">
            <v>N/A</v>
          </cell>
          <cell r="O649">
            <v>45425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45436</v>
          </cell>
          <cell r="U649">
            <v>45441</v>
          </cell>
          <cell r="V649">
            <v>0</v>
          </cell>
          <cell r="W649">
            <v>0</v>
          </cell>
          <cell r="X649">
            <v>45454</v>
          </cell>
          <cell r="Y649">
            <v>45454</v>
          </cell>
          <cell r="Z649">
            <v>0</v>
          </cell>
          <cell r="AA649">
            <v>30000</v>
          </cell>
          <cell r="AB649">
            <v>0</v>
          </cell>
          <cell r="AC649">
            <v>30000</v>
          </cell>
          <cell r="AD649">
            <v>30000</v>
          </cell>
          <cell r="AE649">
            <v>0</v>
          </cell>
          <cell r="AF649">
            <v>30000</v>
          </cell>
          <cell r="AG649" t="str">
            <v>C</v>
          </cell>
          <cell r="AH649" t="str">
            <v>ENGR. MICHAEL C. SALARDA
MS. LEONARDA M. LATOR
MS. CARMENCITA VALDEZ
MS. SORAYA P. VERGARA</v>
          </cell>
          <cell r="AI649" t="str">
            <v>N/A</v>
          </cell>
          <cell r="AJ649" t="str">
            <v>N/A</v>
          </cell>
          <cell r="AK649" t="str">
            <v>N/A</v>
          </cell>
          <cell r="AL649" t="str">
            <v>N/A</v>
          </cell>
          <cell r="AM649" t="str">
            <v>N/A</v>
          </cell>
          <cell r="AN649" t="str">
            <v>N/A</v>
          </cell>
          <cell r="AO649" t="str">
            <v>COMPLETED</v>
          </cell>
        </row>
        <row r="650">
          <cell r="A650" t="str">
            <v>24-C1327</v>
          </cell>
          <cell r="B650" t="str">
            <v>CONSTRUCTION SUPPLIES</v>
          </cell>
          <cell r="C650" t="str">
            <v>PEEMO</v>
          </cell>
          <cell r="D650" t="str">
            <v>No</v>
          </cell>
          <cell r="E650" t="str">
            <v>NP-53.9 - Small Value Procurement</v>
          </cell>
          <cell r="F650" t="str">
            <v>N/A</v>
          </cell>
          <cell r="G650">
            <v>45397</v>
          </cell>
          <cell r="H650">
            <v>0</v>
          </cell>
          <cell r="I650" t="str">
            <v>N/A</v>
          </cell>
          <cell r="J650">
            <v>45421</v>
          </cell>
          <cell r="K650">
            <v>45421</v>
          </cell>
          <cell r="L650">
            <v>0</v>
          </cell>
          <cell r="M650" t="str">
            <v>N/A</v>
          </cell>
          <cell r="N650" t="str">
            <v>N/A</v>
          </cell>
          <cell r="O650">
            <v>45425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45434</v>
          </cell>
          <cell r="U650">
            <v>45454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34753</v>
          </cell>
          <cell r="AB650">
            <v>34753</v>
          </cell>
          <cell r="AC650">
            <v>0</v>
          </cell>
          <cell r="AD650">
            <v>34753</v>
          </cell>
          <cell r="AE650">
            <v>34753</v>
          </cell>
          <cell r="AF650">
            <v>0</v>
          </cell>
          <cell r="AG650" t="str">
            <v>M</v>
          </cell>
          <cell r="AH650" t="str">
            <v>ENGR. MICHAEL C. SALARDA
MS. LEONARDA M. LATOR
MS. CARMENCITA VALDEZ
MS. SORAYA P. VERGARA</v>
          </cell>
          <cell r="AI650" t="str">
            <v>N/A</v>
          </cell>
          <cell r="AJ650" t="str">
            <v>N/A</v>
          </cell>
          <cell r="AK650" t="str">
            <v>N/A</v>
          </cell>
          <cell r="AL650" t="str">
            <v>N/A</v>
          </cell>
          <cell r="AM650" t="str">
            <v>N/A</v>
          </cell>
          <cell r="AN650" t="str">
            <v>N/A</v>
          </cell>
          <cell r="AO650">
            <v>0</v>
          </cell>
        </row>
        <row r="651">
          <cell r="A651" t="str">
            <v>24-1322</v>
          </cell>
          <cell r="B651" t="str">
            <v>PORTABLE VACUUM CLEANER</v>
          </cell>
          <cell r="C651" t="str">
            <v>PGSO</v>
          </cell>
          <cell r="D651" t="str">
            <v>No</v>
          </cell>
          <cell r="E651" t="str">
            <v>NP-53.9 - Small Value Procurement</v>
          </cell>
          <cell r="F651" t="str">
            <v>N/A</v>
          </cell>
          <cell r="G651">
            <v>45376</v>
          </cell>
          <cell r="H651">
            <v>0</v>
          </cell>
          <cell r="I651" t="str">
            <v>N/A</v>
          </cell>
          <cell r="J651">
            <v>45421</v>
          </cell>
          <cell r="K651">
            <v>45421</v>
          </cell>
          <cell r="L651">
            <v>0</v>
          </cell>
          <cell r="M651" t="str">
            <v>N/A</v>
          </cell>
          <cell r="N651" t="str">
            <v>N/A</v>
          </cell>
          <cell r="O651">
            <v>45425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45434</v>
          </cell>
          <cell r="U651">
            <v>45449</v>
          </cell>
          <cell r="V651">
            <v>0</v>
          </cell>
          <cell r="W651">
            <v>0</v>
          </cell>
          <cell r="X651">
            <v>45463</v>
          </cell>
          <cell r="Y651">
            <v>45463</v>
          </cell>
          <cell r="Z651">
            <v>0</v>
          </cell>
          <cell r="AA651">
            <v>10000</v>
          </cell>
          <cell r="AB651">
            <v>10000</v>
          </cell>
          <cell r="AC651">
            <v>0</v>
          </cell>
          <cell r="AD651">
            <v>9980</v>
          </cell>
          <cell r="AE651">
            <v>9980</v>
          </cell>
          <cell r="AF651">
            <v>0</v>
          </cell>
          <cell r="AG651" t="str">
            <v>M</v>
          </cell>
          <cell r="AH651" t="str">
            <v>ENGR. MICHAEL C. SALARDA
MS. LEONARDA M. LATOR
MS. CARMENCITA VALDEZ
MS. SORAYA P. VERGARA</v>
          </cell>
          <cell r="AI651" t="str">
            <v>N/A</v>
          </cell>
          <cell r="AJ651" t="str">
            <v>N/A</v>
          </cell>
          <cell r="AK651" t="str">
            <v>N/A</v>
          </cell>
          <cell r="AL651" t="str">
            <v>N/A</v>
          </cell>
          <cell r="AM651" t="str">
            <v>N/A</v>
          </cell>
          <cell r="AN651" t="str">
            <v>N/A</v>
          </cell>
          <cell r="AO651" t="str">
            <v>COMPLETED</v>
          </cell>
        </row>
        <row r="652">
          <cell r="A652" t="str">
            <v>24-0855</v>
          </cell>
          <cell r="B652" t="str">
            <v>OFFICE EQUIPMENT</v>
          </cell>
          <cell r="C652" t="str">
            <v>PGO</v>
          </cell>
          <cell r="D652" t="str">
            <v>No</v>
          </cell>
          <cell r="E652" t="str">
            <v>NP-53.9 - Small Value Procurement</v>
          </cell>
          <cell r="F652" t="str">
            <v>N/A</v>
          </cell>
          <cell r="G652">
            <v>45404</v>
          </cell>
          <cell r="H652">
            <v>0</v>
          </cell>
          <cell r="I652" t="str">
            <v>N/A</v>
          </cell>
          <cell r="J652">
            <v>45421</v>
          </cell>
          <cell r="K652">
            <v>45421</v>
          </cell>
          <cell r="L652">
            <v>0</v>
          </cell>
          <cell r="M652" t="str">
            <v>N/A</v>
          </cell>
          <cell r="N652" t="str">
            <v>N/A</v>
          </cell>
          <cell r="O652">
            <v>45425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45434</v>
          </cell>
          <cell r="U652">
            <v>45448</v>
          </cell>
          <cell r="V652">
            <v>0</v>
          </cell>
          <cell r="W652">
            <v>0</v>
          </cell>
          <cell r="X652">
            <v>45450</v>
          </cell>
          <cell r="Y652">
            <v>45450</v>
          </cell>
          <cell r="Z652">
            <v>0</v>
          </cell>
          <cell r="AA652">
            <v>25000</v>
          </cell>
          <cell r="AB652">
            <v>0</v>
          </cell>
          <cell r="AC652">
            <v>25000</v>
          </cell>
          <cell r="AD652">
            <v>23755</v>
          </cell>
          <cell r="AE652">
            <v>0</v>
          </cell>
          <cell r="AF652">
            <v>23755</v>
          </cell>
          <cell r="AG652" t="str">
            <v>C</v>
          </cell>
          <cell r="AH652" t="str">
            <v>ENGR. MICHAEL C. SALARDA
MS. LEONARDA M. LATOR
MS. CARMENCITA VALDEZ
MS. SORAYA P. VERGARA</v>
          </cell>
          <cell r="AI652" t="str">
            <v>N/A</v>
          </cell>
          <cell r="AJ652" t="str">
            <v>N/A</v>
          </cell>
          <cell r="AK652" t="str">
            <v>N/A</v>
          </cell>
          <cell r="AL652" t="str">
            <v>N/A</v>
          </cell>
          <cell r="AM652" t="str">
            <v>N/A</v>
          </cell>
          <cell r="AN652" t="str">
            <v>N/A</v>
          </cell>
          <cell r="AO652" t="str">
            <v>COMPLETED</v>
          </cell>
        </row>
        <row r="653">
          <cell r="A653" t="str">
            <v>24-C1336</v>
          </cell>
          <cell r="B653" t="str">
            <v>DOCUMENT SCANNER</v>
          </cell>
          <cell r="C653" t="str">
            <v>PICTO</v>
          </cell>
          <cell r="D653" t="str">
            <v>No</v>
          </cell>
          <cell r="E653" t="str">
            <v>NP-53.9 - Small Value Procurement</v>
          </cell>
          <cell r="F653">
            <v>45398</v>
          </cell>
          <cell r="G653">
            <v>45404</v>
          </cell>
          <cell r="H653">
            <v>0</v>
          </cell>
          <cell r="I653" t="str">
            <v>N/A</v>
          </cell>
          <cell r="J653">
            <v>45421</v>
          </cell>
          <cell r="K653">
            <v>45421</v>
          </cell>
          <cell r="L653">
            <v>0</v>
          </cell>
          <cell r="M653" t="str">
            <v>N/A</v>
          </cell>
          <cell r="N653" t="str">
            <v>N/A</v>
          </cell>
          <cell r="O653">
            <v>45425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45434</v>
          </cell>
          <cell r="U653">
            <v>45440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176995</v>
          </cell>
          <cell r="AB653">
            <v>0</v>
          </cell>
          <cell r="AC653">
            <v>176995</v>
          </cell>
          <cell r="AD653">
            <v>175500</v>
          </cell>
          <cell r="AE653">
            <v>0</v>
          </cell>
          <cell r="AF653">
            <v>175500</v>
          </cell>
          <cell r="AG653" t="str">
            <v>C</v>
          </cell>
          <cell r="AH653" t="str">
            <v>ENGR. MICHAEL C. SALARDA
MS. LEONARDA M. LATOR
MS. CARMENCITA VALDEZ
MS. SORAYA P. VERGARA</v>
          </cell>
          <cell r="AI653" t="str">
            <v>N/A</v>
          </cell>
          <cell r="AJ653" t="str">
            <v>N/A</v>
          </cell>
          <cell r="AK653" t="str">
            <v>N/A</v>
          </cell>
          <cell r="AL653" t="str">
            <v>N/A</v>
          </cell>
          <cell r="AM653" t="str">
            <v>N/A</v>
          </cell>
          <cell r="AN653" t="str">
            <v>N/A</v>
          </cell>
          <cell r="AO653">
            <v>0</v>
          </cell>
        </row>
        <row r="654">
          <cell r="A654" t="str">
            <v>24-C1064</v>
          </cell>
          <cell r="B654" t="str">
            <v>CONSTRUCTION MATERIALS</v>
          </cell>
          <cell r="C654" t="str">
            <v>PVO</v>
          </cell>
          <cell r="D654" t="str">
            <v>No</v>
          </cell>
          <cell r="E654" t="str">
            <v>Competitive Bidding</v>
          </cell>
          <cell r="F654">
            <v>45356</v>
          </cell>
          <cell r="G654">
            <v>45376</v>
          </cell>
          <cell r="H654">
            <v>0</v>
          </cell>
          <cell r="I654">
            <v>45384</v>
          </cell>
          <cell r="J654">
            <v>45398</v>
          </cell>
          <cell r="K654">
            <v>45398</v>
          </cell>
          <cell r="L654">
            <v>0</v>
          </cell>
          <cell r="M654">
            <v>45398</v>
          </cell>
          <cell r="N654">
            <v>45420</v>
          </cell>
          <cell r="O654">
            <v>45425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45435</v>
          </cell>
          <cell r="U654">
            <v>45446</v>
          </cell>
          <cell r="V654">
            <v>0</v>
          </cell>
          <cell r="W654">
            <v>0</v>
          </cell>
          <cell r="X654">
            <v>45454</v>
          </cell>
          <cell r="Y654">
            <v>45454</v>
          </cell>
          <cell r="Z654">
            <v>0</v>
          </cell>
          <cell r="AA654">
            <v>3480267.69</v>
          </cell>
          <cell r="AB654">
            <v>0</v>
          </cell>
          <cell r="AC654">
            <v>3480267.69</v>
          </cell>
          <cell r="AD654">
            <v>3346546.13</v>
          </cell>
          <cell r="AE654">
            <v>0</v>
          </cell>
          <cell r="AF654">
            <v>3346546.13</v>
          </cell>
          <cell r="AG654" t="str">
            <v>C</v>
          </cell>
          <cell r="AH654" t="str">
            <v>ENGR. MICHAEL C. SALARDA
MS. LEONARDA M. LATOR
MS. CARMENCITA VALDEZ
MS. SORAYA P. VERGARA</v>
          </cell>
          <cell r="AI654">
            <v>45383</v>
          </cell>
          <cell r="AJ654">
            <v>45383</v>
          </cell>
          <cell r="AK654">
            <v>45383</v>
          </cell>
          <cell r="AL654">
            <v>45383</v>
          </cell>
          <cell r="AM654" t="str">
            <v>N/A</v>
          </cell>
          <cell r="AN654" t="str">
            <v>N/A</v>
          </cell>
          <cell r="AO654" t="str">
            <v>COMPLETED</v>
          </cell>
        </row>
        <row r="655">
          <cell r="A655" t="str">
            <v>24-C1048</v>
          </cell>
          <cell r="B655" t="str">
            <v>CONSTRUCTION MATERIALS</v>
          </cell>
          <cell r="C655" t="str">
            <v>PVO</v>
          </cell>
          <cell r="D655" t="str">
            <v>No</v>
          </cell>
          <cell r="E655" t="str">
            <v>Competitive Bidding</v>
          </cell>
          <cell r="F655">
            <v>45356</v>
          </cell>
          <cell r="G655">
            <v>45390</v>
          </cell>
          <cell r="H655">
            <v>0</v>
          </cell>
          <cell r="I655" t="str">
            <v>N/A</v>
          </cell>
          <cell r="J655">
            <v>45398</v>
          </cell>
          <cell r="K655">
            <v>45398</v>
          </cell>
          <cell r="L655">
            <v>0</v>
          </cell>
          <cell r="M655">
            <v>45398</v>
          </cell>
          <cell r="N655">
            <v>45420</v>
          </cell>
          <cell r="O655">
            <v>45425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45435</v>
          </cell>
          <cell r="U655">
            <v>45448</v>
          </cell>
          <cell r="V655">
            <v>0</v>
          </cell>
          <cell r="W655">
            <v>0</v>
          </cell>
          <cell r="X655">
            <v>45454</v>
          </cell>
          <cell r="Y655">
            <v>45454</v>
          </cell>
          <cell r="Z655">
            <v>0</v>
          </cell>
          <cell r="AA655">
            <v>851428.35</v>
          </cell>
          <cell r="AB655">
            <v>0</v>
          </cell>
          <cell r="AC655">
            <v>851428.35</v>
          </cell>
          <cell r="AD655">
            <v>840828.15</v>
          </cell>
          <cell r="AE655">
            <v>0</v>
          </cell>
          <cell r="AF655">
            <v>840828.15</v>
          </cell>
          <cell r="AG655" t="str">
            <v>C</v>
          </cell>
          <cell r="AH655" t="str">
            <v>ENGR. MICHAEL C. SALARDA
MS. LEONARDA M. LATOR
MS. CARMENCITA VALDEZ
MS. SORAYA P. VERGARA</v>
          </cell>
          <cell r="AI655" t="str">
            <v>N/A</v>
          </cell>
          <cell r="AJ655">
            <v>45383</v>
          </cell>
          <cell r="AK655">
            <v>45383</v>
          </cell>
          <cell r="AL655">
            <v>45383</v>
          </cell>
          <cell r="AM655" t="str">
            <v>N/A</v>
          </cell>
          <cell r="AN655" t="str">
            <v>N/A</v>
          </cell>
          <cell r="AO655" t="str">
            <v>COMPLETED</v>
          </cell>
        </row>
        <row r="656">
          <cell r="A656" t="str">
            <v>24-C1191</v>
          </cell>
          <cell r="B656" t="str">
            <v>MEALS AND SNACKS WITH VENUE</v>
          </cell>
          <cell r="C656" t="str">
            <v>PDRRMO</v>
          </cell>
          <cell r="D656" t="str">
            <v>No</v>
          </cell>
          <cell r="E656" t="str">
            <v>Competitive Bidding</v>
          </cell>
          <cell r="F656" t="str">
            <v>N/A</v>
          </cell>
          <cell r="G656">
            <v>45390</v>
          </cell>
          <cell r="H656">
            <v>0</v>
          </cell>
          <cell r="I656" t="str">
            <v>N/A</v>
          </cell>
          <cell r="J656">
            <v>45398</v>
          </cell>
          <cell r="K656">
            <v>45398</v>
          </cell>
          <cell r="L656">
            <v>0</v>
          </cell>
          <cell r="M656">
            <v>45398</v>
          </cell>
          <cell r="N656">
            <v>45421</v>
          </cell>
          <cell r="O656">
            <v>45425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45439</v>
          </cell>
          <cell r="U656">
            <v>45447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373430</v>
          </cell>
          <cell r="AB656">
            <v>0</v>
          </cell>
          <cell r="AC656">
            <v>373430</v>
          </cell>
          <cell r="AD656">
            <v>373430</v>
          </cell>
          <cell r="AE656">
            <v>0</v>
          </cell>
          <cell r="AF656">
            <v>373430</v>
          </cell>
          <cell r="AG656" t="str">
            <v>C</v>
          </cell>
          <cell r="AH656" t="str">
            <v>ENGR. MICHAEL C. SALARDA
MS. LEONARDA M. LATOR
MS. CARMENCITA VALDEZ
MS. SORAYA P. VERGARA</v>
          </cell>
          <cell r="AI656" t="str">
            <v>N/A</v>
          </cell>
          <cell r="AJ656">
            <v>45383</v>
          </cell>
          <cell r="AK656">
            <v>45383</v>
          </cell>
          <cell r="AL656">
            <v>45383</v>
          </cell>
          <cell r="AM656" t="str">
            <v>N/A</v>
          </cell>
          <cell r="AN656" t="str">
            <v>N/A</v>
          </cell>
          <cell r="AO656">
            <v>0</v>
          </cell>
        </row>
        <row r="657">
          <cell r="A657" t="str">
            <v>24-1163</v>
          </cell>
          <cell r="B657" t="str">
            <v>MEALS AND SNACKS WITH VENUE</v>
          </cell>
          <cell r="C657" t="str">
            <v>PGO-DILG</v>
          </cell>
          <cell r="D657" t="str">
            <v>No</v>
          </cell>
          <cell r="E657" t="str">
            <v>Competitive Bidding</v>
          </cell>
          <cell r="F657" t="str">
            <v>N/A</v>
          </cell>
          <cell r="G657">
            <v>45390</v>
          </cell>
          <cell r="H657">
            <v>0</v>
          </cell>
          <cell r="I657" t="str">
            <v>N/A</v>
          </cell>
          <cell r="J657">
            <v>45398</v>
          </cell>
          <cell r="K657">
            <v>45398</v>
          </cell>
          <cell r="L657">
            <v>0</v>
          </cell>
          <cell r="M657">
            <v>45398</v>
          </cell>
          <cell r="N657">
            <v>45421</v>
          </cell>
          <cell r="O657">
            <v>45425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45425</v>
          </cell>
          <cell r="U657">
            <v>45426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455000</v>
          </cell>
          <cell r="AB657">
            <v>0</v>
          </cell>
          <cell r="AC657">
            <v>455000</v>
          </cell>
          <cell r="AD657">
            <v>455000</v>
          </cell>
          <cell r="AE657">
            <v>0</v>
          </cell>
          <cell r="AF657">
            <v>455000</v>
          </cell>
          <cell r="AG657" t="str">
            <v>C</v>
          </cell>
          <cell r="AH657" t="str">
            <v>ENGR. MICHAEL C. SALARDA
MS. LEONARDA M. LATOR
MS. CARMENCITA VALDEZ
MS. SORAYA P. VERGARA</v>
          </cell>
          <cell r="AI657" t="str">
            <v>N/A</v>
          </cell>
          <cell r="AJ657">
            <v>45383</v>
          </cell>
          <cell r="AK657">
            <v>45383</v>
          </cell>
          <cell r="AL657">
            <v>45383</v>
          </cell>
          <cell r="AM657" t="str">
            <v>N/A</v>
          </cell>
          <cell r="AN657" t="str">
            <v>N/A</v>
          </cell>
          <cell r="AO657">
            <v>0</v>
          </cell>
        </row>
        <row r="658">
          <cell r="A658" t="str">
            <v>24-C0933</v>
          </cell>
          <cell r="B658" t="str">
            <v>MEALS AND SNACKS WITH ACCOMMODATION</v>
          </cell>
          <cell r="C658" t="str">
            <v>PPDO</v>
          </cell>
          <cell r="D658" t="str">
            <v>No</v>
          </cell>
          <cell r="E658" t="str">
            <v>Competitive Bidding</v>
          </cell>
          <cell r="F658" t="str">
            <v>N/A</v>
          </cell>
          <cell r="G658">
            <v>45390</v>
          </cell>
          <cell r="H658">
            <v>0</v>
          </cell>
          <cell r="I658" t="str">
            <v>N/A</v>
          </cell>
          <cell r="J658">
            <v>45398</v>
          </cell>
          <cell r="K658">
            <v>45398</v>
          </cell>
          <cell r="L658">
            <v>0</v>
          </cell>
          <cell r="M658">
            <v>45398</v>
          </cell>
          <cell r="N658">
            <v>45421</v>
          </cell>
          <cell r="O658">
            <v>45425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45427</v>
          </cell>
          <cell r="U658">
            <v>45427</v>
          </cell>
          <cell r="V658">
            <v>0</v>
          </cell>
          <cell r="W658">
            <v>0</v>
          </cell>
          <cell r="X658">
            <v>45461</v>
          </cell>
          <cell r="Y658">
            <v>45461</v>
          </cell>
          <cell r="Z658">
            <v>0</v>
          </cell>
          <cell r="AA658">
            <v>596460</v>
          </cell>
          <cell r="AB658">
            <v>0</v>
          </cell>
          <cell r="AC658">
            <v>596460</v>
          </cell>
          <cell r="AD658">
            <v>596460</v>
          </cell>
          <cell r="AE658">
            <v>0</v>
          </cell>
          <cell r="AF658">
            <v>596460</v>
          </cell>
          <cell r="AG658" t="str">
            <v>C</v>
          </cell>
          <cell r="AH658" t="str">
            <v>ENGR. MICHAEL C. SALARDA
MS. LEONARDA M. LATOR
MS. CARMENCITA VALDEZ
MS. SORAYA P. VERGARA</v>
          </cell>
          <cell r="AI658" t="str">
            <v>N/A</v>
          </cell>
          <cell r="AJ658">
            <v>45383</v>
          </cell>
          <cell r="AK658">
            <v>45383</v>
          </cell>
          <cell r="AL658">
            <v>45383</v>
          </cell>
          <cell r="AM658" t="str">
            <v>N/A</v>
          </cell>
          <cell r="AN658" t="str">
            <v>N/A</v>
          </cell>
          <cell r="AO658" t="str">
            <v>COMPLETED</v>
          </cell>
        </row>
        <row r="659">
          <cell r="A659" t="str">
            <v>24-0585</v>
          </cell>
          <cell r="B659" t="str">
            <v>PLASTIC MOLDER SET (6 UNITS/SET) AND PLASTIC SHREDDING MACHINE</v>
          </cell>
          <cell r="C659" t="str">
            <v>PENRO</v>
          </cell>
          <cell r="D659" t="str">
            <v>No</v>
          </cell>
          <cell r="E659" t="str">
            <v>Competitive Bidding</v>
          </cell>
          <cell r="F659">
            <v>45330</v>
          </cell>
          <cell r="G659">
            <v>45355</v>
          </cell>
          <cell r="H659">
            <v>0</v>
          </cell>
          <cell r="I659" t="str">
            <v>N/A</v>
          </cell>
          <cell r="J659">
            <v>45370</v>
          </cell>
          <cell r="K659">
            <v>45370</v>
          </cell>
          <cell r="L659">
            <v>0</v>
          </cell>
          <cell r="M659">
            <v>45370</v>
          </cell>
          <cell r="N659">
            <v>45399</v>
          </cell>
          <cell r="O659">
            <v>45366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45439</v>
          </cell>
          <cell r="U659">
            <v>45442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795000</v>
          </cell>
          <cell r="AB659">
            <v>0</v>
          </cell>
          <cell r="AC659">
            <v>795000</v>
          </cell>
          <cell r="AD659">
            <v>777000</v>
          </cell>
          <cell r="AE659">
            <v>0</v>
          </cell>
          <cell r="AF659">
            <v>777000</v>
          </cell>
          <cell r="AG659" t="str">
            <v>C</v>
          </cell>
          <cell r="AH659" t="str">
            <v>ENGR. MICHAEL C. SALARDA
MS. LEONARDA M. LATOR
MS. CARMENCITA VALDEZ
MS. SORAYA P. VERGARA</v>
          </cell>
          <cell r="AI659" t="str">
            <v>N/A</v>
          </cell>
          <cell r="AJ659">
            <v>45366</v>
          </cell>
          <cell r="AK659">
            <v>45366</v>
          </cell>
          <cell r="AL659">
            <v>45366</v>
          </cell>
          <cell r="AM659" t="str">
            <v>N/A</v>
          </cell>
          <cell r="AN659" t="str">
            <v>N/A</v>
          </cell>
          <cell r="AO659">
            <v>0</v>
          </cell>
        </row>
        <row r="660">
          <cell r="A660" t="str">
            <v>24-0012</v>
          </cell>
          <cell r="B660" t="str">
            <v>INSTALLATION OF 22 TO 25KW HYBRID SOLAR POWER SYSTEM, FOR TUNNEL VENTILATED SWINE BREEDING CENTER MULTIPLIER</v>
          </cell>
          <cell r="C660" t="str">
            <v>PVO</v>
          </cell>
          <cell r="D660" t="str">
            <v>No</v>
          </cell>
          <cell r="E660" t="str">
            <v>Competitive Bidding</v>
          </cell>
          <cell r="F660">
            <v>45356</v>
          </cell>
          <cell r="G660">
            <v>45383</v>
          </cell>
          <cell r="H660">
            <v>0</v>
          </cell>
          <cell r="I660">
            <v>45398</v>
          </cell>
          <cell r="J660">
            <v>45412</v>
          </cell>
          <cell r="K660">
            <v>45412</v>
          </cell>
          <cell r="L660">
            <v>0</v>
          </cell>
          <cell r="M660">
            <v>45412</v>
          </cell>
          <cell r="N660">
            <v>45422</v>
          </cell>
          <cell r="O660">
            <v>45428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45434</v>
          </cell>
          <cell r="U660">
            <v>45446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2000000</v>
          </cell>
          <cell r="AB660">
            <v>0</v>
          </cell>
          <cell r="AC660">
            <v>2000000</v>
          </cell>
          <cell r="AD660">
            <v>1980000</v>
          </cell>
          <cell r="AE660">
            <v>0</v>
          </cell>
          <cell r="AF660">
            <v>1980000</v>
          </cell>
          <cell r="AG660" t="str">
            <v>C</v>
          </cell>
          <cell r="AH660" t="str">
            <v>ENGR. MICHAEL C. SALARDA
MS. LEONARDA M. LATOR
MS. CARMENCITA VALDEZ
MS. SORAYA P. VERGARA</v>
          </cell>
          <cell r="AI660">
            <v>45393</v>
          </cell>
          <cell r="AJ660">
            <v>45406</v>
          </cell>
          <cell r="AK660">
            <v>45406</v>
          </cell>
          <cell r="AL660">
            <v>45406</v>
          </cell>
          <cell r="AM660" t="str">
            <v>N/A</v>
          </cell>
          <cell r="AN660" t="str">
            <v>N/A</v>
          </cell>
          <cell r="AO660">
            <v>0</v>
          </cell>
        </row>
        <row r="661">
          <cell r="A661" t="str">
            <v>24-1732</v>
          </cell>
          <cell r="B661" t="str">
            <v xml:space="preserve">PAINT, SUICK DRY ENAMEL-WHITE FOR PAINTS </v>
          </cell>
          <cell r="C661" t="str">
            <v>PGO-SEF</v>
          </cell>
          <cell r="D661" t="str">
            <v>No</v>
          </cell>
          <cell r="E661" t="str">
            <v>Competitive Bidding</v>
          </cell>
          <cell r="F661" t="str">
            <v>N/A</v>
          </cell>
          <cell r="G661">
            <v>45383</v>
          </cell>
          <cell r="H661">
            <v>0</v>
          </cell>
          <cell r="I661">
            <v>45398</v>
          </cell>
          <cell r="J661">
            <v>45412</v>
          </cell>
          <cell r="K661">
            <v>45412</v>
          </cell>
          <cell r="L661">
            <v>0</v>
          </cell>
          <cell r="M661">
            <v>45412</v>
          </cell>
          <cell r="N661">
            <v>45422</v>
          </cell>
          <cell r="O661">
            <v>45428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45434</v>
          </cell>
          <cell r="U661">
            <v>45467</v>
          </cell>
          <cell r="V661">
            <v>0</v>
          </cell>
          <cell r="W661">
            <v>0</v>
          </cell>
          <cell r="X661">
            <v>45468</v>
          </cell>
          <cell r="Y661">
            <v>45468</v>
          </cell>
          <cell r="Z661">
            <v>0</v>
          </cell>
          <cell r="AA661">
            <v>1999872</v>
          </cell>
          <cell r="AB661">
            <v>1999872</v>
          </cell>
          <cell r="AC661">
            <v>0</v>
          </cell>
          <cell r="AD661">
            <v>1765512</v>
          </cell>
          <cell r="AE661">
            <v>1765512</v>
          </cell>
          <cell r="AF661">
            <v>0</v>
          </cell>
          <cell r="AG661" t="str">
            <v>M</v>
          </cell>
          <cell r="AH661" t="str">
            <v>ENGR. MICHAEL C. SALARDA
MS. LEONARDA M. LATOR
MS. CARMENCITA VALDEZ
MS. SORAYA P. VERGARA</v>
          </cell>
          <cell r="AI661">
            <v>45393</v>
          </cell>
          <cell r="AJ661">
            <v>45406</v>
          </cell>
          <cell r="AK661">
            <v>45406</v>
          </cell>
          <cell r="AL661">
            <v>45406</v>
          </cell>
          <cell r="AM661" t="str">
            <v>N/A</v>
          </cell>
          <cell r="AN661" t="str">
            <v>N/A</v>
          </cell>
          <cell r="AO661" t="str">
            <v>COMPLETED</v>
          </cell>
        </row>
        <row r="662">
          <cell r="A662" t="str">
            <v>24-C1165</v>
          </cell>
          <cell r="B662" t="str">
            <v>CONSTRUCTION MATERIALS</v>
          </cell>
          <cell r="C662" t="str">
            <v>PDRRMO</v>
          </cell>
          <cell r="D662" t="str">
            <v>No</v>
          </cell>
          <cell r="E662" t="str">
            <v>Competitive Bidding</v>
          </cell>
          <cell r="F662">
            <v>45384</v>
          </cell>
          <cell r="G662">
            <v>45390</v>
          </cell>
          <cell r="H662">
            <v>0</v>
          </cell>
          <cell r="I662">
            <v>45398</v>
          </cell>
          <cell r="J662">
            <v>45412</v>
          </cell>
          <cell r="K662">
            <v>45412</v>
          </cell>
          <cell r="L662">
            <v>0</v>
          </cell>
          <cell r="M662">
            <v>45412</v>
          </cell>
          <cell r="N662">
            <v>45422</v>
          </cell>
          <cell r="O662">
            <v>45428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45434</v>
          </cell>
          <cell r="U662">
            <v>45450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1499916</v>
          </cell>
          <cell r="AB662">
            <v>0</v>
          </cell>
          <cell r="AC662">
            <v>1499916</v>
          </cell>
          <cell r="AD662">
            <v>1129890</v>
          </cell>
          <cell r="AE662">
            <v>0</v>
          </cell>
          <cell r="AF662">
            <v>1129890</v>
          </cell>
          <cell r="AG662" t="str">
            <v>C</v>
          </cell>
          <cell r="AH662" t="str">
            <v>ENGR. MICHAEL C. SALARDA
MS. LEONARDA M. LATOR
MS. CARMENCITA VALDEZ
MS. SORAYA P. VERGARA</v>
          </cell>
          <cell r="AI662">
            <v>45393</v>
          </cell>
          <cell r="AJ662">
            <v>45406</v>
          </cell>
          <cell r="AK662">
            <v>45406</v>
          </cell>
          <cell r="AL662">
            <v>45406</v>
          </cell>
          <cell r="AM662" t="str">
            <v>N/A</v>
          </cell>
          <cell r="AN662" t="str">
            <v>N/A</v>
          </cell>
          <cell r="AO662">
            <v>0</v>
          </cell>
        </row>
        <row r="663">
          <cell r="A663" t="str">
            <v>24-C1210</v>
          </cell>
          <cell r="B663" t="str">
            <v>VERTERINARY DRUGS AND BIOLOGICS</v>
          </cell>
          <cell r="C663" t="str">
            <v>PVO</v>
          </cell>
          <cell r="D663" t="str">
            <v>No</v>
          </cell>
          <cell r="E663" t="str">
            <v>Competitive Bidding</v>
          </cell>
          <cell r="F663" t="str">
            <v>N/A</v>
          </cell>
          <cell r="G663">
            <v>45390</v>
          </cell>
          <cell r="H663">
            <v>0</v>
          </cell>
          <cell r="I663">
            <v>45398</v>
          </cell>
          <cell r="J663">
            <v>45412</v>
          </cell>
          <cell r="K663">
            <v>45412</v>
          </cell>
          <cell r="L663">
            <v>0</v>
          </cell>
          <cell r="M663">
            <v>45412</v>
          </cell>
          <cell r="N663">
            <v>45422</v>
          </cell>
          <cell r="O663">
            <v>45428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45434</v>
          </cell>
          <cell r="U663">
            <v>45456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1237684</v>
          </cell>
          <cell r="AB663">
            <v>0</v>
          </cell>
          <cell r="AC663">
            <v>1237684</v>
          </cell>
          <cell r="AD663">
            <v>1105674</v>
          </cell>
          <cell r="AE663">
            <v>0</v>
          </cell>
          <cell r="AF663">
            <v>1105674</v>
          </cell>
          <cell r="AG663" t="str">
            <v>C</v>
          </cell>
          <cell r="AH663" t="str">
            <v>ENGR. MICHAEL C. SALARDA
MS. LEONARDA M. LATOR
MS. CARMENCITA VALDEZ
MS. SORAYA P. VERGARA</v>
          </cell>
          <cell r="AI663">
            <v>45393</v>
          </cell>
          <cell r="AJ663">
            <v>45406</v>
          </cell>
          <cell r="AK663">
            <v>45406</v>
          </cell>
          <cell r="AL663">
            <v>45406</v>
          </cell>
          <cell r="AM663" t="str">
            <v>N/A</v>
          </cell>
          <cell r="AN663" t="str">
            <v>N/A</v>
          </cell>
          <cell r="AO663">
            <v>0</v>
          </cell>
        </row>
        <row r="664">
          <cell r="A664" t="str">
            <v>24-1240</v>
          </cell>
          <cell r="B664" t="str">
            <v>INSTALLATION OF THREE PHASE ELECTRICAL TRANSMISSION LINE</v>
          </cell>
          <cell r="C664" t="str">
            <v>PAGRO</v>
          </cell>
          <cell r="D664" t="str">
            <v>No</v>
          </cell>
          <cell r="E664" t="str">
            <v>Competitive Bidding</v>
          </cell>
          <cell r="F664">
            <v>45384</v>
          </cell>
          <cell r="G664">
            <v>45390</v>
          </cell>
          <cell r="H664">
            <v>0</v>
          </cell>
          <cell r="I664">
            <v>45398</v>
          </cell>
          <cell r="J664">
            <v>45412</v>
          </cell>
          <cell r="K664">
            <v>45412</v>
          </cell>
          <cell r="L664">
            <v>0</v>
          </cell>
          <cell r="M664">
            <v>45412</v>
          </cell>
          <cell r="N664">
            <v>45422</v>
          </cell>
          <cell r="O664">
            <v>45428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45434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3937264.26</v>
          </cell>
          <cell r="AB664">
            <v>0</v>
          </cell>
          <cell r="AC664">
            <v>3937264.26</v>
          </cell>
          <cell r="AD664">
            <v>3936264.26</v>
          </cell>
          <cell r="AE664">
            <v>0</v>
          </cell>
          <cell r="AF664">
            <v>3936264.26</v>
          </cell>
          <cell r="AG664" t="str">
            <v>C</v>
          </cell>
          <cell r="AH664" t="str">
            <v>ENGR. MICHAEL C. SALARDA
MS. LEONARDA M. LATOR
MS. CARMENCITA VALDEZ
MS. SORAYA P. VERGARA</v>
          </cell>
          <cell r="AI664">
            <v>45393</v>
          </cell>
          <cell r="AJ664">
            <v>45406</v>
          </cell>
          <cell r="AK664">
            <v>45406</v>
          </cell>
          <cell r="AL664">
            <v>45406</v>
          </cell>
          <cell r="AM664" t="str">
            <v>N/A</v>
          </cell>
          <cell r="AN664" t="str">
            <v>N/A</v>
          </cell>
          <cell r="AO664">
            <v>0</v>
          </cell>
        </row>
        <row r="665">
          <cell r="A665" t="str">
            <v>24-C1285</v>
          </cell>
          <cell r="B665" t="str">
            <v>RICE (WELL MILLED) 50KG/SACK</v>
          </cell>
          <cell r="C665" t="str">
            <v>PEEMO</v>
          </cell>
          <cell r="D665" t="str">
            <v>No</v>
          </cell>
          <cell r="E665" t="str">
            <v>Competitive Bidding</v>
          </cell>
          <cell r="F665" t="str">
            <v>N/A</v>
          </cell>
          <cell r="G665">
            <v>45404</v>
          </cell>
          <cell r="H665">
            <v>0</v>
          </cell>
          <cell r="I665" t="str">
            <v>N/A</v>
          </cell>
          <cell r="J665">
            <v>45412</v>
          </cell>
          <cell r="K665">
            <v>45412</v>
          </cell>
          <cell r="L665">
            <v>0</v>
          </cell>
          <cell r="M665">
            <v>45412</v>
          </cell>
          <cell r="N665">
            <v>45422</v>
          </cell>
          <cell r="O665">
            <v>45428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45434</v>
          </cell>
          <cell r="U665">
            <v>45440</v>
          </cell>
          <cell r="V665">
            <v>0</v>
          </cell>
          <cell r="W665">
            <v>0</v>
          </cell>
          <cell r="X665">
            <v>45442</v>
          </cell>
          <cell r="Y665">
            <v>45442</v>
          </cell>
          <cell r="Z665">
            <v>0</v>
          </cell>
          <cell r="AA665">
            <v>996930</v>
          </cell>
          <cell r="AB665">
            <v>996930</v>
          </cell>
          <cell r="AC665">
            <v>0</v>
          </cell>
          <cell r="AD665">
            <v>954000</v>
          </cell>
          <cell r="AE665">
            <v>954000</v>
          </cell>
          <cell r="AF665">
            <v>0</v>
          </cell>
          <cell r="AG665" t="str">
            <v>M</v>
          </cell>
          <cell r="AH665" t="str">
            <v>ENGR. MICHAEL C. SALARDA
MS. LEONARDA M. LATOR
MS. CARMENCITA VALDEZ
MS. SORAYA P. VERGARA</v>
          </cell>
          <cell r="AI665" t="str">
            <v>N/A</v>
          </cell>
          <cell r="AJ665">
            <v>45406</v>
          </cell>
          <cell r="AK665">
            <v>45406</v>
          </cell>
          <cell r="AL665">
            <v>45406</v>
          </cell>
          <cell r="AM665" t="str">
            <v>N/A</v>
          </cell>
          <cell r="AN665" t="str">
            <v>N/A</v>
          </cell>
          <cell r="AO665" t="str">
            <v>COMPLETED</v>
          </cell>
        </row>
        <row r="666">
          <cell r="A666" t="str">
            <v>24-C1296</v>
          </cell>
          <cell r="B666" t="str">
            <v>LABORATORY SUPPLIES</v>
          </cell>
          <cell r="C666" t="str">
            <v>PEEMO</v>
          </cell>
          <cell r="D666" t="str">
            <v>No</v>
          </cell>
          <cell r="E666" t="str">
            <v>Competitive Bidding</v>
          </cell>
          <cell r="F666">
            <v>45384</v>
          </cell>
          <cell r="G666">
            <v>45390</v>
          </cell>
          <cell r="H666">
            <v>0</v>
          </cell>
          <cell r="I666" t="str">
            <v>N/A</v>
          </cell>
          <cell r="J666">
            <v>45398</v>
          </cell>
          <cell r="K666">
            <v>45398</v>
          </cell>
          <cell r="L666">
            <v>0</v>
          </cell>
          <cell r="M666">
            <v>45398</v>
          </cell>
          <cell r="N666">
            <v>45422</v>
          </cell>
          <cell r="O666">
            <v>45428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45434</v>
          </cell>
          <cell r="U666">
            <v>45439</v>
          </cell>
          <cell r="V666">
            <v>0</v>
          </cell>
          <cell r="W666">
            <v>0</v>
          </cell>
          <cell r="X666">
            <v>45440</v>
          </cell>
          <cell r="Y666">
            <v>45440</v>
          </cell>
          <cell r="Z666">
            <v>0</v>
          </cell>
          <cell r="AA666">
            <v>884961</v>
          </cell>
          <cell r="AB666">
            <v>884961</v>
          </cell>
          <cell r="AC666">
            <v>0</v>
          </cell>
          <cell r="AD666">
            <v>620604</v>
          </cell>
          <cell r="AE666">
            <v>620604</v>
          </cell>
          <cell r="AF666">
            <v>0</v>
          </cell>
          <cell r="AG666" t="str">
            <v>M</v>
          </cell>
          <cell r="AH666" t="str">
            <v>ENGR. MICHAEL C. SALARDA
MS. LEONARDA M. LATOR
MS. CARMENCITA VALDEZ
MS. SORAYA P. VERGARA</v>
          </cell>
          <cell r="AI666" t="str">
            <v>N/A</v>
          </cell>
          <cell r="AJ666">
            <v>45406</v>
          </cell>
          <cell r="AK666">
            <v>45406</v>
          </cell>
          <cell r="AL666">
            <v>45406</v>
          </cell>
          <cell r="AM666" t="str">
            <v>N/A</v>
          </cell>
          <cell r="AN666" t="str">
            <v>N/A</v>
          </cell>
          <cell r="AO666" t="str">
            <v>COMPLETED</v>
          </cell>
        </row>
        <row r="667">
          <cell r="A667" t="str">
            <v>24-2144</v>
          </cell>
          <cell r="B667" t="str">
            <v>BRAND NEW, HYDRAULIC EXCVATOR, CRAWLER TYPE (MONO BOOM)</v>
          </cell>
          <cell r="C667" t="str">
            <v>PEO</v>
          </cell>
          <cell r="D667" t="str">
            <v>No</v>
          </cell>
          <cell r="E667" t="str">
            <v>Competitive Bidding</v>
          </cell>
          <cell r="F667" t="str">
            <v>N/A</v>
          </cell>
          <cell r="G667">
            <v>45376</v>
          </cell>
          <cell r="H667">
            <v>0</v>
          </cell>
          <cell r="I667">
            <v>45384</v>
          </cell>
          <cell r="J667">
            <v>45398</v>
          </cell>
          <cell r="K667">
            <v>45398</v>
          </cell>
          <cell r="L667">
            <v>0</v>
          </cell>
          <cell r="M667">
            <v>45398</v>
          </cell>
          <cell r="N667">
            <v>45422</v>
          </cell>
          <cell r="O667">
            <v>45428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45434</v>
          </cell>
          <cell r="U667">
            <v>45439</v>
          </cell>
          <cell r="V667">
            <v>0</v>
          </cell>
          <cell r="W667">
            <v>0</v>
          </cell>
          <cell r="X667">
            <v>45454</v>
          </cell>
          <cell r="Y667">
            <v>45454</v>
          </cell>
          <cell r="Z667">
            <v>0</v>
          </cell>
          <cell r="AA667">
            <v>20000000</v>
          </cell>
          <cell r="AB667">
            <v>0</v>
          </cell>
          <cell r="AC667">
            <v>20000000</v>
          </cell>
          <cell r="AD667">
            <v>19992000</v>
          </cell>
          <cell r="AE667">
            <v>0</v>
          </cell>
          <cell r="AF667">
            <v>19992000</v>
          </cell>
          <cell r="AG667" t="str">
            <v>C</v>
          </cell>
          <cell r="AH667" t="str">
            <v>ENGR. MICHAEL C. SALARDA
MS. LEONARDA M. LATOR
MS. CARMENCITA VALDEZ
MS. SORAYA P. VERGARA</v>
          </cell>
          <cell r="AI667">
            <v>45383</v>
          </cell>
          <cell r="AJ667">
            <v>45393</v>
          </cell>
          <cell r="AK667">
            <v>45393</v>
          </cell>
          <cell r="AL667">
            <v>45393</v>
          </cell>
          <cell r="AM667" t="str">
            <v>N/A</v>
          </cell>
          <cell r="AN667" t="str">
            <v>N/A</v>
          </cell>
          <cell r="AO667" t="str">
            <v>COMPLETED</v>
          </cell>
        </row>
        <row r="668">
          <cell r="A668" t="str">
            <v>24-1742</v>
          </cell>
          <cell r="B668" t="str">
            <v>JOB OUT: TIRE CHANGING &amp; VULCANIZING</v>
          </cell>
          <cell r="C668" t="str">
            <v>PGSO</v>
          </cell>
          <cell r="D668" t="str">
            <v>No</v>
          </cell>
          <cell r="E668" t="str">
            <v>Shopping 52.1(a) - Unforeseen Contingency</v>
          </cell>
          <cell r="F668" t="str">
            <v>N/A</v>
          </cell>
          <cell r="G668">
            <v>45404</v>
          </cell>
          <cell r="H668">
            <v>0</v>
          </cell>
          <cell r="I668" t="str">
            <v>N/A</v>
          </cell>
          <cell r="J668">
            <v>45426</v>
          </cell>
          <cell r="K668">
            <v>45426</v>
          </cell>
          <cell r="L668">
            <v>0</v>
          </cell>
          <cell r="M668" t="str">
            <v>N/A</v>
          </cell>
          <cell r="N668" t="str">
            <v>N/A</v>
          </cell>
          <cell r="O668">
            <v>45428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45434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700</v>
          </cell>
          <cell r="AB668">
            <v>700</v>
          </cell>
          <cell r="AC668">
            <v>0</v>
          </cell>
          <cell r="AD668">
            <v>700</v>
          </cell>
          <cell r="AE668">
            <v>700</v>
          </cell>
          <cell r="AF668">
            <v>0</v>
          </cell>
          <cell r="AG668" t="str">
            <v>M</v>
          </cell>
          <cell r="AH668" t="str">
            <v>ENGR. MICHAEL C. SALARDA
MS. LEONARDA M. LATOR
MS. CARMENCITA VALDEZ
MS. SORAYA P. VERGARA</v>
          </cell>
          <cell r="AI668" t="str">
            <v>N/A</v>
          </cell>
          <cell r="AJ668" t="str">
            <v>N/A</v>
          </cell>
          <cell r="AK668" t="str">
            <v>N/A</v>
          </cell>
          <cell r="AL668" t="str">
            <v>N/A</v>
          </cell>
          <cell r="AM668" t="str">
            <v>N/A</v>
          </cell>
          <cell r="AN668" t="str">
            <v>N/A</v>
          </cell>
          <cell r="AO668">
            <v>0</v>
          </cell>
        </row>
        <row r="669">
          <cell r="A669" t="str">
            <v>24-2463</v>
          </cell>
          <cell r="B669" t="str">
            <v>SPAREPARTS (LIGHT VEHICLES)</v>
          </cell>
          <cell r="C669" t="str">
            <v>PGSO</v>
          </cell>
          <cell r="D669" t="str">
            <v>No</v>
          </cell>
          <cell r="E669" t="str">
            <v>Shopping 52.1(a) - Unforeseen Contingency</v>
          </cell>
          <cell r="F669" t="str">
            <v>N/A</v>
          </cell>
          <cell r="G669">
            <v>45415</v>
          </cell>
          <cell r="H669">
            <v>0</v>
          </cell>
          <cell r="I669" t="str">
            <v>N/A</v>
          </cell>
          <cell r="J669">
            <v>45426</v>
          </cell>
          <cell r="K669">
            <v>45426</v>
          </cell>
          <cell r="L669">
            <v>0</v>
          </cell>
          <cell r="M669" t="str">
            <v>N/A</v>
          </cell>
          <cell r="N669" t="str">
            <v>N/A</v>
          </cell>
          <cell r="O669">
            <v>45428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45447</v>
          </cell>
          <cell r="U669">
            <v>45449</v>
          </cell>
          <cell r="V669">
            <v>0</v>
          </cell>
          <cell r="W669">
            <v>0</v>
          </cell>
          <cell r="X669">
            <v>45449</v>
          </cell>
          <cell r="Y669">
            <v>45449</v>
          </cell>
          <cell r="Z669">
            <v>0</v>
          </cell>
          <cell r="AA669">
            <v>7050</v>
          </cell>
          <cell r="AB669">
            <v>7050</v>
          </cell>
          <cell r="AC669">
            <v>0</v>
          </cell>
          <cell r="AD669">
            <v>7050</v>
          </cell>
          <cell r="AE669">
            <v>7050</v>
          </cell>
          <cell r="AF669">
            <v>0</v>
          </cell>
          <cell r="AG669" t="str">
            <v>M</v>
          </cell>
          <cell r="AH669" t="str">
            <v>ENGR. MICHAEL C. SALARDA
MS. LEONARDA M. LATOR
MS. CARMENCITA VALDEZ
MS. SORAYA P. VERGARA</v>
          </cell>
          <cell r="AI669" t="str">
            <v>N/A</v>
          </cell>
          <cell r="AJ669" t="str">
            <v>N/A</v>
          </cell>
          <cell r="AK669" t="str">
            <v>N/A</v>
          </cell>
          <cell r="AL669" t="str">
            <v>N/A</v>
          </cell>
          <cell r="AM669" t="str">
            <v>N/A</v>
          </cell>
          <cell r="AN669" t="str">
            <v>N/A</v>
          </cell>
          <cell r="AO669" t="str">
            <v>COMPLETED</v>
          </cell>
        </row>
        <row r="670">
          <cell r="A670" t="str">
            <v>24-2466</v>
          </cell>
          <cell r="B670" t="str">
            <v>SPAREPARTS (LIGHT VEHICLES)</v>
          </cell>
          <cell r="C670" t="str">
            <v>PGSO</v>
          </cell>
          <cell r="D670" t="str">
            <v>No</v>
          </cell>
          <cell r="E670" t="str">
            <v>Shopping 52.1(a) - Unforeseen Contingency</v>
          </cell>
          <cell r="F670" t="str">
            <v>N/A</v>
          </cell>
          <cell r="G670">
            <v>45415</v>
          </cell>
          <cell r="H670">
            <v>0</v>
          </cell>
          <cell r="I670" t="str">
            <v>N/A</v>
          </cell>
          <cell r="J670">
            <v>45426</v>
          </cell>
          <cell r="K670">
            <v>45426</v>
          </cell>
          <cell r="L670">
            <v>0</v>
          </cell>
          <cell r="M670" t="str">
            <v>N/A</v>
          </cell>
          <cell r="N670" t="str">
            <v>N/A</v>
          </cell>
          <cell r="O670">
            <v>45428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45434</v>
          </cell>
          <cell r="U670">
            <v>45450</v>
          </cell>
          <cell r="V670">
            <v>0</v>
          </cell>
          <cell r="W670">
            <v>0</v>
          </cell>
          <cell r="X670">
            <v>45450</v>
          </cell>
          <cell r="Y670">
            <v>45450</v>
          </cell>
          <cell r="Z670">
            <v>0</v>
          </cell>
          <cell r="AA670">
            <v>7450</v>
          </cell>
          <cell r="AB670">
            <v>7450</v>
          </cell>
          <cell r="AC670">
            <v>0</v>
          </cell>
          <cell r="AD670">
            <v>7450</v>
          </cell>
          <cell r="AE670">
            <v>7450</v>
          </cell>
          <cell r="AF670">
            <v>0</v>
          </cell>
          <cell r="AG670" t="str">
            <v>M</v>
          </cell>
          <cell r="AH670" t="str">
            <v>ENGR. MICHAEL C. SALARDA
MS. LEONARDA M. LATOR
MS. CARMENCITA VALDEZ
MS. SORAYA P. VERGARA</v>
          </cell>
          <cell r="AI670" t="str">
            <v>N/A</v>
          </cell>
          <cell r="AJ670" t="str">
            <v>N/A</v>
          </cell>
          <cell r="AK670" t="str">
            <v>N/A</v>
          </cell>
          <cell r="AL670" t="str">
            <v>N/A</v>
          </cell>
          <cell r="AM670" t="str">
            <v>N/A</v>
          </cell>
          <cell r="AN670" t="str">
            <v>N/A</v>
          </cell>
          <cell r="AO670" t="str">
            <v>COMPLETED</v>
          </cell>
        </row>
        <row r="671">
          <cell r="A671" t="str">
            <v>24-2465</v>
          </cell>
          <cell r="B671" t="str">
            <v>SPAREPARTS (MOTORCYCLE)</v>
          </cell>
          <cell r="C671" t="str">
            <v>PGSO</v>
          </cell>
          <cell r="D671" t="str">
            <v>No</v>
          </cell>
          <cell r="E671" t="str">
            <v>Shopping 52.1(a) - Unforeseen Contingency</v>
          </cell>
          <cell r="F671" t="str">
            <v>N/A</v>
          </cell>
          <cell r="G671">
            <v>45415</v>
          </cell>
          <cell r="H671">
            <v>0</v>
          </cell>
          <cell r="I671" t="str">
            <v>N/A</v>
          </cell>
          <cell r="J671">
            <v>45426</v>
          </cell>
          <cell r="K671">
            <v>45426</v>
          </cell>
          <cell r="L671">
            <v>0</v>
          </cell>
          <cell r="M671" t="str">
            <v>N/A</v>
          </cell>
          <cell r="N671" t="str">
            <v>N/A</v>
          </cell>
          <cell r="O671">
            <v>45428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45434</v>
          </cell>
          <cell r="U671">
            <v>45450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13020</v>
          </cell>
          <cell r="AB671">
            <v>13020</v>
          </cell>
          <cell r="AC671">
            <v>0</v>
          </cell>
          <cell r="AD671">
            <v>13020</v>
          </cell>
          <cell r="AE671">
            <v>13020</v>
          </cell>
          <cell r="AF671">
            <v>0</v>
          </cell>
          <cell r="AG671" t="str">
            <v>M</v>
          </cell>
          <cell r="AH671" t="str">
            <v>ENGR. MICHAEL C. SALARDA
MS. LEONARDA M. LATOR
MS. CARMENCITA VALDEZ
MS. SORAYA P. VERGARA</v>
          </cell>
          <cell r="AI671" t="str">
            <v>N/A</v>
          </cell>
          <cell r="AJ671" t="str">
            <v>N/A</v>
          </cell>
          <cell r="AK671" t="str">
            <v>N/A</v>
          </cell>
          <cell r="AL671" t="str">
            <v>N/A</v>
          </cell>
          <cell r="AM671" t="str">
            <v>N/A</v>
          </cell>
          <cell r="AN671" t="str">
            <v>N/A</v>
          </cell>
          <cell r="AO671">
            <v>0</v>
          </cell>
        </row>
        <row r="672">
          <cell r="A672" t="str">
            <v>24-2462</v>
          </cell>
          <cell r="B672" t="str">
            <v>SPAREPARTS (LIGHT VEHICLES)</v>
          </cell>
          <cell r="C672" t="str">
            <v>PGSO</v>
          </cell>
          <cell r="D672" t="str">
            <v>No</v>
          </cell>
          <cell r="E672" t="str">
            <v>Shopping 52.1(a) - Unforeseen Contingency</v>
          </cell>
          <cell r="F672" t="str">
            <v>N/A</v>
          </cell>
          <cell r="G672">
            <v>45415</v>
          </cell>
          <cell r="H672">
            <v>0</v>
          </cell>
          <cell r="I672" t="str">
            <v>N/A</v>
          </cell>
          <cell r="J672">
            <v>45426</v>
          </cell>
          <cell r="K672">
            <v>45426</v>
          </cell>
          <cell r="L672">
            <v>0</v>
          </cell>
          <cell r="M672" t="str">
            <v>N/A</v>
          </cell>
          <cell r="N672" t="str">
            <v>N/A</v>
          </cell>
          <cell r="O672">
            <v>45428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45434</v>
          </cell>
          <cell r="U672">
            <v>45449</v>
          </cell>
          <cell r="V672">
            <v>0</v>
          </cell>
          <cell r="W672">
            <v>0</v>
          </cell>
          <cell r="X672">
            <v>45449</v>
          </cell>
          <cell r="Y672">
            <v>45449</v>
          </cell>
          <cell r="Z672">
            <v>0</v>
          </cell>
          <cell r="AA672">
            <v>47000</v>
          </cell>
          <cell r="AB672">
            <v>47000</v>
          </cell>
          <cell r="AC672">
            <v>0</v>
          </cell>
          <cell r="AD672">
            <v>47000</v>
          </cell>
          <cell r="AE672">
            <v>47000</v>
          </cell>
          <cell r="AF672">
            <v>0</v>
          </cell>
          <cell r="AG672" t="str">
            <v>M</v>
          </cell>
          <cell r="AH672" t="str">
            <v>ENGR. MICHAEL C. SALARDA
MS. LEONARDA M. LATOR
MS. CARMENCITA VALDEZ
MS. SORAYA P. VERGARA</v>
          </cell>
          <cell r="AI672" t="str">
            <v>N/A</v>
          </cell>
          <cell r="AJ672" t="str">
            <v>N/A</v>
          </cell>
          <cell r="AK672" t="str">
            <v>N/A</v>
          </cell>
          <cell r="AL672" t="str">
            <v>N/A</v>
          </cell>
          <cell r="AM672" t="str">
            <v>N/A</v>
          </cell>
          <cell r="AN672" t="str">
            <v>N/A</v>
          </cell>
          <cell r="AO672" t="str">
            <v>COMPLETED</v>
          </cell>
        </row>
        <row r="673">
          <cell r="A673" t="str">
            <v>24-2473</v>
          </cell>
          <cell r="B673" t="str">
            <v>SPAREPARTS (MOTORCYCLE)</v>
          </cell>
          <cell r="C673" t="str">
            <v>PGSO</v>
          </cell>
          <cell r="D673" t="str">
            <v>No</v>
          </cell>
          <cell r="E673" t="str">
            <v>Shopping 52.1(a) - Unforeseen Contingency</v>
          </cell>
          <cell r="F673" t="str">
            <v>N/A</v>
          </cell>
          <cell r="G673">
            <v>45415</v>
          </cell>
          <cell r="H673">
            <v>0</v>
          </cell>
          <cell r="I673" t="str">
            <v>N/A</v>
          </cell>
          <cell r="J673">
            <v>45426</v>
          </cell>
          <cell r="K673">
            <v>45426</v>
          </cell>
          <cell r="L673">
            <v>0</v>
          </cell>
          <cell r="M673" t="str">
            <v>N/A</v>
          </cell>
          <cell r="N673" t="str">
            <v>N/A</v>
          </cell>
          <cell r="O673">
            <v>45428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45434</v>
          </cell>
          <cell r="U673">
            <v>45454</v>
          </cell>
          <cell r="V673">
            <v>0</v>
          </cell>
          <cell r="W673">
            <v>0</v>
          </cell>
          <cell r="X673">
            <v>45462</v>
          </cell>
          <cell r="Y673">
            <v>45462</v>
          </cell>
          <cell r="Z673">
            <v>0</v>
          </cell>
          <cell r="AA673">
            <v>6060</v>
          </cell>
          <cell r="AB673">
            <v>6060</v>
          </cell>
          <cell r="AC673">
            <v>0</v>
          </cell>
          <cell r="AD673">
            <v>6060</v>
          </cell>
          <cell r="AE673">
            <v>6060</v>
          </cell>
          <cell r="AF673">
            <v>0</v>
          </cell>
          <cell r="AG673" t="str">
            <v>M</v>
          </cell>
          <cell r="AH673" t="str">
            <v>ENGR. MICHAEL C. SALARDA
MS. LEONARDA M. LATOR
MS. CARMENCITA VALDEZ
MS. SORAYA P. VERGARA</v>
          </cell>
          <cell r="AI673" t="str">
            <v>N/A</v>
          </cell>
          <cell r="AJ673" t="str">
            <v>N/A</v>
          </cell>
          <cell r="AK673" t="str">
            <v>N/A</v>
          </cell>
          <cell r="AL673" t="str">
            <v>N/A</v>
          </cell>
          <cell r="AM673" t="str">
            <v>N/A</v>
          </cell>
          <cell r="AN673" t="str">
            <v>N/A</v>
          </cell>
          <cell r="AO673" t="str">
            <v>COMPLETED</v>
          </cell>
        </row>
        <row r="674">
          <cell r="A674" t="str">
            <v>24-2467</v>
          </cell>
          <cell r="B674" t="str">
            <v>SPAREPARTS (LIGHT VEHICLES)</v>
          </cell>
          <cell r="C674" t="str">
            <v>PGSO</v>
          </cell>
          <cell r="D674" t="str">
            <v>No</v>
          </cell>
          <cell r="E674" t="str">
            <v>Shopping 52.1(a) - Unforeseen Contingency</v>
          </cell>
          <cell r="F674" t="str">
            <v>N/A</v>
          </cell>
          <cell r="G674">
            <v>45415</v>
          </cell>
          <cell r="H674">
            <v>0</v>
          </cell>
          <cell r="I674" t="str">
            <v>N/A</v>
          </cell>
          <cell r="J674">
            <v>45426</v>
          </cell>
          <cell r="K674">
            <v>45426</v>
          </cell>
          <cell r="L674">
            <v>0</v>
          </cell>
          <cell r="M674" t="str">
            <v>N/A</v>
          </cell>
          <cell r="N674" t="str">
            <v>N/A</v>
          </cell>
          <cell r="O674">
            <v>45428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45435</v>
          </cell>
          <cell r="U674">
            <v>45450</v>
          </cell>
          <cell r="V674">
            <v>0</v>
          </cell>
          <cell r="W674">
            <v>0</v>
          </cell>
          <cell r="X674">
            <v>45450</v>
          </cell>
          <cell r="Y674">
            <v>45450</v>
          </cell>
          <cell r="Z674">
            <v>0</v>
          </cell>
          <cell r="AA674">
            <v>23100</v>
          </cell>
          <cell r="AB674">
            <v>23100</v>
          </cell>
          <cell r="AC674">
            <v>0</v>
          </cell>
          <cell r="AD674">
            <v>23100</v>
          </cell>
          <cell r="AE674">
            <v>23100</v>
          </cell>
          <cell r="AF674">
            <v>0</v>
          </cell>
          <cell r="AG674" t="str">
            <v>M</v>
          </cell>
          <cell r="AH674" t="str">
            <v>ENGR. MICHAEL C. SALARDA
MS. LEONARDA M. LATOR
MS. CARMENCITA VALDEZ
MS. SORAYA P. VERGARA</v>
          </cell>
          <cell r="AI674" t="str">
            <v>N/A</v>
          </cell>
          <cell r="AJ674" t="str">
            <v>N/A</v>
          </cell>
          <cell r="AK674" t="str">
            <v>N/A</v>
          </cell>
          <cell r="AL674" t="str">
            <v>N/A</v>
          </cell>
          <cell r="AM674" t="str">
            <v>N/A</v>
          </cell>
          <cell r="AN674" t="str">
            <v>N/A</v>
          </cell>
          <cell r="AO674" t="str">
            <v>COMPLETED</v>
          </cell>
        </row>
        <row r="675">
          <cell r="A675" t="str">
            <v>24-2556</v>
          </cell>
          <cell r="B675" t="str">
            <v>SPAREPARTS (HEAVY EQUIPT)</v>
          </cell>
          <cell r="C675" t="str">
            <v>PDRRMO</v>
          </cell>
          <cell r="D675" t="str">
            <v>No</v>
          </cell>
          <cell r="E675" t="str">
            <v>Shopping 52.1(a) - Unforeseen Contingency</v>
          </cell>
          <cell r="F675" t="str">
            <v>N/A</v>
          </cell>
          <cell r="G675">
            <v>45418</v>
          </cell>
          <cell r="H675">
            <v>0</v>
          </cell>
          <cell r="I675" t="str">
            <v>N/A</v>
          </cell>
          <cell r="J675">
            <v>45426</v>
          </cell>
          <cell r="K675">
            <v>45426</v>
          </cell>
          <cell r="L675">
            <v>0</v>
          </cell>
          <cell r="M675" t="str">
            <v>N/A</v>
          </cell>
          <cell r="N675" t="str">
            <v>N/A</v>
          </cell>
          <cell r="O675">
            <v>45428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45435</v>
          </cell>
          <cell r="U675">
            <v>45446</v>
          </cell>
          <cell r="V675">
            <v>0</v>
          </cell>
          <cell r="W675">
            <v>0</v>
          </cell>
          <cell r="X675">
            <v>45446</v>
          </cell>
          <cell r="Y675">
            <v>45446</v>
          </cell>
          <cell r="Z675">
            <v>0</v>
          </cell>
          <cell r="AA675">
            <v>33900</v>
          </cell>
          <cell r="AB675">
            <v>33900</v>
          </cell>
          <cell r="AC675">
            <v>0</v>
          </cell>
          <cell r="AD675">
            <v>33900</v>
          </cell>
          <cell r="AE675">
            <v>33900</v>
          </cell>
          <cell r="AF675">
            <v>0</v>
          </cell>
          <cell r="AG675" t="str">
            <v>M</v>
          </cell>
          <cell r="AH675" t="str">
            <v>ENGR. MICHAEL C. SALARDA
MS. LEONARDA M. LATOR
MS. CARMENCITA VALDEZ
MS. SORAYA P. VERGARA</v>
          </cell>
          <cell r="AI675" t="str">
            <v>N/A</v>
          </cell>
          <cell r="AJ675" t="str">
            <v>N/A</v>
          </cell>
          <cell r="AK675" t="str">
            <v>N/A</v>
          </cell>
          <cell r="AL675" t="str">
            <v>N/A</v>
          </cell>
          <cell r="AM675" t="str">
            <v>N/A</v>
          </cell>
          <cell r="AN675" t="str">
            <v>N/A</v>
          </cell>
          <cell r="AO675" t="str">
            <v>COMPLETED</v>
          </cell>
        </row>
        <row r="676">
          <cell r="A676" t="str">
            <v>24-2174</v>
          </cell>
          <cell r="B676" t="str">
            <v>OFFICE SUPPLIES</v>
          </cell>
          <cell r="C676" t="str">
            <v>PGO</v>
          </cell>
          <cell r="D676" t="str">
            <v>No</v>
          </cell>
          <cell r="E676" t="str">
            <v>Shopping 52.1(b) - Regular Office Supplies and Equipment no available in PS</v>
          </cell>
          <cell r="F676">
            <v>45390</v>
          </cell>
          <cell r="G676">
            <v>45397</v>
          </cell>
          <cell r="H676">
            <v>0</v>
          </cell>
          <cell r="I676" t="str">
            <v>N/A</v>
          </cell>
          <cell r="J676">
            <v>45426</v>
          </cell>
          <cell r="K676">
            <v>45426</v>
          </cell>
          <cell r="L676">
            <v>0</v>
          </cell>
          <cell r="M676" t="str">
            <v>N/A</v>
          </cell>
          <cell r="N676" t="str">
            <v>N/A</v>
          </cell>
          <cell r="O676">
            <v>45428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45434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53678</v>
          </cell>
          <cell r="AB676">
            <v>0</v>
          </cell>
          <cell r="AC676">
            <v>53678</v>
          </cell>
          <cell r="AD676">
            <v>53678</v>
          </cell>
          <cell r="AE676">
            <v>0</v>
          </cell>
          <cell r="AF676">
            <v>53678</v>
          </cell>
          <cell r="AG676" t="str">
            <v>C</v>
          </cell>
          <cell r="AH676" t="str">
            <v>ENGR. MICHAEL C. SALARDA
MS. LEONARDA M. LATOR
MS. CARMENCITA VALDEZ
MS. SORAYA P. VERGARA</v>
          </cell>
          <cell r="AI676" t="str">
            <v>N/A</v>
          </cell>
          <cell r="AJ676" t="str">
            <v>N/A</v>
          </cell>
          <cell r="AK676" t="str">
            <v>N/A</v>
          </cell>
          <cell r="AL676" t="str">
            <v>N/A</v>
          </cell>
          <cell r="AM676" t="str">
            <v>N/A</v>
          </cell>
          <cell r="AN676" t="str">
            <v>N/A</v>
          </cell>
          <cell r="AO676">
            <v>0</v>
          </cell>
        </row>
        <row r="677">
          <cell r="A677" t="str">
            <v>24-2589</v>
          </cell>
          <cell r="B677" t="str">
            <v>DUPLICATING PRODUCTS/SPAREPARTS</v>
          </cell>
          <cell r="C677" t="str">
            <v>SPO</v>
          </cell>
          <cell r="D677" t="str">
            <v>No</v>
          </cell>
          <cell r="E677" t="str">
            <v>Direct Contracting</v>
          </cell>
          <cell r="F677" t="str">
            <v>N/A</v>
          </cell>
          <cell r="G677">
            <v>45422</v>
          </cell>
          <cell r="H677">
            <v>0</v>
          </cell>
          <cell r="I677" t="str">
            <v>N/A</v>
          </cell>
          <cell r="J677">
            <v>45426</v>
          </cell>
          <cell r="K677">
            <v>45426</v>
          </cell>
          <cell r="L677">
            <v>0</v>
          </cell>
          <cell r="M677" t="str">
            <v>N/A</v>
          </cell>
          <cell r="N677" t="str">
            <v>N/A</v>
          </cell>
          <cell r="O677">
            <v>45428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45467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44301</v>
          </cell>
          <cell r="AB677">
            <v>44301</v>
          </cell>
          <cell r="AC677">
            <v>0</v>
          </cell>
          <cell r="AD677">
            <v>42261</v>
          </cell>
          <cell r="AE677">
            <v>42261</v>
          </cell>
          <cell r="AF677">
            <v>0</v>
          </cell>
          <cell r="AG677" t="str">
            <v>M</v>
          </cell>
          <cell r="AH677" t="str">
            <v>ENGR. MICHAEL C. SALARDA
MS. LEONARDA M. LATOR
MS. CARMENCITA VALDEZ
MS. SORAYA P. VERGARA</v>
          </cell>
          <cell r="AI677" t="str">
            <v>N/A</v>
          </cell>
          <cell r="AJ677" t="str">
            <v>N/A</v>
          </cell>
          <cell r="AK677" t="str">
            <v>N/A</v>
          </cell>
          <cell r="AL677" t="str">
            <v>N/A</v>
          </cell>
          <cell r="AM677" t="str">
            <v>N/A</v>
          </cell>
          <cell r="AN677" t="str">
            <v>N/A</v>
          </cell>
          <cell r="AO677">
            <v>0</v>
          </cell>
        </row>
        <row r="678">
          <cell r="A678" t="str">
            <v>24-1433</v>
          </cell>
          <cell r="B678" t="str">
            <v>SERVICES</v>
          </cell>
          <cell r="C678" t="str">
            <v>PDRRMO</v>
          </cell>
          <cell r="D678" t="str">
            <v>No</v>
          </cell>
          <cell r="E678" t="str">
            <v>Direct Contracting</v>
          </cell>
          <cell r="F678">
            <v>45356</v>
          </cell>
          <cell r="G678">
            <v>45418</v>
          </cell>
          <cell r="H678">
            <v>0</v>
          </cell>
          <cell r="I678" t="str">
            <v>N/A</v>
          </cell>
          <cell r="J678">
            <v>45426</v>
          </cell>
          <cell r="K678">
            <v>45426</v>
          </cell>
          <cell r="L678">
            <v>0</v>
          </cell>
          <cell r="M678" t="str">
            <v>N/A</v>
          </cell>
          <cell r="N678" t="str">
            <v>N/A</v>
          </cell>
          <cell r="O678">
            <v>45428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45439</v>
          </cell>
          <cell r="U678">
            <v>45456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29880</v>
          </cell>
          <cell r="AB678">
            <v>0</v>
          </cell>
          <cell r="AC678">
            <v>29880</v>
          </cell>
          <cell r="AD678">
            <v>29880</v>
          </cell>
          <cell r="AE678">
            <v>0</v>
          </cell>
          <cell r="AF678">
            <v>29880</v>
          </cell>
          <cell r="AG678" t="str">
            <v>C</v>
          </cell>
          <cell r="AH678" t="str">
            <v>ENGR. MICHAEL C. SALARDA
MS. LEONARDA M. LATOR
MS. CARMENCITA VALDEZ
MS. SORAYA P. VERGARA</v>
          </cell>
          <cell r="AI678" t="str">
            <v>N/A</v>
          </cell>
          <cell r="AJ678" t="str">
            <v>N/A</v>
          </cell>
          <cell r="AK678" t="str">
            <v>N/A</v>
          </cell>
          <cell r="AL678" t="str">
            <v>N/A</v>
          </cell>
          <cell r="AM678" t="str">
            <v>N/A</v>
          </cell>
          <cell r="AN678" t="str">
            <v>N/A</v>
          </cell>
          <cell r="AO678">
            <v>0</v>
          </cell>
        </row>
        <row r="679">
          <cell r="A679" t="str">
            <v>24-C1049</v>
          </cell>
          <cell r="B679" t="str">
            <v>SPAREPARTS (HEAVY EQUIPT)</v>
          </cell>
          <cell r="C679" t="str">
            <v>PEO-Motorpool</v>
          </cell>
          <cell r="D679" t="str">
            <v>No</v>
          </cell>
          <cell r="E679" t="str">
            <v>Direct Contracting</v>
          </cell>
          <cell r="F679" t="str">
            <v>N/A</v>
          </cell>
          <cell r="G679">
            <v>45422</v>
          </cell>
          <cell r="H679">
            <v>0</v>
          </cell>
          <cell r="I679" t="str">
            <v>N/A</v>
          </cell>
          <cell r="J679">
            <v>45426</v>
          </cell>
          <cell r="K679">
            <v>45426</v>
          </cell>
          <cell r="L679">
            <v>0</v>
          </cell>
          <cell r="M679" t="str">
            <v>N/A</v>
          </cell>
          <cell r="N679" t="str">
            <v>N/A</v>
          </cell>
          <cell r="O679">
            <v>45428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45436</v>
          </cell>
          <cell r="U679">
            <v>45440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2666830.2000000002</v>
          </cell>
          <cell r="AB679">
            <v>2666830.2000000002</v>
          </cell>
          <cell r="AC679">
            <v>0</v>
          </cell>
          <cell r="AD679">
            <v>2666830.2000000002</v>
          </cell>
          <cell r="AE679">
            <v>2666830.2000000002</v>
          </cell>
          <cell r="AF679">
            <v>0</v>
          </cell>
          <cell r="AG679" t="str">
            <v>M</v>
          </cell>
          <cell r="AH679" t="str">
            <v>ENGR. MICHAEL C. SALARDA
MS. LEONARDA M. LATOR
MS. CARMENCITA VALDEZ
MS. SORAYA P. VERGARA</v>
          </cell>
          <cell r="AI679" t="str">
            <v>N/A</v>
          </cell>
          <cell r="AJ679" t="str">
            <v>N/A</v>
          </cell>
          <cell r="AK679" t="str">
            <v>N/A</v>
          </cell>
          <cell r="AL679" t="str">
            <v>N/A</v>
          </cell>
          <cell r="AM679" t="str">
            <v>N/A</v>
          </cell>
          <cell r="AN679" t="str">
            <v>N/A</v>
          </cell>
          <cell r="AO679">
            <v>0</v>
          </cell>
        </row>
        <row r="680">
          <cell r="A680" t="str">
            <v>24-C1047</v>
          </cell>
          <cell r="B680" t="str">
            <v>SPAREPARTS (LIGHT VEHICLES)</v>
          </cell>
          <cell r="C680" t="str">
            <v>PEO-Motorpool</v>
          </cell>
          <cell r="D680" t="str">
            <v>No</v>
          </cell>
          <cell r="E680" t="str">
            <v>Direct Contracting</v>
          </cell>
          <cell r="F680" t="str">
            <v>N/A</v>
          </cell>
          <cell r="G680">
            <v>45422</v>
          </cell>
          <cell r="H680">
            <v>0</v>
          </cell>
          <cell r="I680" t="str">
            <v>N/A</v>
          </cell>
          <cell r="J680">
            <v>45426</v>
          </cell>
          <cell r="K680">
            <v>45426</v>
          </cell>
          <cell r="L680">
            <v>0</v>
          </cell>
          <cell r="M680" t="str">
            <v>N/A</v>
          </cell>
          <cell r="N680" t="str">
            <v>N/A</v>
          </cell>
          <cell r="O680">
            <v>45428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45434</v>
          </cell>
          <cell r="U680">
            <v>45440</v>
          </cell>
          <cell r="V680">
            <v>0</v>
          </cell>
          <cell r="W680">
            <v>0</v>
          </cell>
          <cell r="X680">
            <v>45453</v>
          </cell>
          <cell r="Y680">
            <v>45453</v>
          </cell>
          <cell r="Z680">
            <v>0</v>
          </cell>
          <cell r="AA680">
            <v>2039316.05</v>
          </cell>
          <cell r="AB680">
            <v>2039316.05</v>
          </cell>
          <cell r="AC680">
            <v>0</v>
          </cell>
          <cell r="AD680">
            <v>2031333</v>
          </cell>
          <cell r="AE680">
            <v>2031333</v>
          </cell>
          <cell r="AF680">
            <v>0</v>
          </cell>
          <cell r="AG680" t="str">
            <v>M</v>
          </cell>
          <cell r="AH680" t="str">
            <v>ENGR. MICHAEL C. SALARDA
MS. LEONARDA M. LATOR
MS. CARMENCITA VALDEZ
MS. SORAYA P. VERGARA</v>
          </cell>
          <cell r="AI680" t="str">
            <v>N/A</v>
          </cell>
          <cell r="AJ680" t="str">
            <v>N/A</v>
          </cell>
          <cell r="AK680" t="str">
            <v>N/A</v>
          </cell>
          <cell r="AL680" t="str">
            <v>N/A</v>
          </cell>
          <cell r="AM680" t="str">
            <v>N/A</v>
          </cell>
          <cell r="AN680" t="str">
            <v>N/A</v>
          </cell>
          <cell r="AO680" t="str">
            <v>COMPLETED</v>
          </cell>
        </row>
        <row r="681">
          <cell r="A681" t="str">
            <v>24-C1168</v>
          </cell>
          <cell r="B681" t="str">
            <v>FOOD/CATERING SERVICES</v>
          </cell>
          <cell r="C681" t="str">
            <v>PVO</v>
          </cell>
          <cell r="D681" t="str">
            <v>No</v>
          </cell>
          <cell r="E681" t="str">
            <v>NP-53.9 - Small Value Procurement</v>
          </cell>
          <cell r="F681" t="str">
            <v>N/A</v>
          </cell>
          <cell r="G681">
            <v>45404</v>
          </cell>
          <cell r="H681">
            <v>0</v>
          </cell>
          <cell r="I681" t="str">
            <v>N/A</v>
          </cell>
          <cell r="J681">
            <v>45426</v>
          </cell>
          <cell r="K681">
            <v>45426</v>
          </cell>
          <cell r="L681">
            <v>0</v>
          </cell>
          <cell r="M681" t="str">
            <v>N/A</v>
          </cell>
          <cell r="N681" t="str">
            <v>N/A</v>
          </cell>
          <cell r="O681">
            <v>45428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45433</v>
          </cell>
          <cell r="U681">
            <v>45447</v>
          </cell>
          <cell r="V681">
            <v>0</v>
          </cell>
          <cell r="W681">
            <v>0</v>
          </cell>
          <cell r="X681">
            <v>45454</v>
          </cell>
          <cell r="Y681">
            <v>45454</v>
          </cell>
          <cell r="Z681">
            <v>0</v>
          </cell>
          <cell r="AA681">
            <v>167820</v>
          </cell>
          <cell r="AB681">
            <v>167820</v>
          </cell>
          <cell r="AC681">
            <v>0</v>
          </cell>
          <cell r="AD681">
            <v>166868</v>
          </cell>
          <cell r="AE681">
            <v>166868</v>
          </cell>
          <cell r="AF681">
            <v>0</v>
          </cell>
          <cell r="AG681" t="str">
            <v>M</v>
          </cell>
          <cell r="AH681" t="str">
            <v>ENGR. MICHAEL C. SALARDA
MS. LEONARDA M. LATOR
MS. CARMENCITA VALDEZ
MS. SORAYA P. VERGARA</v>
          </cell>
          <cell r="AI681" t="str">
            <v>N/A</v>
          </cell>
          <cell r="AJ681" t="str">
            <v>N/A</v>
          </cell>
          <cell r="AK681" t="str">
            <v>N/A</v>
          </cell>
          <cell r="AL681" t="str">
            <v>N/A</v>
          </cell>
          <cell r="AM681" t="str">
            <v>N/A</v>
          </cell>
          <cell r="AN681" t="str">
            <v>N/A</v>
          </cell>
          <cell r="AO681" t="str">
            <v>COMPLETED</v>
          </cell>
        </row>
        <row r="682">
          <cell r="A682" t="str">
            <v>24-C1353</v>
          </cell>
          <cell r="B682" t="str">
            <v>FLOWERS &amp; DECORATION</v>
          </cell>
          <cell r="C682" t="str">
            <v>PGO</v>
          </cell>
          <cell r="D682" t="str">
            <v>No</v>
          </cell>
          <cell r="E682" t="str">
            <v>NP-53.9 - Small Value Procurement</v>
          </cell>
          <cell r="F682" t="str">
            <v>N/A</v>
          </cell>
          <cell r="G682">
            <v>45422</v>
          </cell>
          <cell r="H682">
            <v>0</v>
          </cell>
          <cell r="I682" t="str">
            <v>N/A</v>
          </cell>
          <cell r="J682">
            <v>45426</v>
          </cell>
          <cell r="K682">
            <v>45426</v>
          </cell>
          <cell r="L682">
            <v>0</v>
          </cell>
          <cell r="M682" t="str">
            <v>N/A</v>
          </cell>
          <cell r="N682" t="str">
            <v>N/A</v>
          </cell>
          <cell r="O682">
            <v>45428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45435</v>
          </cell>
          <cell r="U682">
            <v>45436</v>
          </cell>
          <cell r="V682">
            <v>0</v>
          </cell>
          <cell r="W682">
            <v>0</v>
          </cell>
          <cell r="X682">
            <v>45449</v>
          </cell>
          <cell r="Y682">
            <v>45449</v>
          </cell>
          <cell r="Z682">
            <v>0</v>
          </cell>
          <cell r="AA682">
            <v>49950</v>
          </cell>
          <cell r="AB682">
            <v>0</v>
          </cell>
          <cell r="AC682">
            <v>49950</v>
          </cell>
          <cell r="AD682">
            <v>49910</v>
          </cell>
          <cell r="AE682">
            <v>0</v>
          </cell>
          <cell r="AF682">
            <v>49910</v>
          </cell>
          <cell r="AG682" t="str">
            <v>C</v>
          </cell>
          <cell r="AH682" t="str">
            <v>ENGR. MICHAEL C. SALARDA
MS. LEONARDA M. LATOR
MS. CARMENCITA VALDEZ
MS. SORAYA P. VERGARA</v>
          </cell>
          <cell r="AI682" t="str">
            <v>N/A</v>
          </cell>
          <cell r="AJ682" t="str">
            <v>N/A</v>
          </cell>
          <cell r="AK682" t="str">
            <v>N/A</v>
          </cell>
          <cell r="AL682" t="str">
            <v>N/A</v>
          </cell>
          <cell r="AM682" t="str">
            <v>N/A</v>
          </cell>
          <cell r="AN682" t="str">
            <v>N/A</v>
          </cell>
          <cell r="AO682" t="str">
            <v>COMPLETED</v>
          </cell>
        </row>
        <row r="683">
          <cell r="A683" t="str">
            <v>24-2525</v>
          </cell>
          <cell r="B683" t="str">
            <v>SAFETY PINS &amp; THUMBSTACKS</v>
          </cell>
          <cell r="C683" t="str">
            <v>PGO</v>
          </cell>
          <cell r="D683" t="str">
            <v>No</v>
          </cell>
          <cell r="E683" t="str">
            <v>NP-53.9 - Small Value Procurement</v>
          </cell>
          <cell r="F683" t="str">
            <v>N/A</v>
          </cell>
          <cell r="G683">
            <v>45422</v>
          </cell>
          <cell r="H683">
            <v>0</v>
          </cell>
          <cell r="I683" t="str">
            <v>N/A</v>
          </cell>
          <cell r="J683">
            <v>45426</v>
          </cell>
          <cell r="K683">
            <v>45426</v>
          </cell>
          <cell r="L683">
            <v>0</v>
          </cell>
          <cell r="M683" t="str">
            <v>N/A</v>
          </cell>
          <cell r="N683" t="str">
            <v>N/A</v>
          </cell>
          <cell r="O683">
            <v>45428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45435</v>
          </cell>
          <cell r="U683">
            <v>45436</v>
          </cell>
          <cell r="V683">
            <v>0</v>
          </cell>
          <cell r="W683">
            <v>0</v>
          </cell>
          <cell r="X683">
            <v>45440</v>
          </cell>
          <cell r="Y683">
            <v>45440</v>
          </cell>
          <cell r="Z683">
            <v>0</v>
          </cell>
          <cell r="AA683">
            <v>540</v>
          </cell>
          <cell r="AB683">
            <v>0</v>
          </cell>
          <cell r="AC683">
            <v>540</v>
          </cell>
          <cell r="AD683">
            <v>520</v>
          </cell>
          <cell r="AE683">
            <v>0</v>
          </cell>
          <cell r="AF683">
            <v>520</v>
          </cell>
          <cell r="AG683" t="str">
            <v>C</v>
          </cell>
          <cell r="AH683" t="str">
            <v>ENGR. MICHAEL C. SALARDA
MS. LEONARDA M. LATOR
MS. CARMENCITA VALDEZ
MS. SORAYA P. VERGARA</v>
          </cell>
          <cell r="AI683" t="str">
            <v>N/A</v>
          </cell>
          <cell r="AJ683" t="str">
            <v>N/A</v>
          </cell>
          <cell r="AK683" t="str">
            <v>N/A</v>
          </cell>
          <cell r="AL683" t="str">
            <v>N/A</v>
          </cell>
          <cell r="AM683" t="str">
            <v>N/A</v>
          </cell>
          <cell r="AN683" t="str">
            <v>N/A</v>
          </cell>
          <cell r="AO683" t="str">
            <v>COMPLETED</v>
          </cell>
        </row>
        <row r="684">
          <cell r="A684" t="str">
            <v>24-1324</v>
          </cell>
          <cell r="B684" t="str">
            <v>CLOTH,PONGEE</v>
          </cell>
          <cell r="C684" t="str">
            <v>PGSO</v>
          </cell>
          <cell r="D684" t="str">
            <v>No</v>
          </cell>
          <cell r="E684" t="str">
            <v>NP-53.9 - Small Value Procurement</v>
          </cell>
          <cell r="F684" t="str">
            <v>N/A</v>
          </cell>
          <cell r="G684">
            <v>45376</v>
          </cell>
          <cell r="H684">
            <v>0</v>
          </cell>
          <cell r="I684" t="str">
            <v>N/A</v>
          </cell>
          <cell r="J684">
            <v>45426</v>
          </cell>
          <cell r="K684">
            <v>45426</v>
          </cell>
          <cell r="L684">
            <v>0</v>
          </cell>
          <cell r="M684" t="str">
            <v>N/A</v>
          </cell>
          <cell r="N684" t="str">
            <v>N/A</v>
          </cell>
          <cell r="O684">
            <v>45428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45434</v>
          </cell>
          <cell r="U684">
            <v>45449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25000</v>
          </cell>
          <cell r="AB684">
            <v>25000</v>
          </cell>
          <cell r="AC684">
            <v>0</v>
          </cell>
          <cell r="AD684">
            <v>24975</v>
          </cell>
          <cell r="AE684">
            <v>24975</v>
          </cell>
          <cell r="AF684">
            <v>0</v>
          </cell>
          <cell r="AG684" t="str">
            <v>M</v>
          </cell>
          <cell r="AH684" t="str">
            <v>ENGR. MICHAEL C. SALARDA
MS. LEONARDA M. LATOR
MS. CARMENCITA VALDEZ
MS. SORAYA P. VERGARA</v>
          </cell>
          <cell r="AI684" t="str">
            <v>N/A</v>
          </cell>
          <cell r="AJ684" t="str">
            <v>N/A</v>
          </cell>
          <cell r="AK684" t="str">
            <v>N/A</v>
          </cell>
          <cell r="AL684" t="str">
            <v>N/A</v>
          </cell>
          <cell r="AM684" t="str">
            <v>N/A</v>
          </cell>
          <cell r="AN684" t="str">
            <v>N/A</v>
          </cell>
          <cell r="AO684">
            <v>0</v>
          </cell>
        </row>
        <row r="685">
          <cell r="A685" t="str">
            <v>24-2528</v>
          </cell>
          <cell r="B685" t="str">
            <v>CLOTH,PONGEE</v>
          </cell>
          <cell r="C685" t="str">
            <v>PGO</v>
          </cell>
          <cell r="D685" t="str">
            <v>No</v>
          </cell>
          <cell r="E685" t="str">
            <v>NP-53.9 - Small Value Procurement</v>
          </cell>
          <cell r="F685" t="str">
            <v>N/A</v>
          </cell>
          <cell r="G685">
            <v>45412</v>
          </cell>
          <cell r="H685">
            <v>0</v>
          </cell>
          <cell r="I685" t="str">
            <v>N/A</v>
          </cell>
          <cell r="J685">
            <v>45426</v>
          </cell>
          <cell r="K685">
            <v>45426</v>
          </cell>
          <cell r="L685">
            <v>0</v>
          </cell>
          <cell r="M685" t="str">
            <v>N/A</v>
          </cell>
          <cell r="N685" t="str">
            <v>N/A</v>
          </cell>
          <cell r="O685">
            <v>45428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45436</v>
          </cell>
          <cell r="U685">
            <v>45436</v>
          </cell>
          <cell r="V685">
            <v>0</v>
          </cell>
          <cell r="W685">
            <v>0</v>
          </cell>
          <cell r="X685">
            <v>45440</v>
          </cell>
          <cell r="Y685">
            <v>45440</v>
          </cell>
          <cell r="Z685">
            <v>0</v>
          </cell>
          <cell r="AA685">
            <v>5700</v>
          </cell>
          <cell r="AB685">
            <v>0</v>
          </cell>
          <cell r="AC685">
            <v>5700</v>
          </cell>
          <cell r="AD685">
            <v>5694</v>
          </cell>
          <cell r="AE685">
            <v>0</v>
          </cell>
          <cell r="AF685">
            <v>5694</v>
          </cell>
          <cell r="AG685" t="str">
            <v>C</v>
          </cell>
          <cell r="AH685" t="str">
            <v>ENGR. MICHAEL C. SALARDA
MS. LEONARDA M. LATOR
MS. CARMENCITA VALDEZ
MS. SORAYA P. VERGARA</v>
          </cell>
          <cell r="AI685" t="str">
            <v>N/A</v>
          </cell>
          <cell r="AJ685" t="str">
            <v>N/A</v>
          </cell>
          <cell r="AK685" t="str">
            <v>N/A</v>
          </cell>
          <cell r="AL685" t="str">
            <v>N/A</v>
          </cell>
          <cell r="AM685" t="str">
            <v>N/A</v>
          </cell>
          <cell r="AN685" t="str">
            <v>N/A</v>
          </cell>
          <cell r="AO685" t="str">
            <v>COMPLETED</v>
          </cell>
        </row>
        <row r="686">
          <cell r="A686" t="str">
            <v>24-C1326</v>
          </cell>
          <cell r="B686" t="str">
            <v>PLUMBING SUPPLIES</v>
          </cell>
          <cell r="C686" t="str">
            <v>PEEMO</v>
          </cell>
          <cell r="D686" t="str">
            <v>No</v>
          </cell>
          <cell r="E686" t="str">
            <v>NP-53.9 - Small Value Procurement</v>
          </cell>
          <cell r="F686" t="str">
            <v>N/A</v>
          </cell>
          <cell r="G686">
            <v>45397</v>
          </cell>
          <cell r="H686">
            <v>0</v>
          </cell>
          <cell r="I686" t="str">
            <v>N/A</v>
          </cell>
          <cell r="J686">
            <v>45426</v>
          </cell>
          <cell r="K686">
            <v>45426</v>
          </cell>
          <cell r="L686">
            <v>0</v>
          </cell>
          <cell r="M686" t="str">
            <v>N/A</v>
          </cell>
          <cell r="N686" t="str">
            <v>N/A</v>
          </cell>
          <cell r="O686">
            <v>45428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45436</v>
          </cell>
          <cell r="U686">
            <v>45440</v>
          </cell>
          <cell r="V686">
            <v>0</v>
          </cell>
          <cell r="W686">
            <v>0</v>
          </cell>
          <cell r="X686">
            <v>45454</v>
          </cell>
          <cell r="Y686">
            <v>45454</v>
          </cell>
          <cell r="Z686">
            <v>0</v>
          </cell>
          <cell r="AA686">
            <v>44979</v>
          </cell>
          <cell r="AB686">
            <v>44979</v>
          </cell>
          <cell r="AC686">
            <v>0</v>
          </cell>
          <cell r="AD686">
            <v>44891</v>
          </cell>
          <cell r="AE686">
            <v>44891</v>
          </cell>
          <cell r="AF686">
            <v>0</v>
          </cell>
          <cell r="AG686" t="str">
            <v>M</v>
          </cell>
          <cell r="AH686" t="str">
            <v>ENGR. MICHAEL C. SALARDA
MS. LEONARDA M. LATOR
MS. CARMENCITA VALDEZ
MS. SORAYA P. VERGARA</v>
          </cell>
          <cell r="AI686" t="str">
            <v>N/A</v>
          </cell>
          <cell r="AJ686" t="str">
            <v>N/A</v>
          </cell>
          <cell r="AK686" t="str">
            <v>N/A</v>
          </cell>
          <cell r="AL686" t="str">
            <v>N/A</v>
          </cell>
          <cell r="AM686" t="str">
            <v>N/A</v>
          </cell>
          <cell r="AN686" t="str">
            <v>N/A</v>
          </cell>
          <cell r="AO686" t="str">
            <v>COMPLETED</v>
          </cell>
        </row>
        <row r="687">
          <cell r="A687" t="str">
            <v>24-2562</v>
          </cell>
          <cell r="B687" t="str">
            <v>COMPUTER SET &amp; PRINTER</v>
          </cell>
          <cell r="C687" t="str">
            <v>PENRO</v>
          </cell>
          <cell r="D687" t="str">
            <v>No</v>
          </cell>
          <cell r="E687" t="str">
            <v>NP-53.9 - Small Value Procurement</v>
          </cell>
          <cell r="F687" t="str">
            <v>N/A</v>
          </cell>
          <cell r="G687">
            <v>45418</v>
          </cell>
          <cell r="H687">
            <v>0</v>
          </cell>
          <cell r="I687" t="str">
            <v>N/A</v>
          </cell>
          <cell r="J687">
            <v>45426</v>
          </cell>
          <cell r="K687">
            <v>45426</v>
          </cell>
          <cell r="L687">
            <v>0</v>
          </cell>
          <cell r="M687" t="str">
            <v>N/A</v>
          </cell>
          <cell r="N687" t="str">
            <v>N/A</v>
          </cell>
          <cell r="O687">
            <v>45428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45434</v>
          </cell>
          <cell r="U687">
            <v>45441</v>
          </cell>
          <cell r="V687">
            <v>0</v>
          </cell>
          <cell r="W687">
            <v>0</v>
          </cell>
          <cell r="X687">
            <v>45453</v>
          </cell>
          <cell r="Y687">
            <v>45453</v>
          </cell>
          <cell r="Z687">
            <v>0</v>
          </cell>
          <cell r="AA687">
            <v>58420</v>
          </cell>
          <cell r="AB687">
            <v>58420</v>
          </cell>
          <cell r="AC687">
            <v>0</v>
          </cell>
          <cell r="AD687">
            <v>58200</v>
          </cell>
          <cell r="AE687">
            <v>58200</v>
          </cell>
          <cell r="AF687">
            <v>0</v>
          </cell>
          <cell r="AG687" t="str">
            <v>M</v>
          </cell>
          <cell r="AH687" t="str">
            <v>ENGR. MICHAEL C. SALARDA
MS. LEONARDA M. LATOR
MS. CARMENCITA VALDEZ
MS. SORAYA P. VERGARA</v>
          </cell>
          <cell r="AI687" t="str">
            <v>N/A</v>
          </cell>
          <cell r="AJ687" t="str">
            <v>N/A</v>
          </cell>
          <cell r="AK687" t="str">
            <v>N/A</v>
          </cell>
          <cell r="AL687" t="str">
            <v>N/A</v>
          </cell>
          <cell r="AM687" t="str">
            <v>N/A</v>
          </cell>
          <cell r="AN687" t="str">
            <v>N/A</v>
          </cell>
          <cell r="AO687" t="str">
            <v>COMPLETED</v>
          </cell>
        </row>
        <row r="688">
          <cell r="A688" t="str">
            <v>24-2546</v>
          </cell>
          <cell r="B688" t="str">
            <v>WATER DISPENSER</v>
          </cell>
          <cell r="C688" t="str">
            <v>PENRO</v>
          </cell>
          <cell r="D688" t="str">
            <v>No</v>
          </cell>
          <cell r="E688" t="str">
            <v>NP-53.9 - Small Value Procurement</v>
          </cell>
          <cell r="F688" t="str">
            <v>N/A</v>
          </cell>
          <cell r="G688">
            <v>45418</v>
          </cell>
          <cell r="H688">
            <v>0</v>
          </cell>
          <cell r="I688" t="str">
            <v>N/A</v>
          </cell>
          <cell r="J688">
            <v>45426</v>
          </cell>
          <cell r="K688">
            <v>45426</v>
          </cell>
          <cell r="L688">
            <v>0</v>
          </cell>
          <cell r="M688" t="str">
            <v>N/A</v>
          </cell>
          <cell r="N688" t="str">
            <v>N/A</v>
          </cell>
          <cell r="O688">
            <v>45428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13200</v>
          </cell>
          <cell r="AB688">
            <v>13200</v>
          </cell>
          <cell r="AC688">
            <v>0</v>
          </cell>
          <cell r="AD688">
            <v>13150</v>
          </cell>
          <cell r="AE688">
            <v>13150</v>
          </cell>
          <cell r="AF688">
            <v>0</v>
          </cell>
          <cell r="AG688" t="str">
            <v>M</v>
          </cell>
          <cell r="AH688" t="str">
            <v>ENGR. MICHAEL C. SALARDA
MS. LEONARDA M. LATOR
MS. CARMENCITA VALDEZ
MS. SORAYA P. VERGARA</v>
          </cell>
          <cell r="AI688" t="str">
            <v>N/A</v>
          </cell>
          <cell r="AJ688" t="str">
            <v>N/A</v>
          </cell>
          <cell r="AK688" t="str">
            <v>N/A</v>
          </cell>
          <cell r="AL688" t="str">
            <v>N/A</v>
          </cell>
          <cell r="AM688" t="str">
            <v>N/A</v>
          </cell>
          <cell r="AN688" t="str">
            <v>N/A</v>
          </cell>
          <cell r="AO688">
            <v>0</v>
          </cell>
        </row>
        <row r="689">
          <cell r="A689" t="str">
            <v>24-2538</v>
          </cell>
          <cell r="B689" t="str">
            <v>MEDALS</v>
          </cell>
          <cell r="C689" t="str">
            <v>PGO</v>
          </cell>
          <cell r="D689" t="str">
            <v>No</v>
          </cell>
          <cell r="E689" t="str">
            <v>NP-53.9 - Small Value Procurement</v>
          </cell>
          <cell r="F689" t="str">
            <v>N/A</v>
          </cell>
          <cell r="G689">
            <v>45422</v>
          </cell>
          <cell r="H689">
            <v>0</v>
          </cell>
          <cell r="I689" t="str">
            <v>N/A</v>
          </cell>
          <cell r="J689">
            <v>45426</v>
          </cell>
          <cell r="K689">
            <v>45426</v>
          </cell>
          <cell r="L689">
            <v>0</v>
          </cell>
          <cell r="M689" t="str">
            <v>N/A</v>
          </cell>
          <cell r="N689" t="str">
            <v>N/A</v>
          </cell>
          <cell r="O689">
            <v>45428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45433</v>
          </cell>
          <cell r="U689">
            <v>45434</v>
          </cell>
          <cell r="V689">
            <v>0</v>
          </cell>
          <cell r="W689">
            <v>0</v>
          </cell>
          <cell r="X689">
            <v>45439</v>
          </cell>
          <cell r="Y689">
            <v>45439</v>
          </cell>
          <cell r="Z689">
            <v>0</v>
          </cell>
          <cell r="AA689">
            <v>330750</v>
          </cell>
          <cell r="AB689">
            <v>330750</v>
          </cell>
          <cell r="AC689">
            <v>0</v>
          </cell>
          <cell r="AD689">
            <v>330277.5</v>
          </cell>
          <cell r="AE689">
            <v>330277.5</v>
          </cell>
          <cell r="AF689">
            <v>0</v>
          </cell>
          <cell r="AG689" t="str">
            <v>M</v>
          </cell>
          <cell r="AH689" t="str">
            <v>ENGR. MICHAEL C. SALARDA
MS. LEONARDA M. LATOR
MS. CARMENCITA VALDEZ
MS. SORAYA P. VERGARA</v>
          </cell>
          <cell r="AI689" t="str">
            <v>N/A</v>
          </cell>
          <cell r="AJ689" t="str">
            <v>N/A</v>
          </cell>
          <cell r="AK689" t="str">
            <v>N/A</v>
          </cell>
          <cell r="AL689" t="str">
            <v>N/A</v>
          </cell>
          <cell r="AM689" t="str">
            <v>N/A</v>
          </cell>
          <cell r="AN689" t="str">
            <v>N/A</v>
          </cell>
          <cell r="AO689" t="str">
            <v>COMPLETED</v>
          </cell>
        </row>
        <row r="690">
          <cell r="A690" t="str">
            <v>24-2363</v>
          </cell>
          <cell r="B690" t="str">
            <v>SPAREPARTS (MOTORCYCLE)</v>
          </cell>
          <cell r="C690" t="str">
            <v>PGSO</v>
          </cell>
          <cell r="D690" t="str">
            <v>No</v>
          </cell>
          <cell r="E690" t="str">
            <v>NP-53.9 - Small Value Procurement</v>
          </cell>
          <cell r="F690">
            <v>45407</v>
          </cell>
          <cell r="G690">
            <v>45412</v>
          </cell>
          <cell r="H690">
            <v>0</v>
          </cell>
          <cell r="I690" t="str">
            <v>N/A</v>
          </cell>
          <cell r="J690">
            <v>45426</v>
          </cell>
          <cell r="K690">
            <v>45426</v>
          </cell>
          <cell r="L690">
            <v>0</v>
          </cell>
          <cell r="M690" t="str">
            <v>N/A</v>
          </cell>
          <cell r="N690" t="str">
            <v>N/A</v>
          </cell>
          <cell r="O690">
            <v>45428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45435</v>
          </cell>
          <cell r="U690">
            <v>45449</v>
          </cell>
          <cell r="V690">
            <v>0</v>
          </cell>
          <cell r="W690">
            <v>0</v>
          </cell>
          <cell r="X690">
            <v>45453</v>
          </cell>
          <cell r="Y690">
            <v>45453</v>
          </cell>
          <cell r="Z690">
            <v>0</v>
          </cell>
          <cell r="AA690">
            <v>13650</v>
          </cell>
          <cell r="AB690">
            <v>13650</v>
          </cell>
          <cell r="AC690">
            <v>0</v>
          </cell>
          <cell r="AD690">
            <v>13597</v>
          </cell>
          <cell r="AE690">
            <v>13597</v>
          </cell>
          <cell r="AF690">
            <v>0</v>
          </cell>
          <cell r="AG690" t="str">
            <v>M</v>
          </cell>
          <cell r="AH690" t="str">
            <v>ENGR. MICHAEL C. SALARDA
MS. LEONARDA M. LATOR
MS. CARMENCITA VALDEZ
MS. SORAYA P. VERGARA</v>
          </cell>
          <cell r="AI690" t="str">
            <v>N/A</v>
          </cell>
          <cell r="AJ690" t="str">
            <v>N/A</v>
          </cell>
          <cell r="AK690" t="str">
            <v>N/A</v>
          </cell>
          <cell r="AL690" t="str">
            <v>N/A</v>
          </cell>
          <cell r="AM690" t="str">
            <v>N/A</v>
          </cell>
          <cell r="AN690" t="str">
            <v>N/A</v>
          </cell>
          <cell r="AO690" t="str">
            <v>COMPLETED</v>
          </cell>
        </row>
        <row r="691">
          <cell r="A691" t="str">
            <v>24-2325</v>
          </cell>
          <cell r="B691" t="str">
            <v>SPAREPARTS (MOTORCYCLE)</v>
          </cell>
          <cell r="C691" t="str">
            <v>PGSO</v>
          </cell>
          <cell r="D691" t="str">
            <v>No</v>
          </cell>
          <cell r="E691" t="str">
            <v>NP-53.9 - Small Value Procurement</v>
          </cell>
          <cell r="F691">
            <v>45407</v>
          </cell>
          <cell r="G691">
            <v>45412</v>
          </cell>
          <cell r="H691">
            <v>0</v>
          </cell>
          <cell r="I691" t="str">
            <v>N/A</v>
          </cell>
          <cell r="J691">
            <v>45426</v>
          </cell>
          <cell r="K691">
            <v>45426</v>
          </cell>
          <cell r="L691">
            <v>0</v>
          </cell>
          <cell r="M691" t="str">
            <v>N/A</v>
          </cell>
          <cell r="N691" t="str">
            <v>N/A</v>
          </cell>
          <cell r="O691">
            <v>45428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45435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9200</v>
          </cell>
          <cell r="AB691">
            <v>9200</v>
          </cell>
          <cell r="AC691">
            <v>0</v>
          </cell>
          <cell r="AD691">
            <v>9166</v>
          </cell>
          <cell r="AE691">
            <v>9166</v>
          </cell>
          <cell r="AF691">
            <v>0</v>
          </cell>
          <cell r="AG691" t="str">
            <v>M</v>
          </cell>
          <cell r="AH691" t="str">
            <v>ENGR. MICHAEL C. SALARDA
MS. LEONARDA M. LATOR
MS. CARMENCITA VALDEZ
MS. SORAYA P. VERGARA</v>
          </cell>
          <cell r="AI691" t="str">
            <v>N/A</v>
          </cell>
          <cell r="AJ691" t="str">
            <v>N/A</v>
          </cell>
          <cell r="AK691" t="str">
            <v>N/A</v>
          </cell>
          <cell r="AL691" t="str">
            <v>N/A</v>
          </cell>
          <cell r="AM691" t="str">
            <v>N/A</v>
          </cell>
          <cell r="AN691" t="str">
            <v>N/A</v>
          </cell>
          <cell r="AO691">
            <v>0</v>
          </cell>
        </row>
        <row r="692">
          <cell r="A692" t="str">
            <v>24-2327</v>
          </cell>
          <cell r="B692" t="str">
            <v>SPAREPARTS (MOTORCYCLE)</v>
          </cell>
          <cell r="C692" t="str">
            <v>PGSO</v>
          </cell>
          <cell r="D692" t="str">
            <v>No</v>
          </cell>
          <cell r="E692" t="str">
            <v>NP-53.9 - Small Value Procurement</v>
          </cell>
          <cell r="F692">
            <v>45407</v>
          </cell>
          <cell r="G692">
            <v>45412</v>
          </cell>
          <cell r="H692">
            <v>0</v>
          </cell>
          <cell r="I692" t="str">
            <v>N/A</v>
          </cell>
          <cell r="J692">
            <v>45426</v>
          </cell>
          <cell r="K692">
            <v>45426</v>
          </cell>
          <cell r="L692">
            <v>0</v>
          </cell>
          <cell r="M692" t="str">
            <v>N/A</v>
          </cell>
          <cell r="N692" t="str">
            <v>N/A</v>
          </cell>
          <cell r="O692">
            <v>45428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45435</v>
          </cell>
          <cell r="U692">
            <v>45449</v>
          </cell>
          <cell r="V692">
            <v>0</v>
          </cell>
          <cell r="W692">
            <v>0</v>
          </cell>
          <cell r="X692">
            <v>45463</v>
          </cell>
          <cell r="Y692">
            <v>45463</v>
          </cell>
          <cell r="Z692">
            <v>0</v>
          </cell>
          <cell r="AA692">
            <v>5568</v>
          </cell>
          <cell r="AB692">
            <v>5568</v>
          </cell>
          <cell r="AC692">
            <v>0</v>
          </cell>
          <cell r="AD692">
            <v>5530</v>
          </cell>
          <cell r="AE692">
            <v>5530</v>
          </cell>
          <cell r="AF692">
            <v>0</v>
          </cell>
          <cell r="AG692" t="str">
            <v>M</v>
          </cell>
          <cell r="AH692" t="str">
            <v>ENGR. MICHAEL C. SALARDA
MS. LEONARDA M. LATOR
MS. CARMENCITA VALDEZ
MS. SORAYA P. VERGARA</v>
          </cell>
          <cell r="AI692" t="str">
            <v>N/A</v>
          </cell>
          <cell r="AJ692" t="str">
            <v>N/A</v>
          </cell>
          <cell r="AK692" t="str">
            <v>N/A</v>
          </cell>
          <cell r="AL692" t="str">
            <v>N/A</v>
          </cell>
          <cell r="AM692" t="str">
            <v>N/A</v>
          </cell>
          <cell r="AN692" t="str">
            <v>N/A</v>
          </cell>
          <cell r="AO692" t="str">
            <v>COMPLETED</v>
          </cell>
        </row>
        <row r="693">
          <cell r="A693" t="str">
            <v>24-2323</v>
          </cell>
          <cell r="B693" t="str">
            <v>SPAREPARTS (MOTORCYCLE)</v>
          </cell>
          <cell r="C693" t="str">
            <v>PGSO</v>
          </cell>
          <cell r="D693" t="str">
            <v>No</v>
          </cell>
          <cell r="E693" t="str">
            <v>NP-53.9 - Small Value Procurement</v>
          </cell>
          <cell r="F693">
            <v>45407</v>
          </cell>
          <cell r="G693">
            <v>45412</v>
          </cell>
          <cell r="H693">
            <v>0</v>
          </cell>
          <cell r="I693" t="str">
            <v>N/A</v>
          </cell>
          <cell r="J693">
            <v>45426</v>
          </cell>
          <cell r="K693">
            <v>45426</v>
          </cell>
          <cell r="L693">
            <v>0</v>
          </cell>
          <cell r="M693" t="str">
            <v>N/A</v>
          </cell>
          <cell r="N693" t="str">
            <v>N/A</v>
          </cell>
          <cell r="O693">
            <v>45428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45435</v>
          </cell>
          <cell r="U693">
            <v>45449</v>
          </cell>
          <cell r="V693">
            <v>0</v>
          </cell>
          <cell r="W693">
            <v>0</v>
          </cell>
          <cell r="X693">
            <v>45454</v>
          </cell>
          <cell r="Y693">
            <v>45454</v>
          </cell>
          <cell r="Z693">
            <v>0</v>
          </cell>
          <cell r="AA693">
            <v>12835</v>
          </cell>
          <cell r="AB693">
            <v>12835</v>
          </cell>
          <cell r="AC693">
            <v>0</v>
          </cell>
          <cell r="AD693">
            <v>12731</v>
          </cell>
          <cell r="AE693">
            <v>12731</v>
          </cell>
          <cell r="AF693">
            <v>0</v>
          </cell>
          <cell r="AG693" t="str">
            <v>M</v>
          </cell>
          <cell r="AH693" t="str">
            <v>ENGR. MICHAEL C. SALARDA
MS. LEONARDA M. LATOR
MS. CARMENCITA VALDEZ
MS. SORAYA P. VERGARA</v>
          </cell>
          <cell r="AI693" t="str">
            <v>N/A</v>
          </cell>
          <cell r="AJ693" t="str">
            <v>N/A</v>
          </cell>
          <cell r="AK693" t="str">
            <v>N/A</v>
          </cell>
          <cell r="AL693" t="str">
            <v>N/A</v>
          </cell>
          <cell r="AM693" t="str">
            <v>N/A</v>
          </cell>
          <cell r="AN693" t="str">
            <v>N/A</v>
          </cell>
          <cell r="AO693" t="str">
            <v>COMPLETED</v>
          </cell>
        </row>
        <row r="694">
          <cell r="A694" t="str">
            <v>24-2324</v>
          </cell>
          <cell r="B694" t="str">
            <v>SPAREPARTS (MOTORCYCLE)</v>
          </cell>
          <cell r="C694" t="str">
            <v>PGSO</v>
          </cell>
          <cell r="D694" t="str">
            <v>No</v>
          </cell>
          <cell r="E694" t="str">
            <v>NP-53.9 - Small Value Procurement</v>
          </cell>
          <cell r="F694">
            <v>45407</v>
          </cell>
          <cell r="G694">
            <v>45412</v>
          </cell>
          <cell r="H694">
            <v>0</v>
          </cell>
          <cell r="I694" t="str">
            <v>N/A</v>
          </cell>
          <cell r="J694">
            <v>45426</v>
          </cell>
          <cell r="K694">
            <v>45426</v>
          </cell>
          <cell r="L694">
            <v>0</v>
          </cell>
          <cell r="M694" t="str">
            <v>N/A</v>
          </cell>
          <cell r="N694" t="str">
            <v>N/A</v>
          </cell>
          <cell r="O694">
            <v>45428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45434</v>
          </cell>
          <cell r="U694">
            <v>45449</v>
          </cell>
          <cell r="V694">
            <v>0</v>
          </cell>
          <cell r="W694">
            <v>0</v>
          </cell>
          <cell r="X694">
            <v>45463</v>
          </cell>
          <cell r="Y694">
            <v>45463</v>
          </cell>
          <cell r="Z694">
            <v>0</v>
          </cell>
          <cell r="AA694">
            <v>10500</v>
          </cell>
          <cell r="AB694">
            <v>10500</v>
          </cell>
          <cell r="AC694">
            <v>0</v>
          </cell>
          <cell r="AD694">
            <v>10461</v>
          </cell>
          <cell r="AE694">
            <v>10461</v>
          </cell>
          <cell r="AF694">
            <v>0</v>
          </cell>
          <cell r="AG694" t="str">
            <v>M</v>
          </cell>
          <cell r="AH694" t="str">
            <v>ENGR. MICHAEL C. SALARDA
MS. LEONARDA M. LATOR
MS. CARMENCITA VALDEZ
MS. SORAYA P. VERGARA</v>
          </cell>
          <cell r="AI694" t="str">
            <v>N/A</v>
          </cell>
          <cell r="AJ694" t="str">
            <v>N/A</v>
          </cell>
          <cell r="AK694" t="str">
            <v>N/A</v>
          </cell>
          <cell r="AL694" t="str">
            <v>N/A</v>
          </cell>
          <cell r="AM694" t="str">
            <v>N/A</v>
          </cell>
          <cell r="AN694" t="str">
            <v>N/A</v>
          </cell>
          <cell r="AO694" t="str">
            <v>COMPLETED</v>
          </cell>
        </row>
        <row r="695">
          <cell r="A695" t="str">
            <v>24-2221</v>
          </cell>
          <cell r="B695" t="str">
            <v>SPAREPARTS (MOTORCYCLE)</v>
          </cell>
          <cell r="C695" t="str">
            <v>PGSO</v>
          </cell>
          <cell r="D695" t="str">
            <v>No</v>
          </cell>
          <cell r="E695" t="str">
            <v>NP-53.9 - Small Value Procurement</v>
          </cell>
          <cell r="F695">
            <v>45407</v>
          </cell>
          <cell r="G695">
            <v>45412</v>
          </cell>
          <cell r="H695">
            <v>0</v>
          </cell>
          <cell r="I695" t="str">
            <v>N/A</v>
          </cell>
          <cell r="J695">
            <v>45426</v>
          </cell>
          <cell r="K695">
            <v>45426</v>
          </cell>
          <cell r="L695">
            <v>0</v>
          </cell>
          <cell r="M695" t="str">
            <v>N/A</v>
          </cell>
          <cell r="N695" t="str">
            <v>N/A</v>
          </cell>
          <cell r="O695">
            <v>45428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45434</v>
          </cell>
          <cell r="U695">
            <v>45449</v>
          </cell>
          <cell r="V695">
            <v>0</v>
          </cell>
          <cell r="W695">
            <v>0</v>
          </cell>
          <cell r="X695">
            <v>45464</v>
          </cell>
          <cell r="Y695">
            <v>45464</v>
          </cell>
          <cell r="Z695">
            <v>0</v>
          </cell>
          <cell r="AA695">
            <v>17131</v>
          </cell>
          <cell r="AB695">
            <v>17131</v>
          </cell>
          <cell r="AC695">
            <v>0</v>
          </cell>
          <cell r="AD695">
            <v>17026</v>
          </cell>
          <cell r="AE695">
            <v>17026</v>
          </cell>
          <cell r="AF695">
            <v>0</v>
          </cell>
          <cell r="AG695" t="str">
            <v>M</v>
          </cell>
          <cell r="AH695" t="str">
            <v>ENGR. MICHAEL C. SALARDA
MS. LEONARDA M. LATOR
MS. CARMENCITA VALDEZ
MS. SORAYA P. VERGARA</v>
          </cell>
          <cell r="AI695" t="str">
            <v>N/A</v>
          </cell>
          <cell r="AJ695" t="str">
            <v>N/A</v>
          </cell>
          <cell r="AK695" t="str">
            <v>N/A</v>
          </cell>
          <cell r="AL695" t="str">
            <v>N/A</v>
          </cell>
          <cell r="AM695" t="str">
            <v>N/A</v>
          </cell>
          <cell r="AN695" t="str">
            <v>N/A</v>
          </cell>
          <cell r="AO695" t="str">
            <v>COMPLETED</v>
          </cell>
        </row>
        <row r="696">
          <cell r="A696" t="str">
            <v>24-0424</v>
          </cell>
          <cell r="B696" t="str">
            <v>PLAQUES/TROPHIES/MEDAL</v>
          </cell>
          <cell r="C696" t="str">
            <v>PGO</v>
          </cell>
          <cell r="D696" t="str">
            <v>No</v>
          </cell>
          <cell r="E696" t="str">
            <v>NP-53.9 - Small Value Procurement</v>
          </cell>
          <cell r="F696" t="str">
            <v>N/A</v>
          </cell>
          <cell r="G696">
            <v>45418</v>
          </cell>
          <cell r="H696">
            <v>0</v>
          </cell>
          <cell r="I696" t="str">
            <v>N/A</v>
          </cell>
          <cell r="J696">
            <v>45426</v>
          </cell>
          <cell r="K696">
            <v>45426</v>
          </cell>
          <cell r="L696">
            <v>0</v>
          </cell>
          <cell r="M696" t="str">
            <v>N/A</v>
          </cell>
          <cell r="N696" t="str">
            <v>N/A</v>
          </cell>
          <cell r="O696">
            <v>45428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45434</v>
          </cell>
          <cell r="U696">
            <v>45446</v>
          </cell>
          <cell r="V696">
            <v>0</v>
          </cell>
          <cell r="W696">
            <v>0</v>
          </cell>
          <cell r="X696">
            <v>45462</v>
          </cell>
          <cell r="Y696">
            <v>45462</v>
          </cell>
          <cell r="Z696">
            <v>0</v>
          </cell>
          <cell r="AA696">
            <v>32000</v>
          </cell>
          <cell r="AB696">
            <v>0</v>
          </cell>
          <cell r="AC696">
            <v>32000</v>
          </cell>
          <cell r="AD696">
            <v>30950</v>
          </cell>
          <cell r="AE696">
            <v>0</v>
          </cell>
          <cell r="AF696">
            <v>30950</v>
          </cell>
          <cell r="AG696" t="str">
            <v>C</v>
          </cell>
          <cell r="AH696" t="str">
            <v>ENGR. MICHAEL C. SALARDA
MS. LEONARDA M. LATOR
MS. CARMENCITA VALDEZ
MS. SORAYA P. VERGARA</v>
          </cell>
          <cell r="AI696" t="str">
            <v>N/A</v>
          </cell>
          <cell r="AJ696" t="str">
            <v>N/A</v>
          </cell>
          <cell r="AK696" t="str">
            <v>N/A</v>
          </cell>
          <cell r="AL696" t="str">
            <v>N/A</v>
          </cell>
          <cell r="AM696" t="str">
            <v>N/A</v>
          </cell>
          <cell r="AN696" t="str">
            <v>N/A</v>
          </cell>
          <cell r="AO696" t="str">
            <v>COMPLETED</v>
          </cell>
        </row>
        <row r="697">
          <cell r="A697" t="str">
            <v>24-2553</v>
          </cell>
          <cell r="B697" t="str">
            <v>PICTURE FRAME</v>
          </cell>
          <cell r="C697" t="str">
            <v>SPO</v>
          </cell>
          <cell r="D697" t="str">
            <v>No</v>
          </cell>
          <cell r="E697" t="str">
            <v>NP-53.9 - Small Value Procurement</v>
          </cell>
          <cell r="F697" t="str">
            <v>N/A</v>
          </cell>
          <cell r="G697">
            <v>45418</v>
          </cell>
          <cell r="H697">
            <v>0</v>
          </cell>
          <cell r="I697" t="str">
            <v>N/A</v>
          </cell>
          <cell r="J697">
            <v>45426</v>
          </cell>
          <cell r="K697">
            <v>45426</v>
          </cell>
          <cell r="L697">
            <v>0</v>
          </cell>
          <cell r="M697" t="str">
            <v>N/A</v>
          </cell>
          <cell r="N697" t="str">
            <v>N/A</v>
          </cell>
          <cell r="O697">
            <v>45428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6600</v>
          </cell>
          <cell r="AB697">
            <v>6600</v>
          </cell>
          <cell r="AC697">
            <v>0</v>
          </cell>
          <cell r="AD697">
            <v>6580</v>
          </cell>
          <cell r="AE697">
            <v>6580</v>
          </cell>
          <cell r="AF697">
            <v>0</v>
          </cell>
          <cell r="AG697" t="str">
            <v>M</v>
          </cell>
          <cell r="AH697" t="str">
            <v>ENGR. MICHAEL C. SALARDA
MS. LEONARDA M. LATOR
MS. CARMENCITA VALDEZ
MS. SORAYA P. VERGARA</v>
          </cell>
          <cell r="AI697" t="str">
            <v>N/A</v>
          </cell>
          <cell r="AJ697" t="str">
            <v>N/A</v>
          </cell>
          <cell r="AK697" t="str">
            <v>N/A</v>
          </cell>
          <cell r="AL697" t="str">
            <v>N/A</v>
          </cell>
          <cell r="AM697" t="str">
            <v>N/A</v>
          </cell>
          <cell r="AN697" t="str">
            <v>N/A</v>
          </cell>
          <cell r="AO697">
            <v>0</v>
          </cell>
        </row>
        <row r="698">
          <cell r="A698" t="str">
            <v>24-1793</v>
          </cell>
          <cell r="B698" t="str">
            <v>FOOD/CATERING SERVICES</v>
          </cell>
          <cell r="C698" t="str">
            <v>PGO</v>
          </cell>
          <cell r="D698" t="str">
            <v>No</v>
          </cell>
          <cell r="E698" t="str">
            <v>NP-53.9 - Small Value Procurement</v>
          </cell>
          <cell r="F698" t="str">
            <v>N/A</v>
          </cell>
          <cell r="G698">
            <v>45404</v>
          </cell>
          <cell r="H698">
            <v>0</v>
          </cell>
          <cell r="I698" t="str">
            <v>N/A</v>
          </cell>
          <cell r="J698">
            <v>45426</v>
          </cell>
          <cell r="K698">
            <v>45426</v>
          </cell>
          <cell r="L698">
            <v>0</v>
          </cell>
          <cell r="M698" t="str">
            <v>N/A</v>
          </cell>
          <cell r="N698" t="str">
            <v>N/A</v>
          </cell>
          <cell r="O698">
            <v>45428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45448</v>
          </cell>
          <cell r="U698">
            <v>45456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280000</v>
          </cell>
          <cell r="AB698">
            <v>0</v>
          </cell>
          <cell r="AC698">
            <v>280000</v>
          </cell>
          <cell r="AD698">
            <v>279000</v>
          </cell>
          <cell r="AE698">
            <v>0</v>
          </cell>
          <cell r="AF698">
            <v>279000</v>
          </cell>
          <cell r="AG698" t="str">
            <v>C</v>
          </cell>
          <cell r="AH698" t="str">
            <v>ENGR. MICHAEL C. SALARDA
MS. LEONARDA M. LATOR
MS. CARMENCITA VALDEZ
MS. SORAYA P. VERGARA</v>
          </cell>
          <cell r="AI698" t="str">
            <v>N/A</v>
          </cell>
          <cell r="AJ698" t="str">
            <v>N/A</v>
          </cell>
          <cell r="AK698" t="str">
            <v>N/A</v>
          </cell>
          <cell r="AL698" t="str">
            <v>N/A</v>
          </cell>
          <cell r="AM698" t="str">
            <v>N/A</v>
          </cell>
          <cell r="AN698" t="str">
            <v>N/A</v>
          </cell>
          <cell r="AO698">
            <v>0</v>
          </cell>
        </row>
        <row r="699">
          <cell r="A699" t="str">
            <v>24-2039</v>
          </cell>
          <cell r="B699" t="str">
            <v>MEDICAL KIT</v>
          </cell>
          <cell r="C699" t="str">
            <v>SEF</v>
          </cell>
          <cell r="D699" t="str">
            <v>No</v>
          </cell>
          <cell r="E699" t="str">
            <v>NP-53.9 - Small Value Procurement</v>
          </cell>
          <cell r="F699">
            <v>45390</v>
          </cell>
          <cell r="G699">
            <v>45397</v>
          </cell>
          <cell r="H699">
            <v>0</v>
          </cell>
          <cell r="I699" t="str">
            <v>N/A</v>
          </cell>
          <cell r="J699">
            <v>45426</v>
          </cell>
          <cell r="K699">
            <v>45426</v>
          </cell>
          <cell r="L699">
            <v>0</v>
          </cell>
          <cell r="M699" t="str">
            <v>N/A</v>
          </cell>
          <cell r="N699" t="str">
            <v>N/A</v>
          </cell>
          <cell r="O699">
            <v>45428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45434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1925</v>
          </cell>
          <cell r="AB699">
            <v>0</v>
          </cell>
          <cell r="AC699">
            <v>1925</v>
          </cell>
          <cell r="AD699">
            <v>1920</v>
          </cell>
          <cell r="AE699">
            <v>0</v>
          </cell>
          <cell r="AF699">
            <v>1920</v>
          </cell>
          <cell r="AG699" t="str">
            <v>C</v>
          </cell>
          <cell r="AH699" t="str">
            <v>ENGR. MICHAEL C. SALARDA
MS. LEONARDA M. LATOR
MS. CARMENCITA VALDEZ
MS. SORAYA P. VERGARA</v>
          </cell>
          <cell r="AI699" t="str">
            <v>N/A</v>
          </cell>
          <cell r="AJ699" t="str">
            <v>N/A</v>
          </cell>
          <cell r="AK699" t="str">
            <v>N/A</v>
          </cell>
          <cell r="AL699" t="str">
            <v>N/A</v>
          </cell>
          <cell r="AM699" t="str">
            <v>N/A</v>
          </cell>
          <cell r="AN699" t="str">
            <v>N/A</v>
          </cell>
          <cell r="AO699">
            <v>0</v>
          </cell>
        </row>
        <row r="700">
          <cell r="A700" t="str">
            <v>24-2564</v>
          </cell>
          <cell r="B700" t="str">
            <v>FOOD/CATERING SERVICES</v>
          </cell>
          <cell r="C700" t="str">
            <v>PBO</v>
          </cell>
          <cell r="D700" t="str">
            <v>No</v>
          </cell>
          <cell r="E700" t="str">
            <v>NP-53.9 - Small Value Procurement</v>
          </cell>
          <cell r="F700" t="str">
            <v>N/A</v>
          </cell>
          <cell r="G700">
            <v>45409</v>
          </cell>
          <cell r="H700">
            <v>0</v>
          </cell>
          <cell r="I700" t="str">
            <v>N/A</v>
          </cell>
          <cell r="J700">
            <v>45426</v>
          </cell>
          <cell r="K700">
            <v>45426</v>
          </cell>
          <cell r="L700">
            <v>0</v>
          </cell>
          <cell r="M700" t="str">
            <v>N/A</v>
          </cell>
          <cell r="N700" t="str">
            <v>N/A</v>
          </cell>
          <cell r="O700">
            <v>45428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45434</v>
          </cell>
          <cell r="U700">
            <v>45441</v>
          </cell>
          <cell r="V700">
            <v>0</v>
          </cell>
          <cell r="W700">
            <v>0</v>
          </cell>
          <cell r="X700">
            <v>45453</v>
          </cell>
          <cell r="Y700">
            <v>45453</v>
          </cell>
          <cell r="Z700">
            <v>0</v>
          </cell>
          <cell r="AA700">
            <v>51900</v>
          </cell>
          <cell r="AB700">
            <v>51900</v>
          </cell>
          <cell r="AC700">
            <v>0</v>
          </cell>
          <cell r="AD700">
            <v>51120</v>
          </cell>
          <cell r="AE700">
            <v>51120</v>
          </cell>
          <cell r="AF700">
            <v>0</v>
          </cell>
          <cell r="AG700" t="str">
            <v>M</v>
          </cell>
          <cell r="AH700" t="str">
            <v>ENGR. MICHAEL C. SALARDA
MS. LEONARDA M. LATOR
MS. CARMENCITA VALDEZ
MS. SORAYA P. VERGARA</v>
          </cell>
          <cell r="AI700" t="str">
            <v>N/A</v>
          </cell>
          <cell r="AJ700" t="str">
            <v>N/A</v>
          </cell>
          <cell r="AK700" t="str">
            <v>N/A</v>
          </cell>
          <cell r="AL700" t="str">
            <v>N/A</v>
          </cell>
          <cell r="AM700" t="str">
            <v>N/A</v>
          </cell>
          <cell r="AN700" t="str">
            <v>N/A</v>
          </cell>
          <cell r="AO700" t="str">
            <v>COMPLETED</v>
          </cell>
        </row>
        <row r="701">
          <cell r="A701" t="str">
            <v>24-2530</v>
          </cell>
          <cell r="B701" t="str">
            <v>FOOD/CATERING SERVICES</v>
          </cell>
          <cell r="C701" t="str">
            <v>PGO</v>
          </cell>
          <cell r="D701" t="str">
            <v>No</v>
          </cell>
          <cell r="E701" t="str">
            <v>NP-53.9 - Small Value Procurement</v>
          </cell>
          <cell r="F701" t="str">
            <v>N/A</v>
          </cell>
          <cell r="G701">
            <v>45422</v>
          </cell>
          <cell r="H701">
            <v>0</v>
          </cell>
          <cell r="I701" t="str">
            <v>N/A</v>
          </cell>
          <cell r="J701">
            <v>45426</v>
          </cell>
          <cell r="K701">
            <v>45426</v>
          </cell>
          <cell r="L701">
            <v>0</v>
          </cell>
          <cell r="M701" t="str">
            <v>N/A</v>
          </cell>
          <cell r="N701" t="str">
            <v>N/A</v>
          </cell>
          <cell r="O701">
            <v>45428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45435</v>
          </cell>
          <cell r="U701">
            <v>45436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190000</v>
          </cell>
          <cell r="AB701">
            <v>0</v>
          </cell>
          <cell r="AC701">
            <v>190000</v>
          </cell>
          <cell r="AD701">
            <v>184500</v>
          </cell>
          <cell r="AE701">
            <v>0</v>
          </cell>
          <cell r="AF701">
            <v>184500</v>
          </cell>
          <cell r="AG701" t="str">
            <v>C</v>
          </cell>
          <cell r="AH701" t="str">
            <v>ENGR. MICHAEL C. SALARDA
MS. LEONARDA M. LATOR
MS. CARMENCITA VALDEZ
MS. SORAYA P. VERGARA</v>
          </cell>
          <cell r="AI701" t="str">
            <v>N/A</v>
          </cell>
          <cell r="AJ701" t="str">
            <v>N/A</v>
          </cell>
          <cell r="AK701" t="str">
            <v>N/A</v>
          </cell>
          <cell r="AL701" t="str">
            <v>N/A</v>
          </cell>
          <cell r="AM701" t="str">
            <v>N/A</v>
          </cell>
          <cell r="AN701" t="str">
            <v>N/A</v>
          </cell>
          <cell r="AO701">
            <v>0</v>
          </cell>
        </row>
        <row r="702">
          <cell r="A702" t="str">
            <v>24-2529</v>
          </cell>
          <cell r="B702" t="str">
            <v>FOOD SUPPLIES</v>
          </cell>
          <cell r="C702" t="str">
            <v>PGO</v>
          </cell>
          <cell r="D702" t="str">
            <v>No</v>
          </cell>
          <cell r="E702" t="str">
            <v>NP-53.9 - Small Value Procurement</v>
          </cell>
          <cell r="F702" t="str">
            <v>N/A</v>
          </cell>
          <cell r="G702">
            <v>45412</v>
          </cell>
          <cell r="H702">
            <v>0</v>
          </cell>
          <cell r="I702" t="str">
            <v>N/A</v>
          </cell>
          <cell r="J702">
            <v>45426</v>
          </cell>
          <cell r="K702">
            <v>45426</v>
          </cell>
          <cell r="L702">
            <v>0</v>
          </cell>
          <cell r="M702" t="str">
            <v>N/A</v>
          </cell>
          <cell r="N702" t="str">
            <v>N/A</v>
          </cell>
          <cell r="O702">
            <v>45428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45435</v>
          </cell>
          <cell r="U702">
            <v>45446</v>
          </cell>
          <cell r="V702">
            <v>0</v>
          </cell>
          <cell r="W702">
            <v>0</v>
          </cell>
          <cell r="X702">
            <v>45454</v>
          </cell>
          <cell r="Y702">
            <v>45454</v>
          </cell>
          <cell r="Z702">
            <v>0</v>
          </cell>
          <cell r="AA702">
            <v>26355</v>
          </cell>
          <cell r="AB702">
            <v>0</v>
          </cell>
          <cell r="AC702">
            <v>26355</v>
          </cell>
          <cell r="AD702">
            <v>26250</v>
          </cell>
          <cell r="AE702">
            <v>0</v>
          </cell>
          <cell r="AF702">
            <v>26250</v>
          </cell>
          <cell r="AG702" t="str">
            <v>C</v>
          </cell>
          <cell r="AH702" t="str">
            <v>ENGR. MICHAEL C. SALARDA
MS. LEONARDA M. LATOR
MS. CARMENCITA VALDEZ
MS. SORAYA P. VERGARA</v>
          </cell>
          <cell r="AI702" t="str">
            <v>N/A</v>
          </cell>
          <cell r="AJ702" t="str">
            <v>N/A</v>
          </cell>
          <cell r="AK702" t="str">
            <v>N/A</v>
          </cell>
          <cell r="AL702" t="str">
            <v>N/A</v>
          </cell>
          <cell r="AM702" t="str">
            <v>N/A</v>
          </cell>
          <cell r="AN702" t="str">
            <v>N/A</v>
          </cell>
          <cell r="AO702" t="str">
            <v>COMPLETED</v>
          </cell>
        </row>
        <row r="703">
          <cell r="A703" t="str">
            <v>24-C1267</v>
          </cell>
          <cell r="B703" t="str">
            <v>AGRICULTURAL SUPPLIES</v>
          </cell>
          <cell r="C703" t="str">
            <v>PDRRMO</v>
          </cell>
          <cell r="D703" t="str">
            <v>No</v>
          </cell>
          <cell r="E703" t="str">
            <v>NP-53.1 Two Failed Biddings</v>
          </cell>
          <cell r="F703" t="str">
            <v>N/A</v>
          </cell>
          <cell r="G703">
            <v>45404</v>
          </cell>
          <cell r="H703">
            <v>0</v>
          </cell>
          <cell r="I703" t="str">
            <v>N/A</v>
          </cell>
          <cell r="J703">
            <v>45426</v>
          </cell>
          <cell r="K703">
            <v>45426</v>
          </cell>
          <cell r="L703">
            <v>0</v>
          </cell>
          <cell r="M703" t="str">
            <v>N/A</v>
          </cell>
          <cell r="N703" t="str">
            <v>N/A</v>
          </cell>
          <cell r="O703">
            <v>45428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45434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381472</v>
          </cell>
          <cell r="AB703">
            <v>0</v>
          </cell>
          <cell r="AC703">
            <v>381472</v>
          </cell>
          <cell r="AD703">
            <v>379255</v>
          </cell>
          <cell r="AE703">
            <v>0</v>
          </cell>
          <cell r="AF703">
            <v>379255</v>
          </cell>
          <cell r="AG703" t="str">
            <v>C</v>
          </cell>
          <cell r="AH703" t="str">
            <v>ENGR. MICHAEL C. SALARDA
MS. LEONARDA M. LATOR
MS. CARMENCITA VALDEZ
MS. SORAYA P. VERGARA</v>
          </cell>
          <cell r="AI703" t="str">
            <v>N/A</v>
          </cell>
          <cell r="AJ703" t="str">
            <v>N/A</v>
          </cell>
          <cell r="AK703" t="str">
            <v>N/A</v>
          </cell>
          <cell r="AL703" t="str">
            <v>N/A</v>
          </cell>
          <cell r="AM703" t="str">
            <v>N/A</v>
          </cell>
          <cell r="AN703" t="str">
            <v>N/A</v>
          </cell>
          <cell r="AO703">
            <v>0</v>
          </cell>
        </row>
        <row r="704">
          <cell r="A704" t="str">
            <v>24-C1258</v>
          </cell>
          <cell r="B704" t="str">
            <v>FOOD/CATERING SERVICES</v>
          </cell>
          <cell r="C704" t="str">
            <v>PGO</v>
          </cell>
          <cell r="D704" t="str">
            <v>No</v>
          </cell>
          <cell r="E704" t="str">
            <v>NP-53.1 Two Failed Biddings</v>
          </cell>
          <cell r="F704" t="str">
            <v>N/A</v>
          </cell>
          <cell r="G704">
            <v>45422</v>
          </cell>
          <cell r="H704">
            <v>0</v>
          </cell>
          <cell r="I704" t="str">
            <v>N/A</v>
          </cell>
          <cell r="J704">
            <v>45426</v>
          </cell>
          <cell r="K704">
            <v>45426</v>
          </cell>
          <cell r="L704">
            <v>0</v>
          </cell>
          <cell r="M704" t="str">
            <v>N/A</v>
          </cell>
          <cell r="N704" t="str">
            <v>N/A</v>
          </cell>
          <cell r="O704">
            <v>45428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45428</v>
          </cell>
          <cell r="U704">
            <v>45442</v>
          </cell>
          <cell r="V704">
            <v>0</v>
          </cell>
          <cell r="W704">
            <v>0</v>
          </cell>
          <cell r="X704">
            <v>45457</v>
          </cell>
          <cell r="Y704">
            <v>45457</v>
          </cell>
          <cell r="Z704">
            <v>0</v>
          </cell>
          <cell r="AA704">
            <v>680690</v>
          </cell>
          <cell r="AB704">
            <v>0</v>
          </cell>
          <cell r="AC704">
            <v>680690</v>
          </cell>
          <cell r="AD704">
            <v>680690</v>
          </cell>
          <cell r="AE704">
            <v>0</v>
          </cell>
          <cell r="AF704">
            <v>680690</v>
          </cell>
          <cell r="AG704" t="str">
            <v>C</v>
          </cell>
          <cell r="AH704" t="str">
            <v>ENGR. MICHAEL C. SALARDA
MS. LEONARDA M. LATOR
MS. CARMENCITA VALDEZ
MS. SORAYA P. VERGARA</v>
          </cell>
          <cell r="AI704" t="str">
            <v>N/A</v>
          </cell>
          <cell r="AJ704" t="str">
            <v>N/A</v>
          </cell>
          <cell r="AK704" t="str">
            <v>N/A</v>
          </cell>
          <cell r="AL704" t="str">
            <v>N/A</v>
          </cell>
          <cell r="AM704" t="str">
            <v>N/A</v>
          </cell>
          <cell r="AN704" t="str">
            <v>N/A</v>
          </cell>
          <cell r="AO704" t="str">
            <v>COMPLETED</v>
          </cell>
        </row>
        <row r="705">
          <cell r="A705" t="str">
            <v>24-C1281</v>
          </cell>
          <cell r="B705" t="str">
            <v>FOOD/CATERING SERVICES</v>
          </cell>
          <cell r="C705" t="str">
            <v>PGO</v>
          </cell>
          <cell r="D705" t="str">
            <v>No</v>
          </cell>
          <cell r="E705" t="str">
            <v>NP-53.1 Two Failed Biddings</v>
          </cell>
          <cell r="F705" t="str">
            <v>N/A</v>
          </cell>
          <cell r="G705">
            <v>45422</v>
          </cell>
          <cell r="H705">
            <v>0</v>
          </cell>
          <cell r="I705" t="str">
            <v>N/A</v>
          </cell>
          <cell r="J705">
            <v>45426</v>
          </cell>
          <cell r="K705">
            <v>45426</v>
          </cell>
          <cell r="L705">
            <v>0</v>
          </cell>
          <cell r="M705" t="str">
            <v>N/A</v>
          </cell>
          <cell r="N705" t="str">
            <v>N/A</v>
          </cell>
          <cell r="O705">
            <v>45428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45434</v>
          </cell>
          <cell r="U705">
            <v>45442</v>
          </cell>
          <cell r="V705">
            <v>0</v>
          </cell>
          <cell r="W705">
            <v>0</v>
          </cell>
          <cell r="X705">
            <v>45461</v>
          </cell>
          <cell r="Y705">
            <v>45461</v>
          </cell>
          <cell r="Z705">
            <v>0</v>
          </cell>
          <cell r="AA705">
            <v>520660</v>
          </cell>
          <cell r="AB705">
            <v>0</v>
          </cell>
          <cell r="AC705">
            <v>520660</v>
          </cell>
          <cell r="AD705">
            <v>520660</v>
          </cell>
          <cell r="AE705">
            <v>0</v>
          </cell>
          <cell r="AF705">
            <v>520660</v>
          </cell>
          <cell r="AG705" t="str">
            <v>C</v>
          </cell>
          <cell r="AH705" t="str">
            <v>ENGR. MICHAEL C. SALARDA
MS. LEONARDA M. LATOR
MS. CARMENCITA VALDEZ
MS. SORAYA P. VERGARA</v>
          </cell>
          <cell r="AI705" t="str">
            <v>N/A</v>
          </cell>
          <cell r="AJ705" t="str">
            <v>N/A</v>
          </cell>
          <cell r="AK705" t="str">
            <v>N/A</v>
          </cell>
          <cell r="AL705" t="str">
            <v>N/A</v>
          </cell>
          <cell r="AM705" t="str">
            <v>N/A</v>
          </cell>
          <cell r="AN705" t="str">
            <v>N/A</v>
          </cell>
          <cell r="AO705" t="str">
            <v>COMPLETED</v>
          </cell>
        </row>
        <row r="706">
          <cell r="A706" t="str">
            <v>24-1082</v>
          </cell>
          <cell r="B706" t="str">
            <v>INTERNET FIREWALL
SUBSCRIPTION</v>
          </cell>
          <cell r="C706" t="str">
            <v>PICTO</v>
          </cell>
          <cell r="D706" t="str">
            <v>No</v>
          </cell>
          <cell r="E706" t="str">
            <v>Direct Contracting</v>
          </cell>
          <cell r="F706" t="str">
            <v>N/A</v>
          </cell>
          <cell r="G706">
            <v>45425</v>
          </cell>
          <cell r="H706">
            <v>0</v>
          </cell>
          <cell r="I706" t="str">
            <v>N/A</v>
          </cell>
          <cell r="J706">
            <v>45440</v>
          </cell>
          <cell r="K706">
            <v>45440</v>
          </cell>
          <cell r="L706">
            <v>0</v>
          </cell>
          <cell r="M706" t="str">
            <v>N/A</v>
          </cell>
          <cell r="N706" t="str">
            <v>N/A</v>
          </cell>
          <cell r="O706">
            <v>45441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45454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395000</v>
          </cell>
          <cell r="AB706">
            <v>395000</v>
          </cell>
          <cell r="AC706">
            <v>0</v>
          </cell>
          <cell r="AD706">
            <v>395000</v>
          </cell>
          <cell r="AE706">
            <v>395000</v>
          </cell>
          <cell r="AF706">
            <v>0</v>
          </cell>
          <cell r="AG706" t="str">
            <v>M</v>
          </cell>
          <cell r="AH706" t="str">
            <v>ENGR. MICHAEL C. SALARDA
MS. LEONARDA M. LATOR
MS. CARMENCITA VALDEZ
MS. SORAYA P. VERGARA</v>
          </cell>
          <cell r="AI706" t="str">
            <v>N/A</v>
          </cell>
          <cell r="AJ706" t="str">
            <v>N/A</v>
          </cell>
          <cell r="AK706" t="str">
            <v>N/A</v>
          </cell>
          <cell r="AL706" t="str">
            <v>N/A</v>
          </cell>
          <cell r="AM706" t="str">
            <v>N/A</v>
          </cell>
          <cell r="AN706" t="str">
            <v>N/A</v>
          </cell>
          <cell r="AO706">
            <v>0</v>
          </cell>
        </row>
        <row r="707">
          <cell r="A707" t="str">
            <v>24-C1329</v>
          </cell>
          <cell r="B707" t="str">
            <v>SPAREPARTS ( HOSPITAL
EQUIPMENT ) BATTERY
PACK, LB 1-A &amp; UD CONT
2002X</v>
          </cell>
          <cell r="C707" t="str">
            <v>PEEMO</v>
          </cell>
          <cell r="D707" t="str">
            <v>No</v>
          </cell>
          <cell r="E707" t="str">
            <v>Direct Contracting</v>
          </cell>
          <cell r="F707">
            <v>45398</v>
          </cell>
          <cell r="G707">
            <v>45404</v>
          </cell>
          <cell r="H707">
            <v>0</v>
          </cell>
          <cell r="I707" t="str">
            <v>N/A</v>
          </cell>
          <cell r="J707">
            <v>45440</v>
          </cell>
          <cell r="K707">
            <v>45440</v>
          </cell>
          <cell r="L707">
            <v>0</v>
          </cell>
          <cell r="M707" t="str">
            <v>N/A</v>
          </cell>
          <cell r="N707" t="str">
            <v>N/A</v>
          </cell>
          <cell r="O707">
            <v>45441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45454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428510</v>
          </cell>
          <cell r="AB707">
            <v>428510</v>
          </cell>
          <cell r="AC707">
            <v>0</v>
          </cell>
          <cell r="AD707">
            <v>428510</v>
          </cell>
          <cell r="AE707">
            <v>428510</v>
          </cell>
          <cell r="AF707">
            <v>0</v>
          </cell>
          <cell r="AG707" t="str">
            <v>M</v>
          </cell>
          <cell r="AH707" t="str">
            <v>ENGR. MICHAEL C. SALARDA
MS. LEONARDA M. LATOR
MS. CARMENCITA VALDEZ
MS. SORAYA P. VERGARA</v>
          </cell>
          <cell r="AI707" t="str">
            <v>N/A</v>
          </cell>
          <cell r="AJ707" t="str">
            <v>N/A</v>
          </cell>
          <cell r="AK707" t="str">
            <v>N/A</v>
          </cell>
          <cell r="AL707" t="str">
            <v>N/A</v>
          </cell>
          <cell r="AM707" t="str">
            <v>N/A</v>
          </cell>
          <cell r="AN707" t="str">
            <v>N/A</v>
          </cell>
          <cell r="AO707">
            <v>0</v>
          </cell>
        </row>
        <row r="708">
          <cell r="A708" t="str">
            <v>24-1079</v>
          </cell>
          <cell r="B708" t="str">
            <v>CLOUD SERVER
SUBSCRIPTION</v>
          </cell>
          <cell r="C708" t="str">
            <v>PICTO</v>
          </cell>
          <cell r="D708" t="str">
            <v>No</v>
          </cell>
          <cell r="E708" t="str">
            <v>Direct Contracting</v>
          </cell>
          <cell r="F708" t="str">
            <v>N/A</v>
          </cell>
          <cell r="G708">
            <v>45425</v>
          </cell>
          <cell r="H708">
            <v>0</v>
          </cell>
          <cell r="I708" t="str">
            <v>N/A</v>
          </cell>
          <cell r="J708">
            <v>45440</v>
          </cell>
          <cell r="K708">
            <v>45440</v>
          </cell>
          <cell r="L708">
            <v>0</v>
          </cell>
          <cell r="M708" t="str">
            <v>N/A</v>
          </cell>
          <cell r="N708" t="str">
            <v>N/A</v>
          </cell>
          <cell r="O708">
            <v>45441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45453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513190.86</v>
          </cell>
          <cell r="AB708">
            <v>513190.86</v>
          </cell>
          <cell r="AC708">
            <v>0</v>
          </cell>
          <cell r="AD708">
            <v>513190.86</v>
          </cell>
          <cell r="AE708">
            <v>513190.86</v>
          </cell>
          <cell r="AF708">
            <v>0</v>
          </cell>
          <cell r="AG708" t="str">
            <v>M</v>
          </cell>
          <cell r="AH708" t="str">
            <v>ENGR. MICHAEL C. SALARDA
MS. LEONARDA M. LATOR
MS. CARMENCITA VALDEZ
MS. SORAYA P. VERGARA</v>
          </cell>
          <cell r="AI708" t="str">
            <v>N/A</v>
          </cell>
          <cell r="AJ708" t="str">
            <v>N/A</v>
          </cell>
          <cell r="AK708" t="str">
            <v>N/A</v>
          </cell>
          <cell r="AL708" t="str">
            <v>N/A</v>
          </cell>
          <cell r="AM708" t="str">
            <v>N/A</v>
          </cell>
          <cell r="AN708" t="str">
            <v>N/A</v>
          </cell>
          <cell r="AO708">
            <v>0</v>
          </cell>
        </row>
        <row r="709">
          <cell r="A709" t="str">
            <v>24-2933</v>
          </cell>
          <cell r="B709" t="str">
            <v>RICE (WELL MILLED)</v>
          </cell>
          <cell r="C709" t="str">
            <v>PDRRMO</v>
          </cell>
          <cell r="D709" t="str">
            <v>No</v>
          </cell>
          <cell r="E709" t="str">
            <v>NP-53.2 Emergency Cases</v>
          </cell>
          <cell r="F709" t="str">
            <v>N/A</v>
          </cell>
          <cell r="G709">
            <v>45436</v>
          </cell>
          <cell r="H709">
            <v>0</v>
          </cell>
          <cell r="I709" t="str">
            <v>N/A</v>
          </cell>
          <cell r="J709">
            <v>45440</v>
          </cell>
          <cell r="K709">
            <v>45440</v>
          </cell>
          <cell r="L709">
            <v>0</v>
          </cell>
          <cell r="M709" t="str">
            <v>N/A</v>
          </cell>
          <cell r="N709" t="str">
            <v>N/A</v>
          </cell>
          <cell r="O709">
            <v>45441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45441</v>
          </cell>
          <cell r="U709">
            <v>45447</v>
          </cell>
          <cell r="V709">
            <v>0</v>
          </cell>
          <cell r="W709">
            <v>0</v>
          </cell>
          <cell r="X709">
            <v>45453</v>
          </cell>
          <cell r="Y709">
            <v>45453</v>
          </cell>
          <cell r="Z709">
            <v>0</v>
          </cell>
          <cell r="AA709">
            <v>150000</v>
          </cell>
          <cell r="AB709">
            <v>0</v>
          </cell>
          <cell r="AC709">
            <v>150000</v>
          </cell>
          <cell r="AD709">
            <v>150000</v>
          </cell>
          <cell r="AE709">
            <v>0</v>
          </cell>
          <cell r="AF709">
            <v>150000</v>
          </cell>
          <cell r="AG709" t="str">
            <v>C</v>
          </cell>
          <cell r="AH709" t="str">
            <v>ENGR. MICHAEL C. SALARDA
MS. LEONARDA M. LATOR
MS. CARMENCITA VALDEZ
MS. SORAYA P. VERGARA</v>
          </cell>
          <cell r="AI709" t="str">
            <v>N/A</v>
          </cell>
          <cell r="AJ709" t="str">
            <v>N/A</v>
          </cell>
          <cell r="AK709" t="str">
            <v>N/A</v>
          </cell>
          <cell r="AL709" t="str">
            <v>N/A</v>
          </cell>
          <cell r="AM709" t="str">
            <v>N/A</v>
          </cell>
          <cell r="AN709" t="str">
            <v>N/A</v>
          </cell>
          <cell r="AO709" t="str">
            <v>COMPLETED</v>
          </cell>
        </row>
        <row r="710">
          <cell r="A710" t="str">
            <v>24-C1374</v>
          </cell>
          <cell r="B710" t="str">
            <v>JANITORIAL SUPPLIES</v>
          </cell>
          <cell r="C710" t="str">
            <v>PDRRMO</v>
          </cell>
          <cell r="D710" t="str">
            <v>No</v>
          </cell>
          <cell r="E710" t="str">
            <v>NP-53.2 Emergency Cases</v>
          </cell>
          <cell r="F710" t="str">
            <v>N/A</v>
          </cell>
          <cell r="G710">
            <v>45436</v>
          </cell>
          <cell r="H710">
            <v>0</v>
          </cell>
          <cell r="I710" t="str">
            <v>N/A</v>
          </cell>
          <cell r="J710">
            <v>45440</v>
          </cell>
          <cell r="K710">
            <v>45440</v>
          </cell>
          <cell r="L710">
            <v>0</v>
          </cell>
          <cell r="M710" t="str">
            <v>N/A</v>
          </cell>
          <cell r="N710" t="str">
            <v>N/A</v>
          </cell>
          <cell r="O710">
            <v>45441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45441</v>
          </cell>
          <cell r="U710">
            <v>45447</v>
          </cell>
          <cell r="V710">
            <v>0</v>
          </cell>
          <cell r="W710">
            <v>0</v>
          </cell>
          <cell r="X710">
            <v>45449</v>
          </cell>
          <cell r="Y710">
            <v>45449</v>
          </cell>
          <cell r="Z710">
            <v>0</v>
          </cell>
          <cell r="AA710">
            <v>522300</v>
          </cell>
          <cell r="AB710">
            <v>0</v>
          </cell>
          <cell r="AC710">
            <v>522300</v>
          </cell>
          <cell r="AD710">
            <v>500250</v>
          </cell>
          <cell r="AE710">
            <v>0</v>
          </cell>
          <cell r="AF710">
            <v>500250</v>
          </cell>
          <cell r="AG710" t="str">
            <v>C</v>
          </cell>
          <cell r="AH710" t="str">
            <v>ENGR. MICHAEL C. SALARDA
MS. LEONARDA M. LATOR
MS. CARMENCITA VALDEZ
MS. SORAYA P. VERGARA</v>
          </cell>
          <cell r="AI710" t="str">
            <v>N/A</v>
          </cell>
          <cell r="AJ710" t="str">
            <v>N/A</v>
          </cell>
          <cell r="AK710" t="str">
            <v>N/A</v>
          </cell>
          <cell r="AL710" t="str">
            <v>N/A</v>
          </cell>
          <cell r="AM710" t="str">
            <v>N/A</v>
          </cell>
          <cell r="AN710" t="str">
            <v>N/A</v>
          </cell>
          <cell r="AO710" t="str">
            <v>COMPLETED</v>
          </cell>
        </row>
        <row r="711">
          <cell r="A711" t="str">
            <v>24-C1376</v>
          </cell>
          <cell r="B711" t="str">
            <v>FOOD SUPPLIES</v>
          </cell>
          <cell r="C711" t="str">
            <v>PDRRMO</v>
          </cell>
          <cell r="D711" t="str">
            <v>No</v>
          </cell>
          <cell r="E711" t="str">
            <v>NP-53.2 Emergency Cases</v>
          </cell>
          <cell r="F711" t="str">
            <v>N/A</v>
          </cell>
          <cell r="G711">
            <v>45436</v>
          </cell>
          <cell r="H711">
            <v>0</v>
          </cell>
          <cell r="I711" t="str">
            <v>N/A</v>
          </cell>
          <cell r="J711">
            <v>45440</v>
          </cell>
          <cell r="K711">
            <v>45440</v>
          </cell>
          <cell r="L711">
            <v>0</v>
          </cell>
          <cell r="M711" t="str">
            <v>N/A</v>
          </cell>
          <cell r="N711" t="str">
            <v>N/A</v>
          </cell>
          <cell r="O711">
            <v>45441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45441</v>
          </cell>
          <cell r="U711">
            <v>45446</v>
          </cell>
          <cell r="V711">
            <v>0</v>
          </cell>
          <cell r="W711">
            <v>0</v>
          </cell>
          <cell r="X711">
            <v>45448</v>
          </cell>
          <cell r="Y711">
            <v>45448</v>
          </cell>
          <cell r="Z711">
            <v>0</v>
          </cell>
          <cell r="AA711">
            <v>196218</v>
          </cell>
          <cell r="AB711">
            <v>0</v>
          </cell>
          <cell r="AC711">
            <v>196218</v>
          </cell>
          <cell r="AD711">
            <v>194481</v>
          </cell>
          <cell r="AE711">
            <v>0</v>
          </cell>
          <cell r="AF711">
            <v>194481</v>
          </cell>
          <cell r="AG711">
            <v>0</v>
          </cell>
          <cell r="AH711" t="str">
            <v>ENGR. MICHAEL C. SALARDA
MS. LEONARDA M. LATOR
MS. CARMENCITA VALDEZ
MS. SORAYA P. VERGARA</v>
          </cell>
          <cell r="AI711" t="str">
            <v>N/A</v>
          </cell>
          <cell r="AJ711" t="str">
            <v>N/A</v>
          </cell>
          <cell r="AK711" t="str">
            <v>N/A</v>
          </cell>
          <cell r="AL711" t="str">
            <v>N/A</v>
          </cell>
          <cell r="AM711" t="str">
            <v>N/A</v>
          </cell>
          <cell r="AN711" t="str">
            <v>N/A</v>
          </cell>
          <cell r="AO711" t="str">
            <v>COMPLETED</v>
          </cell>
        </row>
        <row r="712">
          <cell r="A712" t="str">
            <v>24-2475</v>
          </cell>
          <cell r="B712" t="str">
            <v>SPAREPARTS (MOTOR
CYCLE)</v>
          </cell>
          <cell r="C712" t="str">
            <v>PGSO</v>
          </cell>
          <cell r="D712" t="str">
            <v>No</v>
          </cell>
          <cell r="E712" t="str">
            <v>Shopping 52.1(a) - Unforeseen Contingency</v>
          </cell>
          <cell r="F712" t="str">
            <v>N/A</v>
          </cell>
          <cell r="G712">
            <v>45415</v>
          </cell>
          <cell r="H712">
            <v>0</v>
          </cell>
          <cell r="I712" t="str">
            <v>N/A</v>
          </cell>
          <cell r="J712">
            <v>45440</v>
          </cell>
          <cell r="K712">
            <v>45440</v>
          </cell>
          <cell r="L712">
            <v>0</v>
          </cell>
          <cell r="M712" t="str">
            <v>N/A</v>
          </cell>
          <cell r="N712" t="str">
            <v>N/A</v>
          </cell>
          <cell r="O712">
            <v>45441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45450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7550</v>
          </cell>
          <cell r="AB712">
            <v>7550</v>
          </cell>
          <cell r="AC712">
            <v>0</v>
          </cell>
          <cell r="AD712">
            <v>7550</v>
          </cell>
          <cell r="AE712">
            <v>7550</v>
          </cell>
          <cell r="AF712">
            <v>0</v>
          </cell>
          <cell r="AG712" t="str">
            <v>M</v>
          </cell>
          <cell r="AH712" t="str">
            <v>ENGR. MICHAEL C. SALARDA
MS. LEONARDA M. LATOR
MS. CARMENCITA VALDEZ
MS. SORAYA P. VERGARA</v>
          </cell>
          <cell r="AI712" t="str">
            <v>N/A</v>
          </cell>
          <cell r="AJ712" t="str">
            <v>N/A</v>
          </cell>
          <cell r="AK712" t="str">
            <v>N/A</v>
          </cell>
          <cell r="AL712" t="str">
            <v>N/A</v>
          </cell>
          <cell r="AM712" t="str">
            <v>N/A</v>
          </cell>
          <cell r="AN712" t="str">
            <v>N/A</v>
          </cell>
          <cell r="AO712">
            <v>0</v>
          </cell>
        </row>
        <row r="713">
          <cell r="A713" t="str">
            <v>24-2441</v>
          </cell>
          <cell r="B713" t="str">
            <v>SPAREPARTS (LIGHT
VEHICLES)</v>
          </cell>
          <cell r="C713" t="str">
            <v>PDRRMO</v>
          </cell>
          <cell r="D713" t="str">
            <v>No</v>
          </cell>
          <cell r="E713" t="str">
            <v>Shopping 52.1(a) - Unforeseen Contingency</v>
          </cell>
          <cell r="F713" t="str">
            <v>N/A</v>
          </cell>
          <cell r="G713">
            <v>45425</v>
          </cell>
          <cell r="H713">
            <v>0</v>
          </cell>
          <cell r="I713" t="str">
            <v>N/A</v>
          </cell>
          <cell r="J713">
            <v>45440</v>
          </cell>
          <cell r="K713">
            <v>45440</v>
          </cell>
          <cell r="L713">
            <v>0</v>
          </cell>
          <cell r="M713" t="str">
            <v>N/A</v>
          </cell>
          <cell r="N713" t="str">
            <v>N/A</v>
          </cell>
          <cell r="O713">
            <v>45441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45456</v>
          </cell>
          <cell r="U713">
            <v>45470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4800</v>
          </cell>
          <cell r="AB713">
            <v>4800</v>
          </cell>
          <cell r="AC713">
            <v>0</v>
          </cell>
          <cell r="AD713">
            <v>4800</v>
          </cell>
          <cell r="AE713">
            <v>4800</v>
          </cell>
          <cell r="AF713">
            <v>0</v>
          </cell>
          <cell r="AG713">
            <v>0</v>
          </cell>
          <cell r="AH713" t="str">
            <v>ENGR. MICHAEL C. SALARDA
MS. LEONARDA M. LATOR
MS. CARMENCITA VALDEZ
MS. SORAYA P. VERGARA</v>
          </cell>
          <cell r="AI713" t="str">
            <v>N/A</v>
          </cell>
          <cell r="AJ713" t="str">
            <v>N/A</v>
          </cell>
          <cell r="AK713" t="str">
            <v>N/A</v>
          </cell>
          <cell r="AL713" t="str">
            <v>N/A</v>
          </cell>
          <cell r="AM713" t="str">
            <v>N/A</v>
          </cell>
          <cell r="AN713" t="str">
            <v>N/A</v>
          </cell>
          <cell r="AO713">
            <v>0</v>
          </cell>
        </row>
        <row r="714">
          <cell r="A714" t="str">
            <v>24-2507</v>
          </cell>
          <cell r="B714" t="str">
            <v>SPAREPARTS (LIGHT
VEHICLES)</v>
          </cell>
          <cell r="C714" t="str">
            <v>PDRRMO</v>
          </cell>
          <cell r="D714" t="str">
            <v>No</v>
          </cell>
          <cell r="E714" t="str">
            <v>Shopping 52.1(a) - Unforeseen Contingency</v>
          </cell>
          <cell r="F714" t="str">
            <v>N/A</v>
          </cell>
          <cell r="G714">
            <v>45425</v>
          </cell>
          <cell r="H714">
            <v>0</v>
          </cell>
          <cell r="I714" t="str">
            <v>N/A</v>
          </cell>
          <cell r="J714">
            <v>45440</v>
          </cell>
          <cell r="K714">
            <v>45440</v>
          </cell>
          <cell r="L714">
            <v>0</v>
          </cell>
          <cell r="M714" t="str">
            <v>N/A</v>
          </cell>
          <cell r="N714" t="str">
            <v>N/A</v>
          </cell>
          <cell r="O714">
            <v>45441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45456</v>
          </cell>
          <cell r="U714">
            <v>45470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2250</v>
          </cell>
          <cell r="AB714">
            <v>2250</v>
          </cell>
          <cell r="AC714">
            <v>0</v>
          </cell>
          <cell r="AD714">
            <v>2250</v>
          </cell>
          <cell r="AE714">
            <v>2250</v>
          </cell>
          <cell r="AF714">
            <v>0</v>
          </cell>
          <cell r="AG714" t="str">
            <v>M</v>
          </cell>
          <cell r="AH714" t="str">
            <v>ENGR. MICHAEL C. SALARDA
MS. LEONARDA M. LATOR
MS. CARMENCITA VALDEZ
MS. SORAYA P. VERGARA</v>
          </cell>
          <cell r="AI714" t="str">
            <v>N/A</v>
          </cell>
          <cell r="AJ714" t="str">
            <v>N/A</v>
          </cell>
          <cell r="AK714" t="str">
            <v>N/A</v>
          </cell>
          <cell r="AL714" t="str">
            <v>N/A</v>
          </cell>
          <cell r="AM714" t="str">
            <v>N/A</v>
          </cell>
          <cell r="AN714" t="str">
            <v>N/A</v>
          </cell>
          <cell r="AO714">
            <v>0</v>
          </cell>
        </row>
        <row r="715">
          <cell r="A715" t="str">
            <v>24-2505</v>
          </cell>
          <cell r="B715" t="str">
            <v>SPAREPARTS (LIGHT
VEHICLES)</v>
          </cell>
          <cell r="C715" t="str">
            <v>PDRRMO</v>
          </cell>
          <cell r="D715" t="str">
            <v>No</v>
          </cell>
          <cell r="E715" t="str">
            <v>Shopping 52.1(a) - Unforeseen Contingency</v>
          </cell>
          <cell r="F715" t="str">
            <v>N/A</v>
          </cell>
          <cell r="G715">
            <v>45425</v>
          </cell>
          <cell r="H715">
            <v>0</v>
          </cell>
          <cell r="I715" t="str">
            <v>N/A</v>
          </cell>
          <cell r="J715">
            <v>45440</v>
          </cell>
          <cell r="K715">
            <v>45440</v>
          </cell>
          <cell r="L715">
            <v>0</v>
          </cell>
          <cell r="M715" t="str">
            <v>N/A</v>
          </cell>
          <cell r="N715" t="str">
            <v>N/A</v>
          </cell>
          <cell r="O715">
            <v>45441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45456</v>
          </cell>
          <cell r="U715">
            <v>45470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9800</v>
          </cell>
          <cell r="AB715">
            <v>9800</v>
          </cell>
          <cell r="AC715">
            <v>0</v>
          </cell>
          <cell r="AD715">
            <v>9800</v>
          </cell>
          <cell r="AE715">
            <v>9800</v>
          </cell>
          <cell r="AF715">
            <v>0</v>
          </cell>
          <cell r="AG715" t="str">
            <v>M</v>
          </cell>
          <cell r="AH715" t="str">
            <v>ENGR. MICHAEL C. SALARDA
MS. LEONARDA M. LATOR
MS. CARMENCITA VALDEZ
MS. SORAYA P. VERGARA</v>
          </cell>
          <cell r="AI715" t="str">
            <v>N/A</v>
          </cell>
          <cell r="AJ715" t="str">
            <v>N/A</v>
          </cell>
          <cell r="AK715" t="str">
            <v>N/A</v>
          </cell>
          <cell r="AL715" t="str">
            <v>N/A</v>
          </cell>
          <cell r="AM715" t="str">
            <v>N/A</v>
          </cell>
          <cell r="AN715" t="str">
            <v>N/A</v>
          </cell>
          <cell r="AO715">
            <v>0</v>
          </cell>
        </row>
        <row r="716">
          <cell r="A716" t="str">
            <v>24-C1345</v>
          </cell>
          <cell r="B716" t="str">
            <v>SPAREPARTS (HEAVY
EQUIPT)</v>
          </cell>
          <cell r="C716" t="str">
            <v>PDRRMO</v>
          </cell>
          <cell r="D716" t="str">
            <v>No</v>
          </cell>
          <cell r="E716" t="str">
            <v>Shopping 52.1(a) - Unforeseen Contingency</v>
          </cell>
          <cell r="F716" t="str">
            <v>N/A</v>
          </cell>
          <cell r="G716">
            <v>45425</v>
          </cell>
          <cell r="H716">
            <v>0</v>
          </cell>
          <cell r="I716" t="str">
            <v>N/A</v>
          </cell>
          <cell r="J716">
            <v>45440</v>
          </cell>
          <cell r="K716">
            <v>45440</v>
          </cell>
          <cell r="L716">
            <v>0</v>
          </cell>
          <cell r="M716" t="str">
            <v>N/A</v>
          </cell>
          <cell r="N716" t="str">
            <v>N/A</v>
          </cell>
          <cell r="O716">
            <v>45441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45453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23690</v>
          </cell>
          <cell r="AB716">
            <v>23690</v>
          </cell>
          <cell r="AC716">
            <v>0</v>
          </cell>
          <cell r="AD716">
            <v>23690</v>
          </cell>
          <cell r="AE716">
            <v>23690</v>
          </cell>
          <cell r="AF716">
            <v>0</v>
          </cell>
          <cell r="AG716" t="str">
            <v>M</v>
          </cell>
          <cell r="AH716" t="str">
            <v>ENGR. MICHAEL C. SALARDA
MS. LEONARDA M. LATOR
MS. CARMENCITA VALDEZ
MS. SORAYA P. VERGARA</v>
          </cell>
          <cell r="AI716" t="str">
            <v>N/A</v>
          </cell>
          <cell r="AJ716" t="str">
            <v>N/A</v>
          </cell>
          <cell r="AK716" t="str">
            <v>N/A</v>
          </cell>
          <cell r="AL716" t="str">
            <v>N/A</v>
          </cell>
          <cell r="AM716" t="str">
            <v>N/A</v>
          </cell>
          <cell r="AN716" t="str">
            <v>N/A</v>
          </cell>
          <cell r="AO716">
            <v>0</v>
          </cell>
        </row>
        <row r="717">
          <cell r="A717" t="str">
            <v>24-2502</v>
          </cell>
          <cell r="B717" t="str">
            <v>SPAREPARTS (HEAVY
EQUIPT)</v>
          </cell>
          <cell r="C717" t="str">
            <v>PDRRMO</v>
          </cell>
          <cell r="D717" t="str">
            <v>No</v>
          </cell>
          <cell r="E717" t="str">
            <v>Shopping 52.1(a) - Unforeseen Contingency</v>
          </cell>
          <cell r="F717" t="str">
            <v>N/A</v>
          </cell>
          <cell r="G717">
            <v>45425</v>
          </cell>
          <cell r="H717">
            <v>0</v>
          </cell>
          <cell r="I717" t="str">
            <v>N/A</v>
          </cell>
          <cell r="J717">
            <v>45440</v>
          </cell>
          <cell r="K717">
            <v>45440</v>
          </cell>
          <cell r="L717">
            <v>0</v>
          </cell>
          <cell r="M717" t="str">
            <v>N/A</v>
          </cell>
          <cell r="N717" t="str">
            <v>N/A</v>
          </cell>
          <cell r="O717">
            <v>45441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45453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12000</v>
          </cell>
          <cell r="AB717">
            <v>12000</v>
          </cell>
          <cell r="AC717">
            <v>0</v>
          </cell>
          <cell r="AD717">
            <v>12000</v>
          </cell>
          <cell r="AE717">
            <v>12000</v>
          </cell>
          <cell r="AF717">
            <v>0</v>
          </cell>
          <cell r="AG717" t="str">
            <v>M</v>
          </cell>
          <cell r="AH717" t="str">
            <v>ENGR. MICHAEL C. SALARDA
MS. LEONARDA M. LATOR
MS. CARMENCITA VALDEZ
MS. SORAYA P. VERGARA</v>
          </cell>
          <cell r="AI717" t="str">
            <v>N/A</v>
          </cell>
          <cell r="AJ717" t="str">
            <v>N/A</v>
          </cell>
          <cell r="AK717" t="str">
            <v>N/A</v>
          </cell>
          <cell r="AL717" t="str">
            <v>N/A</v>
          </cell>
          <cell r="AM717" t="str">
            <v>N/A</v>
          </cell>
          <cell r="AN717" t="str">
            <v>N/A</v>
          </cell>
          <cell r="AO717">
            <v>0</v>
          </cell>
        </row>
        <row r="718">
          <cell r="A718" t="str">
            <v>24-2509</v>
          </cell>
          <cell r="B718" t="str">
            <v>SPAREPARTS (LIGHT
VEHICLES)</v>
          </cell>
          <cell r="C718" t="str">
            <v>PDRRMO</v>
          </cell>
          <cell r="D718" t="str">
            <v>No</v>
          </cell>
          <cell r="E718" t="str">
            <v>Shopping 52.1(a) - Unforeseen Contingency</v>
          </cell>
          <cell r="F718" t="str">
            <v>N/A</v>
          </cell>
          <cell r="G718">
            <v>45425</v>
          </cell>
          <cell r="H718">
            <v>0</v>
          </cell>
          <cell r="I718" t="str">
            <v>N/A</v>
          </cell>
          <cell r="J718">
            <v>45440</v>
          </cell>
          <cell r="K718">
            <v>45440</v>
          </cell>
          <cell r="L718">
            <v>0</v>
          </cell>
          <cell r="M718" t="str">
            <v>N/A</v>
          </cell>
          <cell r="N718" t="str">
            <v>N/A</v>
          </cell>
          <cell r="O718">
            <v>45441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45454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39000</v>
          </cell>
          <cell r="AB718">
            <v>39000</v>
          </cell>
          <cell r="AC718">
            <v>0</v>
          </cell>
          <cell r="AD718">
            <v>39000</v>
          </cell>
          <cell r="AE718">
            <v>39000</v>
          </cell>
          <cell r="AF718">
            <v>0</v>
          </cell>
          <cell r="AG718" t="str">
            <v>M</v>
          </cell>
          <cell r="AH718" t="str">
            <v>ENGR. MICHAEL C. SALARDA
MS. LEONARDA M. LATOR
MS. CARMENCITA VALDEZ
MS. SORAYA P. VERGARA</v>
          </cell>
          <cell r="AI718" t="str">
            <v>N/A</v>
          </cell>
          <cell r="AJ718" t="str">
            <v>N/A</v>
          </cell>
          <cell r="AK718" t="str">
            <v>N/A</v>
          </cell>
          <cell r="AL718" t="str">
            <v>N/A</v>
          </cell>
          <cell r="AM718" t="str">
            <v>N/A</v>
          </cell>
          <cell r="AN718" t="str">
            <v>N/A</v>
          </cell>
          <cell r="AO718">
            <v>0</v>
          </cell>
        </row>
        <row r="719">
          <cell r="A719" t="str">
            <v>24-2492</v>
          </cell>
          <cell r="B719" t="str">
            <v>SPAREPARTS (LIGHT
VEHICLES)</v>
          </cell>
          <cell r="C719" t="str">
            <v>PDRRMO</v>
          </cell>
          <cell r="D719" t="str">
            <v>No</v>
          </cell>
          <cell r="E719" t="str">
            <v>Shopping 52.1(a) - Unforeseen Contingency</v>
          </cell>
          <cell r="F719" t="str">
            <v>N/A</v>
          </cell>
          <cell r="G719">
            <v>45425</v>
          </cell>
          <cell r="H719">
            <v>0</v>
          </cell>
          <cell r="I719" t="str">
            <v>N/A</v>
          </cell>
          <cell r="J719">
            <v>45440</v>
          </cell>
          <cell r="K719">
            <v>45440</v>
          </cell>
          <cell r="L719">
            <v>0</v>
          </cell>
          <cell r="M719" t="str">
            <v>N/A</v>
          </cell>
          <cell r="N719" t="str">
            <v>N/A</v>
          </cell>
          <cell r="O719">
            <v>45441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45453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4500</v>
          </cell>
          <cell r="AB719">
            <v>0</v>
          </cell>
          <cell r="AC719">
            <v>4500</v>
          </cell>
          <cell r="AD719">
            <v>4500</v>
          </cell>
          <cell r="AE719">
            <v>0</v>
          </cell>
          <cell r="AF719">
            <v>4500</v>
          </cell>
          <cell r="AG719" t="str">
            <v>C</v>
          </cell>
          <cell r="AH719" t="str">
            <v>ENGR. MICHAEL C. SALARDA
MS. LEONARDA M. LATOR
MS. CARMENCITA VALDEZ
MS. SORAYA P. VERGARA</v>
          </cell>
          <cell r="AI719" t="str">
            <v>N/A</v>
          </cell>
          <cell r="AJ719" t="str">
            <v>N/A</v>
          </cell>
          <cell r="AK719" t="str">
            <v>N/A</v>
          </cell>
          <cell r="AL719" t="str">
            <v>N/A</v>
          </cell>
          <cell r="AM719" t="str">
            <v>N/A</v>
          </cell>
          <cell r="AN719" t="str">
            <v>N/A</v>
          </cell>
          <cell r="AO719">
            <v>0</v>
          </cell>
        </row>
        <row r="720">
          <cell r="A720" t="str">
            <v>24-2390</v>
          </cell>
          <cell r="B720" t="str">
            <v>JOB ORDER(LABOR &amp;</v>
          </cell>
          <cell r="C720" t="str">
            <v>PGSO</v>
          </cell>
          <cell r="D720" t="str">
            <v>No</v>
          </cell>
          <cell r="E720" t="str">
            <v>Shopping 52.1(a) - Unforeseen Contingency</v>
          </cell>
          <cell r="F720" t="str">
            <v>N/A</v>
          </cell>
          <cell r="G720">
            <v>45425</v>
          </cell>
          <cell r="H720">
            <v>0</v>
          </cell>
          <cell r="I720" t="str">
            <v>N/A</v>
          </cell>
          <cell r="J720">
            <v>45440</v>
          </cell>
          <cell r="K720">
            <v>45440</v>
          </cell>
          <cell r="L720">
            <v>0</v>
          </cell>
          <cell r="M720" t="str">
            <v>N/A</v>
          </cell>
          <cell r="N720" t="str">
            <v>N/A</v>
          </cell>
          <cell r="O720">
            <v>45441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45454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3560</v>
          </cell>
          <cell r="AB720">
            <v>3560</v>
          </cell>
          <cell r="AC720">
            <v>0</v>
          </cell>
          <cell r="AD720">
            <v>3560</v>
          </cell>
          <cell r="AE720">
            <v>3560</v>
          </cell>
          <cell r="AF720">
            <v>0</v>
          </cell>
          <cell r="AG720" t="str">
            <v>M</v>
          </cell>
          <cell r="AH720" t="str">
            <v>ENGR. MICHAEL C. SALARDA
MS. LEONARDA M. LATOR
MS. CARMENCITA VALDEZ
MS. SORAYA P. VERGARA</v>
          </cell>
          <cell r="AI720" t="str">
            <v>N/A</v>
          </cell>
          <cell r="AJ720" t="str">
            <v>N/A</v>
          </cell>
          <cell r="AK720" t="str">
            <v>N/A</v>
          </cell>
          <cell r="AL720" t="str">
            <v>N/A</v>
          </cell>
          <cell r="AM720" t="str">
            <v>N/A</v>
          </cell>
          <cell r="AN720" t="str">
            <v>N/A</v>
          </cell>
          <cell r="AO720">
            <v>0</v>
          </cell>
        </row>
        <row r="721">
          <cell r="A721" t="str">
            <v>24-2521</v>
          </cell>
          <cell r="B721" t="str">
            <v>SPAREPARTS (LIGHT
VEHICLES)</v>
          </cell>
          <cell r="C721" t="str">
            <v>SPO</v>
          </cell>
          <cell r="D721" t="str">
            <v>No</v>
          </cell>
          <cell r="E721" t="str">
            <v>Shopping 52.1(a) - Unforeseen Contingency</v>
          </cell>
          <cell r="F721" t="str">
            <v>N/A</v>
          </cell>
          <cell r="G721">
            <v>45425</v>
          </cell>
          <cell r="H721">
            <v>0</v>
          </cell>
          <cell r="I721" t="str">
            <v>N/A</v>
          </cell>
          <cell r="J721">
            <v>45440</v>
          </cell>
          <cell r="K721">
            <v>45440</v>
          </cell>
          <cell r="L721">
            <v>0</v>
          </cell>
          <cell r="M721" t="str">
            <v>N/A</v>
          </cell>
          <cell r="N721" t="str">
            <v>N/A</v>
          </cell>
          <cell r="O721">
            <v>45441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45450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45400</v>
          </cell>
          <cell r="AB721">
            <v>45400</v>
          </cell>
          <cell r="AC721">
            <v>0</v>
          </cell>
          <cell r="AD721">
            <v>45400</v>
          </cell>
          <cell r="AE721">
            <v>45400</v>
          </cell>
          <cell r="AF721">
            <v>0</v>
          </cell>
          <cell r="AG721" t="str">
            <v>M</v>
          </cell>
          <cell r="AH721" t="str">
            <v>ENGR. MICHAEL C. SALARDA
MS. LEONARDA M. LATOR
MS. CARMENCITA VALDEZ
MS. SORAYA P. VERGARA</v>
          </cell>
          <cell r="AI721" t="str">
            <v>N/A</v>
          </cell>
          <cell r="AJ721" t="str">
            <v>N/A</v>
          </cell>
          <cell r="AK721" t="str">
            <v>N/A</v>
          </cell>
          <cell r="AL721" t="str">
            <v>N/A</v>
          </cell>
          <cell r="AM721" t="str">
            <v>N/A</v>
          </cell>
          <cell r="AN721" t="str">
            <v>N/A</v>
          </cell>
          <cell r="AO721">
            <v>0</v>
          </cell>
        </row>
        <row r="722">
          <cell r="A722" t="str">
            <v>24-2485</v>
          </cell>
          <cell r="B722" t="str">
            <v>JOB ORDER(LABOR &amp;
MATERIALS)</v>
          </cell>
          <cell r="C722" t="str">
            <v>SPO</v>
          </cell>
          <cell r="D722" t="str">
            <v>No</v>
          </cell>
          <cell r="E722" t="str">
            <v>Shopping 52.1(a) - Unforeseen Contingency</v>
          </cell>
          <cell r="F722" t="str">
            <v>N/A</v>
          </cell>
          <cell r="G722">
            <v>45425</v>
          </cell>
          <cell r="H722">
            <v>0</v>
          </cell>
          <cell r="I722" t="str">
            <v>N/A</v>
          </cell>
          <cell r="J722">
            <v>45440</v>
          </cell>
          <cell r="K722">
            <v>45440</v>
          </cell>
          <cell r="L722">
            <v>0</v>
          </cell>
          <cell r="M722" t="str">
            <v>N/A</v>
          </cell>
          <cell r="N722" t="str">
            <v>N/A</v>
          </cell>
          <cell r="O722">
            <v>45441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45453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2000</v>
          </cell>
          <cell r="AB722">
            <v>2000</v>
          </cell>
          <cell r="AC722">
            <v>0</v>
          </cell>
          <cell r="AD722">
            <v>2000</v>
          </cell>
          <cell r="AE722">
            <v>2000</v>
          </cell>
          <cell r="AF722">
            <v>0</v>
          </cell>
          <cell r="AG722" t="str">
            <v>M</v>
          </cell>
          <cell r="AH722" t="str">
            <v>ENGR. MICHAEL C. SALARDA
MS. LEONARDA M. LATOR
MS. CARMENCITA VALDEZ
MS. SORAYA P. VERGARA</v>
          </cell>
          <cell r="AI722" t="str">
            <v>N/A</v>
          </cell>
          <cell r="AJ722" t="str">
            <v>N/A</v>
          </cell>
          <cell r="AK722" t="str">
            <v>N/A</v>
          </cell>
          <cell r="AL722" t="str">
            <v>N/A</v>
          </cell>
          <cell r="AM722" t="str">
            <v>N/A</v>
          </cell>
          <cell r="AN722" t="str">
            <v>N/A</v>
          </cell>
          <cell r="AO722">
            <v>0</v>
          </cell>
        </row>
        <row r="723">
          <cell r="A723" t="str">
            <v>24-2522</v>
          </cell>
          <cell r="B723" t="str">
            <v>SPAREPARTS (LIGHT
VEHICLES)</v>
          </cell>
          <cell r="C723" t="str">
            <v>SPO</v>
          </cell>
          <cell r="D723" t="str">
            <v>No</v>
          </cell>
          <cell r="E723" t="str">
            <v>Shopping 52.1(a) - Unforeseen Contingency</v>
          </cell>
          <cell r="F723" t="str">
            <v>N/A</v>
          </cell>
          <cell r="G723">
            <v>45425</v>
          </cell>
          <cell r="H723">
            <v>0</v>
          </cell>
          <cell r="I723" t="str">
            <v>N/A</v>
          </cell>
          <cell r="J723">
            <v>45440</v>
          </cell>
          <cell r="K723">
            <v>45440</v>
          </cell>
          <cell r="L723">
            <v>0</v>
          </cell>
          <cell r="M723" t="str">
            <v>N/A</v>
          </cell>
          <cell r="N723" t="str">
            <v>N/A</v>
          </cell>
          <cell r="O723">
            <v>45441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45448</v>
          </cell>
          <cell r="U723">
            <v>45463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13500</v>
          </cell>
          <cell r="AB723">
            <v>13500</v>
          </cell>
          <cell r="AC723">
            <v>0</v>
          </cell>
          <cell r="AD723">
            <v>13500</v>
          </cell>
          <cell r="AE723">
            <v>13500</v>
          </cell>
          <cell r="AF723">
            <v>0</v>
          </cell>
          <cell r="AG723" t="str">
            <v>M</v>
          </cell>
          <cell r="AH723" t="str">
            <v>ENGR. MICHAEL C. SALARDA
MS. LEONARDA M. LATOR
MS. CARMENCITA VALDEZ
MS. SORAYA P. VERGARA</v>
          </cell>
          <cell r="AI723" t="str">
            <v>N/A</v>
          </cell>
          <cell r="AJ723" t="str">
            <v>N/A</v>
          </cell>
          <cell r="AK723" t="str">
            <v>N/A</v>
          </cell>
          <cell r="AL723" t="str">
            <v>N/A</v>
          </cell>
          <cell r="AM723" t="str">
            <v>N/A</v>
          </cell>
          <cell r="AN723" t="str">
            <v>N/A</v>
          </cell>
          <cell r="AO723">
            <v>0</v>
          </cell>
        </row>
        <row r="724">
          <cell r="A724" t="str">
            <v>24-2508</v>
          </cell>
          <cell r="B724" t="str">
            <v>SPAREPARTS (LIGHT
VEHICLES)</v>
          </cell>
          <cell r="C724" t="str">
            <v>PDRRMO</v>
          </cell>
          <cell r="D724" t="str">
            <v>No</v>
          </cell>
          <cell r="E724" t="str">
            <v>Shopping 52.1(a) - Unforeseen Contingency</v>
          </cell>
          <cell r="F724" t="str">
            <v>N/A</v>
          </cell>
          <cell r="G724">
            <v>45425</v>
          </cell>
          <cell r="H724">
            <v>0</v>
          </cell>
          <cell r="I724" t="str">
            <v>N/A</v>
          </cell>
          <cell r="J724">
            <v>45440</v>
          </cell>
          <cell r="K724">
            <v>45440</v>
          </cell>
          <cell r="L724">
            <v>0</v>
          </cell>
          <cell r="M724" t="str">
            <v>N/A</v>
          </cell>
          <cell r="N724" t="str">
            <v>N/A</v>
          </cell>
          <cell r="O724">
            <v>45441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45453</v>
          </cell>
          <cell r="U724">
            <v>45470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32400</v>
          </cell>
          <cell r="AB724">
            <v>32400</v>
          </cell>
          <cell r="AC724">
            <v>0</v>
          </cell>
          <cell r="AD724">
            <v>32400</v>
          </cell>
          <cell r="AE724">
            <v>32400</v>
          </cell>
          <cell r="AF724">
            <v>0</v>
          </cell>
          <cell r="AG724" t="str">
            <v>M</v>
          </cell>
          <cell r="AH724" t="str">
            <v>ENGR. MICHAEL C. SALARDA
MS. LEONARDA M. LATOR
MS. CARMENCITA VALDEZ
MS. SORAYA P. VERGARA</v>
          </cell>
          <cell r="AI724" t="str">
            <v>N/A</v>
          </cell>
          <cell r="AJ724" t="str">
            <v>N/A</v>
          </cell>
          <cell r="AK724" t="str">
            <v>N/A</v>
          </cell>
          <cell r="AL724" t="str">
            <v>N/A</v>
          </cell>
          <cell r="AM724" t="str">
            <v>N/A</v>
          </cell>
          <cell r="AN724" t="str">
            <v>N/A</v>
          </cell>
          <cell r="AO724">
            <v>0</v>
          </cell>
        </row>
        <row r="725">
          <cell r="A725" t="str">
            <v>24-2610</v>
          </cell>
          <cell r="B725" t="str">
            <v>SPAREPARTS (LIGHT
VEHICLES)</v>
          </cell>
          <cell r="C725" t="str">
            <v>PDRRMO</v>
          </cell>
          <cell r="D725" t="str">
            <v>No</v>
          </cell>
          <cell r="E725" t="str">
            <v>Shopping 52.1(a) - Unforeseen Contingency</v>
          </cell>
          <cell r="F725" t="str">
            <v>N/A</v>
          </cell>
          <cell r="G725">
            <v>45425</v>
          </cell>
          <cell r="H725">
            <v>0</v>
          </cell>
          <cell r="I725" t="str">
            <v>N/A</v>
          </cell>
          <cell r="J725">
            <v>45440</v>
          </cell>
          <cell r="K725">
            <v>45440</v>
          </cell>
          <cell r="L725">
            <v>0</v>
          </cell>
          <cell r="M725" t="str">
            <v>N/A</v>
          </cell>
          <cell r="N725" t="str">
            <v>N/A</v>
          </cell>
          <cell r="O725">
            <v>45441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45453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13500</v>
          </cell>
          <cell r="AB725">
            <v>13500</v>
          </cell>
          <cell r="AC725">
            <v>0</v>
          </cell>
          <cell r="AD725">
            <v>13500</v>
          </cell>
          <cell r="AE725">
            <v>13500</v>
          </cell>
          <cell r="AF725">
            <v>0</v>
          </cell>
          <cell r="AG725" t="str">
            <v>M</v>
          </cell>
          <cell r="AH725" t="str">
            <v>ENGR. MICHAEL C. SALARDA
MS. LEONARDA M. LATOR
MS. CARMENCITA VALDEZ
MS. SORAYA P. VERGARA</v>
          </cell>
          <cell r="AI725" t="str">
            <v>N/A</v>
          </cell>
          <cell r="AJ725" t="str">
            <v>N/A</v>
          </cell>
          <cell r="AK725" t="str">
            <v>N/A</v>
          </cell>
          <cell r="AL725" t="str">
            <v>N/A</v>
          </cell>
          <cell r="AM725" t="str">
            <v>N/A</v>
          </cell>
          <cell r="AN725" t="str">
            <v>N/A</v>
          </cell>
          <cell r="AO725">
            <v>0</v>
          </cell>
        </row>
        <row r="726">
          <cell r="A726" t="str">
            <v>24-2609</v>
          </cell>
          <cell r="B726" t="str">
            <v>SPAREPARTS (LIGHT
VEHICLES)</v>
          </cell>
          <cell r="C726" t="str">
            <v>PDRRMO</v>
          </cell>
          <cell r="D726" t="str">
            <v>No</v>
          </cell>
          <cell r="E726" t="str">
            <v>Shopping 52.1(a) - Unforeseen Contingency</v>
          </cell>
          <cell r="F726" t="str">
            <v>N/A</v>
          </cell>
          <cell r="G726">
            <v>45425</v>
          </cell>
          <cell r="H726">
            <v>0</v>
          </cell>
          <cell r="I726" t="str">
            <v>N/A</v>
          </cell>
          <cell r="J726">
            <v>45440</v>
          </cell>
          <cell r="K726">
            <v>45440</v>
          </cell>
          <cell r="L726">
            <v>0</v>
          </cell>
          <cell r="M726" t="str">
            <v>N/A</v>
          </cell>
          <cell r="N726" t="str">
            <v>N/A</v>
          </cell>
          <cell r="O726">
            <v>45441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45453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1500</v>
          </cell>
          <cell r="AB726">
            <v>1500</v>
          </cell>
          <cell r="AC726">
            <v>0</v>
          </cell>
          <cell r="AD726">
            <v>1500</v>
          </cell>
          <cell r="AE726">
            <v>1500</v>
          </cell>
          <cell r="AF726">
            <v>0</v>
          </cell>
          <cell r="AG726" t="str">
            <v>M</v>
          </cell>
          <cell r="AH726" t="str">
            <v>ENGR. MICHAEL C. SALARDA
MS. LEONARDA M. LATOR
MS. CARMENCITA VALDEZ
MS. SORAYA P. VERGARA</v>
          </cell>
          <cell r="AI726" t="str">
            <v>N/A</v>
          </cell>
          <cell r="AJ726" t="str">
            <v>N/A</v>
          </cell>
          <cell r="AK726" t="str">
            <v>N/A</v>
          </cell>
          <cell r="AL726" t="str">
            <v>N/A</v>
          </cell>
          <cell r="AM726" t="str">
            <v>N/A</v>
          </cell>
          <cell r="AN726" t="str">
            <v>N/A</v>
          </cell>
          <cell r="AO726">
            <v>0</v>
          </cell>
        </row>
        <row r="727">
          <cell r="A727" t="str">
            <v>24-2570</v>
          </cell>
          <cell r="B727" t="str">
            <v>SPAREPARTS (LIGHT
VEHICLES)</v>
          </cell>
          <cell r="C727" t="str">
            <v>PDRRMO</v>
          </cell>
          <cell r="D727" t="str">
            <v>No</v>
          </cell>
          <cell r="E727" t="str">
            <v>Shopping 52.1(a) - Unforeseen Contingency</v>
          </cell>
          <cell r="F727" t="str">
            <v>N/A</v>
          </cell>
          <cell r="G727">
            <v>45429</v>
          </cell>
          <cell r="H727">
            <v>0</v>
          </cell>
          <cell r="I727" t="str">
            <v>N/A</v>
          </cell>
          <cell r="J727">
            <v>45440</v>
          </cell>
          <cell r="K727">
            <v>45440</v>
          </cell>
          <cell r="L727">
            <v>0</v>
          </cell>
          <cell r="M727" t="str">
            <v>N/A</v>
          </cell>
          <cell r="N727" t="str">
            <v>N/A</v>
          </cell>
          <cell r="O727">
            <v>45441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45456</v>
          </cell>
          <cell r="U727">
            <v>45470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19080</v>
          </cell>
          <cell r="AB727">
            <v>19080</v>
          </cell>
          <cell r="AC727">
            <v>0</v>
          </cell>
          <cell r="AD727">
            <v>19080</v>
          </cell>
          <cell r="AE727">
            <v>19080</v>
          </cell>
          <cell r="AF727">
            <v>0</v>
          </cell>
          <cell r="AG727" t="str">
            <v>M</v>
          </cell>
          <cell r="AH727" t="str">
            <v>ENGR. MICHAEL C. SALARDA
MS. LEONARDA M. LATOR
MS. CARMENCITA VALDEZ
MS. SORAYA P. VERGARA</v>
          </cell>
          <cell r="AI727" t="str">
            <v>N/A</v>
          </cell>
          <cell r="AJ727" t="str">
            <v>N/A</v>
          </cell>
          <cell r="AK727" t="str">
            <v>N/A</v>
          </cell>
          <cell r="AL727" t="str">
            <v>N/A</v>
          </cell>
          <cell r="AM727" t="str">
            <v>N/A</v>
          </cell>
          <cell r="AN727" t="str">
            <v>N/A</v>
          </cell>
          <cell r="AO727">
            <v>0</v>
          </cell>
        </row>
        <row r="728">
          <cell r="A728" t="str">
            <v>24-2572</v>
          </cell>
          <cell r="B728" t="str">
            <v>SPAREPARTS (LIGHT
VEHICLES)</v>
          </cell>
          <cell r="C728" t="str">
            <v>PDRRMO</v>
          </cell>
          <cell r="D728" t="str">
            <v>No</v>
          </cell>
          <cell r="E728" t="str">
            <v>Shopping 52.1(a) - Unforeseen Contingency</v>
          </cell>
          <cell r="F728" t="str">
            <v>N/A</v>
          </cell>
          <cell r="G728">
            <v>45429</v>
          </cell>
          <cell r="H728">
            <v>0</v>
          </cell>
          <cell r="I728" t="str">
            <v>N/A</v>
          </cell>
          <cell r="J728">
            <v>45440</v>
          </cell>
          <cell r="K728">
            <v>45440</v>
          </cell>
          <cell r="L728">
            <v>0</v>
          </cell>
          <cell r="M728" t="str">
            <v>N/A</v>
          </cell>
          <cell r="N728" t="str">
            <v>N/A</v>
          </cell>
          <cell r="O728">
            <v>45441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45454</v>
          </cell>
          <cell r="U728">
            <v>45470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18100</v>
          </cell>
          <cell r="AB728">
            <v>18100</v>
          </cell>
          <cell r="AC728">
            <v>0</v>
          </cell>
          <cell r="AD728">
            <v>18100</v>
          </cell>
          <cell r="AE728">
            <v>18100</v>
          </cell>
          <cell r="AF728">
            <v>0</v>
          </cell>
          <cell r="AG728" t="str">
            <v>M</v>
          </cell>
          <cell r="AH728" t="str">
            <v>ENGR. MICHAEL C. SALARDA
MS. LEONARDA M. LATOR
MS. CARMENCITA VALDEZ
MS. SORAYA P. VERGARA</v>
          </cell>
          <cell r="AI728" t="str">
            <v>N/A</v>
          </cell>
          <cell r="AJ728" t="str">
            <v>N/A</v>
          </cell>
          <cell r="AK728" t="str">
            <v>N/A</v>
          </cell>
          <cell r="AL728" t="str">
            <v>N/A</v>
          </cell>
          <cell r="AM728" t="str">
            <v>N/A</v>
          </cell>
          <cell r="AN728" t="str">
            <v>N/A</v>
          </cell>
          <cell r="AO728">
            <v>0</v>
          </cell>
        </row>
        <row r="729">
          <cell r="A729" t="str">
            <v>24-2392</v>
          </cell>
          <cell r="B729" t="str">
            <v>SPAREPARTS (MOTOR
CYCLE)</v>
          </cell>
          <cell r="C729" t="str">
            <v>PGSO</v>
          </cell>
          <cell r="D729" t="str">
            <v>No</v>
          </cell>
          <cell r="E729" t="str">
            <v>Shopping 52.1(a) - Unforeseen Contingency</v>
          </cell>
          <cell r="F729" t="str">
            <v>N/A</v>
          </cell>
          <cell r="G729">
            <v>45429</v>
          </cell>
          <cell r="H729">
            <v>0</v>
          </cell>
          <cell r="I729" t="str">
            <v>N/A</v>
          </cell>
          <cell r="J729">
            <v>45440</v>
          </cell>
          <cell r="K729">
            <v>45440</v>
          </cell>
          <cell r="L729">
            <v>0</v>
          </cell>
          <cell r="M729" t="str">
            <v>N/A</v>
          </cell>
          <cell r="N729" t="str">
            <v>N/A</v>
          </cell>
          <cell r="O729">
            <v>45441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45454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3320</v>
          </cell>
          <cell r="AB729">
            <v>3320</v>
          </cell>
          <cell r="AC729">
            <v>0</v>
          </cell>
          <cell r="AD729">
            <v>3320</v>
          </cell>
          <cell r="AE729">
            <v>3320</v>
          </cell>
          <cell r="AF729">
            <v>0</v>
          </cell>
          <cell r="AG729" t="str">
            <v>M</v>
          </cell>
          <cell r="AH729" t="str">
            <v>ENGR. MICHAEL C. SALARDA
MS. LEONARDA M. LATOR
MS. CARMENCITA VALDEZ
MS. SORAYA P. VERGARA</v>
          </cell>
          <cell r="AI729" t="str">
            <v>N/A</v>
          </cell>
          <cell r="AJ729" t="str">
            <v>N/A</v>
          </cell>
          <cell r="AK729" t="str">
            <v>N/A</v>
          </cell>
          <cell r="AL729" t="str">
            <v>N/A</v>
          </cell>
          <cell r="AM729" t="str">
            <v>N/A</v>
          </cell>
          <cell r="AN729" t="str">
            <v>N/A</v>
          </cell>
          <cell r="AO729">
            <v>0</v>
          </cell>
        </row>
        <row r="730">
          <cell r="A730" t="str">
            <v>24-2510</v>
          </cell>
          <cell r="B730" t="str">
            <v>SPAREPARTS (LIGHT
VEHICLES)</v>
          </cell>
          <cell r="C730" t="str">
            <v>PDRRMO</v>
          </cell>
          <cell r="D730" t="str">
            <v>No</v>
          </cell>
          <cell r="E730" t="str">
            <v>Shopping 52.1(a) - Unforeseen Contingency</v>
          </cell>
          <cell r="F730" t="str">
            <v>N/A</v>
          </cell>
          <cell r="G730">
            <v>45434</v>
          </cell>
          <cell r="H730">
            <v>0</v>
          </cell>
          <cell r="I730" t="str">
            <v>N/A</v>
          </cell>
          <cell r="J730">
            <v>45440</v>
          </cell>
          <cell r="K730">
            <v>45440</v>
          </cell>
          <cell r="L730">
            <v>0</v>
          </cell>
          <cell r="M730" t="str">
            <v>N/A</v>
          </cell>
          <cell r="N730" t="str">
            <v>N/A</v>
          </cell>
          <cell r="O730">
            <v>45441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45454</v>
          </cell>
          <cell r="U730">
            <v>45470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11800</v>
          </cell>
          <cell r="AB730">
            <v>11800</v>
          </cell>
          <cell r="AC730">
            <v>0</v>
          </cell>
          <cell r="AD730">
            <v>11800</v>
          </cell>
          <cell r="AE730">
            <v>11800</v>
          </cell>
          <cell r="AF730">
            <v>0</v>
          </cell>
          <cell r="AG730" t="str">
            <v>M</v>
          </cell>
          <cell r="AH730" t="str">
            <v>ENGR. MICHAEL C. SALARDA
MS. LEONARDA M. LATOR
MS. CARMENCITA VALDEZ
MS. SORAYA P. VERGARA</v>
          </cell>
          <cell r="AI730" t="str">
            <v>N/A</v>
          </cell>
          <cell r="AJ730" t="str">
            <v>N/A</v>
          </cell>
          <cell r="AK730" t="str">
            <v>N/A</v>
          </cell>
          <cell r="AL730" t="str">
            <v>N/A</v>
          </cell>
          <cell r="AM730" t="str">
            <v>N/A</v>
          </cell>
          <cell r="AN730" t="str">
            <v>N/A</v>
          </cell>
          <cell r="AO730">
            <v>0</v>
          </cell>
        </row>
        <row r="731">
          <cell r="A731" t="str">
            <v>24-2623</v>
          </cell>
          <cell r="B731" t="str">
            <v>SPAREPARTS (MOTOR
CYCLE)</v>
          </cell>
          <cell r="C731" t="str">
            <v>PGSO</v>
          </cell>
          <cell r="D731" t="str">
            <v>No</v>
          </cell>
          <cell r="E731" t="str">
            <v>Shopping 52.1(a) - Unforeseen Contingency</v>
          </cell>
          <cell r="F731" t="str">
            <v>N/A</v>
          </cell>
          <cell r="G731">
            <v>45434</v>
          </cell>
          <cell r="H731">
            <v>0</v>
          </cell>
          <cell r="I731" t="str">
            <v>N/A</v>
          </cell>
          <cell r="J731">
            <v>45440</v>
          </cell>
          <cell r="K731">
            <v>45440</v>
          </cell>
          <cell r="L731">
            <v>0</v>
          </cell>
          <cell r="M731" t="str">
            <v>N/A</v>
          </cell>
          <cell r="N731" t="str">
            <v>N/A</v>
          </cell>
          <cell r="O731">
            <v>45441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45450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10600</v>
          </cell>
          <cell r="AB731">
            <v>10600</v>
          </cell>
          <cell r="AC731">
            <v>0</v>
          </cell>
          <cell r="AD731">
            <v>10600</v>
          </cell>
          <cell r="AE731">
            <v>10600</v>
          </cell>
          <cell r="AF731">
            <v>0</v>
          </cell>
          <cell r="AG731" t="str">
            <v>M</v>
          </cell>
          <cell r="AH731" t="str">
            <v>ENGR. MICHAEL C. SALARDA
MS. LEONARDA M. LATOR
MS. CARMENCITA VALDEZ
MS. SORAYA P. VERGARA</v>
          </cell>
          <cell r="AI731" t="str">
            <v>N/A</v>
          </cell>
          <cell r="AJ731" t="str">
            <v>N/A</v>
          </cell>
          <cell r="AK731" t="str">
            <v>N/A</v>
          </cell>
          <cell r="AL731" t="str">
            <v>N/A</v>
          </cell>
          <cell r="AM731" t="str">
            <v>N/A</v>
          </cell>
          <cell r="AN731" t="str">
            <v>N/A</v>
          </cell>
          <cell r="AO731">
            <v>0</v>
          </cell>
        </row>
        <row r="732">
          <cell r="A732" t="str">
            <v>24-2622</v>
          </cell>
          <cell r="B732" t="str">
            <v>SPAREPARTS (LIGHT
VEHICLES)</v>
          </cell>
          <cell r="C732" t="str">
            <v>PGSO</v>
          </cell>
          <cell r="D732" t="str">
            <v>No</v>
          </cell>
          <cell r="E732" t="str">
            <v>Shopping 52.1(a) - Unforeseen Contingency</v>
          </cell>
          <cell r="F732" t="str">
            <v>N/A</v>
          </cell>
          <cell r="G732">
            <v>45434</v>
          </cell>
          <cell r="H732">
            <v>0</v>
          </cell>
          <cell r="I732" t="str">
            <v>N/A</v>
          </cell>
          <cell r="J732">
            <v>45440</v>
          </cell>
          <cell r="K732">
            <v>45440</v>
          </cell>
          <cell r="L732">
            <v>0</v>
          </cell>
          <cell r="M732" t="str">
            <v>N/A</v>
          </cell>
          <cell r="N732" t="str">
            <v>N/A</v>
          </cell>
          <cell r="O732">
            <v>45441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45450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9400</v>
          </cell>
          <cell r="AB732">
            <v>9400</v>
          </cell>
          <cell r="AC732">
            <v>0</v>
          </cell>
          <cell r="AD732">
            <v>9400</v>
          </cell>
          <cell r="AE732">
            <v>9400</v>
          </cell>
          <cell r="AF732">
            <v>0</v>
          </cell>
          <cell r="AG732" t="str">
            <v>M</v>
          </cell>
          <cell r="AH732" t="str">
            <v>ENGR. MICHAEL C. SALARDA
MS. LEONARDA M. LATOR
MS. CARMENCITA VALDEZ
MS. SORAYA P. VERGARA</v>
          </cell>
          <cell r="AI732" t="str">
            <v>N/A</v>
          </cell>
          <cell r="AJ732" t="str">
            <v>N/A</v>
          </cell>
          <cell r="AK732" t="str">
            <v>N/A</v>
          </cell>
          <cell r="AL732" t="str">
            <v>N/A</v>
          </cell>
          <cell r="AM732" t="str">
            <v>N/A</v>
          </cell>
          <cell r="AN732" t="str">
            <v>N/A</v>
          </cell>
          <cell r="AO732">
            <v>0</v>
          </cell>
        </row>
        <row r="733">
          <cell r="A733" t="str">
            <v>24-2545</v>
          </cell>
          <cell r="B733" t="str">
            <v>SPAREPARTS (LIGHT
VEHICLES)</v>
          </cell>
          <cell r="C733" t="str">
            <v>DDOPH-Montevista</v>
          </cell>
          <cell r="D733" t="str">
            <v>No</v>
          </cell>
          <cell r="E733" t="str">
            <v>Shopping 52.1(a) - Unforeseen Contingency</v>
          </cell>
          <cell r="F733" t="str">
            <v>N/A</v>
          </cell>
          <cell r="G733">
            <v>45434</v>
          </cell>
          <cell r="H733">
            <v>0</v>
          </cell>
          <cell r="I733" t="str">
            <v>N/A</v>
          </cell>
          <cell r="J733">
            <v>45440</v>
          </cell>
          <cell r="K733">
            <v>45440</v>
          </cell>
          <cell r="L733">
            <v>0</v>
          </cell>
          <cell r="M733" t="str">
            <v>N/A</v>
          </cell>
          <cell r="N733" t="str">
            <v>N/A</v>
          </cell>
          <cell r="O733">
            <v>45441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45450</v>
          </cell>
          <cell r="U733">
            <v>45470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9800</v>
          </cell>
          <cell r="AB733">
            <v>9800</v>
          </cell>
          <cell r="AC733">
            <v>0</v>
          </cell>
          <cell r="AD733">
            <v>9800</v>
          </cell>
          <cell r="AE733">
            <v>9800</v>
          </cell>
          <cell r="AF733">
            <v>0</v>
          </cell>
          <cell r="AG733" t="str">
            <v>M</v>
          </cell>
          <cell r="AH733" t="str">
            <v>ENGR. MICHAEL C. SALARDA
MS. LEONARDA M. LATOR
MS. CARMENCITA VALDEZ
MS. SORAYA P. VERGARA</v>
          </cell>
          <cell r="AI733" t="str">
            <v>N/A</v>
          </cell>
          <cell r="AJ733" t="str">
            <v>N/A</v>
          </cell>
          <cell r="AK733" t="str">
            <v>N/A</v>
          </cell>
          <cell r="AL733" t="str">
            <v>N/A</v>
          </cell>
          <cell r="AM733" t="str">
            <v>N/A</v>
          </cell>
          <cell r="AN733" t="str">
            <v>N/A</v>
          </cell>
          <cell r="AO733">
            <v>0</v>
          </cell>
        </row>
        <row r="734">
          <cell r="A734" t="str">
            <v>24-2624</v>
          </cell>
          <cell r="B734" t="str">
            <v>SPAREPARTS (LIGHT
VEHICLES)</v>
          </cell>
          <cell r="C734" t="str">
            <v>PGSO</v>
          </cell>
          <cell r="D734" t="str">
            <v>No</v>
          </cell>
          <cell r="E734" t="str">
            <v>Shopping 52.1(a) - Unforeseen Contingency</v>
          </cell>
          <cell r="F734" t="str">
            <v>N/A</v>
          </cell>
          <cell r="G734">
            <v>45434</v>
          </cell>
          <cell r="H734">
            <v>0</v>
          </cell>
          <cell r="I734" t="str">
            <v>N/A</v>
          </cell>
          <cell r="J734">
            <v>45440</v>
          </cell>
          <cell r="K734">
            <v>45440</v>
          </cell>
          <cell r="L734">
            <v>0</v>
          </cell>
          <cell r="M734" t="str">
            <v>N/A</v>
          </cell>
          <cell r="N734" t="str">
            <v>N/A</v>
          </cell>
          <cell r="O734">
            <v>45441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45450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12000</v>
          </cell>
          <cell r="AB734">
            <v>12000</v>
          </cell>
          <cell r="AC734">
            <v>0</v>
          </cell>
          <cell r="AD734">
            <v>12000</v>
          </cell>
          <cell r="AE734">
            <v>12000</v>
          </cell>
          <cell r="AF734">
            <v>0</v>
          </cell>
          <cell r="AG734" t="str">
            <v>M</v>
          </cell>
          <cell r="AH734" t="str">
            <v>ENGR. MICHAEL C. SALARDA
MS. LEONARDA M. LATOR
MS. CARMENCITA VALDEZ
MS. SORAYA P. VERGARA</v>
          </cell>
          <cell r="AI734" t="str">
            <v>N/A</v>
          </cell>
          <cell r="AJ734" t="str">
            <v>N/A</v>
          </cell>
          <cell r="AK734" t="str">
            <v>N/A</v>
          </cell>
          <cell r="AL734" t="str">
            <v>N/A</v>
          </cell>
          <cell r="AM734" t="str">
            <v>N/A</v>
          </cell>
          <cell r="AN734" t="str">
            <v>N/A</v>
          </cell>
          <cell r="AO734">
            <v>0</v>
          </cell>
        </row>
        <row r="735">
          <cell r="A735" t="str">
            <v>24-2626</v>
          </cell>
          <cell r="B735" t="str">
            <v>SPAREPARTS (MOTOR
CYCLE)</v>
          </cell>
          <cell r="C735" t="str">
            <v>PGSO</v>
          </cell>
          <cell r="D735" t="str">
            <v>No</v>
          </cell>
          <cell r="E735" t="str">
            <v>Shopping 52.1(a) - Unforeseen Contingency</v>
          </cell>
          <cell r="F735" t="str">
            <v>N/A</v>
          </cell>
          <cell r="G735">
            <v>45434</v>
          </cell>
          <cell r="H735">
            <v>0</v>
          </cell>
          <cell r="I735" t="str">
            <v>N/A</v>
          </cell>
          <cell r="J735">
            <v>45440</v>
          </cell>
          <cell r="K735">
            <v>45440</v>
          </cell>
          <cell r="L735">
            <v>0</v>
          </cell>
          <cell r="M735" t="str">
            <v>N/A</v>
          </cell>
          <cell r="N735" t="str">
            <v>N/A</v>
          </cell>
          <cell r="O735">
            <v>45441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45450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12570</v>
          </cell>
          <cell r="AB735">
            <v>12570</v>
          </cell>
          <cell r="AC735">
            <v>0</v>
          </cell>
          <cell r="AD735">
            <v>12570</v>
          </cell>
          <cell r="AE735">
            <v>12570</v>
          </cell>
          <cell r="AF735">
            <v>0</v>
          </cell>
          <cell r="AG735" t="str">
            <v>M</v>
          </cell>
          <cell r="AH735" t="str">
            <v>ENGR. MICHAEL C. SALARDA
MS. LEONARDA M. LATOR
MS. CARMENCITA VALDEZ
MS. SORAYA P. VERGARA</v>
          </cell>
          <cell r="AI735" t="str">
            <v>N/A</v>
          </cell>
          <cell r="AJ735" t="str">
            <v>N/A</v>
          </cell>
          <cell r="AK735" t="str">
            <v>N/A</v>
          </cell>
          <cell r="AL735" t="str">
            <v>N/A</v>
          </cell>
          <cell r="AM735" t="str">
            <v>N/A</v>
          </cell>
          <cell r="AN735" t="str">
            <v>N/A</v>
          </cell>
          <cell r="AO735">
            <v>0</v>
          </cell>
        </row>
        <row r="736">
          <cell r="A736" t="str">
            <v>24-2486</v>
          </cell>
          <cell r="B736" t="str">
            <v>SPAREPARTS (LIGHT
VEHICLES)</v>
          </cell>
          <cell r="C736" t="str">
            <v>SPO</v>
          </cell>
          <cell r="D736" t="str">
            <v>No</v>
          </cell>
          <cell r="E736" t="str">
            <v>Shopping 52.1(a) - Unforeseen Contingency</v>
          </cell>
          <cell r="F736" t="str">
            <v>N/A</v>
          </cell>
          <cell r="G736">
            <v>45436</v>
          </cell>
          <cell r="H736">
            <v>0</v>
          </cell>
          <cell r="I736" t="str">
            <v>N/A</v>
          </cell>
          <cell r="J736">
            <v>45440</v>
          </cell>
          <cell r="K736">
            <v>45440</v>
          </cell>
          <cell r="L736">
            <v>0</v>
          </cell>
          <cell r="M736" t="str">
            <v>N/A</v>
          </cell>
          <cell r="N736" t="str">
            <v>N/A</v>
          </cell>
          <cell r="O736">
            <v>45441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9075</v>
          </cell>
          <cell r="AB736">
            <v>9075</v>
          </cell>
          <cell r="AC736">
            <v>0</v>
          </cell>
          <cell r="AD736">
            <v>9075</v>
          </cell>
          <cell r="AE736">
            <v>9075</v>
          </cell>
          <cell r="AF736">
            <v>0</v>
          </cell>
          <cell r="AG736" t="str">
            <v>M</v>
          </cell>
          <cell r="AH736" t="str">
            <v>ENGR. MICHAEL C. SALARDA
MS. LEONARDA M. LATOR
MS. CARMENCITA VALDEZ
MS. SORAYA P. VERGARA</v>
          </cell>
          <cell r="AI736" t="str">
            <v>N/A</v>
          </cell>
          <cell r="AJ736" t="str">
            <v>N/A</v>
          </cell>
          <cell r="AK736" t="str">
            <v>N/A</v>
          </cell>
          <cell r="AL736" t="str">
            <v>N/A</v>
          </cell>
          <cell r="AM736" t="str">
            <v>N/A</v>
          </cell>
          <cell r="AN736" t="str">
            <v>N/A</v>
          </cell>
          <cell r="AO736">
            <v>0</v>
          </cell>
        </row>
        <row r="737">
          <cell r="A737" t="str">
            <v>24-2845</v>
          </cell>
          <cell r="B737" t="str">
            <v>SPAREPARTS (LIGHT
VEHICLES)</v>
          </cell>
          <cell r="C737" t="str">
            <v>PDRRMO</v>
          </cell>
          <cell r="D737" t="str">
            <v>No</v>
          </cell>
          <cell r="E737" t="str">
            <v>Shopping 52.1(a) - Unforeseen Contingency</v>
          </cell>
          <cell r="F737" t="str">
            <v>N/A</v>
          </cell>
          <cell r="G737">
            <v>45425</v>
          </cell>
          <cell r="H737">
            <v>0</v>
          </cell>
          <cell r="I737" t="str">
            <v>N/A</v>
          </cell>
          <cell r="J737">
            <v>45440</v>
          </cell>
          <cell r="K737">
            <v>45440</v>
          </cell>
          <cell r="L737">
            <v>0</v>
          </cell>
          <cell r="M737" t="str">
            <v>N/A</v>
          </cell>
          <cell r="N737" t="str">
            <v>N/A</v>
          </cell>
          <cell r="O737">
            <v>45441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45450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1500</v>
          </cell>
          <cell r="AB737">
            <v>1500</v>
          </cell>
          <cell r="AC737">
            <v>0</v>
          </cell>
          <cell r="AD737">
            <v>1500</v>
          </cell>
          <cell r="AE737">
            <v>1500</v>
          </cell>
          <cell r="AF737">
            <v>0</v>
          </cell>
          <cell r="AG737" t="str">
            <v>M</v>
          </cell>
          <cell r="AH737" t="str">
            <v>ENGR. MICHAEL C. SALARDA
MS. LEONARDA M. LATOR
MS. CARMENCITA VALDEZ
MS. SORAYA P. VERGARA</v>
          </cell>
          <cell r="AI737" t="str">
            <v>N/A</v>
          </cell>
          <cell r="AJ737" t="str">
            <v>N/A</v>
          </cell>
          <cell r="AK737" t="str">
            <v>N/A</v>
          </cell>
          <cell r="AL737" t="str">
            <v>N/A</v>
          </cell>
          <cell r="AM737" t="str">
            <v>N/A</v>
          </cell>
          <cell r="AN737" t="str">
            <v>N/A</v>
          </cell>
          <cell r="AO737">
            <v>0</v>
          </cell>
        </row>
        <row r="738">
          <cell r="A738" t="str">
            <v>24-1741</v>
          </cell>
          <cell r="B738" t="str">
            <v>SPAREPARTS (LIGHT
VEHICLES)</v>
          </cell>
          <cell r="C738" t="str">
            <v>PGSO</v>
          </cell>
          <cell r="D738" t="str">
            <v>No</v>
          </cell>
          <cell r="E738" t="str">
            <v>Shopping 52.1(a) - Unforeseen Contingency</v>
          </cell>
          <cell r="F738">
            <v>45398</v>
          </cell>
          <cell r="G738">
            <v>45404</v>
          </cell>
          <cell r="H738">
            <v>0</v>
          </cell>
          <cell r="I738" t="str">
            <v>N/A</v>
          </cell>
          <cell r="J738">
            <v>45440</v>
          </cell>
          <cell r="K738">
            <v>45440</v>
          </cell>
          <cell r="L738">
            <v>0</v>
          </cell>
          <cell r="M738" t="str">
            <v>N/A</v>
          </cell>
          <cell r="N738" t="str">
            <v>N/A</v>
          </cell>
          <cell r="O738">
            <v>45441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45456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1850</v>
          </cell>
          <cell r="AB738">
            <v>1850</v>
          </cell>
          <cell r="AC738">
            <v>0</v>
          </cell>
          <cell r="AD738">
            <v>1850</v>
          </cell>
          <cell r="AE738">
            <v>1850</v>
          </cell>
          <cell r="AF738">
            <v>0</v>
          </cell>
          <cell r="AG738" t="str">
            <v>M</v>
          </cell>
          <cell r="AH738" t="str">
            <v>ENGR. MICHAEL C. SALARDA
MS. LEONARDA M. LATOR
MS. CARMENCITA VALDEZ
MS. SORAYA P. VERGARA</v>
          </cell>
          <cell r="AI738" t="str">
            <v>N/A</v>
          </cell>
          <cell r="AJ738" t="str">
            <v>N/A</v>
          </cell>
          <cell r="AK738" t="str">
            <v>N/A</v>
          </cell>
          <cell r="AL738" t="str">
            <v>N/A</v>
          </cell>
          <cell r="AM738" t="str">
            <v>N/A</v>
          </cell>
          <cell r="AN738" t="str">
            <v>N/A</v>
          </cell>
          <cell r="AO738">
            <v>0</v>
          </cell>
        </row>
        <row r="739">
          <cell r="A739" t="str">
            <v>24-2162</v>
          </cell>
          <cell r="B739" t="str">
            <v>OFFICE SUPPLIES</v>
          </cell>
          <cell r="C739" t="str">
            <v>PAO-IPRD</v>
          </cell>
          <cell r="D739" t="str">
            <v>No</v>
          </cell>
          <cell r="E739" t="str">
            <v>Shopping 52.1(b) - Regular Office Supplies and Equipment no available in PS</v>
          </cell>
          <cell r="F739">
            <v>45407</v>
          </cell>
          <cell r="G739">
            <v>45412</v>
          </cell>
          <cell r="H739">
            <v>0</v>
          </cell>
          <cell r="I739" t="str">
            <v>N/A</v>
          </cell>
          <cell r="J739">
            <v>45440</v>
          </cell>
          <cell r="K739">
            <v>45440</v>
          </cell>
          <cell r="L739">
            <v>0</v>
          </cell>
          <cell r="M739" t="str">
            <v>N/A</v>
          </cell>
          <cell r="N739" t="str">
            <v>N/A</v>
          </cell>
          <cell r="O739">
            <v>45441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45453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7449</v>
          </cell>
          <cell r="AB739">
            <v>7449</v>
          </cell>
          <cell r="AC739">
            <v>0</v>
          </cell>
          <cell r="AD739">
            <v>7116</v>
          </cell>
          <cell r="AE739">
            <v>7116</v>
          </cell>
          <cell r="AF739">
            <v>0</v>
          </cell>
          <cell r="AG739" t="str">
            <v>M</v>
          </cell>
          <cell r="AH739" t="str">
            <v>ENGR. MICHAEL C. SALARDA
MS. LEONARDA M. LATOR
MS. CARMENCITA VALDEZ
MS. SORAYA P. VERGARA</v>
          </cell>
          <cell r="AI739" t="str">
            <v>N/A</v>
          </cell>
          <cell r="AJ739" t="str">
            <v>N/A</v>
          </cell>
          <cell r="AK739" t="str">
            <v>N/A</v>
          </cell>
          <cell r="AL739" t="str">
            <v>N/A</v>
          </cell>
          <cell r="AM739" t="str">
            <v>N/A</v>
          </cell>
          <cell r="AN739" t="str">
            <v>N/A</v>
          </cell>
          <cell r="AO739">
            <v>0</v>
          </cell>
        </row>
        <row r="740">
          <cell r="A740" t="str">
            <v>24-2114</v>
          </cell>
          <cell r="B740" t="str">
            <v>OFFICE SUPPLIES
(COLLATERAL FOLDER WITH
SAMPLE DESIGN)</v>
          </cell>
          <cell r="C740" t="str">
            <v>PAO-IPRD</v>
          </cell>
          <cell r="D740" t="str">
            <v>No</v>
          </cell>
          <cell r="E740" t="str">
            <v>Shopping 52.1(b) - Regular Office Supplies and Equipment no available in PS</v>
          </cell>
          <cell r="F740">
            <v>45407</v>
          </cell>
          <cell r="G740">
            <v>45412</v>
          </cell>
          <cell r="H740">
            <v>0</v>
          </cell>
          <cell r="I740" t="str">
            <v>N/A</v>
          </cell>
          <cell r="J740">
            <v>45440</v>
          </cell>
          <cell r="K740">
            <v>45440</v>
          </cell>
          <cell r="L740">
            <v>0</v>
          </cell>
          <cell r="M740" t="str">
            <v>N/A</v>
          </cell>
          <cell r="N740" t="str">
            <v>N/A</v>
          </cell>
          <cell r="O740">
            <v>45441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45454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5500</v>
          </cell>
          <cell r="AB740">
            <v>5500</v>
          </cell>
          <cell r="AC740">
            <v>0</v>
          </cell>
          <cell r="AD740">
            <v>5500</v>
          </cell>
          <cell r="AE740">
            <v>5500</v>
          </cell>
          <cell r="AF740">
            <v>0</v>
          </cell>
          <cell r="AG740" t="str">
            <v>M</v>
          </cell>
          <cell r="AH740" t="str">
            <v>ENGR. MICHAEL C. SALARDA
MS. LEONARDA M. LATOR
MS. CARMENCITA VALDEZ
MS. SORAYA P. VERGARA</v>
          </cell>
          <cell r="AI740" t="str">
            <v>N/A</v>
          </cell>
          <cell r="AJ740" t="str">
            <v>N/A</v>
          </cell>
          <cell r="AK740" t="str">
            <v>N/A</v>
          </cell>
          <cell r="AL740" t="str">
            <v>N/A</v>
          </cell>
          <cell r="AM740" t="str">
            <v>N/A</v>
          </cell>
          <cell r="AN740" t="str">
            <v>N/A</v>
          </cell>
          <cell r="AO740">
            <v>0</v>
          </cell>
        </row>
        <row r="741">
          <cell r="A741" t="str">
            <v>24-2397</v>
          </cell>
          <cell r="B741" t="str">
            <v>OFFICE SUPPLIES</v>
          </cell>
          <cell r="C741" t="str">
            <v>PAO-ADMIN</v>
          </cell>
          <cell r="D741" t="str">
            <v>No</v>
          </cell>
          <cell r="E741" t="str">
            <v>Shopping 52.1(b) - Regular Office Supplies and Equipment no available in PS</v>
          </cell>
          <cell r="F741" t="str">
            <v>N/A</v>
          </cell>
          <cell r="G741">
            <v>45422</v>
          </cell>
          <cell r="H741">
            <v>0</v>
          </cell>
          <cell r="I741" t="str">
            <v>N/A</v>
          </cell>
          <cell r="J741">
            <v>45440</v>
          </cell>
          <cell r="K741">
            <v>45440</v>
          </cell>
          <cell r="L741">
            <v>0</v>
          </cell>
          <cell r="M741" t="str">
            <v>N/A</v>
          </cell>
          <cell r="N741" t="str">
            <v>N/A</v>
          </cell>
          <cell r="O741">
            <v>45441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45454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7868</v>
          </cell>
          <cell r="AB741">
            <v>7868</v>
          </cell>
          <cell r="AC741">
            <v>0</v>
          </cell>
          <cell r="AD741">
            <v>7860</v>
          </cell>
          <cell r="AE741">
            <v>7860</v>
          </cell>
          <cell r="AF741">
            <v>0</v>
          </cell>
          <cell r="AG741" t="str">
            <v>M</v>
          </cell>
          <cell r="AH741" t="str">
            <v>ENGR. MICHAEL C. SALARDA
MS. LEONARDA M. LATOR
MS. CARMENCITA VALDEZ
MS. SORAYA P. VERGARA</v>
          </cell>
          <cell r="AI741" t="str">
            <v>N/A</v>
          </cell>
          <cell r="AJ741" t="str">
            <v>N/A</v>
          </cell>
          <cell r="AK741" t="str">
            <v>N/A</v>
          </cell>
          <cell r="AL741" t="str">
            <v>N/A</v>
          </cell>
          <cell r="AM741" t="str">
            <v>N/A</v>
          </cell>
          <cell r="AN741" t="str">
            <v>N/A</v>
          </cell>
          <cell r="AO741">
            <v>0</v>
          </cell>
        </row>
        <row r="742">
          <cell r="A742" t="str">
            <v>24-C1287</v>
          </cell>
          <cell r="B742" t="str">
            <v>OFFICE SUPPLIES</v>
          </cell>
          <cell r="C742" t="str">
            <v>PDRRMO</v>
          </cell>
          <cell r="D742" t="str">
            <v>No</v>
          </cell>
          <cell r="E742" t="str">
            <v>Shopping 52.1(b) - Regular Office Supplies and Equipment no available in PS</v>
          </cell>
          <cell r="F742" t="str">
            <v>N/A</v>
          </cell>
          <cell r="G742">
            <v>45412</v>
          </cell>
          <cell r="H742">
            <v>0</v>
          </cell>
          <cell r="I742" t="str">
            <v>N/A</v>
          </cell>
          <cell r="J742">
            <v>45440</v>
          </cell>
          <cell r="K742">
            <v>45440</v>
          </cell>
          <cell r="L742">
            <v>0</v>
          </cell>
          <cell r="M742" t="str">
            <v>N/A</v>
          </cell>
          <cell r="N742" t="str">
            <v>N/A</v>
          </cell>
          <cell r="O742">
            <v>45441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45454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18262</v>
          </cell>
          <cell r="AB742">
            <v>0</v>
          </cell>
          <cell r="AC742">
            <v>18262</v>
          </cell>
          <cell r="AD742">
            <v>17973</v>
          </cell>
          <cell r="AE742">
            <v>0</v>
          </cell>
          <cell r="AF742">
            <v>17973</v>
          </cell>
          <cell r="AG742" t="str">
            <v>C</v>
          </cell>
          <cell r="AH742" t="str">
            <v>ENGR. MICHAEL C. SALARDA
MS. LEONARDA M. LATOR
MS. CARMENCITA VALDEZ
MS. SORAYA P. VERGARA</v>
          </cell>
          <cell r="AI742" t="str">
            <v>N/A</v>
          </cell>
          <cell r="AJ742" t="str">
            <v>N/A</v>
          </cell>
          <cell r="AK742" t="str">
            <v>N/A</v>
          </cell>
          <cell r="AL742" t="str">
            <v>N/A</v>
          </cell>
          <cell r="AM742" t="str">
            <v>N/A</v>
          </cell>
          <cell r="AN742" t="str">
            <v>N/A</v>
          </cell>
          <cell r="AO742">
            <v>0</v>
          </cell>
        </row>
        <row r="743">
          <cell r="A743" t="str">
            <v>24-C1082</v>
          </cell>
          <cell r="B743" t="str">
            <v>FURNITURES &amp; FIXTURES</v>
          </cell>
          <cell r="C743" t="str">
            <v>PAO</v>
          </cell>
          <cell r="D743" t="str">
            <v>No</v>
          </cell>
          <cell r="E743" t="str">
            <v>NP-53.9 - Small Value Procurement</v>
          </cell>
          <cell r="F743" t="str">
            <v>N/A</v>
          </cell>
          <cell r="G743">
            <v>45376</v>
          </cell>
          <cell r="H743">
            <v>0</v>
          </cell>
          <cell r="I743" t="str">
            <v>N/A</v>
          </cell>
          <cell r="J743">
            <v>45440</v>
          </cell>
          <cell r="K743">
            <v>45440</v>
          </cell>
          <cell r="L743">
            <v>0</v>
          </cell>
          <cell r="M743" t="str">
            <v>N/A</v>
          </cell>
          <cell r="N743" t="str">
            <v>N/A</v>
          </cell>
          <cell r="O743">
            <v>45441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45453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35110</v>
          </cell>
          <cell r="AB743">
            <v>35110</v>
          </cell>
          <cell r="AC743">
            <v>0</v>
          </cell>
          <cell r="AD743">
            <v>34690</v>
          </cell>
          <cell r="AE743">
            <v>34690</v>
          </cell>
          <cell r="AF743">
            <v>0</v>
          </cell>
          <cell r="AG743" t="str">
            <v>M</v>
          </cell>
          <cell r="AH743" t="str">
            <v>ENGR. MICHAEL C. SALARDA
MS. LEONARDA M. LATOR
MS. CARMENCITA VALDEZ
MS. SORAYA P. VERGARA</v>
          </cell>
          <cell r="AI743" t="str">
            <v>N/A</v>
          </cell>
          <cell r="AJ743" t="str">
            <v>N/A</v>
          </cell>
          <cell r="AK743" t="str">
            <v>N/A</v>
          </cell>
          <cell r="AL743" t="str">
            <v>N/A</v>
          </cell>
          <cell r="AM743" t="str">
            <v>N/A</v>
          </cell>
          <cell r="AN743" t="str">
            <v>N/A</v>
          </cell>
          <cell r="AO743">
            <v>0</v>
          </cell>
        </row>
        <row r="744">
          <cell r="A744" t="str">
            <v>24-1724</v>
          </cell>
          <cell r="B744" t="str">
            <v>JOB ORDER (REPAIR OF 1
UNIT VHF COMMUNICATION
REPEATER)</v>
          </cell>
          <cell r="C744" t="str">
            <v>PAO</v>
          </cell>
          <cell r="D744" t="str">
            <v>No</v>
          </cell>
          <cell r="E744" t="str">
            <v>NP-53.9 - Small Value Procurement</v>
          </cell>
          <cell r="F744">
            <v>45412</v>
          </cell>
          <cell r="G744">
            <v>45414</v>
          </cell>
          <cell r="H744">
            <v>0</v>
          </cell>
          <cell r="I744" t="str">
            <v>N/A</v>
          </cell>
          <cell r="J744">
            <v>45440</v>
          </cell>
          <cell r="K744">
            <v>45440</v>
          </cell>
          <cell r="L744">
            <v>0</v>
          </cell>
          <cell r="M744" t="str">
            <v>N/A</v>
          </cell>
          <cell r="N744" t="str">
            <v>N/A</v>
          </cell>
          <cell r="O744">
            <v>45441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45453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10000</v>
          </cell>
          <cell r="AB744">
            <v>10000</v>
          </cell>
          <cell r="AC744">
            <v>0</v>
          </cell>
          <cell r="AD744">
            <v>9800</v>
          </cell>
          <cell r="AE744">
            <v>9800</v>
          </cell>
          <cell r="AF744">
            <v>0</v>
          </cell>
          <cell r="AG744" t="str">
            <v>M</v>
          </cell>
          <cell r="AH744" t="str">
            <v>ENGR. MICHAEL C. SALARDA
MS. LEONARDA M. LATOR
MS. CARMENCITA VALDEZ
MS. SORAYA P. VERGARA</v>
          </cell>
          <cell r="AI744" t="str">
            <v>N/A</v>
          </cell>
          <cell r="AJ744" t="str">
            <v>N/A</v>
          </cell>
          <cell r="AK744" t="str">
            <v>N/A</v>
          </cell>
          <cell r="AL744" t="str">
            <v>N/A</v>
          </cell>
          <cell r="AM744" t="str">
            <v>N/A</v>
          </cell>
          <cell r="AN744" t="str">
            <v>N/A</v>
          </cell>
          <cell r="AO744">
            <v>0</v>
          </cell>
        </row>
        <row r="745">
          <cell r="A745" t="str">
            <v>24-2326</v>
          </cell>
          <cell r="B745" t="str">
            <v>SPAREPARTS (MOTOR
CYCLE)</v>
          </cell>
          <cell r="C745" t="str">
            <v>PGSO</v>
          </cell>
          <cell r="D745" t="str">
            <v>No</v>
          </cell>
          <cell r="E745" t="str">
            <v>NP-53.9 - Small Value Procurement</v>
          </cell>
          <cell r="F745">
            <v>45407</v>
          </cell>
          <cell r="G745">
            <v>45412</v>
          </cell>
          <cell r="H745">
            <v>0</v>
          </cell>
          <cell r="I745" t="str">
            <v>N/A</v>
          </cell>
          <cell r="J745">
            <v>45440</v>
          </cell>
          <cell r="K745">
            <v>45440</v>
          </cell>
          <cell r="L745">
            <v>0</v>
          </cell>
          <cell r="M745" t="str">
            <v>N/A</v>
          </cell>
          <cell r="N745" t="str">
            <v>N/A</v>
          </cell>
          <cell r="O745">
            <v>45441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45453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8442</v>
          </cell>
          <cell r="AB745">
            <v>8442</v>
          </cell>
          <cell r="AC745">
            <v>0</v>
          </cell>
          <cell r="AD745">
            <v>8385</v>
          </cell>
          <cell r="AE745">
            <v>8385</v>
          </cell>
          <cell r="AF745">
            <v>0</v>
          </cell>
          <cell r="AG745" t="str">
            <v>M</v>
          </cell>
          <cell r="AH745" t="str">
            <v>ENGR. MICHAEL C. SALARDA
MS. LEONARDA M. LATOR
MS. CARMENCITA VALDEZ
MS. SORAYA P. VERGARA</v>
          </cell>
          <cell r="AI745" t="str">
            <v>N/A</v>
          </cell>
          <cell r="AJ745" t="str">
            <v>N/A</v>
          </cell>
          <cell r="AK745" t="str">
            <v>N/A</v>
          </cell>
          <cell r="AL745" t="str">
            <v>N/A</v>
          </cell>
          <cell r="AM745" t="str">
            <v>N/A</v>
          </cell>
          <cell r="AN745" t="str">
            <v>N/A</v>
          </cell>
          <cell r="AO745">
            <v>0</v>
          </cell>
        </row>
        <row r="746">
          <cell r="A746" t="str">
            <v>24-2283</v>
          </cell>
          <cell r="B746" t="str">
            <v>SPAREPARTS (MOTOR
CYCLE)</v>
          </cell>
          <cell r="C746" t="str">
            <v>PGSO</v>
          </cell>
          <cell r="D746" t="str">
            <v>No</v>
          </cell>
          <cell r="E746" t="str">
            <v>NP-53.9 - Small Value Procurement</v>
          </cell>
          <cell r="F746">
            <v>45407</v>
          </cell>
          <cell r="G746">
            <v>45412</v>
          </cell>
          <cell r="H746">
            <v>0</v>
          </cell>
          <cell r="I746" t="str">
            <v>N/A</v>
          </cell>
          <cell r="J746">
            <v>45440</v>
          </cell>
          <cell r="K746">
            <v>45440</v>
          </cell>
          <cell r="L746">
            <v>0</v>
          </cell>
          <cell r="M746" t="str">
            <v>N/A</v>
          </cell>
          <cell r="N746" t="str">
            <v>N/A</v>
          </cell>
          <cell r="O746">
            <v>45441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45453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17930</v>
          </cell>
          <cell r="AB746">
            <v>17930</v>
          </cell>
          <cell r="AC746">
            <v>0</v>
          </cell>
          <cell r="AD746">
            <v>17930</v>
          </cell>
          <cell r="AE746">
            <v>17930</v>
          </cell>
          <cell r="AF746">
            <v>0</v>
          </cell>
          <cell r="AG746" t="str">
            <v>M</v>
          </cell>
          <cell r="AH746" t="str">
            <v>ENGR. MICHAEL C. SALARDA
MS. LEONARDA M. LATOR
MS. CARMENCITA VALDEZ
MS. SORAYA P. VERGARA</v>
          </cell>
          <cell r="AI746" t="str">
            <v>N/A</v>
          </cell>
          <cell r="AJ746" t="str">
            <v>N/A</v>
          </cell>
          <cell r="AK746" t="str">
            <v>N/A</v>
          </cell>
          <cell r="AL746" t="str">
            <v>N/A</v>
          </cell>
          <cell r="AM746" t="str">
            <v>N/A</v>
          </cell>
          <cell r="AN746" t="str">
            <v>N/A</v>
          </cell>
          <cell r="AO746">
            <v>0</v>
          </cell>
        </row>
        <row r="747">
          <cell r="A747" t="str">
            <v>24-2310</v>
          </cell>
          <cell r="B747" t="str">
            <v>SPAREPARTS (MOTOR
CYCLE)</v>
          </cell>
          <cell r="C747" t="str">
            <v>PGSO</v>
          </cell>
          <cell r="D747" t="str">
            <v>No</v>
          </cell>
          <cell r="E747" t="str">
            <v>NP-53.9 - Small Value Procurement</v>
          </cell>
          <cell r="F747">
            <v>45407</v>
          </cell>
          <cell r="G747">
            <v>45412</v>
          </cell>
          <cell r="H747">
            <v>0</v>
          </cell>
          <cell r="I747" t="str">
            <v>N/A</v>
          </cell>
          <cell r="J747">
            <v>45440</v>
          </cell>
          <cell r="K747">
            <v>45440</v>
          </cell>
          <cell r="L747">
            <v>0</v>
          </cell>
          <cell r="M747" t="str">
            <v>N/A</v>
          </cell>
          <cell r="N747" t="str">
            <v>N/A</v>
          </cell>
          <cell r="O747">
            <v>45441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45454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1880</v>
          </cell>
          <cell r="AB747">
            <v>0</v>
          </cell>
          <cell r="AC747">
            <v>1880</v>
          </cell>
          <cell r="AD747">
            <v>1880</v>
          </cell>
          <cell r="AE747">
            <v>1880</v>
          </cell>
          <cell r="AF747">
            <v>0</v>
          </cell>
          <cell r="AG747" t="str">
            <v>M</v>
          </cell>
          <cell r="AH747" t="str">
            <v>ENGR. MICHAEL C. SALARDA
MS. LEONARDA M. LATOR
MS. CARMENCITA VALDEZ
MS. SORAYA P. VERGARA</v>
          </cell>
          <cell r="AI747" t="str">
            <v>N/A</v>
          </cell>
          <cell r="AJ747" t="str">
            <v>N/A</v>
          </cell>
          <cell r="AK747" t="str">
            <v>N/A</v>
          </cell>
          <cell r="AL747" t="str">
            <v>N/A</v>
          </cell>
          <cell r="AM747" t="str">
            <v>N/A</v>
          </cell>
          <cell r="AN747" t="str">
            <v>N/A</v>
          </cell>
          <cell r="AO747">
            <v>0</v>
          </cell>
        </row>
        <row r="748">
          <cell r="A748" t="str">
            <v>24-1709</v>
          </cell>
          <cell r="B748" t="str">
            <v>JANITORIAL SUPPLIES /
HOUSEKEEPING</v>
          </cell>
          <cell r="C748" t="str">
            <v>PGO</v>
          </cell>
          <cell r="D748" t="str">
            <v>No</v>
          </cell>
          <cell r="E748" t="str">
            <v>NP-53.9 - Small Value Procurement</v>
          </cell>
          <cell r="F748" t="str">
            <v>N/A</v>
          </cell>
          <cell r="G748">
            <v>45363</v>
          </cell>
          <cell r="H748">
            <v>0</v>
          </cell>
          <cell r="I748" t="str">
            <v>N/A</v>
          </cell>
          <cell r="J748">
            <v>45440</v>
          </cell>
          <cell r="K748">
            <v>45440</v>
          </cell>
          <cell r="L748">
            <v>0</v>
          </cell>
          <cell r="M748" t="str">
            <v>N/A</v>
          </cell>
          <cell r="N748" t="str">
            <v>N/A</v>
          </cell>
          <cell r="O748">
            <v>45441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45456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983</v>
          </cell>
          <cell r="AB748">
            <v>0</v>
          </cell>
          <cell r="AC748">
            <v>983</v>
          </cell>
          <cell r="AD748">
            <v>950</v>
          </cell>
          <cell r="AE748">
            <v>0</v>
          </cell>
          <cell r="AF748">
            <v>950</v>
          </cell>
          <cell r="AG748" t="str">
            <v>C</v>
          </cell>
          <cell r="AH748" t="str">
            <v>ENGR. MICHAEL C. SALARDA
MS. LEONARDA M. LATOR
MS. CARMENCITA VALDEZ
MS. SORAYA P. VERGARA</v>
          </cell>
          <cell r="AI748" t="str">
            <v>N/A</v>
          </cell>
          <cell r="AJ748" t="str">
            <v>N/A</v>
          </cell>
          <cell r="AK748" t="str">
            <v>N/A</v>
          </cell>
          <cell r="AL748" t="str">
            <v>N/A</v>
          </cell>
          <cell r="AM748" t="str">
            <v>N/A</v>
          </cell>
          <cell r="AN748" t="str">
            <v>N/A</v>
          </cell>
          <cell r="AO748">
            <v>0</v>
          </cell>
        </row>
        <row r="749">
          <cell r="A749" t="str">
            <v>24-2364</v>
          </cell>
          <cell r="B749" t="str">
            <v>SPAREPARTS (MOTOR
CYCLE)</v>
          </cell>
          <cell r="C749" t="str">
            <v>PGSO</v>
          </cell>
          <cell r="D749" t="str">
            <v>No</v>
          </cell>
          <cell r="E749" t="str">
            <v>NP-53.9 - Small Value Procurement</v>
          </cell>
          <cell r="F749">
            <v>45407</v>
          </cell>
          <cell r="G749">
            <v>45412</v>
          </cell>
          <cell r="H749">
            <v>0</v>
          </cell>
          <cell r="I749" t="str">
            <v>N/A</v>
          </cell>
          <cell r="J749">
            <v>45440</v>
          </cell>
          <cell r="K749">
            <v>45440</v>
          </cell>
          <cell r="L749">
            <v>0</v>
          </cell>
          <cell r="M749" t="str">
            <v>N/A</v>
          </cell>
          <cell r="N749" t="str">
            <v>N/A</v>
          </cell>
          <cell r="O749">
            <v>45441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45453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2930</v>
          </cell>
          <cell r="AB749">
            <v>2930</v>
          </cell>
          <cell r="AC749">
            <v>0</v>
          </cell>
          <cell r="AD749">
            <v>2930</v>
          </cell>
          <cell r="AE749">
            <v>2930</v>
          </cell>
          <cell r="AF749">
            <v>0</v>
          </cell>
          <cell r="AG749" t="str">
            <v>M</v>
          </cell>
          <cell r="AH749" t="str">
            <v>ENGR. MICHAEL C. SALARDA
MS. LEONARDA M. LATOR
MS. CARMENCITA VALDEZ
MS. SORAYA P. VERGARA</v>
          </cell>
          <cell r="AI749" t="str">
            <v>N/A</v>
          </cell>
          <cell r="AJ749" t="str">
            <v>N/A</v>
          </cell>
          <cell r="AK749" t="str">
            <v>N/A</v>
          </cell>
          <cell r="AL749" t="str">
            <v>N/A</v>
          </cell>
          <cell r="AM749" t="str">
            <v>N/A</v>
          </cell>
          <cell r="AN749" t="str">
            <v>N/A</v>
          </cell>
          <cell r="AO749">
            <v>0</v>
          </cell>
        </row>
        <row r="750">
          <cell r="A750" t="str">
            <v>24-2385</v>
          </cell>
          <cell r="B750" t="str">
            <v>SPAREPARTS (LIGHT
VEHICLES)</v>
          </cell>
          <cell r="C750" t="str">
            <v>PGSO</v>
          </cell>
          <cell r="D750" t="str">
            <v>No</v>
          </cell>
          <cell r="E750" t="str">
            <v>NP-53.9 - Small Value Procurement</v>
          </cell>
          <cell r="F750">
            <v>45412</v>
          </cell>
          <cell r="G750">
            <v>45414</v>
          </cell>
          <cell r="H750">
            <v>0</v>
          </cell>
          <cell r="I750" t="str">
            <v>N/A</v>
          </cell>
          <cell r="J750">
            <v>45440</v>
          </cell>
          <cell r="K750">
            <v>45440</v>
          </cell>
          <cell r="L750">
            <v>0</v>
          </cell>
          <cell r="M750" t="str">
            <v>N/A</v>
          </cell>
          <cell r="N750" t="str">
            <v>N/A</v>
          </cell>
          <cell r="O750">
            <v>45441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45453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40630</v>
          </cell>
          <cell r="AB750">
            <v>40630</v>
          </cell>
          <cell r="AC750">
            <v>0</v>
          </cell>
          <cell r="AD750">
            <v>40390</v>
          </cell>
          <cell r="AE750">
            <v>40390</v>
          </cell>
          <cell r="AF750">
            <v>0</v>
          </cell>
          <cell r="AG750" t="str">
            <v>M</v>
          </cell>
          <cell r="AH750" t="str">
            <v>ENGR. MICHAEL C. SALARDA
MS. LEONARDA M. LATOR
MS. CARMENCITA VALDEZ
MS. SORAYA P. VERGARA</v>
          </cell>
          <cell r="AI750" t="str">
            <v>N/A</v>
          </cell>
          <cell r="AJ750" t="str">
            <v>N/A</v>
          </cell>
          <cell r="AK750" t="str">
            <v>N/A</v>
          </cell>
          <cell r="AL750" t="str">
            <v>N/A</v>
          </cell>
          <cell r="AM750" t="str">
            <v>N/A</v>
          </cell>
          <cell r="AN750" t="str">
            <v>N/A</v>
          </cell>
          <cell r="AO750">
            <v>0</v>
          </cell>
        </row>
        <row r="751">
          <cell r="A751" t="str">
            <v>24-2362</v>
          </cell>
          <cell r="B751" t="str">
            <v>SPAREPARTS (MOTOR
CYCLE)</v>
          </cell>
          <cell r="C751" t="str">
            <v>PGSO</v>
          </cell>
          <cell r="D751" t="str">
            <v>No</v>
          </cell>
          <cell r="E751" t="str">
            <v>NP-53.9 - Small Value Procurement</v>
          </cell>
          <cell r="F751">
            <v>45412</v>
          </cell>
          <cell r="G751">
            <v>45414</v>
          </cell>
          <cell r="H751">
            <v>0</v>
          </cell>
          <cell r="I751" t="str">
            <v>N/A</v>
          </cell>
          <cell r="J751">
            <v>45440</v>
          </cell>
          <cell r="K751">
            <v>45440</v>
          </cell>
          <cell r="L751">
            <v>0</v>
          </cell>
          <cell r="M751" t="str">
            <v>N/A</v>
          </cell>
          <cell r="N751" t="str">
            <v>N/A</v>
          </cell>
          <cell r="O751">
            <v>45441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45456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20794</v>
          </cell>
          <cell r="AB751">
            <v>20794</v>
          </cell>
          <cell r="AC751">
            <v>0</v>
          </cell>
          <cell r="AD751">
            <v>20794</v>
          </cell>
          <cell r="AE751">
            <v>20794</v>
          </cell>
          <cell r="AF751">
            <v>0</v>
          </cell>
          <cell r="AG751" t="str">
            <v>M</v>
          </cell>
          <cell r="AH751" t="str">
            <v>ENGR. MICHAEL C. SALARDA
MS. LEONARDA M. LATOR
MS. CARMENCITA VALDEZ
MS. SORAYA P. VERGARA</v>
          </cell>
          <cell r="AI751" t="str">
            <v>N/A</v>
          </cell>
          <cell r="AJ751" t="str">
            <v>N/A</v>
          </cell>
          <cell r="AK751" t="str">
            <v>N/A</v>
          </cell>
          <cell r="AL751" t="str">
            <v>N/A</v>
          </cell>
          <cell r="AM751" t="str">
            <v>N/A</v>
          </cell>
          <cell r="AN751" t="str">
            <v>N/A</v>
          </cell>
          <cell r="AO751">
            <v>0</v>
          </cell>
        </row>
        <row r="752">
          <cell r="A752" t="str">
            <v>24-2371</v>
          </cell>
          <cell r="B752" t="str">
            <v>SPAREPARTS (MOTOR
CYCLE)</v>
          </cell>
          <cell r="C752" t="str">
            <v>PGSO</v>
          </cell>
          <cell r="D752" t="str">
            <v>No</v>
          </cell>
          <cell r="E752" t="str">
            <v>NP-53.9 - Small Value Procurement</v>
          </cell>
          <cell r="F752">
            <v>45412</v>
          </cell>
          <cell r="G752">
            <v>45414</v>
          </cell>
          <cell r="H752">
            <v>0</v>
          </cell>
          <cell r="I752" t="str">
            <v>N/A</v>
          </cell>
          <cell r="J752">
            <v>45440</v>
          </cell>
          <cell r="K752">
            <v>45440</v>
          </cell>
          <cell r="L752">
            <v>0</v>
          </cell>
          <cell r="M752" t="str">
            <v>N/A</v>
          </cell>
          <cell r="N752" t="str">
            <v>N/A</v>
          </cell>
          <cell r="O752">
            <v>45441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45456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5135</v>
          </cell>
          <cell r="AB752">
            <v>5135</v>
          </cell>
          <cell r="AC752">
            <v>0</v>
          </cell>
          <cell r="AD752">
            <v>5130</v>
          </cell>
          <cell r="AE752">
            <v>5130</v>
          </cell>
          <cell r="AF752">
            <v>0</v>
          </cell>
          <cell r="AG752" t="str">
            <v>M</v>
          </cell>
          <cell r="AH752" t="str">
            <v>ENGR. MICHAEL C. SALARDA
MS. LEONARDA M. LATOR
MS. CARMENCITA VALDEZ
MS. SORAYA P. VERGARA</v>
          </cell>
          <cell r="AI752" t="str">
            <v>N/A</v>
          </cell>
          <cell r="AJ752" t="str">
            <v>N/A</v>
          </cell>
          <cell r="AK752" t="str">
            <v>N/A</v>
          </cell>
          <cell r="AL752" t="str">
            <v>N/A</v>
          </cell>
          <cell r="AM752" t="str">
            <v>N/A</v>
          </cell>
          <cell r="AN752" t="str">
            <v>N/A</v>
          </cell>
          <cell r="AO752">
            <v>0</v>
          </cell>
        </row>
        <row r="753">
          <cell r="A753" t="str">
            <v>24-2547</v>
          </cell>
          <cell r="B753" t="str">
            <v>DIGITAL BLACK &amp; WHITE
MULTI FUNCTION
COPIER/PRINTER/COLOR
SCANNER</v>
          </cell>
          <cell r="C753" t="str">
            <v>COA</v>
          </cell>
          <cell r="D753" t="str">
            <v>No</v>
          </cell>
          <cell r="E753" t="str">
            <v>NP-53.9 - Small Value Procurement</v>
          </cell>
          <cell r="F753">
            <v>45412</v>
          </cell>
          <cell r="G753">
            <v>45414</v>
          </cell>
          <cell r="H753">
            <v>0</v>
          </cell>
          <cell r="I753" t="str">
            <v>N/A</v>
          </cell>
          <cell r="J753">
            <v>45440</v>
          </cell>
          <cell r="K753">
            <v>45440</v>
          </cell>
          <cell r="L753">
            <v>0</v>
          </cell>
          <cell r="M753" t="str">
            <v>N/A</v>
          </cell>
          <cell r="N753" t="str">
            <v>N/A</v>
          </cell>
          <cell r="O753">
            <v>45441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45456</v>
          </cell>
          <cell r="U753">
            <v>45467</v>
          </cell>
          <cell r="V753">
            <v>0</v>
          </cell>
          <cell r="W753">
            <v>0</v>
          </cell>
          <cell r="X753">
            <v>45467</v>
          </cell>
          <cell r="Y753">
            <v>45467</v>
          </cell>
          <cell r="Z753">
            <v>0</v>
          </cell>
          <cell r="AA753">
            <v>93500</v>
          </cell>
          <cell r="AB753">
            <v>0</v>
          </cell>
          <cell r="AC753">
            <v>93500</v>
          </cell>
          <cell r="AD753">
            <v>81000</v>
          </cell>
          <cell r="AE753">
            <v>0</v>
          </cell>
          <cell r="AF753">
            <v>81000</v>
          </cell>
          <cell r="AG753" t="str">
            <v>C</v>
          </cell>
          <cell r="AH753" t="str">
            <v>ENGR. MICHAEL C. SALARDA
MS. LEONARDA M. LATOR
MS. CARMENCITA VALDEZ
MS. SORAYA P. VERGARA</v>
          </cell>
          <cell r="AI753" t="str">
            <v>N/A</v>
          </cell>
          <cell r="AJ753" t="str">
            <v>N/A</v>
          </cell>
          <cell r="AK753" t="str">
            <v>N/A</v>
          </cell>
          <cell r="AL753" t="str">
            <v>N/A</v>
          </cell>
          <cell r="AM753" t="str">
            <v>N/A</v>
          </cell>
          <cell r="AN753" t="str">
            <v>N/A</v>
          </cell>
          <cell r="AO753" t="str">
            <v>COMPLETED</v>
          </cell>
        </row>
        <row r="754">
          <cell r="A754" t="str">
            <v>24-2272</v>
          </cell>
          <cell r="B754" t="str">
            <v>SPAREPARTS (LIGHT
VEHICLES)</v>
          </cell>
          <cell r="C754" t="str">
            <v>PGSO</v>
          </cell>
          <cell r="D754" t="str">
            <v>No</v>
          </cell>
          <cell r="E754" t="str">
            <v>NP-53.9 - Small Value Procurement</v>
          </cell>
          <cell r="F754">
            <v>45398</v>
          </cell>
          <cell r="G754">
            <v>45404</v>
          </cell>
          <cell r="H754">
            <v>0</v>
          </cell>
          <cell r="I754" t="str">
            <v>N/A</v>
          </cell>
          <cell r="J754">
            <v>45440</v>
          </cell>
          <cell r="K754">
            <v>45440</v>
          </cell>
          <cell r="L754">
            <v>0</v>
          </cell>
          <cell r="M754" t="str">
            <v>N/A</v>
          </cell>
          <cell r="N754" t="str">
            <v>N/A</v>
          </cell>
          <cell r="O754">
            <v>45441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45453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22150</v>
          </cell>
          <cell r="AB754">
            <v>22150</v>
          </cell>
          <cell r="AC754">
            <v>0</v>
          </cell>
          <cell r="AD754">
            <v>21960</v>
          </cell>
          <cell r="AE754">
            <v>21960</v>
          </cell>
          <cell r="AF754">
            <v>0</v>
          </cell>
          <cell r="AG754" t="str">
            <v>M</v>
          </cell>
          <cell r="AH754" t="str">
            <v>ENGR. MICHAEL C. SALARDA
MS. LEONARDA M. LATOR
MS. CARMENCITA VALDEZ
MS. SORAYA P. VERGARA</v>
          </cell>
          <cell r="AI754" t="str">
            <v>N/A</v>
          </cell>
          <cell r="AJ754" t="str">
            <v>N/A</v>
          </cell>
          <cell r="AK754" t="str">
            <v>N/A</v>
          </cell>
          <cell r="AL754" t="str">
            <v>N/A</v>
          </cell>
          <cell r="AM754" t="str">
            <v>N/A</v>
          </cell>
          <cell r="AN754" t="str">
            <v>N/A</v>
          </cell>
          <cell r="AO754">
            <v>0</v>
          </cell>
        </row>
        <row r="755">
          <cell r="A755" t="str">
            <v xml:space="preserve">24-1670
</v>
          </cell>
          <cell r="B755" t="str">
            <v>ANDROID CELLPHONE</v>
          </cell>
          <cell r="C755" t="str">
            <v>PAO-IPRD</v>
          </cell>
          <cell r="D755" t="str">
            <v>No</v>
          </cell>
          <cell r="E755" t="str">
            <v>NP-53.9 - Small Value Procurement</v>
          </cell>
          <cell r="F755" t="str">
            <v>N/A</v>
          </cell>
          <cell r="G755">
            <v>45412</v>
          </cell>
          <cell r="H755">
            <v>0</v>
          </cell>
          <cell r="I755" t="str">
            <v>N/A</v>
          </cell>
          <cell r="J755">
            <v>45440</v>
          </cell>
          <cell r="K755">
            <v>45440</v>
          </cell>
          <cell r="L755">
            <v>0</v>
          </cell>
          <cell r="M755" t="str">
            <v>N/A</v>
          </cell>
          <cell r="N755" t="str">
            <v>N/A</v>
          </cell>
          <cell r="O755">
            <v>45441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14000</v>
          </cell>
          <cell r="AB755">
            <v>0</v>
          </cell>
          <cell r="AC755">
            <v>14000</v>
          </cell>
          <cell r="AD755">
            <v>12717.88</v>
          </cell>
          <cell r="AE755">
            <v>0</v>
          </cell>
          <cell r="AF755">
            <v>12717.88</v>
          </cell>
          <cell r="AG755" t="e">
            <v>#N/A</v>
          </cell>
          <cell r="AH755" t="str">
            <v>ENGR. MICHAEL C. SALARDA
MS. LEONARDA M. LATOR
MS. CARMENCITA VALDEZ
MS. SORAYA P. VERGARA</v>
          </cell>
          <cell r="AI755" t="str">
            <v>N/A</v>
          </cell>
          <cell r="AJ755" t="str">
            <v>N/A</v>
          </cell>
          <cell r="AK755" t="str">
            <v>N/A</v>
          </cell>
          <cell r="AL755" t="str">
            <v>N/A</v>
          </cell>
          <cell r="AM755" t="str">
            <v>N/A</v>
          </cell>
          <cell r="AN755" t="str">
            <v>N/A</v>
          </cell>
          <cell r="AO755">
            <v>0</v>
          </cell>
        </row>
        <row r="756">
          <cell r="A756" t="str">
            <v>24-2519</v>
          </cell>
          <cell r="B756" t="str">
            <v>SPAREPARTS (LIGHT
VEHICLES)</v>
          </cell>
          <cell r="C756" t="str">
            <v>PGSO</v>
          </cell>
          <cell r="D756" t="str">
            <v>No</v>
          </cell>
          <cell r="E756" t="str">
            <v>NP-53.9 - Small Value Procurement</v>
          </cell>
          <cell r="F756">
            <v>45421</v>
          </cell>
          <cell r="G756">
            <v>45425</v>
          </cell>
          <cell r="H756">
            <v>0</v>
          </cell>
          <cell r="I756" t="str">
            <v>N/A</v>
          </cell>
          <cell r="J756">
            <v>45440</v>
          </cell>
          <cell r="K756">
            <v>45440</v>
          </cell>
          <cell r="L756">
            <v>0</v>
          </cell>
          <cell r="M756" t="str">
            <v>N/A</v>
          </cell>
          <cell r="N756" t="str">
            <v>N/A</v>
          </cell>
          <cell r="O756">
            <v>45441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45453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17250</v>
          </cell>
          <cell r="AB756">
            <v>17250</v>
          </cell>
          <cell r="AC756">
            <v>0</v>
          </cell>
          <cell r="AD756">
            <v>17100</v>
          </cell>
          <cell r="AE756">
            <v>17100</v>
          </cell>
          <cell r="AF756">
            <v>0</v>
          </cell>
          <cell r="AG756" t="str">
            <v>M</v>
          </cell>
          <cell r="AH756" t="str">
            <v>ENGR. MICHAEL C. SALARDA
MS. LEONARDA M. LATOR
MS. CARMENCITA VALDEZ
MS. SORAYA P. VERGARA</v>
          </cell>
          <cell r="AI756" t="str">
            <v>N/A</v>
          </cell>
          <cell r="AJ756" t="str">
            <v>N/A</v>
          </cell>
          <cell r="AK756" t="str">
            <v>N/A</v>
          </cell>
          <cell r="AL756" t="str">
            <v>N/A</v>
          </cell>
          <cell r="AM756" t="str">
            <v>N/A</v>
          </cell>
          <cell r="AN756" t="str">
            <v>N/A</v>
          </cell>
          <cell r="AO756">
            <v>0</v>
          </cell>
        </row>
        <row r="757">
          <cell r="A757" t="str">
            <v>24-2498</v>
          </cell>
          <cell r="B757" t="str">
            <v>COLORED PRINTER</v>
          </cell>
          <cell r="C757" t="str">
            <v>PAO-ADMIN</v>
          </cell>
          <cell r="D757" t="str">
            <v>No</v>
          </cell>
          <cell r="E757" t="str">
            <v>NP-53.9 - Small Value Procurement</v>
          </cell>
          <cell r="F757" t="str">
            <v>N/A</v>
          </cell>
          <cell r="G757">
            <v>45412</v>
          </cell>
          <cell r="H757">
            <v>0</v>
          </cell>
          <cell r="I757" t="str">
            <v>N/A</v>
          </cell>
          <cell r="J757">
            <v>45440</v>
          </cell>
          <cell r="K757">
            <v>45440</v>
          </cell>
          <cell r="L757">
            <v>0</v>
          </cell>
          <cell r="M757" t="str">
            <v>N/A</v>
          </cell>
          <cell r="N757" t="str">
            <v>N/A</v>
          </cell>
          <cell r="O757">
            <v>45441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45454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12200</v>
          </cell>
          <cell r="AB757">
            <v>0</v>
          </cell>
          <cell r="AC757">
            <v>12200</v>
          </cell>
          <cell r="AD757">
            <v>9323</v>
          </cell>
          <cell r="AE757">
            <v>0</v>
          </cell>
          <cell r="AF757">
            <v>9323</v>
          </cell>
          <cell r="AG757" t="str">
            <v>C</v>
          </cell>
          <cell r="AH757" t="str">
            <v>ENGR. MICHAEL C. SALARDA
MS. LEONARDA M. LATOR
MS. CARMENCITA VALDEZ
MS. SORAYA P. VERGARA</v>
          </cell>
          <cell r="AI757" t="str">
            <v>N/A</v>
          </cell>
          <cell r="AJ757" t="str">
            <v>N/A</v>
          </cell>
          <cell r="AK757" t="str">
            <v>N/A</v>
          </cell>
          <cell r="AL757" t="str">
            <v>N/A</v>
          </cell>
          <cell r="AM757" t="str">
            <v>N/A</v>
          </cell>
          <cell r="AN757" t="str">
            <v>N/A</v>
          </cell>
          <cell r="AO757">
            <v>0</v>
          </cell>
        </row>
        <row r="758">
          <cell r="A758" t="str">
            <v>24-2415</v>
          </cell>
          <cell r="B758" t="str">
            <v>SPAREPARTS (LIGHT
VEHICLES)</v>
          </cell>
          <cell r="C758" t="str">
            <v>PGSO</v>
          </cell>
          <cell r="D758" t="str">
            <v>No</v>
          </cell>
          <cell r="E758" t="str">
            <v>NP-53.9 - Small Value Procurement</v>
          </cell>
          <cell r="F758">
            <v>45421</v>
          </cell>
          <cell r="G758">
            <v>45425</v>
          </cell>
          <cell r="H758">
            <v>0</v>
          </cell>
          <cell r="I758" t="str">
            <v>N/A</v>
          </cell>
          <cell r="J758">
            <v>45440</v>
          </cell>
          <cell r="K758">
            <v>45440</v>
          </cell>
          <cell r="L758">
            <v>0</v>
          </cell>
          <cell r="M758" t="str">
            <v>N/A</v>
          </cell>
          <cell r="N758" t="str">
            <v>N/A</v>
          </cell>
          <cell r="O758">
            <v>45441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45454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1050</v>
          </cell>
          <cell r="AB758">
            <v>1050</v>
          </cell>
          <cell r="AC758">
            <v>0</v>
          </cell>
          <cell r="AD758">
            <v>1000</v>
          </cell>
          <cell r="AE758">
            <v>1000</v>
          </cell>
          <cell r="AF758">
            <v>0</v>
          </cell>
          <cell r="AG758" t="str">
            <v>M</v>
          </cell>
          <cell r="AH758" t="str">
            <v>ENGR. MICHAEL C. SALARDA
MS. LEONARDA M. LATOR
MS. CARMENCITA VALDEZ
MS. SORAYA P. VERGARA</v>
          </cell>
          <cell r="AI758" t="str">
            <v>N/A</v>
          </cell>
          <cell r="AJ758" t="str">
            <v>N/A</v>
          </cell>
          <cell r="AK758" t="str">
            <v>N/A</v>
          </cell>
          <cell r="AL758" t="str">
            <v>N/A</v>
          </cell>
          <cell r="AM758" t="str">
            <v>N/A</v>
          </cell>
          <cell r="AN758" t="str">
            <v>N/A</v>
          </cell>
          <cell r="AO758">
            <v>0</v>
          </cell>
        </row>
        <row r="759">
          <cell r="A759" t="str">
            <v>24-2548</v>
          </cell>
          <cell r="B759" t="str">
            <v>COMPUTER LAPTOP</v>
          </cell>
          <cell r="C759" t="str">
            <v>COA</v>
          </cell>
          <cell r="D759" t="str">
            <v>No</v>
          </cell>
          <cell r="E759" t="str">
            <v>NP-53.9 - Small Value Procurement</v>
          </cell>
          <cell r="F759">
            <v>45412</v>
          </cell>
          <cell r="G759">
            <v>45414</v>
          </cell>
          <cell r="H759">
            <v>0</v>
          </cell>
          <cell r="I759" t="str">
            <v>N/A</v>
          </cell>
          <cell r="J759">
            <v>45440</v>
          </cell>
          <cell r="K759">
            <v>45440</v>
          </cell>
          <cell r="L759">
            <v>0</v>
          </cell>
          <cell r="M759" t="str">
            <v>N/A</v>
          </cell>
          <cell r="N759" t="str">
            <v>N/A</v>
          </cell>
          <cell r="O759">
            <v>45441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45453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66547</v>
          </cell>
          <cell r="AB759">
            <v>0</v>
          </cell>
          <cell r="AC759">
            <v>66547</v>
          </cell>
          <cell r="AD759">
            <v>63693</v>
          </cell>
          <cell r="AE759">
            <v>0</v>
          </cell>
          <cell r="AF759">
            <v>63693</v>
          </cell>
          <cell r="AG759" t="str">
            <v>C</v>
          </cell>
          <cell r="AH759" t="str">
            <v>ENGR. MICHAEL C. SALARDA
MS. LEONARDA M. LATOR
MS. CARMENCITA VALDEZ
MS. SORAYA P. VERGARA</v>
          </cell>
          <cell r="AI759" t="str">
            <v>N/A</v>
          </cell>
          <cell r="AJ759" t="str">
            <v>N/A</v>
          </cell>
          <cell r="AK759" t="str">
            <v>N/A</v>
          </cell>
          <cell r="AL759" t="str">
            <v>N/A</v>
          </cell>
          <cell r="AM759" t="str">
            <v>N/A</v>
          </cell>
          <cell r="AN759" t="str">
            <v>N/A</v>
          </cell>
          <cell r="AO759">
            <v>0</v>
          </cell>
        </row>
        <row r="760">
          <cell r="A760" t="str">
            <v>24-2421</v>
          </cell>
          <cell r="B760" t="str">
            <v>SPAREPARTS (LIGHT
VEHICLES)</v>
          </cell>
          <cell r="C760" t="str">
            <v>PGSO</v>
          </cell>
          <cell r="D760" t="str">
            <v>No</v>
          </cell>
          <cell r="E760" t="str">
            <v>NP-53.9 - Small Value Procurement</v>
          </cell>
          <cell r="F760">
            <v>45421</v>
          </cell>
          <cell r="G760">
            <v>45425</v>
          </cell>
          <cell r="H760">
            <v>0</v>
          </cell>
          <cell r="I760" t="str">
            <v>N/A</v>
          </cell>
          <cell r="J760">
            <v>45440</v>
          </cell>
          <cell r="K760">
            <v>45440</v>
          </cell>
          <cell r="L760">
            <v>0</v>
          </cell>
          <cell r="M760" t="str">
            <v>N/A</v>
          </cell>
          <cell r="N760" t="str">
            <v>N/A</v>
          </cell>
          <cell r="O760">
            <v>45441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45454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3900</v>
          </cell>
          <cell r="AB760">
            <v>3900</v>
          </cell>
          <cell r="AC760">
            <v>0</v>
          </cell>
          <cell r="AD760">
            <v>3750</v>
          </cell>
          <cell r="AE760">
            <v>3750</v>
          </cell>
          <cell r="AF760">
            <v>0</v>
          </cell>
          <cell r="AG760" t="str">
            <v>M</v>
          </cell>
          <cell r="AH760" t="str">
            <v>ENGR. MICHAEL C. SALARDA
MS. LEONARDA M. LATOR
MS. CARMENCITA VALDEZ
MS. SORAYA P. VERGARA</v>
          </cell>
          <cell r="AI760" t="str">
            <v>N/A</v>
          </cell>
          <cell r="AJ760" t="str">
            <v>N/A</v>
          </cell>
          <cell r="AK760" t="str">
            <v>N/A</v>
          </cell>
          <cell r="AL760" t="str">
            <v>N/A</v>
          </cell>
          <cell r="AM760" t="str">
            <v>N/A</v>
          </cell>
          <cell r="AN760" t="str">
            <v>N/A</v>
          </cell>
          <cell r="AO760">
            <v>0</v>
          </cell>
        </row>
        <row r="761">
          <cell r="A761" t="str">
            <v>24-2427</v>
          </cell>
          <cell r="B761" t="str">
            <v>SPAREPARTS (LIGHT
VEHICLES)</v>
          </cell>
          <cell r="C761" t="str">
            <v>PGSO</v>
          </cell>
          <cell r="D761" t="str">
            <v>No</v>
          </cell>
          <cell r="E761" t="str">
            <v>NP-53.9 - Small Value Procurement</v>
          </cell>
          <cell r="F761" t="str">
            <v>N/A</v>
          </cell>
          <cell r="G761">
            <v>45425</v>
          </cell>
          <cell r="H761">
            <v>0</v>
          </cell>
          <cell r="I761" t="str">
            <v>N/A</v>
          </cell>
          <cell r="J761">
            <v>45440</v>
          </cell>
          <cell r="K761">
            <v>45440</v>
          </cell>
          <cell r="L761">
            <v>0</v>
          </cell>
          <cell r="M761" t="str">
            <v>N/A</v>
          </cell>
          <cell r="N761" t="str">
            <v>N/A</v>
          </cell>
          <cell r="O761">
            <v>45441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45456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82140</v>
          </cell>
          <cell r="AB761">
            <v>82140</v>
          </cell>
          <cell r="AC761">
            <v>0</v>
          </cell>
          <cell r="AD761">
            <v>75900</v>
          </cell>
          <cell r="AE761">
            <v>75900</v>
          </cell>
          <cell r="AF761">
            <v>0</v>
          </cell>
          <cell r="AG761" t="str">
            <v>M</v>
          </cell>
          <cell r="AH761" t="str">
            <v>ENGR. MICHAEL C. SALARDA
MS. LEONARDA M. LATOR
MS. CARMENCITA VALDEZ
MS. SORAYA P. VERGARA</v>
          </cell>
          <cell r="AI761" t="str">
            <v>N/A</v>
          </cell>
          <cell r="AJ761" t="str">
            <v>N/A</v>
          </cell>
          <cell r="AK761" t="str">
            <v>N/A</v>
          </cell>
          <cell r="AL761" t="str">
            <v>N/A</v>
          </cell>
          <cell r="AM761" t="str">
            <v>N/A</v>
          </cell>
          <cell r="AN761" t="str">
            <v>N/A</v>
          </cell>
          <cell r="AO761">
            <v>0</v>
          </cell>
        </row>
        <row r="762">
          <cell r="A762" t="str">
            <v>24-C1294</v>
          </cell>
          <cell r="B762" t="str">
            <v>MEDICAL SUPPLIES</v>
          </cell>
          <cell r="C762" t="str">
            <v>PEEMO</v>
          </cell>
          <cell r="D762" t="str">
            <v>No</v>
          </cell>
          <cell r="E762" t="str">
            <v>NP-53.9 - Small Value Procurement</v>
          </cell>
          <cell r="F762">
            <v>45384</v>
          </cell>
          <cell r="G762">
            <v>45390</v>
          </cell>
          <cell r="H762">
            <v>0</v>
          </cell>
          <cell r="I762" t="str">
            <v>N/A</v>
          </cell>
          <cell r="J762">
            <v>45440</v>
          </cell>
          <cell r="K762">
            <v>45440</v>
          </cell>
          <cell r="L762">
            <v>0</v>
          </cell>
          <cell r="M762" t="str">
            <v>N/A</v>
          </cell>
          <cell r="N762" t="str">
            <v>N/A</v>
          </cell>
          <cell r="O762">
            <v>45441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45453</v>
          </cell>
          <cell r="U762">
            <v>45467</v>
          </cell>
          <cell r="V762">
            <v>0</v>
          </cell>
          <cell r="W762">
            <v>0</v>
          </cell>
          <cell r="X762">
            <v>45468</v>
          </cell>
          <cell r="Y762">
            <v>45468</v>
          </cell>
          <cell r="Z762">
            <v>0</v>
          </cell>
          <cell r="AA762">
            <v>289643</v>
          </cell>
          <cell r="AB762">
            <v>289643</v>
          </cell>
          <cell r="AC762">
            <v>0</v>
          </cell>
          <cell r="AD762">
            <v>289049</v>
          </cell>
          <cell r="AE762">
            <v>289049</v>
          </cell>
          <cell r="AF762">
            <v>0</v>
          </cell>
          <cell r="AG762" t="str">
            <v>M</v>
          </cell>
          <cell r="AH762" t="str">
            <v>ENGR. MICHAEL C. SALARDA
MS. LEONARDA M. LATOR
MS. CARMENCITA VALDEZ
MS. SORAYA P. VERGARA</v>
          </cell>
          <cell r="AI762" t="str">
            <v>N/A</v>
          </cell>
          <cell r="AJ762" t="str">
            <v>N/A</v>
          </cell>
          <cell r="AK762" t="str">
            <v>N/A</v>
          </cell>
          <cell r="AL762" t="str">
            <v>N/A</v>
          </cell>
          <cell r="AM762" t="str">
            <v>N/A</v>
          </cell>
          <cell r="AN762" t="str">
            <v>N/A</v>
          </cell>
          <cell r="AO762" t="str">
            <v>COMPLETED</v>
          </cell>
        </row>
        <row r="763">
          <cell r="A763" t="str">
            <v>24-1529</v>
          </cell>
          <cell r="B763" t="str">
            <v>MOTHERBOARD GIGABYTE</v>
          </cell>
          <cell r="C763" t="str">
            <v>PAO-PESO</v>
          </cell>
          <cell r="D763" t="str">
            <v>No</v>
          </cell>
          <cell r="E763" t="str">
            <v>NP-53.9 - Small Value Procurement</v>
          </cell>
          <cell r="F763">
            <v>45407</v>
          </cell>
          <cell r="G763">
            <v>45412</v>
          </cell>
          <cell r="H763">
            <v>0</v>
          </cell>
          <cell r="I763" t="str">
            <v>N/A</v>
          </cell>
          <cell r="J763">
            <v>45440</v>
          </cell>
          <cell r="K763">
            <v>45440</v>
          </cell>
          <cell r="L763">
            <v>0</v>
          </cell>
          <cell r="M763" t="str">
            <v>N/A</v>
          </cell>
          <cell r="N763" t="str">
            <v>N/A</v>
          </cell>
          <cell r="O763">
            <v>45441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45453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16100</v>
          </cell>
          <cell r="AB763">
            <v>16100</v>
          </cell>
          <cell r="AC763">
            <v>0</v>
          </cell>
          <cell r="AD763">
            <v>15254</v>
          </cell>
          <cell r="AE763">
            <v>15254</v>
          </cell>
          <cell r="AF763">
            <v>0</v>
          </cell>
          <cell r="AG763" t="str">
            <v>M</v>
          </cell>
          <cell r="AH763" t="str">
            <v>ENGR. MICHAEL C. SALARDA
MS. LEONARDA M. LATOR
MS. CARMENCITA VALDEZ
MS. SORAYA P. VERGARA</v>
          </cell>
          <cell r="AI763" t="str">
            <v>N/A</v>
          </cell>
          <cell r="AJ763" t="str">
            <v>N/A</v>
          </cell>
          <cell r="AK763" t="str">
            <v>N/A</v>
          </cell>
          <cell r="AL763" t="str">
            <v>N/A</v>
          </cell>
          <cell r="AM763" t="str">
            <v>N/A</v>
          </cell>
          <cell r="AN763" t="str">
            <v>N/A</v>
          </cell>
          <cell r="AO763">
            <v>0</v>
          </cell>
        </row>
        <row r="764">
          <cell r="A764" t="str">
            <v>24-2070</v>
          </cell>
          <cell r="B764" t="str">
            <v>JANITORIAL SUPPLIES /
HOUSEKEEPING</v>
          </cell>
          <cell r="C764" t="str">
            <v>PHRMDO</v>
          </cell>
          <cell r="D764" t="str">
            <v>No</v>
          </cell>
          <cell r="E764" t="str">
            <v>NP-53.9 - Small Value Procurement</v>
          </cell>
          <cell r="F764" t="str">
            <v>N/A</v>
          </cell>
          <cell r="G764">
            <v>45376</v>
          </cell>
          <cell r="H764">
            <v>0</v>
          </cell>
          <cell r="I764" t="str">
            <v>N/A</v>
          </cell>
          <cell r="J764">
            <v>45440</v>
          </cell>
          <cell r="K764">
            <v>45440</v>
          </cell>
          <cell r="L764">
            <v>0</v>
          </cell>
          <cell r="M764" t="str">
            <v>N/A</v>
          </cell>
          <cell r="N764" t="str">
            <v>N/A</v>
          </cell>
          <cell r="O764">
            <v>45441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45456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43101.5</v>
          </cell>
          <cell r="AB764">
            <v>43101.5</v>
          </cell>
          <cell r="AC764">
            <v>0</v>
          </cell>
          <cell r="AD764">
            <v>43046</v>
          </cell>
          <cell r="AE764">
            <v>43046</v>
          </cell>
          <cell r="AF764">
            <v>0</v>
          </cell>
          <cell r="AG764" t="str">
            <v>M</v>
          </cell>
          <cell r="AH764" t="str">
            <v>ENGR. MICHAEL C. SALARDA
MS. LEONARDA M. LATOR
MS. CARMENCITA VALDEZ
MS. SORAYA P. VERGARA</v>
          </cell>
          <cell r="AI764" t="str">
            <v>N/A</v>
          </cell>
          <cell r="AJ764" t="str">
            <v>N/A</v>
          </cell>
          <cell r="AK764" t="str">
            <v>N/A</v>
          </cell>
          <cell r="AL764" t="str">
            <v>N/A</v>
          </cell>
          <cell r="AM764" t="str">
            <v>N/A</v>
          </cell>
          <cell r="AN764" t="str">
            <v>N/A</v>
          </cell>
          <cell r="AO764">
            <v>0</v>
          </cell>
        </row>
        <row r="765">
          <cell r="A765" t="str">
            <v>24-2409</v>
          </cell>
          <cell r="B765" t="str">
            <v>TARPAULIN CONSTRUCTION OF TEACHERS'</v>
          </cell>
          <cell r="C765" t="str">
            <v>SEF</v>
          </cell>
          <cell r="D765" t="str">
            <v>No</v>
          </cell>
          <cell r="E765" t="str">
            <v>NP-53.9 - Small Value Procurement</v>
          </cell>
          <cell r="F765">
            <v>45421</v>
          </cell>
          <cell r="G765">
            <v>45425</v>
          </cell>
          <cell r="H765">
            <v>0</v>
          </cell>
          <cell r="I765" t="str">
            <v>N/A</v>
          </cell>
          <cell r="J765">
            <v>45440</v>
          </cell>
          <cell r="K765">
            <v>45440</v>
          </cell>
          <cell r="L765">
            <v>0</v>
          </cell>
          <cell r="M765" t="str">
            <v>N/A</v>
          </cell>
          <cell r="N765" t="str">
            <v>N/A</v>
          </cell>
          <cell r="O765">
            <v>45441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45454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1792</v>
          </cell>
          <cell r="AB765">
            <v>0</v>
          </cell>
          <cell r="AC765">
            <v>1792</v>
          </cell>
          <cell r="AD765">
            <v>1792</v>
          </cell>
          <cell r="AE765">
            <v>0</v>
          </cell>
          <cell r="AF765">
            <v>1792</v>
          </cell>
          <cell r="AG765" t="str">
            <v>C</v>
          </cell>
          <cell r="AH765" t="str">
            <v>ENGR. MICHAEL C. SALARDA
MS. LEONARDA M. LATOR
MS. CARMENCITA VALDEZ
MS. SORAYA P. VERGARA</v>
          </cell>
          <cell r="AI765" t="str">
            <v>N/A</v>
          </cell>
          <cell r="AJ765" t="str">
            <v>N/A</v>
          </cell>
          <cell r="AK765" t="str">
            <v>N/A</v>
          </cell>
          <cell r="AL765" t="str">
            <v>N/A</v>
          </cell>
          <cell r="AM765" t="str">
            <v>N/A</v>
          </cell>
          <cell r="AN765" t="str">
            <v>N/A</v>
          </cell>
          <cell r="AO765">
            <v>0</v>
          </cell>
        </row>
        <row r="766">
          <cell r="A766" t="str">
            <v>24-C1303</v>
          </cell>
          <cell r="B766" t="str">
            <v>CONSTRUCTION SUPPLIES</v>
          </cell>
          <cell r="C766" t="str">
            <v>PVO</v>
          </cell>
          <cell r="D766" t="str">
            <v>No</v>
          </cell>
          <cell r="E766" t="str">
            <v>NP-53.9 - Small Value Procurement</v>
          </cell>
          <cell r="F766" t="str">
            <v>N/A</v>
          </cell>
          <cell r="G766">
            <v>45385</v>
          </cell>
          <cell r="H766">
            <v>0</v>
          </cell>
          <cell r="I766" t="str">
            <v>N/A</v>
          </cell>
          <cell r="J766">
            <v>45440</v>
          </cell>
          <cell r="K766">
            <v>45440</v>
          </cell>
          <cell r="L766">
            <v>0</v>
          </cell>
          <cell r="M766" t="str">
            <v>N/A</v>
          </cell>
          <cell r="N766" t="str">
            <v>N/A</v>
          </cell>
          <cell r="O766">
            <v>45441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45454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36070</v>
          </cell>
          <cell r="AB766">
            <v>36070</v>
          </cell>
          <cell r="AC766">
            <v>0</v>
          </cell>
          <cell r="AD766">
            <v>36029</v>
          </cell>
          <cell r="AE766">
            <v>36029</v>
          </cell>
          <cell r="AF766">
            <v>0</v>
          </cell>
          <cell r="AG766" t="str">
            <v>M</v>
          </cell>
          <cell r="AH766" t="str">
            <v>ENGR. MICHAEL C. SALARDA
MS. LEONARDA M. LATOR
MS. CARMENCITA VALDEZ
MS. SORAYA P. VERGARA</v>
          </cell>
          <cell r="AI766" t="str">
            <v>N/A</v>
          </cell>
          <cell r="AJ766" t="str">
            <v>N/A</v>
          </cell>
          <cell r="AK766" t="str">
            <v>N/A</v>
          </cell>
          <cell r="AL766" t="str">
            <v>N/A</v>
          </cell>
          <cell r="AM766" t="str">
            <v>N/A</v>
          </cell>
          <cell r="AN766" t="str">
            <v>N/A</v>
          </cell>
          <cell r="AO766">
            <v>0</v>
          </cell>
        </row>
        <row r="767">
          <cell r="A767" t="str">
            <v>24-2555</v>
          </cell>
          <cell r="B767" t="str">
            <v>TARPAULIN</v>
          </cell>
          <cell r="C767" t="str">
            <v>PDRRMO</v>
          </cell>
          <cell r="D767" t="str">
            <v>No</v>
          </cell>
          <cell r="E767" t="str">
            <v>NP-53.9 - Small Value Procurement</v>
          </cell>
          <cell r="F767">
            <v>45421</v>
          </cell>
          <cell r="G767">
            <v>45425</v>
          </cell>
          <cell r="H767">
            <v>0</v>
          </cell>
          <cell r="I767" t="str">
            <v>N/A</v>
          </cell>
          <cell r="J767">
            <v>45440</v>
          </cell>
          <cell r="K767">
            <v>45440</v>
          </cell>
          <cell r="L767">
            <v>0</v>
          </cell>
          <cell r="M767" t="str">
            <v>N/A</v>
          </cell>
          <cell r="N767" t="str">
            <v>N/A</v>
          </cell>
          <cell r="O767">
            <v>45441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45453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1792</v>
          </cell>
          <cell r="AB767">
            <v>1792</v>
          </cell>
          <cell r="AC767">
            <v>0</v>
          </cell>
          <cell r="AD767">
            <v>1792</v>
          </cell>
          <cell r="AE767">
            <v>1792</v>
          </cell>
          <cell r="AF767">
            <v>0</v>
          </cell>
          <cell r="AG767" t="str">
            <v>M</v>
          </cell>
          <cell r="AH767" t="str">
            <v>ENGR. MICHAEL C. SALARDA
MS. LEONARDA M. LATOR
MS. CARMENCITA VALDEZ
MS. SORAYA P. VERGARA</v>
          </cell>
          <cell r="AI767" t="str">
            <v>N/A</v>
          </cell>
          <cell r="AJ767" t="str">
            <v>N/A</v>
          </cell>
          <cell r="AK767" t="str">
            <v>N/A</v>
          </cell>
          <cell r="AL767" t="str">
            <v>N/A</v>
          </cell>
          <cell r="AM767" t="str">
            <v>N/A</v>
          </cell>
          <cell r="AN767" t="str">
            <v>N/A</v>
          </cell>
          <cell r="AO767">
            <v>0</v>
          </cell>
        </row>
        <row r="768">
          <cell r="A768" t="str">
            <v>24-2584</v>
          </cell>
          <cell r="B768" t="str">
            <v>TARPAULIN</v>
          </cell>
          <cell r="C768" t="str">
            <v>PEO</v>
          </cell>
          <cell r="D768" t="str">
            <v>No</v>
          </cell>
          <cell r="E768" t="str">
            <v>NP-53.9 - Small Value Procurement</v>
          </cell>
          <cell r="F768">
            <v>45421</v>
          </cell>
          <cell r="G768">
            <v>45425</v>
          </cell>
          <cell r="H768">
            <v>0</v>
          </cell>
          <cell r="I768" t="str">
            <v>N/A</v>
          </cell>
          <cell r="J768">
            <v>45440</v>
          </cell>
          <cell r="K768">
            <v>45440</v>
          </cell>
          <cell r="L768">
            <v>0</v>
          </cell>
          <cell r="M768" t="str">
            <v>N/A</v>
          </cell>
          <cell r="N768" t="str">
            <v>N/A</v>
          </cell>
          <cell r="O768">
            <v>45441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45454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1792</v>
          </cell>
          <cell r="AB768">
            <v>0</v>
          </cell>
          <cell r="AC768">
            <v>1792</v>
          </cell>
          <cell r="AD768">
            <v>1792</v>
          </cell>
          <cell r="AE768">
            <v>0</v>
          </cell>
          <cell r="AF768">
            <v>1792</v>
          </cell>
          <cell r="AG768" t="str">
            <v>C</v>
          </cell>
          <cell r="AH768" t="str">
            <v>ENGR. MICHAEL C. SALARDA
MS. LEONARDA M. LATOR
MS. CARMENCITA VALDEZ
MS. SORAYA P. VERGARA</v>
          </cell>
          <cell r="AI768" t="str">
            <v>N/A</v>
          </cell>
          <cell r="AJ768" t="str">
            <v>N/A</v>
          </cell>
          <cell r="AK768" t="str">
            <v>N/A</v>
          </cell>
          <cell r="AL768" t="str">
            <v>N/A</v>
          </cell>
          <cell r="AM768" t="str">
            <v>N/A</v>
          </cell>
          <cell r="AN768" t="str">
            <v>N/A</v>
          </cell>
          <cell r="AO768">
            <v>0</v>
          </cell>
        </row>
        <row r="769">
          <cell r="A769" t="str">
            <v>24-1969</v>
          </cell>
          <cell r="B769" t="str">
            <v>JANITORIAL SUPPLIES /
HOUSEKEEPING</v>
          </cell>
          <cell r="C769" t="str">
            <v>PVO</v>
          </cell>
          <cell r="D769" t="str">
            <v>No</v>
          </cell>
          <cell r="E769" t="str">
            <v>NP-53.9 - Small Value Procurement</v>
          </cell>
          <cell r="F769" t="str">
            <v>N/A</v>
          </cell>
          <cell r="G769">
            <v>45385</v>
          </cell>
          <cell r="H769">
            <v>0</v>
          </cell>
          <cell r="I769" t="str">
            <v>N/A</v>
          </cell>
          <cell r="J769">
            <v>45440</v>
          </cell>
          <cell r="K769">
            <v>45440</v>
          </cell>
          <cell r="L769">
            <v>0</v>
          </cell>
          <cell r="M769" t="str">
            <v>N/A</v>
          </cell>
          <cell r="N769" t="str">
            <v>N/A</v>
          </cell>
          <cell r="O769">
            <v>45441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45456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14523</v>
          </cell>
          <cell r="AB769">
            <v>14523</v>
          </cell>
          <cell r="AC769">
            <v>0</v>
          </cell>
          <cell r="AD769">
            <v>14445</v>
          </cell>
          <cell r="AE769">
            <v>14445</v>
          </cell>
          <cell r="AF769">
            <v>0</v>
          </cell>
          <cell r="AG769" t="str">
            <v>M</v>
          </cell>
          <cell r="AH769" t="str">
            <v>ENGR. MICHAEL C. SALARDA
MS. LEONARDA M. LATOR
MS. CARMENCITA VALDEZ
MS. SORAYA P. VERGARA</v>
          </cell>
          <cell r="AI769" t="str">
            <v>N/A</v>
          </cell>
          <cell r="AJ769" t="str">
            <v>N/A</v>
          </cell>
          <cell r="AK769" t="str">
            <v>N/A</v>
          </cell>
          <cell r="AL769" t="str">
            <v>N/A</v>
          </cell>
          <cell r="AM769" t="str">
            <v>N/A</v>
          </cell>
          <cell r="AN769" t="str">
            <v>N/A</v>
          </cell>
          <cell r="AO769">
            <v>0</v>
          </cell>
        </row>
        <row r="770">
          <cell r="A770" t="str">
            <v>24-2370</v>
          </cell>
          <cell r="B770" t="str">
            <v>COMPUTER SUPPLIES /
SPAREPARTS</v>
          </cell>
          <cell r="C770" t="str">
            <v>PAO-ADMIN</v>
          </cell>
          <cell r="D770" t="str">
            <v>No</v>
          </cell>
          <cell r="E770" t="str">
            <v>NP-53.9 - Small Value Procurement</v>
          </cell>
          <cell r="F770">
            <v>45421</v>
          </cell>
          <cell r="G770">
            <v>45425</v>
          </cell>
          <cell r="H770">
            <v>0</v>
          </cell>
          <cell r="I770" t="str">
            <v>N/A</v>
          </cell>
          <cell r="J770">
            <v>45440</v>
          </cell>
          <cell r="K770">
            <v>45440</v>
          </cell>
          <cell r="L770">
            <v>0</v>
          </cell>
          <cell r="M770" t="str">
            <v>N/A</v>
          </cell>
          <cell r="N770" t="str">
            <v>N/A</v>
          </cell>
          <cell r="O770">
            <v>45441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45456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22960</v>
          </cell>
          <cell r="AB770">
            <v>22960</v>
          </cell>
          <cell r="AC770">
            <v>0</v>
          </cell>
          <cell r="AD770">
            <v>22800</v>
          </cell>
          <cell r="AE770">
            <v>22800</v>
          </cell>
          <cell r="AF770">
            <v>0</v>
          </cell>
          <cell r="AG770" t="str">
            <v>M</v>
          </cell>
          <cell r="AH770" t="str">
            <v>ENGR. MICHAEL C. SALARDA
MS. LEONARDA M. LATOR
MS. CARMENCITA VALDEZ
MS. SORAYA P. VERGARA</v>
          </cell>
          <cell r="AI770" t="str">
            <v>N/A</v>
          </cell>
          <cell r="AJ770" t="str">
            <v>N/A</v>
          </cell>
          <cell r="AK770" t="str">
            <v>N/A</v>
          </cell>
          <cell r="AL770" t="str">
            <v>N/A</v>
          </cell>
          <cell r="AM770" t="str">
            <v>N/A</v>
          </cell>
          <cell r="AN770" t="str">
            <v>N/A</v>
          </cell>
          <cell r="AO770">
            <v>0</v>
          </cell>
        </row>
        <row r="771">
          <cell r="A771" t="str">
            <v>24-C1305</v>
          </cell>
          <cell r="B771" t="str">
            <v>KITCHENWARE &amp; UTENSILS</v>
          </cell>
          <cell r="C771" t="str">
            <v>PVO</v>
          </cell>
          <cell r="D771" t="str">
            <v>No</v>
          </cell>
          <cell r="E771" t="str">
            <v>NP-53.9 - Small Value Procurement</v>
          </cell>
          <cell r="F771" t="str">
            <v>N/A</v>
          </cell>
          <cell r="G771">
            <v>45385</v>
          </cell>
          <cell r="H771">
            <v>0</v>
          </cell>
          <cell r="I771" t="str">
            <v>N/A</v>
          </cell>
          <cell r="J771">
            <v>45440</v>
          </cell>
          <cell r="K771">
            <v>45440</v>
          </cell>
          <cell r="L771">
            <v>0</v>
          </cell>
          <cell r="M771" t="str">
            <v>N/A</v>
          </cell>
          <cell r="N771" t="str">
            <v>N/A</v>
          </cell>
          <cell r="O771">
            <v>45441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45456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12706</v>
          </cell>
          <cell r="AB771">
            <v>12706</v>
          </cell>
          <cell r="AC771">
            <v>0</v>
          </cell>
          <cell r="AD771">
            <v>12570</v>
          </cell>
          <cell r="AE771">
            <v>12570</v>
          </cell>
          <cell r="AF771">
            <v>0</v>
          </cell>
          <cell r="AG771" t="str">
            <v>M</v>
          </cell>
          <cell r="AH771" t="str">
            <v>ENGR. MICHAEL C. SALARDA
MS. LEONARDA M. LATOR
MS. CARMENCITA VALDEZ
MS. SORAYA P. VERGARA</v>
          </cell>
          <cell r="AI771" t="str">
            <v>N/A</v>
          </cell>
          <cell r="AJ771" t="str">
            <v>N/A</v>
          </cell>
          <cell r="AK771" t="str">
            <v>N/A</v>
          </cell>
          <cell r="AL771" t="str">
            <v>N/A</v>
          </cell>
          <cell r="AM771" t="str">
            <v>N/A</v>
          </cell>
          <cell r="AN771" t="str">
            <v>N/A</v>
          </cell>
          <cell r="AO771">
            <v>0</v>
          </cell>
        </row>
        <row r="772">
          <cell r="A772" t="str">
            <v>24-1586</v>
          </cell>
          <cell r="B772" t="str">
            <v>CONSTRUCTION SUPPLIES</v>
          </cell>
          <cell r="C772" t="str">
            <v>PGSO</v>
          </cell>
          <cell r="D772" t="str">
            <v>No</v>
          </cell>
          <cell r="E772" t="str">
            <v>NP-53.9 - Small Value Procurement</v>
          </cell>
          <cell r="F772">
            <v>45407</v>
          </cell>
          <cell r="G772">
            <v>45412</v>
          </cell>
          <cell r="H772">
            <v>0</v>
          </cell>
          <cell r="I772" t="str">
            <v>N/A</v>
          </cell>
          <cell r="J772">
            <v>45440</v>
          </cell>
          <cell r="K772">
            <v>45440</v>
          </cell>
          <cell r="L772">
            <v>0</v>
          </cell>
          <cell r="M772" t="str">
            <v>N/A</v>
          </cell>
          <cell r="N772" t="str">
            <v>N/A</v>
          </cell>
          <cell r="O772">
            <v>45441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45454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18800</v>
          </cell>
          <cell r="AB772">
            <v>18800</v>
          </cell>
          <cell r="AC772">
            <v>0</v>
          </cell>
          <cell r="AD772">
            <v>18720</v>
          </cell>
          <cell r="AE772">
            <v>18720</v>
          </cell>
          <cell r="AF772">
            <v>0</v>
          </cell>
          <cell r="AG772" t="str">
            <v>M</v>
          </cell>
          <cell r="AH772" t="str">
            <v>ENGR. MICHAEL C. SALARDA
MS. LEONARDA M. LATOR
MS. CARMENCITA VALDEZ
MS. SORAYA P. VERGARA</v>
          </cell>
          <cell r="AI772" t="str">
            <v>N/A</v>
          </cell>
          <cell r="AJ772" t="str">
            <v>N/A</v>
          </cell>
          <cell r="AK772" t="str">
            <v>N/A</v>
          </cell>
          <cell r="AL772" t="str">
            <v>N/A</v>
          </cell>
          <cell r="AM772" t="str">
            <v>N/A</v>
          </cell>
          <cell r="AN772" t="str">
            <v>N/A</v>
          </cell>
          <cell r="AO772">
            <v>0</v>
          </cell>
        </row>
        <row r="773">
          <cell r="A773" t="str">
            <v>24-C1266</v>
          </cell>
          <cell r="B773" t="str">
            <v>SPAREPARTS ( FARM
MACHINERIES AND
EQUIPMENT )</v>
          </cell>
          <cell r="C773" t="str">
            <v>PDRRMO</v>
          </cell>
          <cell r="D773" t="str">
            <v>No</v>
          </cell>
          <cell r="E773" t="str">
            <v>NP-53.9 - Small Value Procurement</v>
          </cell>
          <cell r="F773" t="str">
            <v>N/A</v>
          </cell>
          <cell r="G773">
            <v>45414</v>
          </cell>
          <cell r="H773">
            <v>0</v>
          </cell>
          <cell r="I773" t="str">
            <v>N/A</v>
          </cell>
          <cell r="J773">
            <v>45440</v>
          </cell>
          <cell r="K773">
            <v>45440</v>
          </cell>
          <cell r="L773">
            <v>0</v>
          </cell>
          <cell r="M773" t="str">
            <v>N/A</v>
          </cell>
          <cell r="N773" t="str">
            <v>N/A</v>
          </cell>
          <cell r="O773">
            <v>45441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45456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57183.1</v>
          </cell>
          <cell r="AB773">
            <v>0</v>
          </cell>
          <cell r="AC773">
            <v>57183.1</v>
          </cell>
          <cell r="AD773">
            <v>56052</v>
          </cell>
          <cell r="AE773">
            <v>0</v>
          </cell>
          <cell r="AF773">
            <v>56052</v>
          </cell>
          <cell r="AG773" t="str">
            <v>C</v>
          </cell>
          <cell r="AH773" t="str">
            <v>ENGR. MICHAEL C. SALARDA
MS. LEONARDA M. LATOR
MS. CARMENCITA VALDEZ
MS. SORAYA P. VERGARA</v>
          </cell>
          <cell r="AI773" t="str">
            <v>N/A</v>
          </cell>
          <cell r="AJ773" t="str">
            <v>N/A</v>
          </cell>
          <cell r="AK773" t="str">
            <v>N/A</v>
          </cell>
          <cell r="AL773" t="str">
            <v>N/A</v>
          </cell>
          <cell r="AM773" t="str">
            <v>N/A</v>
          </cell>
          <cell r="AN773" t="str">
            <v>N/A</v>
          </cell>
          <cell r="AO773">
            <v>0</v>
          </cell>
        </row>
        <row r="774">
          <cell r="A774" t="str">
            <v>24-1902</v>
          </cell>
          <cell r="B774" t="str">
            <v>TARPAULIN</v>
          </cell>
          <cell r="C774" t="str">
            <v>PGO</v>
          </cell>
          <cell r="D774" t="str">
            <v>No</v>
          </cell>
          <cell r="E774" t="str">
            <v>NP-53.9 - Small Value Procurement</v>
          </cell>
          <cell r="F774" t="str">
            <v>N/A</v>
          </cell>
          <cell r="G774">
            <v>45422</v>
          </cell>
          <cell r="H774">
            <v>0</v>
          </cell>
          <cell r="I774" t="str">
            <v>N/A</v>
          </cell>
          <cell r="J774">
            <v>45440</v>
          </cell>
          <cell r="K774">
            <v>45440</v>
          </cell>
          <cell r="L774">
            <v>0</v>
          </cell>
          <cell r="M774" t="str">
            <v>N/A</v>
          </cell>
          <cell r="N774" t="str">
            <v>N/A</v>
          </cell>
          <cell r="O774">
            <v>45441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45453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5600</v>
          </cell>
          <cell r="AB774">
            <v>0</v>
          </cell>
          <cell r="AC774">
            <v>5600</v>
          </cell>
          <cell r="AD774">
            <v>5600</v>
          </cell>
          <cell r="AE774">
            <v>0</v>
          </cell>
          <cell r="AF774">
            <v>5600</v>
          </cell>
          <cell r="AG774" t="str">
            <v>C</v>
          </cell>
          <cell r="AH774" t="str">
            <v>ENGR. MICHAEL C. SALARDA
MS. LEONARDA M. LATOR
MS. CARMENCITA VALDEZ
MS. SORAYA P. VERGARA</v>
          </cell>
          <cell r="AI774" t="str">
            <v>N/A</v>
          </cell>
          <cell r="AJ774" t="str">
            <v>N/A</v>
          </cell>
          <cell r="AK774" t="str">
            <v>N/A</v>
          </cell>
          <cell r="AL774" t="str">
            <v>N/A</v>
          </cell>
          <cell r="AM774" t="str">
            <v>N/A</v>
          </cell>
          <cell r="AN774" t="str">
            <v>N/A</v>
          </cell>
          <cell r="AO774">
            <v>0</v>
          </cell>
        </row>
        <row r="775">
          <cell r="A775" t="str">
            <v>24-1919</v>
          </cell>
          <cell r="B775" t="str">
            <v>PRINTING (PROGRAMS)</v>
          </cell>
          <cell r="C775" t="str">
            <v>PGO</v>
          </cell>
          <cell r="D775" t="str">
            <v>No</v>
          </cell>
          <cell r="E775" t="str">
            <v>NP-53.9 - Small Value Procurement</v>
          </cell>
          <cell r="F775" t="str">
            <v>N/A</v>
          </cell>
          <cell r="G775">
            <v>45422</v>
          </cell>
          <cell r="H775">
            <v>0</v>
          </cell>
          <cell r="I775" t="str">
            <v>N/A</v>
          </cell>
          <cell r="J775">
            <v>45440</v>
          </cell>
          <cell r="K775">
            <v>45440</v>
          </cell>
          <cell r="L775">
            <v>0</v>
          </cell>
          <cell r="M775" t="str">
            <v>N/A</v>
          </cell>
          <cell r="N775" t="str">
            <v>N/A</v>
          </cell>
          <cell r="O775">
            <v>45441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45454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9880</v>
          </cell>
          <cell r="AB775">
            <v>0</v>
          </cell>
          <cell r="AC775">
            <v>9880</v>
          </cell>
          <cell r="AD775">
            <v>9880</v>
          </cell>
          <cell r="AE775">
            <v>0</v>
          </cell>
          <cell r="AF775">
            <v>9880</v>
          </cell>
          <cell r="AG775" t="str">
            <v>C</v>
          </cell>
          <cell r="AH775" t="str">
            <v>ENGR. MICHAEL C. SALARDA
MS. LEONARDA M. LATOR
MS. CARMENCITA VALDEZ
MS. SORAYA P. VERGARA</v>
          </cell>
          <cell r="AI775" t="str">
            <v>N/A</v>
          </cell>
          <cell r="AJ775" t="str">
            <v>N/A</v>
          </cell>
          <cell r="AK775" t="str">
            <v>N/A</v>
          </cell>
          <cell r="AL775" t="str">
            <v>N/A</v>
          </cell>
          <cell r="AM775" t="str">
            <v>N/A</v>
          </cell>
          <cell r="AN775" t="str">
            <v>N/A</v>
          </cell>
          <cell r="AO775">
            <v>0</v>
          </cell>
        </row>
        <row r="776">
          <cell r="A776" t="str">
            <v>24-2481</v>
          </cell>
          <cell r="B776" t="str">
            <v>WATER</v>
          </cell>
          <cell r="C776" t="str">
            <v>SPO</v>
          </cell>
          <cell r="D776" t="str">
            <v>No</v>
          </cell>
          <cell r="E776" t="str">
            <v>NP-53.9 - Small Value Procurement</v>
          </cell>
          <cell r="F776" t="str">
            <v>N/A</v>
          </cell>
          <cell r="G776">
            <v>45422</v>
          </cell>
          <cell r="H776">
            <v>0</v>
          </cell>
          <cell r="I776" t="str">
            <v>N/A</v>
          </cell>
          <cell r="J776">
            <v>45440</v>
          </cell>
          <cell r="K776">
            <v>45440</v>
          </cell>
          <cell r="L776">
            <v>0</v>
          </cell>
          <cell r="M776" t="str">
            <v>N/A</v>
          </cell>
          <cell r="N776" t="str">
            <v>N/A</v>
          </cell>
          <cell r="O776">
            <v>45441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45469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25010</v>
          </cell>
          <cell r="AB776">
            <v>25010</v>
          </cell>
          <cell r="AC776">
            <v>0</v>
          </cell>
          <cell r="AD776">
            <v>24400</v>
          </cell>
          <cell r="AE776">
            <v>24400</v>
          </cell>
          <cell r="AF776">
            <v>0</v>
          </cell>
          <cell r="AG776" t="str">
            <v>M</v>
          </cell>
          <cell r="AH776" t="str">
            <v>ENGR. MICHAEL C. SALARDA
MS. LEONARDA M. LATOR
MS. CARMENCITA VALDEZ
MS. SORAYA P. VERGARA</v>
          </cell>
          <cell r="AI776" t="str">
            <v>N/A</v>
          </cell>
          <cell r="AJ776" t="str">
            <v>N/A</v>
          </cell>
          <cell r="AK776" t="str">
            <v>N/A</v>
          </cell>
          <cell r="AL776" t="str">
            <v>N/A</v>
          </cell>
          <cell r="AM776" t="str">
            <v>N/A</v>
          </cell>
          <cell r="AN776" t="str">
            <v>N/A</v>
          </cell>
          <cell r="AO776">
            <v>0</v>
          </cell>
        </row>
        <row r="777">
          <cell r="A777" t="str">
            <v>24-2494</v>
          </cell>
          <cell r="B777" t="str">
            <v>TARPAULIN</v>
          </cell>
          <cell r="C777" t="str">
            <v>SEF</v>
          </cell>
          <cell r="D777" t="str">
            <v>No</v>
          </cell>
          <cell r="E777" t="str">
            <v>NP-53.9 - Small Value Procurement</v>
          </cell>
          <cell r="F777">
            <v>45426</v>
          </cell>
          <cell r="G777">
            <v>45429</v>
          </cell>
          <cell r="H777">
            <v>0</v>
          </cell>
          <cell r="I777" t="str">
            <v>N/A</v>
          </cell>
          <cell r="J777">
            <v>45440</v>
          </cell>
          <cell r="K777">
            <v>45440</v>
          </cell>
          <cell r="L777">
            <v>0</v>
          </cell>
          <cell r="M777" t="str">
            <v>N/A</v>
          </cell>
          <cell r="N777" t="str">
            <v>N/A</v>
          </cell>
          <cell r="O777">
            <v>45441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45453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1792</v>
          </cell>
          <cell r="AB777">
            <v>0</v>
          </cell>
          <cell r="AC777">
            <v>1792</v>
          </cell>
          <cell r="AD777">
            <v>1792</v>
          </cell>
          <cell r="AE777">
            <v>0</v>
          </cell>
          <cell r="AF777">
            <v>1792</v>
          </cell>
          <cell r="AG777" t="str">
            <v>C</v>
          </cell>
          <cell r="AH777" t="str">
            <v>ENGR. MICHAEL C. SALARDA
MS. LEONARDA M. LATOR
MS. CARMENCITA VALDEZ
MS. SORAYA P. VERGARA</v>
          </cell>
          <cell r="AI777" t="str">
            <v>N/A</v>
          </cell>
          <cell r="AJ777" t="str">
            <v>N/A</v>
          </cell>
          <cell r="AK777" t="str">
            <v>N/A</v>
          </cell>
          <cell r="AL777" t="str">
            <v>N/A</v>
          </cell>
          <cell r="AM777" t="str">
            <v>N/A</v>
          </cell>
          <cell r="AN777" t="str">
            <v>N/A</v>
          </cell>
          <cell r="AO777">
            <v>0</v>
          </cell>
        </row>
        <row r="778">
          <cell r="A778" t="str">
            <v>24-C1144</v>
          </cell>
          <cell r="B778" t="str">
            <v>CONSTRUCTION SUPPLIES</v>
          </cell>
          <cell r="C778" t="str">
            <v>PVO</v>
          </cell>
          <cell r="D778" t="str">
            <v>No</v>
          </cell>
          <cell r="E778" t="str">
            <v>NP-53.9 - Small Value Procurement</v>
          </cell>
          <cell r="F778">
            <v>45407</v>
          </cell>
          <cell r="G778">
            <v>45429</v>
          </cell>
          <cell r="H778">
            <v>0</v>
          </cell>
          <cell r="I778" t="str">
            <v>N/A</v>
          </cell>
          <cell r="J778">
            <v>45440</v>
          </cell>
          <cell r="K778">
            <v>45440</v>
          </cell>
          <cell r="L778">
            <v>0</v>
          </cell>
          <cell r="M778" t="str">
            <v>N/A</v>
          </cell>
          <cell r="N778" t="str">
            <v>N/A</v>
          </cell>
          <cell r="O778">
            <v>45441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45461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243840.7</v>
          </cell>
          <cell r="AB778">
            <v>0</v>
          </cell>
          <cell r="AC778">
            <v>243840.7</v>
          </cell>
          <cell r="AD778">
            <v>242725.22</v>
          </cell>
          <cell r="AE778">
            <v>0</v>
          </cell>
          <cell r="AF778">
            <v>242725.22</v>
          </cell>
          <cell r="AG778" t="str">
            <v>C</v>
          </cell>
          <cell r="AH778" t="str">
            <v>ENGR. MICHAEL C. SALARDA
MS. LEONARDA M. LATOR
MS. CARMENCITA VALDEZ
MS. SORAYA P. VERGARA</v>
          </cell>
          <cell r="AI778" t="str">
            <v>N/A</v>
          </cell>
          <cell r="AJ778" t="str">
            <v>N/A</v>
          </cell>
          <cell r="AK778" t="str">
            <v>N/A</v>
          </cell>
          <cell r="AL778" t="str">
            <v>N/A</v>
          </cell>
          <cell r="AM778" t="str">
            <v>N/A</v>
          </cell>
          <cell r="AN778" t="str">
            <v>N/A</v>
          </cell>
          <cell r="AO778">
            <v>0</v>
          </cell>
        </row>
        <row r="779">
          <cell r="A779" t="str">
            <v>24-1428</v>
          </cell>
          <cell r="B779" t="str">
            <v>T-SHIRT JERSEY</v>
          </cell>
          <cell r="C779" t="str">
            <v>PAO-ADMIN</v>
          </cell>
          <cell r="D779" t="str">
            <v>No</v>
          </cell>
          <cell r="E779" t="str">
            <v>NP-53.9 - Small Value Procurement</v>
          </cell>
          <cell r="F779">
            <v>45370</v>
          </cell>
          <cell r="G779">
            <v>45376</v>
          </cell>
          <cell r="H779">
            <v>0</v>
          </cell>
          <cell r="I779" t="str">
            <v>N/A</v>
          </cell>
          <cell r="J779">
            <v>45440</v>
          </cell>
          <cell r="K779">
            <v>45440</v>
          </cell>
          <cell r="L779">
            <v>0</v>
          </cell>
          <cell r="M779" t="str">
            <v>N/A</v>
          </cell>
          <cell r="N779" t="str">
            <v>N/A</v>
          </cell>
          <cell r="O779">
            <v>45441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45453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21700</v>
          </cell>
          <cell r="AB779">
            <v>0</v>
          </cell>
          <cell r="AC779">
            <v>21700</v>
          </cell>
          <cell r="AD779">
            <v>21700</v>
          </cell>
          <cell r="AE779">
            <v>0</v>
          </cell>
          <cell r="AF779">
            <v>21700</v>
          </cell>
          <cell r="AG779" t="str">
            <v>C</v>
          </cell>
          <cell r="AH779" t="str">
            <v>ENGR. MICHAEL C. SALARDA
MS. LEONARDA M. LATOR
MS. CARMENCITA VALDEZ
MS. SORAYA P. VERGARA</v>
          </cell>
          <cell r="AI779" t="str">
            <v>N/A</v>
          </cell>
          <cell r="AJ779" t="str">
            <v>N/A</v>
          </cell>
          <cell r="AK779" t="str">
            <v>N/A</v>
          </cell>
          <cell r="AL779" t="str">
            <v>N/A</v>
          </cell>
          <cell r="AM779" t="str">
            <v>N/A</v>
          </cell>
          <cell r="AN779" t="str">
            <v>N/A</v>
          </cell>
          <cell r="AO779">
            <v>0</v>
          </cell>
        </row>
        <row r="780">
          <cell r="A780" t="str">
            <v>24-2535</v>
          </cell>
          <cell r="B780" t="str">
            <v>SPAREPARTS (LIGHT
VEHICLES)</v>
          </cell>
          <cell r="C780" t="str">
            <v>PGSO</v>
          </cell>
          <cell r="D780" t="str">
            <v>No</v>
          </cell>
          <cell r="E780" t="str">
            <v>NP-53.9 - Small Value Procurement</v>
          </cell>
          <cell r="F780">
            <v>45421</v>
          </cell>
          <cell r="G780">
            <v>45425</v>
          </cell>
          <cell r="H780">
            <v>0</v>
          </cell>
          <cell r="I780" t="str">
            <v>N/A</v>
          </cell>
          <cell r="J780">
            <v>45440</v>
          </cell>
          <cell r="K780">
            <v>45440</v>
          </cell>
          <cell r="L780">
            <v>0</v>
          </cell>
          <cell r="M780" t="str">
            <v>N/A</v>
          </cell>
          <cell r="N780" t="str">
            <v>N/A</v>
          </cell>
          <cell r="O780">
            <v>45441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45454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28000</v>
          </cell>
          <cell r="AB780">
            <v>28000</v>
          </cell>
          <cell r="AC780">
            <v>0</v>
          </cell>
          <cell r="AD780">
            <v>27580</v>
          </cell>
          <cell r="AE780">
            <v>27580</v>
          </cell>
          <cell r="AF780">
            <v>0</v>
          </cell>
          <cell r="AG780" t="str">
            <v>M</v>
          </cell>
          <cell r="AH780" t="str">
            <v>ENGR. MICHAEL C. SALARDA
MS. LEONARDA M. LATOR
MS. CARMENCITA VALDEZ
MS. SORAYA P. VERGARA</v>
          </cell>
          <cell r="AI780" t="str">
            <v>N/A</v>
          </cell>
          <cell r="AJ780" t="str">
            <v>N/A</v>
          </cell>
          <cell r="AK780" t="str">
            <v>N/A</v>
          </cell>
          <cell r="AL780" t="str">
            <v>N/A</v>
          </cell>
          <cell r="AM780" t="str">
            <v>N/A</v>
          </cell>
          <cell r="AN780" t="str">
            <v>N/A</v>
          </cell>
          <cell r="AO780">
            <v>0</v>
          </cell>
        </row>
        <row r="781">
          <cell r="A781" t="str">
            <v>24-1329</v>
          </cell>
          <cell r="B781" t="str">
            <v>ELECTRICAL SUPPLIES</v>
          </cell>
          <cell r="C781" t="str">
            <v>PGSO</v>
          </cell>
          <cell r="D781" t="str">
            <v>No</v>
          </cell>
          <cell r="E781" t="str">
            <v>NP-53.9 - Small Value Procurement</v>
          </cell>
          <cell r="F781" t="str">
            <v>N/A</v>
          </cell>
          <cell r="G781">
            <v>45376</v>
          </cell>
          <cell r="H781">
            <v>0</v>
          </cell>
          <cell r="I781" t="str">
            <v>N/A</v>
          </cell>
          <cell r="J781">
            <v>45440</v>
          </cell>
          <cell r="K781">
            <v>45440</v>
          </cell>
          <cell r="L781">
            <v>0</v>
          </cell>
          <cell r="M781" t="str">
            <v>N/A</v>
          </cell>
          <cell r="N781" t="str">
            <v>N/A</v>
          </cell>
          <cell r="O781">
            <v>45441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45454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160104</v>
          </cell>
          <cell r="AB781">
            <v>160104</v>
          </cell>
          <cell r="AC781">
            <v>0</v>
          </cell>
          <cell r="AD781">
            <v>155750</v>
          </cell>
          <cell r="AE781">
            <v>155750</v>
          </cell>
          <cell r="AF781">
            <v>0</v>
          </cell>
          <cell r="AG781" t="str">
            <v>M</v>
          </cell>
          <cell r="AH781" t="str">
            <v>ENGR. MICHAEL C. SALARDA
MS. LEONARDA M. LATOR
MS. CARMENCITA VALDEZ
MS. SORAYA P. VERGARA</v>
          </cell>
          <cell r="AI781" t="str">
            <v>N/A</v>
          </cell>
          <cell r="AJ781" t="str">
            <v>N/A</v>
          </cell>
          <cell r="AK781" t="str">
            <v>N/A</v>
          </cell>
          <cell r="AL781" t="str">
            <v>N/A</v>
          </cell>
          <cell r="AM781" t="str">
            <v>N/A</v>
          </cell>
          <cell r="AN781" t="str">
            <v>N/A</v>
          </cell>
          <cell r="AO781">
            <v>0</v>
          </cell>
        </row>
        <row r="782">
          <cell r="A782" t="str">
            <v>24-2540</v>
          </cell>
          <cell r="B782" t="str">
            <v>SPAREPARTS (MOTOR
CYCLE)</v>
          </cell>
          <cell r="C782" t="str">
            <v>PGSO</v>
          </cell>
          <cell r="D782" t="str">
            <v>No</v>
          </cell>
          <cell r="E782" t="str">
            <v>NP-53.9 - Small Value Procurement</v>
          </cell>
          <cell r="F782">
            <v>45421</v>
          </cell>
          <cell r="G782">
            <v>45425</v>
          </cell>
          <cell r="H782">
            <v>0</v>
          </cell>
          <cell r="I782" t="str">
            <v>N/A</v>
          </cell>
          <cell r="J782">
            <v>45440</v>
          </cell>
          <cell r="K782">
            <v>45440</v>
          </cell>
          <cell r="L782">
            <v>0</v>
          </cell>
          <cell r="M782" t="str">
            <v>N/A</v>
          </cell>
          <cell r="N782" t="str">
            <v>N/A</v>
          </cell>
          <cell r="O782">
            <v>45441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45456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1560</v>
          </cell>
          <cell r="AB782">
            <v>1560</v>
          </cell>
          <cell r="AC782">
            <v>0</v>
          </cell>
          <cell r="AD782">
            <v>1500</v>
          </cell>
          <cell r="AE782">
            <v>1500</v>
          </cell>
          <cell r="AF782">
            <v>0</v>
          </cell>
          <cell r="AG782" t="str">
            <v>M</v>
          </cell>
          <cell r="AH782" t="str">
            <v>ENGR. MICHAEL C. SALARDA
MS. LEONARDA M. LATOR
MS. CARMENCITA VALDEZ
MS. SORAYA P. VERGARA</v>
          </cell>
          <cell r="AI782" t="str">
            <v>N/A</v>
          </cell>
          <cell r="AJ782" t="str">
            <v>N/A</v>
          </cell>
          <cell r="AK782" t="str">
            <v>N/A</v>
          </cell>
          <cell r="AL782" t="str">
            <v>N/A</v>
          </cell>
          <cell r="AM782" t="str">
            <v>N/A</v>
          </cell>
          <cell r="AN782" t="str">
            <v>N/A</v>
          </cell>
          <cell r="AO782">
            <v>0</v>
          </cell>
        </row>
        <row r="783">
          <cell r="A783" t="str">
            <v>24-2532</v>
          </cell>
          <cell r="B783" t="str">
            <v>SPAREPARTS (MOTOR
CYCLE)</v>
          </cell>
          <cell r="C783" t="str">
            <v>PGSO</v>
          </cell>
          <cell r="D783" t="str">
            <v>No</v>
          </cell>
          <cell r="E783" t="str">
            <v>NP-53.9 - Small Value Procurement</v>
          </cell>
          <cell r="F783">
            <v>45421</v>
          </cell>
          <cell r="G783">
            <v>45425</v>
          </cell>
          <cell r="H783">
            <v>0</v>
          </cell>
          <cell r="I783" t="str">
            <v>N/A</v>
          </cell>
          <cell r="J783">
            <v>45440</v>
          </cell>
          <cell r="K783">
            <v>45440</v>
          </cell>
          <cell r="L783">
            <v>0</v>
          </cell>
          <cell r="M783" t="str">
            <v>N/A</v>
          </cell>
          <cell r="N783" t="str">
            <v>N/A</v>
          </cell>
          <cell r="O783">
            <v>45441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45456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3740</v>
          </cell>
          <cell r="AB783">
            <v>3740</v>
          </cell>
          <cell r="AC783">
            <v>0</v>
          </cell>
          <cell r="AD783">
            <v>3696</v>
          </cell>
          <cell r="AE783">
            <v>3696</v>
          </cell>
          <cell r="AF783">
            <v>0</v>
          </cell>
          <cell r="AG783" t="str">
            <v>M</v>
          </cell>
          <cell r="AH783" t="str">
            <v>ENGR. MICHAEL C. SALARDA
MS. LEONARDA M. LATOR
MS. CARMENCITA VALDEZ
MS. SORAYA P. VERGARA</v>
          </cell>
          <cell r="AI783" t="str">
            <v>N/A</v>
          </cell>
          <cell r="AJ783" t="str">
            <v>N/A</v>
          </cell>
          <cell r="AK783" t="str">
            <v>N/A</v>
          </cell>
          <cell r="AL783" t="str">
            <v>N/A</v>
          </cell>
          <cell r="AM783" t="str">
            <v>N/A</v>
          </cell>
          <cell r="AN783" t="str">
            <v>N/A</v>
          </cell>
          <cell r="AO783">
            <v>0</v>
          </cell>
        </row>
        <row r="784">
          <cell r="A784" t="str">
            <v>24-2428</v>
          </cell>
          <cell r="B784" t="str">
            <v>SPAREPARTS (MOTOR
CYCLE)</v>
          </cell>
          <cell r="C784" t="str">
            <v>PGSO</v>
          </cell>
          <cell r="D784" t="str">
            <v>No</v>
          </cell>
          <cell r="E784" t="str">
            <v>NP-53.9 - Small Value Procurement</v>
          </cell>
          <cell r="F784">
            <v>45421</v>
          </cell>
          <cell r="G784">
            <v>45425</v>
          </cell>
          <cell r="H784">
            <v>0</v>
          </cell>
          <cell r="I784" t="str">
            <v>N/A</v>
          </cell>
          <cell r="J784">
            <v>45440</v>
          </cell>
          <cell r="K784">
            <v>45440</v>
          </cell>
          <cell r="L784">
            <v>0</v>
          </cell>
          <cell r="M784" t="str">
            <v>N/A</v>
          </cell>
          <cell r="N784" t="str">
            <v>N/A</v>
          </cell>
          <cell r="O784">
            <v>45441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45454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6925</v>
          </cell>
          <cell r="AB784">
            <v>6925</v>
          </cell>
          <cell r="AC784">
            <v>0</v>
          </cell>
          <cell r="AD784">
            <v>6860</v>
          </cell>
          <cell r="AE784">
            <v>6860</v>
          </cell>
          <cell r="AF784">
            <v>0</v>
          </cell>
          <cell r="AG784" t="str">
            <v>M</v>
          </cell>
          <cell r="AH784" t="str">
            <v>ENGR. MICHAEL C. SALARDA
MS. LEONARDA M. LATOR
MS. CARMENCITA VALDEZ
MS. SORAYA P. VERGARA</v>
          </cell>
          <cell r="AI784" t="str">
            <v>N/A</v>
          </cell>
          <cell r="AJ784" t="str">
            <v>N/A</v>
          </cell>
          <cell r="AK784" t="str">
            <v>N/A</v>
          </cell>
          <cell r="AL784" t="str">
            <v>N/A</v>
          </cell>
          <cell r="AM784" t="str">
            <v>N/A</v>
          </cell>
          <cell r="AN784" t="str">
            <v>N/A</v>
          </cell>
          <cell r="AO784">
            <v>0</v>
          </cell>
        </row>
        <row r="785">
          <cell r="A785" t="str">
            <v>24-2551</v>
          </cell>
          <cell r="B785" t="str">
            <v>SPAREPARTS (MOTOR
CYCLE)</v>
          </cell>
          <cell r="C785" t="str">
            <v>PGSO</v>
          </cell>
          <cell r="D785" t="str">
            <v>No</v>
          </cell>
          <cell r="E785" t="str">
            <v>NP-53.9 - Small Value Procurement</v>
          </cell>
          <cell r="F785">
            <v>45421</v>
          </cell>
          <cell r="G785">
            <v>45425</v>
          </cell>
          <cell r="H785">
            <v>0</v>
          </cell>
          <cell r="I785" t="str">
            <v>N/A</v>
          </cell>
          <cell r="J785">
            <v>45440</v>
          </cell>
          <cell r="K785">
            <v>45440</v>
          </cell>
          <cell r="L785">
            <v>0</v>
          </cell>
          <cell r="M785" t="str">
            <v>N/A</v>
          </cell>
          <cell r="N785" t="str">
            <v>N/A</v>
          </cell>
          <cell r="O785">
            <v>45441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45456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9140</v>
          </cell>
          <cell r="AB785">
            <v>9140</v>
          </cell>
          <cell r="AC785">
            <v>0</v>
          </cell>
          <cell r="AD785">
            <v>9115</v>
          </cell>
          <cell r="AE785">
            <v>9115</v>
          </cell>
          <cell r="AF785">
            <v>0</v>
          </cell>
          <cell r="AG785" t="str">
            <v>M</v>
          </cell>
          <cell r="AH785" t="str">
            <v>ENGR. MICHAEL C. SALARDA
MS. LEONARDA M. LATOR
MS. CARMENCITA VALDEZ
MS. SORAYA P. VERGARA</v>
          </cell>
          <cell r="AI785" t="str">
            <v>N/A</v>
          </cell>
          <cell r="AJ785" t="str">
            <v>N/A</v>
          </cell>
          <cell r="AK785" t="str">
            <v>N/A</v>
          </cell>
          <cell r="AL785" t="str">
            <v>N/A</v>
          </cell>
          <cell r="AM785" t="str">
            <v>N/A</v>
          </cell>
          <cell r="AN785" t="str">
            <v>N/A</v>
          </cell>
          <cell r="AO785">
            <v>0</v>
          </cell>
        </row>
        <row r="786">
          <cell r="A786" t="str">
            <v>24-2539</v>
          </cell>
          <cell r="B786" t="str">
            <v>SPAREPARTS (MOTOR
CYCLE)</v>
          </cell>
          <cell r="C786" t="str">
            <v>PGSO</v>
          </cell>
          <cell r="D786" t="str">
            <v>No</v>
          </cell>
          <cell r="E786" t="str">
            <v>NP-53.9 - Small Value Procurement</v>
          </cell>
          <cell r="F786">
            <v>45421</v>
          </cell>
          <cell r="G786">
            <v>45425</v>
          </cell>
          <cell r="H786">
            <v>0</v>
          </cell>
          <cell r="I786" t="str">
            <v>N/A</v>
          </cell>
          <cell r="J786">
            <v>45440</v>
          </cell>
          <cell r="K786">
            <v>45440</v>
          </cell>
          <cell r="L786">
            <v>0</v>
          </cell>
          <cell r="M786" t="str">
            <v>N/A</v>
          </cell>
          <cell r="N786" t="str">
            <v>N/A</v>
          </cell>
          <cell r="O786">
            <v>45441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45454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3750</v>
          </cell>
          <cell r="AB786">
            <v>3750</v>
          </cell>
          <cell r="AC786">
            <v>0</v>
          </cell>
          <cell r="AD786">
            <v>3704</v>
          </cell>
          <cell r="AE786">
            <v>3704</v>
          </cell>
          <cell r="AF786">
            <v>0</v>
          </cell>
          <cell r="AG786" t="str">
            <v>M</v>
          </cell>
          <cell r="AH786" t="str">
            <v>ENGR. MICHAEL C. SALARDA
MS. LEONARDA M. LATOR
MS. CARMENCITA VALDEZ
MS. SORAYA P. VERGARA</v>
          </cell>
          <cell r="AI786" t="str">
            <v>N/A</v>
          </cell>
          <cell r="AJ786" t="str">
            <v>N/A</v>
          </cell>
          <cell r="AK786" t="str">
            <v>N/A</v>
          </cell>
          <cell r="AL786" t="str">
            <v>N/A</v>
          </cell>
          <cell r="AM786" t="str">
            <v>N/A</v>
          </cell>
          <cell r="AN786" t="str">
            <v>N/A</v>
          </cell>
          <cell r="AO786">
            <v>0</v>
          </cell>
        </row>
        <row r="787">
          <cell r="A787" t="str">
            <v>24-2414</v>
          </cell>
          <cell r="B787" t="str">
            <v>SPAREPARTS (MOTOR
CYCLE)</v>
          </cell>
          <cell r="C787" t="str">
            <v>PGSO</v>
          </cell>
          <cell r="D787" t="str">
            <v>No</v>
          </cell>
          <cell r="E787" t="str">
            <v>NP-53.9 - Small Value Procurement</v>
          </cell>
          <cell r="F787">
            <v>45421</v>
          </cell>
          <cell r="G787">
            <v>45425</v>
          </cell>
          <cell r="H787">
            <v>0</v>
          </cell>
          <cell r="I787" t="str">
            <v>N/A</v>
          </cell>
          <cell r="J787">
            <v>45440</v>
          </cell>
          <cell r="K787">
            <v>45440</v>
          </cell>
          <cell r="L787">
            <v>0</v>
          </cell>
          <cell r="M787" t="str">
            <v>N/A</v>
          </cell>
          <cell r="N787" t="str">
            <v>N/A</v>
          </cell>
          <cell r="O787">
            <v>45441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45453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6080</v>
          </cell>
          <cell r="AB787">
            <v>6080</v>
          </cell>
          <cell r="AC787">
            <v>0</v>
          </cell>
          <cell r="AD787">
            <v>6020</v>
          </cell>
          <cell r="AE787">
            <v>6020</v>
          </cell>
          <cell r="AF787">
            <v>0</v>
          </cell>
          <cell r="AG787" t="str">
            <v>M</v>
          </cell>
          <cell r="AH787" t="str">
            <v>ENGR. MICHAEL C. SALARDA
MS. LEONARDA M. LATOR
MS. CARMENCITA VALDEZ
MS. SORAYA P. VERGARA</v>
          </cell>
          <cell r="AI787" t="str">
            <v>N/A</v>
          </cell>
          <cell r="AJ787" t="str">
            <v>N/A</v>
          </cell>
          <cell r="AK787" t="str">
            <v>N/A</v>
          </cell>
          <cell r="AL787" t="str">
            <v>N/A</v>
          </cell>
          <cell r="AM787" t="str">
            <v>N/A</v>
          </cell>
          <cell r="AN787" t="str">
            <v>N/A</v>
          </cell>
          <cell r="AO787">
            <v>0</v>
          </cell>
        </row>
        <row r="788">
          <cell r="A788" t="str">
            <v>24-2425</v>
          </cell>
          <cell r="B788" t="str">
            <v>SPAREPARTS (MOTOR
CYCLE)</v>
          </cell>
          <cell r="C788" t="str">
            <v>PGSO</v>
          </cell>
          <cell r="D788" t="str">
            <v>No</v>
          </cell>
          <cell r="E788" t="str">
            <v>NP-53.9 - Small Value Procurement</v>
          </cell>
          <cell r="F788" t="str">
            <v>N/A</v>
          </cell>
          <cell r="G788">
            <v>45425</v>
          </cell>
          <cell r="H788">
            <v>0</v>
          </cell>
          <cell r="I788" t="str">
            <v>N/A</v>
          </cell>
          <cell r="J788">
            <v>45440</v>
          </cell>
          <cell r="K788">
            <v>45440</v>
          </cell>
          <cell r="L788">
            <v>0</v>
          </cell>
          <cell r="M788" t="str">
            <v>N/A</v>
          </cell>
          <cell r="N788" t="str">
            <v>N/A</v>
          </cell>
          <cell r="O788">
            <v>45441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45454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9200</v>
          </cell>
          <cell r="AB788">
            <v>9200</v>
          </cell>
          <cell r="AC788">
            <v>0</v>
          </cell>
          <cell r="AD788">
            <v>9070</v>
          </cell>
          <cell r="AE788">
            <v>9070</v>
          </cell>
          <cell r="AF788">
            <v>0</v>
          </cell>
          <cell r="AG788" t="str">
            <v>M</v>
          </cell>
          <cell r="AH788" t="str">
            <v>ENGR. MICHAEL C. SALARDA
MS. LEONARDA M. LATOR
MS. CARMENCITA VALDEZ
MS. SORAYA P. VERGARA</v>
          </cell>
          <cell r="AI788" t="str">
            <v>N/A</v>
          </cell>
          <cell r="AJ788" t="str">
            <v>N/A</v>
          </cell>
          <cell r="AK788" t="str">
            <v>N/A</v>
          </cell>
          <cell r="AL788" t="str">
            <v>N/A</v>
          </cell>
          <cell r="AM788" t="str">
            <v>N/A</v>
          </cell>
          <cell r="AN788" t="str">
            <v>N/A</v>
          </cell>
          <cell r="AO788">
            <v>0</v>
          </cell>
        </row>
        <row r="789">
          <cell r="A789" t="str">
            <v>24-2423</v>
          </cell>
          <cell r="B789" t="str">
            <v>SPAREPARTS (MOTOR
CYCLE)</v>
          </cell>
          <cell r="C789" t="str">
            <v>PGSO</v>
          </cell>
          <cell r="D789" t="str">
            <v>No</v>
          </cell>
          <cell r="E789" t="str">
            <v>NP-53.9 - Small Value Procurement</v>
          </cell>
          <cell r="F789">
            <v>45421</v>
          </cell>
          <cell r="G789">
            <v>45425</v>
          </cell>
          <cell r="H789">
            <v>0</v>
          </cell>
          <cell r="I789" t="str">
            <v>N/A</v>
          </cell>
          <cell r="J789">
            <v>45440</v>
          </cell>
          <cell r="K789">
            <v>45440</v>
          </cell>
          <cell r="L789">
            <v>0</v>
          </cell>
          <cell r="M789" t="str">
            <v>N/A</v>
          </cell>
          <cell r="N789" t="str">
            <v>N/A</v>
          </cell>
          <cell r="O789">
            <v>45441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45456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9200</v>
          </cell>
          <cell r="AB789">
            <v>9200</v>
          </cell>
          <cell r="AC789">
            <v>0</v>
          </cell>
          <cell r="AD789">
            <v>9070</v>
          </cell>
          <cell r="AE789">
            <v>9070</v>
          </cell>
          <cell r="AF789">
            <v>0</v>
          </cell>
          <cell r="AG789" t="str">
            <v>M</v>
          </cell>
          <cell r="AH789" t="str">
            <v>ENGR. MICHAEL C. SALARDA
MS. LEONARDA M. LATOR
MS. CARMENCITA VALDEZ
MS. SORAYA P. VERGARA</v>
          </cell>
          <cell r="AI789" t="str">
            <v>N/A</v>
          </cell>
          <cell r="AJ789" t="str">
            <v>N/A</v>
          </cell>
          <cell r="AK789" t="str">
            <v>N/A</v>
          </cell>
          <cell r="AL789" t="str">
            <v>N/A</v>
          </cell>
          <cell r="AM789" t="str">
            <v>N/A</v>
          </cell>
          <cell r="AN789" t="str">
            <v>N/A</v>
          </cell>
          <cell r="AO789">
            <v>0</v>
          </cell>
        </row>
        <row r="790">
          <cell r="A790" t="str">
            <v>24-2543</v>
          </cell>
          <cell r="B790" t="str">
            <v>SPAREPARTS (MOTOR
CYCLE)</v>
          </cell>
          <cell r="C790" t="str">
            <v>PGSO</v>
          </cell>
          <cell r="D790" t="str">
            <v>No</v>
          </cell>
          <cell r="E790" t="str">
            <v>NP-53.9 - Small Value Procurement</v>
          </cell>
          <cell r="F790">
            <v>45421</v>
          </cell>
          <cell r="G790">
            <v>45425</v>
          </cell>
          <cell r="H790">
            <v>0</v>
          </cell>
          <cell r="I790" t="str">
            <v>N/A</v>
          </cell>
          <cell r="J790">
            <v>45440</v>
          </cell>
          <cell r="K790">
            <v>45440</v>
          </cell>
          <cell r="L790">
            <v>0</v>
          </cell>
          <cell r="M790" t="str">
            <v>N/A</v>
          </cell>
          <cell r="N790" t="str">
            <v>N/A</v>
          </cell>
          <cell r="O790">
            <v>45441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45454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3850</v>
          </cell>
          <cell r="AB790">
            <v>3850</v>
          </cell>
          <cell r="AC790">
            <v>0</v>
          </cell>
          <cell r="AD790">
            <v>3810</v>
          </cell>
          <cell r="AE790">
            <v>3810</v>
          </cell>
          <cell r="AF790">
            <v>0</v>
          </cell>
          <cell r="AG790" t="str">
            <v>M</v>
          </cell>
          <cell r="AH790" t="str">
            <v>ENGR. MICHAEL C. SALARDA
MS. LEONARDA M. LATOR
MS. CARMENCITA VALDEZ
MS. SORAYA P. VERGARA</v>
          </cell>
          <cell r="AI790" t="str">
            <v>N/A</v>
          </cell>
          <cell r="AJ790" t="str">
            <v>N/A</v>
          </cell>
          <cell r="AK790" t="str">
            <v>N/A</v>
          </cell>
          <cell r="AL790" t="str">
            <v>N/A</v>
          </cell>
          <cell r="AM790" t="str">
            <v>N/A</v>
          </cell>
          <cell r="AN790" t="str">
            <v>N/A</v>
          </cell>
          <cell r="AO790">
            <v>0</v>
          </cell>
        </row>
        <row r="791">
          <cell r="A791" t="str">
            <v>24-2426</v>
          </cell>
          <cell r="B791" t="str">
            <v>SPAREPARTS (MOTOR
CYCLE)</v>
          </cell>
          <cell r="C791" t="str">
            <v>PGSO</v>
          </cell>
          <cell r="D791" t="str">
            <v>No</v>
          </cell>
          <cell r="E791" t="str">
            <v>NP-53.9 - Small Value Procurement</v>
          </cell>
          <cell r="F791">
            <v>45421</v>
          </cell>
          <cell r="G791">
            <v>45425</v>
          </cell>
          <cell r="H791">
            <v>0</v>
          </cell>
          <cell r="I791" t="str">
            <v>N/A</v>
          </cell>
          <cell r="J791">
            <v>45440</v>
          </cell>
          <cell r="K791">
            <v>45440</v>
          </cell>
          <cell r="L791">
            <v>0</v>
          </cell>
          <cell r="M791" t="str">
            <v>N/A</v>
          </cell>
          <cell r="N791" t="str">
            <v>N/A</v>
          </cell>
          <cell r="O791">
            <v>45441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45454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18273</v>
          </cell>
          <cell r="AB791">
            <v>18273</v>
          </cell>
          <cell r="AC791">
            <v>0</v>
          </cell>
          <cell r="AD791">
            <v>17920</v>
          </cell>
          <cell r="AE791">
            <v>17920</v>
          </cell>
          <cell r="AF791">
            <v>0</v>
          </cell>
          <cell r="AG791" t="str">
            <v>M</v>
          </cell>
          <cell r="AH791" t="str">
            <v>ENGR. MICHAEL C. SALARDA
MS. LEONARDA M. LATOR
MS. CARMENCITA VALDEZ
MS. SORAYA P. VERGARA</v>
          </cell>
          <cell r="AI791" t="str">
            <v>N/A</v>
          </cell>
          <cell r="AJ791" t="str">
            <v>N/A</v>
          </cell>
          <cell r="AK791" t="str">
            <v>N/A</v>
          </cell>
          <cell r="AL791" t="str">
            <v>N/A</v>
          </cell>
          <cell r="AM791" t="str">
            <v>N/A</v>
          </cell>
          <cell r="AN791" t="str">
            <v>N/A</v>
          </cell>
          <cell r="AO791">
            <v>0</v>
          </cell>
        </row>
        <row r="792">
          <cell r="A792" t="str">
            <v>24-C1013</v>
          </cell>
          <cell r="B792" t="str">
            <v>CONSTRUCTION SUPPLIES</v>
          </cell>
          <cell r="C792" t="str">
            <v>PEEMO</v>
          </cell>
          <cell r="D792" t="str">
            <v>No</v>
          </cell>
          <cell r="E792" t="str">
            <v>NP-53.9 - Small Value Procurement</v>
          </cell>
          <cell r="F792" t="str">
            <v>N/A</v>
          </cell>
          <cell r="G792">
            <v>45412</v>
          </cell>
          <cell r="H792">
            <v>0</v>
          </cell>
          <cell r="I792" t="str">
            <v>N/A</v>
          </cell>
          <cell r="J792">
            <v>45440</v>
          </cell>
          <cell r="K792">
            <v>45440</v>
          </cell>
          <cell r="L792">
            <v>0</v>
          </cell>
          <cell r="M792" t="str">
            <v>N/A</v>
          </cell>
          <cell r="N792" t="str">
            <v>N/A</v>
          </cell>
          <cell r="O792">
            <v>45441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45456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43752</v>
          </cell>
          <cell r="AB792">
            <v>43752</v>
          </cell>
          <cell r="AC792">
            <v>0</v>
          </cell>
          <cell r="AD792">
            <v>43385</v>
          </cell>
          <cell r="AE792">
            <v>43385</v>
          </cell>
          <cell r="AF792">
            <v>0</v>
          </cell>
          <cell r="AG792" t="str">
            <v>M</v>
          </cell>
          <cell r="AH792" t="str">
            <v>ENGR. MICHAEL C. SALARDA
MS. LEONARDA M. LATOR
MS. CARMENCITA VALDEZ
MS. SORAYA P. VERGARA</v>
          </cell>
          <cell r="AI792" t="str">
            <v>N/A</v>
          </cell>
          <cell r="AJ792" t="str">
            <v>N/A</v>
          </cell>
          <cell r="AK792" t="str">
            <v>N/A</v>
          </cell>
          <cell r="AL792" t="str">
            <v>N/A</v>
          </cell>
          <cell r="AM792" t="str">
            <v>N/A</v>
          </cell>
          <cell r="AN792" t="str">
            <v>N/A</v>
          </cell>
          <cell r="AO792">
            <v>0</v>
          </cell>
        </row>
        <row r="793">
          <cell r="A793" t="str">
            <v>24-2583</v>
          </cell>
          <cell r="B793" t="str">
            <v>CONSTRUCTION MATERIALS</v>
          </cell>
          <cell r="C793" t="str">
            <v>PEO</v>
          </cell>
          <cell r="D793" t="str">
            <v>No</v>
          </cell>
          <cell r="E793" t="str">
            <v>NP-53.9 - Small Value Procurement</v>
          </cell>
          <cell r="F793">
            <v>45421</v>
          </cell>
          <cell r="G793">
            <v>45425</v>
          </cell>
          <cell r="H793">
            <v>0</v>
          </cell>
          <cell r="I793" t="str">
            <v>N/A</v>
          </cell>
          <cell r="J793">
            <v>45440</v>
          </cell>
          <cell r="K793">
            <v>45440</v>
          </cell>
          <cell r="L793">
            <v>0</v>
          </cell>
          <cell r="M793" t="str">
            <v>N/A</v>
          </cell>
          <cell r="N793" t="str">
            <v>N/A</v>
          </cell>
          <cell r="O793">
            <v>45441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45453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5206</v>
          </cell>
          <cell r="AB793">
            <v>0</v>
          </cell>
          <cell r="AC793">
            <v>5206</v>
          </cell>
          <cell r="AD793">
            <v>5150</v>
          </cell>
          <cell r="AE793">
            <v>0</v>
          </cell>
          <cell r="AF793">
            <v>5150</v>
          </cell>
          <cell r="AG793" t="str">
            <v>C</v>
          </cell>
          <cell r="AH793" t="str">
            <v>ENGR. MICHAEL C. SALARDA
MS. LEONARDA M. LATOR
MS. CARMENCITA VALDEZ
MS. SORAYA P. VERGARA</v>
          </cell>
          <cell r="AI793" t="str">
            <v>N/A</v>
          </cell>
          <cell r="AJ793" t="str">
            <v>N/A</v>
          </cell>
          <cell r="AK793" t="str">
            <v>N/A</v>
          </cell>
          <cell r="AL793" t="str">
            <v>N/A</v>
          </cell>
          <cell r="AM793" t="str">
            <v>N/A</v>
          </cell>
          <cell r="AN793" t="str">
            <v>N/A</v>
          </cell>
          <cell r="AO793">
            <v>0</v>
          </cell>
        </row>
        <row r="794">
          <cell r="A794" t="str">
            <v>24-1242</v>
          </cell>
          <cell r="B794" t="str">
            <v>CONSTRUCTION SUPPLIES</v>
          </cell>
          <cell r="C794" t="str">
            <v>PAGRO</v>
          </cell>
          <cell r="D794" t="str">
            <v>No</v>
          </cell>
          <cell r="E794" t="str">
            <v>NP-53.9 - Small Value Procurement</v>
          </cell>
          <cell r="F794">
            <v>45398</v>
          </cell>
          <cell r="G794">
            <v>45404</v>
          </cell>
          <cell r="H794">
            <v>0</v>
          </cell>
          <cell r="I794" t="str">
            <v>N/A</v>
          </cell>
          <cell r="J794">
            <v>45440</v>
          </cell>
          <cell r="K794">
            <v>45440</v>
          </cell>
          <cell r="L794">
            <v>0</v>
          </cell>
          <cell r="M794" t="str">
            <v>N/A</v>
          </cell>
          <cell r="N794" t="str">
            <v>N/A</v>
          </cell>
          <cell r="O794">
            <v>45441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45453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2058</v>
          </cell>
          <cell r="AB794">
            <v>0</v>
          </cell>
          <cell r="AC794">
            <v>2058</v>
          </cell>
          <cell r="AD794">
            <v>1975</v>
          </cell>
          <cell r="AE794">
            <v>0</v>
          </cell>
          <cell r="AF794">
            <v>1975</v>
          </cell>
          <cell r="AG794" t="str">
            <v>C</v>
          </cell>
          <cell r="AH794" t="str">
            <v>ENGR. MICHAEL C. SALARDA
MS. LEONARDA M. LATOR
MS. CARMENCITA VALDEZ
MS. SORAYA P. VERGARA</v>
          </cell>
          <cell r="AI794" t="str">
            <v>N/A</v>
          </cell>
          <cell r="AJ794" t="str">
            <v>N/A</v>
          </cell>
          <cell r="AK794" t="str">
            <v>N/A</v>
          </cell>
          <cell r="AL794" t="str">
            <v>N/A</v>
          </cell>
          <cell r="AM794" t="str">
            <v>N/A</v>
          </cell>
          <cell r="AN794" t="str">
            <v>N/A</v>
          </cell>
          <cell r="AO794">
            <v>0</v>
          </cell>
        </row>
        <row r="795">
          <cell r="A795" t="str">
            <v>24-2474</v>
          </cell>
          <cell r="B795" t="str">
            <v>DOORSIGN &amp; TABLESIGN</v>
          </cell>
          <cell r="C795" t="str">
            <v>SPO</v>
          </cell>
          <cell r="D795" t="str">
            <v>No</v>
          </cell>
          <cell r="E795" t="str">
            <v>NP-53.9 - Small Value Procurement</v>
          </cell>
          <cell r="F795" t="str">
            <v>N/A</v>
          </cell>
          <cell r="G795">
            <v>45418</v>
          </cell>
          <cell r="H795">
            <v>0</v>
          </cell>
          <cell r="I795" t="str">
            <v>N/A</v>
          </cell>
          <cell r="J795">
            <v>45440</v>
          </cell>
          <cell r="K795">
            <v>45440</v>
          </cell>
          <cell r="L795">
            <v>0</v>
          </cell>
          <cell r="M795" t="str">
            <v>N/A</v>
          </cell>
          <cell r="N795" t="str">
            <v>N/A</v>
          </cell>
          <cell r="O795">
            <v>45441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16000</v>
          </cell>
          <cell r="AB795">
            <v>16000</v>
          </cell>
          <cell r="AC795">
            <v>0</v>
          </cell>
          <cell r="AD795">
            <v>16000</v>
          </cell>
          <cell r="AE795">
            <v>16000</v>
          </cell>
          <cell r="AF795">
            <v>0</v>
          </cell>
          <cell r="AG795" t="str">
            <v>M</v>
          </cell>
          <cell r="AH795" t="str">
            <v>ENGR. MICHAEL C. SALARDA
MS. LEONARDA M. LATOR
MS. CARMENCITA VALDEZ
MS. SORAYA P. VERGARA</v>
          </cell>
          <cell r="AI795" t="str">
            <v>N/A</v>
          </cell>
          <cell r="AJ795" t="str">
            <v>N/A</v>
          </cell>
          <cell r="AK795" t="str">
            <v>N/A</v>
          </cell>
          <cell r="AL795" t="str">
            <v>N/A</v>
          </cell>
          <cell r="AM795" t="str">
            <v>N/A</v>
          </cell>
          <cell r="AN795" t="str">
            <v>N/A</v>
          </cell>
          <cell r="AO795">
            <v>0</v>
          </cell>
        </row>
        <row r="796">
          <cell r="A796" t="str">
            <v>24-2439</v>
          </cell>
          <cell r="B796" t="str">
            <v>GENSET ENGINE
THERMOSTAT</v>
          </cell>
          <cell r="C796" t="str">
            <v>PGSO</v>
          </cell>
          <cell r="D796" t="str">
            <v>No</v>
          </cell>
          <cell r="E796" t="str">
            <v>NP-53.9 - Small Value Procurement</v>
          </cell>
          <cell r="F796">
            <v>45421</v>
          </cell>
          <cell r="G796">
            <v>45425</v>
          </cell>
          <cell r="H796">
            <v>0</v>
          </cell>
          <cell r="I796" t="str">
            <v>N/A</v>
          </cell>
          <cell r="J796">
            <v>45440</v>
          </cell>
          <cell r="K796">
            <v>45440</v>
          </cell>
          <cell r="L796">
            <v>0</v>
          </cell>
          <cell r="M796" t="str">
            <v>N/A</v>
          </cell>
          <cell r="N796" t="str">
            <v>N/A</v>
          </cell>
          <cell r="O796">
            <v>45441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45454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14036.66</v>
          </cell>
          <cell r="AB796">
            <v>14036.66</v>
          </cell>
          <cell r="AC796">
            <v>0</v>
          </cell>
          <cell r="AD796">
            <v>10521.28</v>
          </cell>
          <cell r="AE796">
            <v>10521.28</v>
          </cell>
          <cell r="AF796">
            <v>0</v>
          </cell>
          <cell r="AG796" t="str">
            <v>M</v>
          </cell>
          <cell r="AH796" t="str">
            <v>ENGR. MICHAEL C. SALARDA
MS. LEONARDA M. LATOR
MS. CARMENCITA VALDEZ
MS. SORAYA P. VERGARA</v>
          </cell>
          <cell r="AI796" t="str">
            <v>N/A</v>
          </cell>
          <cell r="AJ796" t="str">
            <v>N/A</v>
          </cell>
          <cell r="AK796" t="str">
            <v>N/A</v>
          </cell>
          <cell r="AL796" t="str">
            <v>N/A</v>
          </cell>
          <cell r="AM796" t="str">
            <v>N/A</v>
          </cell>
          <cell r="AN796" t="str">
            <v>N/A</v>
          </cell>
          <cell r="AO796">
            <v>0</v>
          </cell>
        </row>
        <row r="797">
          <cell r="A797" t="str">
            <v>24-C1265</v>
          </cell>
          <cell r="B797" t="str">
            <v>FOOD/CATERING SERVICES</v>
          </cell>
          <cell r="C797" t="str">
            <v>PDRRMO</v>
          </cell>
          <cell r="D797" t="str">
            <v>No</v>
          </cell>
          <cell r="E797" t="str">
            <v>NP-53.1 Two Failed Biddings</v>
          </cell>
          <cell r="F797" t="str">
            <v>N/A</v>
          </cell>
          <cell r="G797">
            <v>45422</v>
          </cell>
          <cell r="H797">
            <v>0</v>
          </cell>
          <cell r="I797" t="str">
            <v>N/A</v>
          </cell>
          <cell r="J797">
            <v>45440</v>
          </cell>
          <cell r="K797">
            <v>45440</v>
          </cell>
          <cell r="L797">
            <v>0</v>
          </cell>
          <cell r="M797" t="str">
            <v>N/A</v>
          </cell>
          <cell r="N797" t="str">
            <v>N/A</v>
          </cell>
          <cell r="O797">
            <v>45441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45453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297980</v>
          </cell>
          <cell r="AB797">
            <v>0</v>
          </cell>
          <cell r="AC797">
            <v>297980</v>
          </cell>
          <cell r="AD797">
            <v>297980</v>
          </cell>
          <cell r="AE797">
            <v>0</v>
          </cell>
          <cell r="AF797">
            <v>297980</v>
          </cell>
          <cell r="AG797" t="str">
            <v>C</v>
          </cell>
          <cell r="AH797" t="str">
            <v>ENGR. MICHAEL C. SALARDA
MS. LEONARDA M. LATOR
MS. CARMENCITA VALDEZ
MS. SORAYA P. VERGARA</v>
          </cell>
          <cell r="AI797" t="str">
            <v>N/A</v>
          </cell>
          <cell r="AJ797" t="str">
            <v>N/A</v>
          </cell>
          <cell r="AK797" t="str">
            <v>N/A</v>
          </cell>
          <cell r="AL797" t="str">
            <v>N/A</v>
          </cell>
          <cell r="AM797" t="str">
            <v>N/A</v>
          </cell>
          <cell r="AN797" t="str">
            <v>N/A</v>
          </cell>
          <cell r="AO797">
            <v>0</v>
          </cell>
        </row>
        <row r="798">
          <cell r="A798" t="str">
            <v>24-1892</v>
          </cell>
          <cell r="B798" t="str">
            <v>UTILITY VEHICLE</v>
          </cell>
          <cell r="C798" t="str">
            <v>PAO-ADMIN</v>
          </cell>
          <cell r="D798" t="str">
            <v>No</v>
          </cell>
          <cell r="E798" t="str">
            <v>NP-53.1 Two Failed Biddings</v>
          </cell>
          <cell r="F798" t="str">
            <v>N/A</v>
          </cell>
          <cell r="G798">
            <v>45429</v>
          </cell>
          <cell r="H798">
            <v>0</v>
          </cell>
          <cell r="I798" t="str">
            <v>N/A</v>
          </cell>
          <cell r="J798">
            <v>45440</v>
          </cell>
          <cell r="K798">
            <v>45440</v>
          </cell>
          <cell r="L798">
            <v>0</v>
          </cell>
          <cell r="M798" t="str">
            <v>N/A</v>
          </cell>
          <cell r="N798" t="str">
            <v>N/A</v>
          </cell>
          <cell r="O798">
            <v>45441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45454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1300000</v>
          </cell>
          <cell r="AB798">
            <v>0</v>
          </cell>
          <cell r="AC798">
            <v>1300000</v>
          </cell>
          <cell r="AD798">
            <v>1298000</v>
          </cell>
          <cell r="AE798">
            <v>0</v>
          </cell>
          <cell r="AF798">
            <v>1298000</v>
          </cell>
          <cell r="AG798" t="str">
            <v>C</v>
          </cell>
          <cell r="AH798" t="str">
            <v>ENGR. MICHAEL C. SALARDA
MS. LEONARDA M. LATOR
MS. CARMENCITA VALDEZ
MS. SORAYA P. VERGARA</v>
          </cell>
          <cell r="AI798" t="str">
            <v>N/A</v>
          </cell>
          <cell r="AJ798" t="str">
            <v>N/A</v>
          </cell>
          <cell r="AK798" t="str">
            <v>N/A</v>
          </cell>
          <cell r="AL798" t="str">
            <v>N/A</v>
          </cell>
          <cell r="AM798" t="str">
            <v>N/A</v>
          </cell>
          <cell r="AN798" t="str">
            <v>N/A</v>
          </cell>
          <cell r="AO798">
            <v>0</v>
          </cell>
        </row>
        <row r="799">
          <cell r="A799" t="str">
            <v>24-C1307</v>
          </cell>
          <cell r="B799" t="str">
            <v>SPAREPARTS ( FARM
MACHINERIES AND
EQUIPMENT )</v>
          </cell>
          <cell r="C799" t="str">
            <v>PAGRO</v>
          </cell>
          <cell r="D799" t="str">
            <v>No</v>
          </cell>
          <cell r="E799" t="str">
            <v>NP-53.1 Two Failed Biddings</v>
          </cell>
          <cell r="F799">
            <v>45390</v>
          </cell>
          <cell r="G799">
            <v>45429</v>
          </cell>
          <cell r="H799">
            <v>0</v>
          </cell>
          <cell r="I799" t="str">
            <v>N/A</v>
          </cell>
          <cell r="J799">
            <v>45440</v>
          </cell>
          <cell r="K799">
            <v>45440</v>
          </cell>
          <cell r="L799">
            <v>0</v>
          </cell>
          <cell r="M799" t="str">
            <v>N/A</v>
          </cell>
          <cell r="N799" t="str">
            <v>N/A</v>
          </cell>
          <cell r="O799">
            <v>45441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45453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508835.8</v>
          </cell>
          <cell r="AB799">
            <v>0</v>
          </cell>
          <cell r="AC799">
            <v>508835.8</v>
          </cell>
          <cell r="AD799">
            <v>500920</v>
          </cell>
          <cell r="AE799">
            <v>0</v>
          </cell>
          <cell r="AF799">
            <v>500920</v>
          </cell>
          <cell r="AG799" t="str">
            <v>C</v>
          </cell>
          <cell r="AH799" t="str">
            <v>ENGR. MICHAEL C. SALARDA
MS. LEONARDA M. LATOR
MS. CARMENCITA VALDEZ
MS. SORAYA P. VERGARA</v>
          </cell>
          <cell r="AI799" t="str">
            <v>N/A</v>
          </cell>
          <cell r="AJ799" t="str">
            <v>N/A</v>
          </cell>
          <cell r="AK799" t="str">
            <v>N/A</v>
          </cell>
          <cell r="AL799" t="str">
            <v>N/A</v>
          </cell>
          <cell r="AM799" t="str">
            <v>N/A</v>
          </cell>
          <cell r="AN799" t="str">
            <v>N/A</v>
          </cell>
          <cell r="AO799">
            <v>0</v>
          </cell>
        </row>
        <row r="800">
          <cell r="A800" t="str">
            <v>24-C1310</v>
          </cell>
          <cell r="B800" t="str">
            <v>CONSTRUCTION SUPPLIES</v>
          </cell>
          <cell r="C800" t="str">
            <v>PAGRO</v>
          </cell>
          <cell r="D800" t="str">
            <v>No</v>
          </cell>
          <cell r="E800" t="str">
            <v>NP-53.1 Two Failed Biddings</v>
          </cell>
          <cell r="F800">
            <v>45398</v>
          </cell>
          <cell r="G800">
            <v>45429</v>
          </cell>
          <cell r="H800">
            <v>0</v>
          </cell>
          <cell r="I800" t="str">
            <v>N/A</v>
          </cell>
          <cell r="J800">
            <v>45440</v>
          </cell>
          <cell r="K800">
            <v>45440</v>
          </cell>
          <cell r="L800">
            <v>0</v>
          </cell>
          <cell r="M800" t="str">
            <v>N/A</v>
          </cell>
          <cell r="N800" t="str">
            <v>N/A</v>
          </cell>
          <cell r="O800">
            <v>45441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45453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338328</v>
          </cell>
          <cell r="AB800">
            <v>338328</v>
          </cell>
          <cell r="AC800">
            <v>0</v>
          </cell>
          <cell r="AD800">
            <v>335722.5</v>
          </cell>
          <cell r="AE800">
            <v>335722.5</v>
          </cell>
          <cell r="AF800">
            <v>0</v>
          </cell>
          <cell r="AG800" t="str">
            <v>M</v>
          </cell>
          <cell r="AH800" t="str">
            <v>ENGR. MICHAEL C. SALARDA
MS. LEONARDA M. LATOR
MS. CARMENCITA VALDEZ
MS. SORAYA P. VERGARA</v>
          </cell>
          <cell r="AI800" t="str">
            <v>N/A</v>
          </cell>
          <cell r="AJ800" t="str">
            <v>N/A</v>
          </cell>
          <cell r="AK800" t="str">
            <v>N/A</v>
          </cell>
          <cell r="AL800" t="str">
            <v>N/A</v>
          </cell>
          <cell r="AM800" t="str">
            <v>N/A</v>
          </cell>
          <cell r="AN800" t="str">
            <v>N/A</v>
          </cell>
          <cell r="AO800">
            <v>0</v>
          </cell>
        </row>
        <row r="801">
          <cell r="A801" t="str">
            <v>24-1884</v>
          </cell>
          <cell r="B801" t="str">
            <v>FOOD/CATERING SERVICES</v>
          </cell>
          <cell r="C801" t="str">
            <v>PGO</v>
          </cell>
          <cell r="D801" t="str">
            <v>No</v>
          </cell>
          <cell r="E801" t="str">
            <v>NP-53.1 Two Failed Biddings</v>
          </cell>
          <cell r="F801" t="str">
            <v>N/A</v>
          </cell>
          <cell r="G801">
            <v>45429</v>
          </cell>
          <cell r="H801">
            <v>0</v>
          </cell>
          <cell r="I801" t="str">
            <v>N/A</v>
          </cell>
          <cell r="J801">
            <v>45440</v>
          </cell>
          <cell r="K801">
            <v>45440</v>
          </cell>
          <cell r="L801">
            <v>0</v>
          </cell>
          <cell r="M801" t="str">
            <v>N/A</v>
          </cell>
          <cell r="N801" t="str">
            <v>N/A</v>
          </cell>
          <cell r="O801">
            <v>45441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45453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1185000</v>
          </cell>
          <cell r="AB801">
            <v>0</v>
          </cell>
          <cell r="AC801">
            <v>1185000</v>
          </cell>
          <cell r="AD801">
            <v>1132500</v>
          </cell>
          <cell r="AE801">
            <v>0</v>
          </cell>
          <cell r="AF801">
            <v>1132500</v>
          </cell>
          <cell r="AG801" t="str">
            <v>C</v>
          </cell>
          <cell r="AH801" t="str">
            <v>ENGR. MICHAEL C. SALARDA
MS. LEONARDA M. LATOR
MS. CARMENCITA VALDEZ
MS. SORAYA P. VERGARA</v>
          </cell>
          <cell r="AI801" t="str">
            <v>N/A</v>
          </cell>
          <cell r="AJ801" t="str">
            <v>N/A</v>
          </cell>
          <cell r="AK801" t="str">
            <v>N/A</v>
          </cell>
          <cell r="AL801" t="str">
            <v>N/A</v>
          </cell>
          <cell r="AM801" t="str">
            <v>N/A</v>
          </cell>
          <cell r="AN801" t="str">
            <v>N/A</v>
          </cell>
          <cell r="AO801">
            <v>0</v>
          </cell>
        </row>
        <row r="802">
          <cell r="A802" t="str">
            <v>24-0864</v>
          </cell>
          <cell r="B802" t="str">
            <v>MONTHLY INTERNET
SUBSCRIPTION</v>
          </cell>
          <cell r="C802" t="str">
            <v>SPO</v>
          </cell>
          <cell r="D802" t="str">
            <v>No</v>
          </cell>
          <cell r="E802" t="str">
            <v>NP-53.1 Two Failed Biddings</v>
          </cell>
          <cell r="F802" t="str">
            <v>N/A</v>
          </cell>
          <cell r="G802">
            <v>45422</v>
          </cell>
          <cell r="H802">
            <v>0</v>
          </cell>
          <cell r="I802" t="str">
            <v>N/A</v>
          </cell>
          <cell r="J802">
            <v>45440</v>
          </cell>
          <cell r="K802">
            <v>45440</v>
          </cell>
          <cell r="L802">
            <v>0</v>
          </cell>
          <cell r="M802" t="str">
            <v>N/A</v>
          </cell>
          <cell r="N802" t="str">
            <v>N/A</v>
          </cell>
          <cell r="O802">
            <v>45441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403200</v>
          </cell>
          <cell r="AB802">
            <v>403200</v>
          </cell>
          <cell r="AC802">
            <v>0</v>
          </cell>
          <cell r="AD802">
            <v>403200</v>
          </cell>
          <cell r="AE802">
            <v>403200</v>
          </cell>
          <cell r="AF802">
            <v>0</v>
          </cell>
          <cell r="AG802" t="str">
            <v>M</v>
          </cell>
          <cell r="AH802" t="str">
            <v>ENGR. MICHAEL C. SALARDA
MS. LEONARDA M. LATOR
MS. CARMENCITA VALDEZ
MS. SORAYA P. VERGARA</v>
          </cell>
          <cell r="AI802" t="str">
            <v>N/A</v>
          </cell>
          <cell r="AJ802" t="str">
            <v>N/A</v>
          </cell>
          <cell r="AK802" t="str">
            <v>N/A</v>
          </cell>
          <cell r="AL802" t="str">
            <v>N/A</v>
          </cell>
          <cell r="AM802" t="str">
            <v>N/A</v>
          </cell>
          <cell r="AN802" t="str">
            <v>N/A</v>
          </cell>
          <cell r="AO802">
            <v>0</v>
          </cell>
        </row>
        <row r="803">
          <cell r="A803" t="str">
            <v>24-2219</v>
          </cell>
          <cell r="B803" t="str">
            <v>SPAREPARTS (LIGHT
VEHICLES)</v>
          </cell>
          <cell r="C803" t="str">
            <v>SPO</v>
          </cell>
          <cell r="D803" t="str">
            <v>No</v>
          </cell>
          <cell r="E803" t="str">
            <v>Shopping 52.1(a) - Unforeseen Contingency</v>
          </cell>
          <cell r="F803" t="str">
            <v>N/A</v>
          </cell>
          <cell r="G803">
            <v>45425</v>
          </cell>
          <cell r="H803">
            <v>0</v>
          </cell>
          <cell r="I803" t="str">
            <v>N/A</v>
          </cell>
          <cell r="J803">
            <v>45446</v>
          </cell>
          <cell r="K803">
            <v>45446</v>
          </cell>
          <cell r="L803">
            <v>0</v>
          </cell>
          <cell r="M803" t="str">
            <v>N/A</v>
          </cell>
          <cell r="N803" t="str">
            <v>N/A</v>
          </cell>
          <cell r="O803">
            <v>45450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7000</v>
          </cell>
          <cell r="AB803">
            <v>7000</v>
          </cell>
          <cell r="AC803">
            <v>0</v>
          </cell>
          <cell r="AD803">
            <v>7000</v>
          </cell>
          <cell r="AE803">
            <v>7000</v>
          </cell>
          <cell r="AF803">
            <v>0</v>
          </cell>
          <cell r="AG803" t="str">
            <v>M</v>
          </cell>
          <cell r="AH803" t="str">
            <v>ENGR. MICHAEL C. SALARDA
MS. LEONARDA M. LATOR
MS. CARMENCITA VALDEZ
MS. SORAYA P. VERGARA</v>
          </cell>
          <cell r="AI803" t="str">
            <v>N/A</v>
          </cell>
          <cell r="AJ803" t="str">
            <v>N/A</v>
          </cell>
          <cell r="AK803" t="str">
            <v>N/A</v>
          </cell>
          <cell r="AL803" t="str">
            <v>N/A</v>
          </cell>
          <cell r="AM803" t="str">
            <v>N/A</v>
          </cell>
          <cell r="AN803" t="str">
            <v>N/A</v>
          </cell>
          <cell r="AO803">
            <v>0</v>
          </cell>
        </row>
        <row r="804">
          <cell r="A804" t="str">
            <v>24-2606</v>
          </cell>
          <cell r="B804" t="str">
            <v>SPAREPARTS (LIGHT
VEHICLES)</v>
          </cell>
          <cell r="C804" t="str">
            <v>SPO</v>
          </cell>
          <cell r="D804" t="str">
            <v>No</v>
          </cell>
          <cell r="E804" t="str">
            <v>Shopping 52.1(a) - Unforeseen Contingency</v>
          </cell>
          <cell r="F804" t="str">
            <v>N/A</v>
          </cell>
          <cell r="G804">
            <v>45425</v>
          </cell>
          <cell r="H804">
            <v>0</v>
          </cell>
          <cell r="I804" t="str">
            <v>N/A</v>
          </cell>
          <cell r="J804">
            <v>45446</v>
          </cell>
          <cell r="K804">
            <v>45446</v>
          </cell>
          <cell r="L804">
            <v>0</v>
          </cell>
          <cell r="M804" t="str">
            <v>N/A</v>
          </cell>
          <cell r="N804" t="str">
            <v>N/A</v>
          </cell>
          <cell r="O804">
            <v>45450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24150</v>
          </cell>
          <cell r="AB804">
            <v>24150</v>
          </cell>
          <cell r="AC804">
            <v>0</v>
          </cell>
          <cell r="AD804">
            <v>24150</v>
          </cell>
          <cell r="AE804">
            <v>24150</v>
          </cell>
          <cell r="AF804">
            <v>0</v>
          </cell>
          <cell r="AG804" t="str">
            <v>M</v>
          </cell>
          <cell r="AH804" t="str">
            <v>ENGR. MICHAEL C. SALARDA
MS. LEONARDA M. LATOR
MS. CARMENCITA VALDEZ
MS. SORAYA P. VERGARA</v>
          </cell>
          <cell r="AI804" t="str">
            <v>N/A</v>
          </cell>
          <cell r="AJ804" t="str">
            <v>N/A</v>
          </cell>
          <cell r="AK804" t="str">
            <v>N/A</v>
          </cell>
          <cell r="AL804" t="str">
            <v>N/A</v>
          </cell>
          <cell r="AM804" t="str">
            <v>N/A</v>
          </cell>
          <cell r="AN804" t="str">
            <v>N/A</v>
          </cell>
          <cell r="AO804">
            <v>0</v>
          </cell>
        </row>
        <row r="805">
          <cell r="A805" t="str">
            <v>24-2523</v>
          </cell>
          <cell r="B805" t="str">
            <v>SPAREPARTS (LIGHT
VEHICLES)</v>
          </cell>
          <cell r="C805" t="str">
            <v>SPO</v>
          </cell>
          <cell r="D805" t="str">
            <v>No</v>
          </cell>
          <cell r="E805" t="str">
            <v>Shopping 52.1(a) - Unforeseen Contingency</v>
          </cell>
          <cell r="F805" t="str">
            <v>N/A</v>
          </cell>
          <cell r="G805">
            <v>45425</v>
          </cell>
          <cell r="H805">
            <v>0</v>
          </cell>
          <cell r="I805" t="str">
            <v>N/A</v>
          </cell>
          <cell r="J805">
            <v>45446</v>
          </cell>
          <cell r="K805">
            <v>45446</v>
          </cell>
          <cell r="L805">
            <v>0</v>
          </cell>
          <cell r="M805" t="str">
            <v>N/A</v>
          </cell>
          <cell r="N805" t="str">
            <v>N/A</v>
          </cell>
          <cell r="O805">
            <v>45450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45475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3500</v>
          </cell>
          <cell r="AB805">
            <v>3500</v>
          </cell>
          <cell r="AC805">
            <v>0</v>
          </cell>
          <cell r="AD805">
            <v>3500</v>
          </cell>
          <cell r="AE805">
            <v>3500</v>
          </cell>
          <cell r="AF805">
            <v>0</v>
          </cell>
          <cell r="AG805" t="str">
            <v>M</v>
          </cell>
          <cell r="AH805" t="str">
            <v>ENGR. MICHAEL C. SALARDA
MS. LEONARDA M. LATOR
MS. CARMENCITA VALDEZ
MS. SORAYA P. VERGARA</v>
          </cell>
          <cell r="AI805" t="str">
            <v>N/A</v>
          </cell>
          <cell r="AJ805" t="str">
            <v>N/A</v>
          </cell>
          <cell r="AK805" t="str">
            <v>N/A</v>
          </cell>
          <cell r="AL805" t="str">
            <v>N/A</v>
          </cell>
          <cell r="AM805" t="str">
            <v>N/A</v>
          </cell>
          <cell r="AN805" t="str">
            <v>N/A</v>
          </cell>
          <cell r="AO805">
            <v>0</v>
          </cell>
        </row>
        <row r="806">
          <cell r="A806" t="str">
            <v>24-2520</v>
          </cell>
          <cell r="B806" t="str">
            <v>SPAREPARTS (LIGHT
VEHICLES)</v>
          </cell>
          <cell r="C806" t="str">
            <v>SPO</v>
          </cell>
          <cell r="D806" t="str">
            <v>No</v>
          </cell>
          <cell r="E806" t="str">
            <v>Shopping 52.1(a) - Unforeseen Contingency</v>
          </cell>
          <cell r="F806" t="str">
            <v>N/A</v>
          </cell>
          <cell r="G806">
            <v>45425</v>
          </cell>
          <cell r="H806">
            <v>0</v>
          </cell>
          <cell r="I806" t="str">
            <v>N/A</v>
          </cell>
          <cell r="J806">
            <v>45446</v>
          </cell>
          <cell r="K806">
            <v>45446</v>
          </cell>
          <cell r="L806">
            <v>0</v>
          </cell>
          <cell r="M806" t="str">
            <v>N/A</v>
          </cell>
          <cell r="N806" t="str">
            <v>N/A</v>
          </cell>
          <cell r="O806">
            <v>45450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45454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3300</v>
          </cell>
          <cell r="AB806">
            <v>3300</v>
          </cell>
          <cell r="AC806">
            <v>0</v>
          </cell>
          <cell r="AD806">
            <v>3300</v>
          </cell>
          <cell r="AE806">
            <v>3300</v>
          </cell>
          <cell r="AF806">
            <v>0</v>
          </cell>
          <cell r="AG806" t="str">
            <v>M</v>
          </cell>
          <cell r="AH806" t="str">
            <v>ENGR. MICHAEL C. SALARDA
MS. LEONARDA M. LATOR
MS. CARMENCITA VALDEZ
MS. SORAYA P. VERGARA</v>
          </cell>
          <cell r="AI806" t="str">
            <v>N/A</v>
          </cell>
          <cell r="AJ806" t="str">
            <v>N/A</v>
          </cell>
          <cell r="AK806" t="str">
            <v>N/A</v>
          </cell>
          <cell r="AL806" t="str">
            <v>N/A</v>
          </cell>
          <cell r="AM806" t="str">
            <v>N/A</v>
          </cell>
          <cell r="AN806" t="str">
            <v>N/A</v>
          </cell>
          <cell r="AO806">
            <v>0</v>
          </cell>
        </row>
        <row r="807">
          <cell r="A807" t="str">
            <v>24-C1155</v>
          </cell>
          <cell r="B807" t="str">
            <v>CLOUD SERVICE
SUBSCRIPTION, CODE
REPOSITORY &amp; WEB
HOSTING PACKAGE</v>
          </cell>
          <cell r="C807" t="str">
            <v>PICTO</v>
          </cell>
          <cell r="D807" t="str">
            <v>No</v>
          </cell>
          <cell r="E807" t="str">
            <v>NP-53.1 Two Failed Biddings</v>
          </cell>
          <cell r="F807">
            <v>45390</v>
          </cell>
          <cell r="G807">
            <v>45429</v>
          </cell>
          <cell r="H807">
            <v>0</v>
          </cell>
          <cell r="I807" t="str">
            <v>N/A</v>
          </cell>
          <cell r="J807">
            <v>45446</v>
          </cell>
          <cell r="K807">
            <v>45446</v>
          </cell>
          <cell r="L807">
            <v>0</v>
          </cell>
          <cell r="M807" t="str">
            <v>N/A</v>
          </cell>
          <cell r="N807" t="str">
            <v>N/A</v>
          </cell>
          <cell r="O807">
            <v>45450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45454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350000</v>
          </cell>
          <cell r="AB807">
            <v>350000</v>
          </cell>
          <cell r="AC807">
            <v>0</v>
          </cell>
          <cell r="AD807">
            <v>350000</v>
          </cell>
          <cell r="AE807">
            <v>350000</v>
          </cell>
          <cell r="AF807">
            <v>0</v>
          </cell>
          <cell r="AG807" t="str">
            <v>M</v>
          </cell>
          <cell r="AH807" t="str">
            <v>ENGR. MICHAEL C. SALARDA
MS. LEONARDA M. LATOR
MS. CARMENCITA VALDEZ
MS. SORAYA P. VERGARA</v>
          </cell>
          <cell r="AI807" t="str">
            <v>N/A</v>
          </cell>
          <cell r="AJ807" t="str">
            <v>N/A</v>
          </cell>
          <cell r="AK807" t="str">
            <v>N/A</v>
          </cell>
          <cell r="AL807" t="str">
            <v>N/A</v>
          </cell>
          <cell r="AM807" t="str">
            <v>N/A</v>
          </cell>
          <cell r="AN807" t="str">
            <v>N/A</v>
          </cell>
          <cell r="AO807">
            <v>0</v>
          </cell>
        </row>
        <row r="808">
          <cell r="A808" t="str">
            <v>24-2341</v>
          </cell>
          <cell r="B808" t="str">
            <v>OFFICE EQUIPMENT</v>
          </cell>
          <cell r="C808" t="str">
            <v>PTO</v>
          </cell>
          <cell r="D808" t="str">
            <v>No</v>
          </cell>
          <cell r="E808" t="str">
            <v>NP-53.9 - Small Value Procurement</v>
          </cell>
          <cell r="F808" t="str">
            <v>N/A</v>
          </cell>
          <cell r="G808">
            <v>45412</v>
          </cell>
          <cell r="H808">
            <v>0</v>
          </cell>
          <cell r="I808" t="str">
            <v>N/A</v>
          </cell>
          <cell r="J808">
            <v>45446</v>
          </cell>
          <cell r="K808">
            <v>45446</v>
          </cell>
          <cell r="L808">
            <v>0</v>
          </cell>
          <cell r="M808" t="str">
            <v>N/A</v>
          </cell>
          <cell r="N808" t="str">
            <v>N/A</v>
          </cell>
          <cell r="O808">
            <v>45450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45456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30000</v>
          </cell>
          <cell r="AB808">
            <v>30000</v>
          </cell>
          <cell r="AC808">
            <v>0</v>
          </cell>
          <cell r="AD808">
            <v>30000</v>
          </cell>
          <cell r="AE808">
            <v>30000</v>
          </cell>
          <cell r="AF808">
            <v>0</v>
          </cell>
          <cell r="AG808" t="str">
            <v>M</v>
          </cell>
          <cell r="AH808" t="str">
            <v>ENGR. MICHAEL C. SALARDA
MS. LEONARDA M. LATOR
MS. CARMENCITA VALDEZ
MS. SORAYA P. VERGARA</v>
          </cell>
          <cell r="AI808" t="str">
            <v>N/A</v>
          </cell>
          <cell r="AJ808" t="str">
            <v>N/A</v>
          </cell>
          <cell r="AK808" t="str">
            <v>N/A</v>
          </cell>
          <cell r="AL808" t="str">
            <v>N/A</v>
          </cell>
          <cell r="AM808" t="str">
            <v>N/A</v>
          </cell>
          <cell r="AN808" t="str">
            <v>N/A</v>
          </cell>
          <cell r="AO808">
            <v>0</v>
          </cell>
        </row>
        <row r="809">
          <cell r="A809" t="str">
            <v>24-2365</v>
          </cell>
          <cell r="B809" t="str">
            <v>SPAREPARTS (LIGHT
VEHICLES)</v>
          </cell>
          <cell r="C809" t="str">
            <v>PGSO</v>
          </cell>
          <cell r="D809" t="str">
            <v>No</v>
          </cell>
          <cell r="E809" t="str">
            <v>NP-53.9 - Small Value Procurement</v>
          </cell>
          <cell r="F809">
            <v>45407</v>
          </cell>
          <cell r="G809">
            <v>45412</v>
          </cell>
          <cell r="H809">
            <v>0</v>
          </cell>
          <cell r="I809" t="str">
            <v>N/A</v>
          </cell>
          <cell r="J809">
            <v>45446</v>
          </cell>
          <cell r="K809">
            <v>45446</v>
          </cell>
          <cell r="L809">
            <v>0</v>
          </cell>
          <cell r="M809" t="str">
            <v>N/A</v>
          </cell>
          <cell r="N809" t="str">
            <v>N/A</v>
          </cell>
          <cell r="O809">
            <v>45450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45454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1950</v>
          </cell>
          <cell r="AB809">
            <v>1950</v>
          </cell>
          <cell r="AC809">
            <v>0</v>
          </cell>
          <cell r="AD809">
            <v>1850</v>
          </cell>
          <cell r="AE809">
            <v>1850</v>
          </cell>
          <cell r="AF809">
            <v>0</v>
          </cell>
          <cell r="AG809" t="str">
            <v>M</v>
          </cell>
          <cell r="AH809" t="str">
            <v>ENGR. MICHAEL C. SALARDA
MS. LEONARDA M. LATOR
MS. CARMENCITA VALDEZ
MS. SORAYA P. VERGARA</v>
          </cell>
          <cell r="AI809" t="str">
            <v>N/A</v>
          </cell>
          <cell r="AJ809" t="str">
            <v>N/A</v>
          </cell>
          <cell r="AK809" t="str">
            <v>N/A</v>
          </cell>
          <cell r="AL809" t="str">
            <v>N/A</v>
          </cell>
          <cell r="AM809" t="str">
            <v>N/A</v>
          </cell>
          <cell r="AN809" t="str">
            <v>N/A</v>
          </cell>
          <cell r="AO809">
            <v>0</v>
          </cell>
        </row>
        <row r="810">
          <cell r="A810" t="str">
            <v>24-C1160</v>
          </cell>
          <cell r="B810" t="str">
            <v>CONSTRUCTION MATERIALS</v>
          </cell>
          <cell r="C810" t="str">
            <v>PDRRMO</v>
          </cell>
          <cell r="D810" t="str">
            <v>No</v>
          </cell>
          <cell r="E810" t="str">
            <v>NP-53.9 - Small Value Procurement</v>
          </cell>
          <cell r="F810">
            <v>45407</v>
          </cell>
          <cell r="G810">
            <v>45412</v>
          </cell>
          <cell r="H810">
            <v>0</v>
          </cell>
          <cell r="I810" t="str">
            <v>N/A</v>
          </cell>
          <cell r="J810">
            <v>45446</v>
          </cell>
          <cell r="K810">
            <v>45446</v>
          </cell>
          <cell r="L810">
            <v>0</v>
          </cell>
          <cell r="M810" t="str">
            <v>N/A</v>
          </cell>
          <cell r="N810" t="str">
            <v>N/A</v>
          </cell>
          <cell r="O810">
            <v>45450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45456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10902</v>
          </cell>
          <cell r="AB810">
            <v>0</v>
          </cell>
          <cell r="AC810">
            <v>10902</v>
          </cell>
          <cell r="AD810">
            <v>10858</v>
          </cell>
          <cell r="AE810">
            <v>0</v>
          </cell>
          <cell r="AF810">
            <v>10858</v>
          </cell>
          <cell r="AG810" t="str">
            <v>C</v>
          </cell>
          <cell r="AH810" t="str">
            <v>ENGR. MICHAEL C. SALARDA
MS. LEONARDA M. LATOR
MS. CARMENCITA VALDEZ
MS. SORAYA P. VERGARA</v>
          </cell>
          <cell r="AI810" t="str">
            <v>N/A</v>
          </cell>
          <cell r="AJ810" t="str">
            <v>N/A</v>
          </cell>
          <cell r="AK810" t="str">
            <v>N/A</v>
          </cell>
          <cell r="AL810" t="str">
            <v>N/A</v>
          </cell>
          <cell r="AM810" t="str">
            <v>N/A</v>
          </cell>
          <cell r="AN810" t="str">
            <v>N/A</v>
          </cell>
          <cell r="AO810">
            <v>0</v>
          </cell>
        </row>
        <row r="811">
          <cell r="A811" t="str">
            <v>24-C1256</v>
          </cell>
          <cell r="B811" t="str">
            <v>NURSERY NET &amp; PLASTIC
SPRAYER</v>
          </cell>
          <cell r="C811" t="str">
            <v>PAGRO</v>
          </cell>
          <cell r="D811" t="str">
            <v>No</v>
          </cell>
          <cell r="E811" t="str">
            <v>NP-53.9 - Small Value Procurement</v>
          </cell>
          <cell r="F811" t="str">
            <v>N/A</v>
          </cell>
          <cell r="G811">
            <v>45434</v>
          </cell>
          <cell r="H811">
            <v>0</v>
          </cell>
          <cell r="I811" t="str">
            <v>N/A</v>
          </cell>
          <cell r="J811">
            <v>45446</v>
          </cell>
          <cell r="K811">
            <v>45446</v>
          </cell>
          <cell r="L811">
            <v>0</v>
          </cell>
          <cell r="M811" t="str">
            <v>N/A</v>
          </cell>
          <cell r="N811" t="str">
            <v>N/A</v>
          </cell>
          <cell r="O811">
            <v>45450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45454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14920</v>
          </cell>
          <cell r="AB811">
            <v>0</v>
          </cell>
          <cell r="AC811">
            <v>14920</v>
          </cell>
          <cell r="AD811">
            <v>14880</v>
          </cell>
          <cell r="AE811">
            <v>0</v>
          </cell>
          <cell r="AF811">
            <v>14880</v>
          </cell>
          <cell r="AG811" t="str">
            <v>C</v>
          </cell>
          <cell r="AH811" t="str">
            <v>ENGR. MICHAEL C. SALARDA
MS. LEONARDA M. LATOR
MS. CARMENCITA VALDEZ
MS. SORAYA P. VERGARA</v>
          </cell>
          <cell r="AI811" t="str">
            <v>N/A</v>
          </cell>
          <cell r="AJ811" t="str">
            <v>N/A</v>
          </cell>
          <cell r="AK811" t="str">
            <v>N/A</v>
          </cell>
          <cell r="AL811" t="str">
            <v>N/A</v>
          </cell>
          <cell r="AM811" t="str">
            <v>N/A</v>
          </cell>
          <cell r="AN811" t="str">
            <v>N/A</v>
          </cell>
          <cell r="AO811">
            <v>0</v>
          </cell>
        </row>
        <row r="812">
          <cell r="A812" t="str">
            <v>24-2379</v>
          </cell>
          <cell r="B812" t="str">
            <v>PLAQUE, FIBER GLASS</v>
          </cell>
          <cell r="C812" t="str">
            <v>SEF</v>
          </cell>
          <cell r="D812" t="str">
            <v>No</v>
          </cell>
          <cell r="E812" t="str">
            <v>NP-53.9 - Small Value Procurement</v>
          </cell>
          <cell r="F812" t="str">
            <v>N/A</v>
          </cell>
          <cell r="G812">
            <v>45434</v>
          </cell>
          <cell r="H812">
            <v>0</v>
          </cell>
          <cell r="I812" t="str">
            <v>N/A</v>
          </cell>
          <cell r="J812">
            <v>45446</v>
          </cell>
          <cell r="K812">
            <v>45446</v>
          </cell>
          <cell r="L812">
            <v>0</v>
          </cell>
          <cell r="M812" t="str">
            <v>N/A</v>
          </cell>
          <cell r="N812" t="str">
            <v>N/A</v>
          </cell>
          <cell r="O812">
            <v>45450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45454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9000</v>
          </cell>
          <cell r="AB812">
            <v>0</v>
          </cell>
          <cell r="AC812">
            <v>9000</v>
          </cell>
          <cell r="AD812">
            <v>9000</v>
          </cell>
          <cell r="AE812">
            <v>0</v>
          </cell>
          <cell r="AF812">
            <v>9000</v>
          </cell>
          <cell r="AG812" t="str">
            <v>C</v>
          </cell>
          <cell r="AH812" t="str">
            <v>ENGR. MICHAEL C. SALARDA
MS. LEONARDA M. LATOR
MS. CARMENCITA VALDEZ
MS. SORAYA P. VERGARA</v>
          </cell>
          <cell r="AI812" t="str">
            <v>N/A</v>
          </cell>
          <cell r="AJ812" t="str">
            <v>N/A</v>
          </cell>
          <cell r="AK812" t="str">
            <v>N/A</v>
          </cell>
          <cell r="AL812" t="str">
            <v>N/A</v>
          </cell>
          <cell r="AM812" t="str">
            <v>N/A</v>
          </cell>
          <cell r="AN812" t="str">
            <v>N/A</v>
          </cell>
          <cell r="AO812">
            <v>0</v>
          </cell>
        </row>
        <row r="813">
          <cell r="A813" t="str">
            <v>24-2275</v>
          </cell>
          <cell r="B813" t="str">
            <v>SPAREPARTS (LIGHT
VEHICLES)</v>
          </cell>
          <cell r="C813" t="str">
            <v>PGSO</v>
          </cell>
          <cell r="D813" t="str">
            <v>No</v>
          </cell>
          <cell r="E813" t="str">
            <v>NP-53.9 - Small Value Procurement</v>
          </cell>
          <cell r="F813">
            <v>45390</v>
          </cell>
          <cell r="G813">
            <v>45397</v>
          </cell>
          <cell r="H813">
            <v>0</v>
          </cell>
          <cell r="I813" t="str">
            <v>N/A</v>
          </cell>
          <cell r="J813">
            <v>45446</v>
          </cell>
          <cell r="K813">
            <v>45446</v>
          </cell>
          <cell r="L813">
            <v>0</v>
          </cell>
          <cell r="M813" t="str">
            <v>N/A</v>
          </cell>
          <cell r="N813" t="str">
            <v>N/A</v>
          </cell>
          <cell r="O813">
            <v>45450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45454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73090</v>
          </cell>
          <cell r="AB813">
            <v>73090</v>
          </cell>
          <cell r="AC813">
            <v>0</v>
          </cell>
          <cell r="AD813">
            <v>73090</v>
          </cell>
          <cell r="AE813">
            <v>73090</v>
          </cell>
          <cell r="AF813">
            <v>0</v>
          </cell>
          <cell r="AG813" t="str">
            <v>M</v>
          </cell>
          <cell r="AH813" t="str">
            <v>ENGR. MICHAEL C. SALARDA
MS. LEONARDA M. LATOR
MS. CARMENCITA VALDEZ
MS. SORAYA P. VERGARA</v>
          </cell>
          <cell r="AI813" t="str">
            <v>N/A</v>
          </cell>
          <cell r="AJ813" t="str">
            <v>N/A</v>
          </cell>
          <cell r="AK813" t="str">
            <v>N/A</v>
          </cell>
          <cell r="AL813" t="str">
            <v>N/A</v>
          </cell>
          <cell r="AM813" t="str">
            <v>N/A</v>
          </cell>
          <cell r="AN813" t="str">
            <v>N/A</v>
          </cell>
          <cell r="AO813">
            <v>0</v>
          </cell>
        </row>
        <row r="814">
          <cell r="A814" t="str">
            <v>24-C1325</v>
          </cell>
          <cell r="B814" t="str">
            <v>ELECTRICAL SUPPLIES</v>
          </cell>
          <cell r="C814" t="str">
            <v>PEEMO</v>
          </cell>
          <cell r="D814" t="str">
            <v>No</v>
          </cell>
          <cell r="E814" t="str">
            <v>NP-53.9 - Small Value Procurement</v>
          </cell>
          <cell r="F814" t="str">
            <v>N/A</v>
          </cell>
          <cell r="G814">
            <v>45397</v>
          </cell>
          <cell r="H814">
            <v>0</v>
          </cell>
          <cell r="I814" t="str">
            <v>N/A</v>
          </cell>
          <cell r="J814">
            <v>45446</v>
          </cell>
          <cell r="K814">
            <v>45446</v>
          </cell>
          <cell r="L814">
            <v>0</v>
          </cell>
          <cell r="M814" t="str">
            <v>N/A</v>
          </cell>
          <cell r="N814" t="str">
            <v>N/A</v>
          </cell>
          <cell r="O814">
            <v>45450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45454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67485</v>
          </cell>
          <cell r="AB814">
            <v>67485</v>
          </cell>
          <cell r="AC814">
            <v>0</v>
          </cell>
          <cell r="AD814">
            <v>61250</v>
          </cell>
          <cell r="AE814">
            <v>61250</v>
          </cell>
          <cell r="AF814">
            <v>0</v>
          </cell>
          <cell r="AG814" t="str">
            <v>M</v>
          </cell>
          <cell r="AH814" t="str">
            <v>ENGR. MICHAEL C. SALARDA
MS. LEONARDA M. LATOR
MS. CARMENCITA VALDEZ
MS. SORAYA P. VERGARA</v>
          </cell>
          <cell r="AI814" t="str">
            <v>N/A</v>
          </cell>
          <cell r="AJ814" t="str">
            <v>N/A</v>
          </cell>
          <cell r="AK814" t="str">
            <v>N/A</v>
          </cell>
          <cell r="AL814" t="str">
            <v>N/A</v>
          </cell>
          <cell r="AM814" t="str">
            <v>N/A</v>
          </cell>
          <cell r="AN814" t="str">
            <v>N/A</v>
          </cell>
          <cell r="AO814">
            <v>0</v>
          </cell>
        </row>
        <row r="815">
          <cell r="A815" t="str">
            <v>24-0870</v>
          </cell>
          <cell r="B815" t="str">
            <v>TROLLEY SPEAKER,
PORTABLE</v>
          </cell>
          <cell r="C815" t="str">
            <v>PAGRO</v>
          </cell>
          <cell r="D815" t="str">
            <v>No</v>
          </cell>
          <cell r="E815" t="str">
            <v>NP-53.9 - Small Value Procurement</v>
          </cell>
          <cell r="F815" t="str">
            <v>N/A</v>
          </cell>
          <cell r="G815">
            <v>45397</v>
          </cell>
          <cell r="H815">
            <v>0</v>
          </cell>
          <cell r="I815" t="str">
            <v>N/A</v>
          </cell>
          <cell r="J815">
            <v>45446</v>
          </cell>
          <cell r="K815">
            <v>45446</v>
          </cell>
          <cell r="L815">
            <v>0</v>
          </cell>
          <cell r="M815" t="str">
            <v>N/A</v>
          </cell>
          <cell r="N815" t="str">
            <v>N/A</v>
          </cell>
          <cell r="O815">
            <v>45450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45454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33600</v>
          </cell>
          <cell r="AB815">
            <v>0</v>
          </cell>
          <cell r="AC815">
            <v>33600</v>
          </cell>
          <cell r="AD815">
            <v>33600</v>
          </cell>
          <cell r="AE815">
            <v>0</v>
          </cell>
          <cell r="AF815">
            <v>33600</v>
          </cell>
          <cell r="AG815" t="str">
            <v>C</v>
          </cell>
          <cell r="AH815" t="str">
            <v>ENGR. MICHAEL C. SALARDA
MS. LEONARDA M. LATOR
MS. CARMENCITA VALDEZ
MS. SORAYA P. VERGARA</v>
          </cell>
          <cell r="AI815" t="str">
            <v>N/A</v>
          </cell>
          <cell r="AJ815" t="str">
            <v>N/A</v>
          </cell>
          <cell r="AK815" t="str">
            <v>N/A</v>
          </cell>
          <cell r="AL815" t="str">
            <v>N/A</v>
          </cell>
          <cell r="AM815" t="str">
            <v>N/A</v>
          </cell>
          <cell r="AN815" t="str">
            <v>N/A</v>
          </cell>
          <cell r="AO815">
            <v>0</v>
          </cell>
        </row>
        <row r="816">
          <cell r="A816" t="str">
            <v>24-1462</v>
          </cell>
          <cell r="B816" t="str">
            <v>JOB ORDER: LABOR,
MATERIALS &amp;
INSTALLATION OFFICE
NAMEPLATE</v>
          </cell>
          <cell r="C816" t="str">
            <v>PGO</v>
          </cell>
          <cell r="D816" t="str">
            <v>No</v>
          </cell>
          <cell r="E816" t="str">
            <v>NP-53.9 - Small Value Procurement</v>
          </cell>
          <cell r="F816" t="str">
            <v>N/A</v>
          </cell>
          <cell r="G816">
            <v>45385</v>
          </cell>
          <cell r="H816">
            <v>0</v>
          </cell>
          <cell r="I816" t="str">
            <v>N/A</v>
          </cell>
          <cell r="J816">
            <v>45446</v>
          </cell>
          <cell r="K816">
            <v>45446</v>
          </cell>
          <cell r="L816">
            <v>0</v>
          </cell>
          <cell r="M816" t="str">
            <v>N/A</v>
          </cell>
          <cell r="N816" t="str">
            <v>N/A</v>
          </cell>
          <cell r="O816">
            <v>45450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45454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45000</v>
          </cell>
          <cell r="AB816">
            <v>0</v>
          </cell>
          <cell r="AC816">
            <v>45000</v>
          </cell>
          <cell r="AD816">
            <v>45000</v>
          </cell>
          <cell r="AE816">
            <v>0</v>
          </cell>
          <cell r="AF816">
            <v>45000</v>
          </cell>
          <cell r="AG816" t="str">
            <v>C</v>
          </cell>
          <cell r="AH816" t="str">
            <v>ENGR. MICHAEL C. SALARDA
MS. LEONARDA M. LATOR
MS. CARMENCITA VALDEZ
MS. SORAYA P. VERGARA</v>
          </cell>
          <cell r="AI816" t="str">
            <v>N/A</v>
          </cell>
          <cell r="AJ816" t="str">
            <v>N/A</v>
          </cell>
          <cell r="AK816" t="str">
            <v>N/A</v>
          </cell>
          <cell r="AL816" t="str">
            <v>N/A</v>
          </cell>
          <cell r="AM816" t="str">
            <v>N/A</v>
          </cell>
          <cell r="AN816" t="str">
            <v>N/A</v>
          </cell>
          <cell r="AO816">
            <v>0</v>
          </cell>
        </row>
        <row r="817">
          <cell r="A817" t="str">
            <v>24-2416</v>
          </cell>
          <cell r="B817" t="str">
            <v>TARPAULIN</v>
          </cell>
          <cell r="C817" t="str">
            <v>PAO-ADMIN</v>
          </cell>
          <cell r="D817" t="str">
            <v>No</v>
          </cell>
          <cell r="E817" t="str">
            <v>NP-53.9 - Small Value Procurement</v>
          </cell>
          <cell r="F817" t="str">
            <v>N/A</v>
          </cell>
          <cell r="G817">
            <v>45436</v>
          </cell>
          <cell r="H817">
            <v>0</v>
          </cell>
          <cell r="I817" t="str">
            <v>N/A</v>
          </cell>
          <cell r="J817">
            <v>45446</v>
          </cell>
          <cell r="K817">
            <v>45446</v>
          </cell>
          <cell r="L817">
            <v>0</v>
          </cell>
          <cell r="M817" t="str">
            <v>N/A</v>
          </cell>
          <cell r="N817" t="str">
            <v>N/A</v>
          </cell>
          <cell r="O817">
            <v>45450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45454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7476</v>
          </cell>
          <cell r="AB817">
            <v>7476</v>
          </cell>
          <cell r="AC817">
            <v>0</v>
          </cell>
          <cell r="AD817">
            <v>7476</v>
          </cell>
          <cell r="AE817">
            <v>7476</v>
          </cell>
          <cell r="AF817">
            <v>0</v>
          </cell>
          <cell r="AG817" t="str">
            <v>M</v>
          </cell>
          <cell r="AH817" t="str">
            <v>ENGR. MICHAEL C. SALARDA
MS. LEONARDA M. LATOR
MS. CARMENCITA VALDEZ
MS. SORAYA P. VERGARA</v>
          </cell>
          <cell r="AI817" t="str">
            <v>N/A</v>
          </cell>
          <cell r="AJ817" t="str">
            <v>N/A</v>
          </cell>
          <cell r="AK817" t="str">
            <v>N/A</v>
          </cell>
          <cell r="AL817" t="str">
            <v>N/A</v>
          </cell>
          <cell r="AM817" t="str">
            <v>N/A</v>
          </cell>
          <cell r="AN817" t="str">
            <v>N/A</v>
          </cell>
          <cell r="AO817">
            <v>0</v>
          </cell>
        </row>
        <row r="818">
          <cell r="A818" t="str">
            <v>24-C1269</v>
          </cell>
          <cell r="B818" t="str">
            <v>OFFICE SUPPLIES</v>
          </cell>
          <cell r="C818" t="str">
            <v>PHO</v>
          </cell>
          <cell r="D818" t="str">
            <v>No</v>
          </cell>
          <cell r="E818" t="str">
            <v>Shopping 52.1(b) - Regular Office Supplies and Equipment no available in PS</v>
          </cell>
          <cell r="F818" t="str">
            <v>N/A</v>
          </cell>
          <cell r="G818">
            <v>45397</v>
          </cell>
          <cell r="H818">
            <v>0</v>
          </cell>
          <cell r="I818" t="str">
            <v>N/A</v>
          </cell>
          <cell r="J818">
            <v>45446</v>
          </cell>
          <cell r="K818">
            <v>45446</v>
          </cell>
          <cell r="L818">
            <v>0</v>
          </cell>
          <cell r="M818" t="str">
            <v>N/A</v>
          </cell>
          <cell r="N818" t="str">
            <v>N/A</v>
          </cell>
          <cell r="O818">
            <v>45450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45454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25448</v>
          </cell>
          <cell r="AB818">
            <v>0</v>
          </cell>
          <cell r="AC818">
            <v>25448</v>
          </cell>
          <cell r="AD818">
            <v>25448</v>
          </cell>
          <cell r="AE818">
            <v>0</v>
          </cell>
          <cell r="AF818">
            <v>25448</v>
          </cell>
          <cell r="AG818" t="str">
            <v>C</v>
          </cell>
          <cell r="AH818" t="str">
            <v>ENGR. MICHAEL C. SALARDA
MS. LEONARDA M. LATOR
MS. CARMENCITA VALDEZ
MS. SORAYA P. VERGARA</v>
          </cell>
          <cell r="AI818" t="str">
            <v>N/A</v>
          </cell>
          <cell r="AJ818" t="str">
            <v>N/A</v>
          </cell>
          <cell r="AK818" t="str">
            <v>N/A</v>
          </cell>
          <cell r="AL818" t="str">
            <v>N/A</v>
          </cell>
          <cell r="AM818" t="str">
            <v>N/A</v>
          </cell>
          <cell r="AN818" t="str">
            <v>N/A</v>
          </cell>
          <cell r="AO818">
            <v>0</v>
          </cell>
        </row>
        <row r="819">
          <cell r="A819" t="str">
            <v>24-2946</v>
          </cell>
          <cell r="B819" t="str">
            <v>OFFICE SUPPLIES</v>
          </cell>
          <cell r="C819" t="str">
            <v>PGO</v>
          </cell>
          <cell r="D819" t="str">
            <v>No</v>
          </cell>
          <cell r="E819" t="str">
            <v>Shopping 52.1(b) - Regular Office Supplies and Equipment no available in PS</v>
          </cell>
          <cell r="F819" t="str">
            <v>N/A</v>
          </cell>
          <cell r="G819">
            <v>45442</v>
          </cell>
          <cell r="H819">
            <v>0</v>
          </cell>
          <cell r="I819" t="str">
            <v>N/A</v>
          </cell>
          <cell r="J819">
            <v>45446</v>
          </cell>
          <cell r="K819">
            <v>45446</v>
          </cell>
          <cell r="L819">
            <v>0</v>
          </cell>
          <cell r="M819" t="str">
            <v>N/A</v>
          </cell>
          <cell r="N819" t="str">
            <v>N/A</v>
          </cell>
          <cell r="O819">
            <v>45450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45454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2958</v>
          </cell>
          <cell r="AB819">
            <v>2958</v>
          </cell>
          <cell r="AC819">
            <v>0</v>
          </cell>
          <cell r="AD819">
            <v>2905</v>
          </cell>
          <cell r="AE819">
            <v>2905</v>
          </cell>
          <cell r="AF819">
            <v>0</v>
          </cell>
          <cell r="AG819" t="str">
            <v>M</v>
          </cell>
          <cell r="AH819" t="str">
            <v>ENGR. MICHAEL C. SALARDA
MS. LEONARDA M. LATOR
MS. CARMENCITA VALDEZ
MS. SORAYA P. VERGARA</v>
          </cell>
          <cell r="AI819" t="str">
            <v>N/A</v>
          </cell>
          <cell r="AJ819" t="str">
            <v>N/A</v>
          </cell>
          <cell r="AK819" t="str">
            <v>N/A</v>
          </cell>
          <cell r="AL819" t="str">
            <v>N/A</v>
          </cell>
          <cell r="AM819" t="str">
            <v>N/A</v>
          </cell>
          <cell r="AN819" t="str">
            <v>N/A</v>
          </cell>
          <cell r="AO819">
            <v>0</v>
          </cell>
        </row>
        <row r="820">
          <cell r="A820" t="str">
            <v>24-C1313</v>
          </cell>
          <cell r="B820" t="str">
            <v>ACETYLENE REFILL</v>
          </cell>
          <cell r="C820" t="str">
            <v>PAGRO</v>
          </cell>
          <cell r="D820" t="str">
            <v>No</v>
          </cell>
          <cell r="E820" t="str">
            <v>Direct Contracting</v>
          </cell>
          <cell r="F820">
            <v>45398</v>
          </cell>
          <cell r="G820">
            <v>45404</v>
          </cell>
          <cell r="H820">
            <v>0</v>
          </cell>
          <cell r="I820" t="str">
            <v>N/A</v>
          </cell>
          <cell r="J820">
            <v>45454</v>
          </cell>
          <cell r="K820">
            <v>45454</v>
          </cell>
          <cell r="L820">
            <v>0</v>
          </cell>
          <cell r="M820" t="str">
            <v>N/A</v>
          </cell>
          <cell r="N820" t="str">
            <v>N/A</v>
          </cell>
          <cell r="O820">
            <v>45464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48620</v>
          </cell>
          <cell r="AB820">
            <v>48620</v>
          </cell>
          <cell r="AC820">
            <v>0</v>
          </cell>
          <cell r="AD820">
            <v>24540</v>
          </cell>
          <cell r="AE820">
            <v>24540</v>
          </cell>
          <cell r="AF820">
            <v>0</v>
          </cell>
          <cell r="AG820" t="str">
            <v>M</v>
          </cell>
          <cell r="AH820" t="str">
            <v>ENGR. MICHAEL C. SALARDA
MS. LEONARDA M. LATOR
MS. CARMENCITA VALDEZ
MS. SORAYA P. VERGARA</v>
          </cell>
          <cell r="AI820" t="str">
            <v>N/A</v>
          </cell>
          <cell r="AJ820" t="str">
            <v>N/A</v>
          </cell>
          <cell r="AK820" t="str">
            <v>N/A</v>
          </cell>
          <cell r="AL820" t="str">
            <v>N/A</v>
          </cell>
          <cell r="AM820" t="str">
            <v>N/A</v>
          </cell>
          <cell r="AN820" t="str">
            <v>N/A</v>
          </cell>
          <cell r="AO820">
            <v>0</v>
          </cell>
        </row>
        <row r="821">
          <cell r="A821" t="str">
            <v>24-2141</v>
          </cell>
          <cell r="B821" t="str">
            <v>TONER FOR MP 2555SP-
GESTETNER</v>
          </cell>
          <cell r="C821" t="str">
            <v>SEF</v>
          </cell>
          <cell r="D821" t="str">
            <v>No</v>
          </cell>
          <cell r="E821" t="str">
            <v>Direct Contracting</v>
          </cell>
          <cell r="F821">
            <v>45440</v>
          </cell>
          <cell r="G821">
            <v>45442</v>
          </cell>
          <cell r="H821">
            <v>0</v>
          </cell>
          <cell r="I821" t="str">
            <v>N/A</v>
          </cell>
          <cell r="J821">
            <v>45454</v>
          </cell>
          <cell r="K821">
            <v>45454</v>
          </cell>
          <cell r="L821">
            <v>0</v>
          </cell>
          <cell r="M821" t="str">
            <v>N/A</v>
          </cell>
          <cell r="N821" t="str">
            <v>N/A</v>
          </cell>
          <cell r="O821">
            <v>45464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6023</v>
          </cell>
          <cell r="AB821">
            <v>6023</v>
          </cell>
          <cell r="AC821">
            <v>0</v>
          </cell>
          <cell r="AD821">
            <v>6023</v>
          </cell>
          <cell r="AE821">
            <v>6023</v>
          </cell>
          <cell r="AF821">
            <v>0</v>
          </cell>
          <cell r="AG821" t="str">
            <v>C</v>
          </cell>
          <cell r="AH821" t="str">
            <v>ENGR. MICHAEL C. SALARDA
MS. LEONARDA M. LATOR
MS. CARMENCITA VALDEZ
MS. SORAYA P. VERGARA</v>
          </cell>
          <cell r="AI821" t="str">
            <v>N/A</v>
          </cell>
          <cell r="AJ821" t="str">
            <v>N/A</v>
          </cell>
          <cell r="AK821" t="str">
            <v>N/A</v>
          </cell>
          <cell r="AL821" t="str">
            <v>N/A</v>
          </cell>
          <cell r="AM821" t="str">
            <v>N/A</v>
          </cell>
          <cell r="AN821" t="str">
            <v>N/A</v>
          </cell>
          <cell r="AO821">
            <v>0</v>
          </cell>
        </row>
        <row r="822">
          <cell r="A822" t="str">
            <v>24-2854</v>
          </cell>
          <cell r="B822" t="str">
            <v>SPAREPARTS (LIGHT
VEHICLES)</v>
          </cell>
          <cell r="C822" t="str">
            <v>PGSO</v>
          </cell>
          <cell r="D822" t="str">
            <v>No</v>
          </cell>
          <cell r="E822" t="str">
            <v>Shopping 52.1(a) - Unforeseen Contingency</v>
          </cell>
          <cell r="F822" t="str">
            <v>N/A</v>
          </cell>
          <cell r="G822">
            <v>45442</v>
          </cell>
          <cell r="H822">
            <v>0</v>
          </cell>
          <cell r="I822" t="str">
            <v>N/A</v>
          </cell>
          <cell r="J822">
            <v>45454</v>
          </cell>
          <cell r="K822">
            <v>45454</v>
          </cell>
          <cell r="L822">
            <v>0</v>
          </cell>
          <cell r="M822" t="str">
            <v>N/A</v>
          </cell>
          <cell r="N822" t="str">
            <v>N/A</v>
          </cell>
          <cell r="O822">
            <v>45464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69300</v>
          </cell>
          <cell r="AB822">
            <v>69300</v>
          </cell>
          <cell r="AC822">
            <v>0</v>
          </cell>
          <cell r="AD822">
            <v>69300</v>
          </cell>
          <cell r="AE822">
            <v>69300</v>
          </cell>
          <cell r="AF822">
            <v>0</v>
          </cell>
          <cell r="AG822" t="str">
            <v>M</v>
          </cell>
          <cell r="AH822" t="str">
            <v>ENGR. MICHAEL C. SALARDA
MS. LEONARDA M. LATOR
MS. CARMENCITA VALDEZ
MS. SORAYA P. VERGARA</v>
          </cell>
          <cell r="AI822" t="str">
            <v>N/A</v>
          </cell>
          <cell r="AJ822" t="str">
            <v>N/A</v>
          </cell>
          <cell r="AK822" t="str">
            <v>N/A</v>
          </cell>
          <cell r="AL822" t="str">
            <v>N/A</v>
          </cell>
          <cell r="AM822" t="str">
            <v>N/A</v>
          </cell>
          <cell r="AN822" t="str">
            <v>N/A</v>
          </cell>
          <cell r="AO822">
            <v>0</v>
          </cell>
        </row>
        <row r="823">
          <cell r="A823" t="str">
            <v>24-2855</v>
          </cell>
          <cell r="B823" t="str">
            <v>SPAREPARTS (LIGHT
VEHICLES)</v>
          </cell>
          <cell r="C823" t="str">
            <v>PGSO</v>
          </cell>
          <cell r="D823" t="str">
            <v>No</v>
          </cell>
          <cell r="E823" t="str">
            <v>Shopping 52.1(a) - Unforeseen Contingency</v>
          </cell>
          <cell r="F823" t="str">
            <v>N/A</v>
          </cell>
          <cell r="G823">
            <v>45442</v>
          </cell>
          <cell r="H823">
            <v>0</v>
          </cell>
          <cell r="I823" t="str">
            <v>N/A</v>
          </cell>
          <cell r="J823">
            <v>45454</v>
          </cell>
          <cell r="K823">
            <v>45454</v>
          </cell>
          <cell r="L823">
            <v>0</v>
          </cell>
          <cell r="M823" t="str">
            <v>N/A</v>
          </cell>
          <cell r="N823" t="str">
            <v>N/A</v>
          </cell>
          <cell r="O823">
            <v>45464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36200</v>
          </cell>
          <cell r="AB823">
            <v>36200</v>
          </cell>
          <cell r="AC823">
            <v>0</v>
          </cell>
          <cell r="AD823">
            <v>36200</v>
          </cell>
          <cell r="AE823">
            <v>36200</v>
          </cell>
          <cell r="AF823">
            <v>0</v>
          </cell>
          <cell r="AG823" t="str">
            <v>M</v>
          </cell>
          <cell r="AH823" t="str">
            <v>ENGR. MICHAEL C. SALARDA
MS. LEONARDA M. LATOR
MS. CARMENCITA VALDEZ
MS. SORAYA P. VERGARA</v>
          </cell>
          <cell r="AI823" t="str">
            <v>N/A</v>
          </cell>
          <cell r="AJ823" t="str">
            <v>N/A</v>
          </cell>
          <cell r="AK823" t="str">
            <v>N/A</v>
          </cell>
          <cell r="AL823" t="str">
            <v>N/A</v>
          </cell>
          <cell r="AM823" t="str">
            <v>N/A</v>
          </cell>
          <cell r="AN823" t="str">
            <v>N/A</v>
          </cell>
          <cell r="AO823">
            <v>0</v>
          </cell>
        </row>
        <row r="824">
          <cell r="A824" t="str">
            <v>24-2607</v>
          </cell>
          <cell r="B824" t="str">
            <v>SPAREPARTS (LIGHT
VEHICLES)</v>
          </cell>
          <cell r="C824" t="str">
            <v>DDOPH-Montevista</v>
          </cell>
          <cell r="D824" t="str">
            <v>No</v>
          </cell>
          <cell r="E824" t="str">
            <v>Shopping 52.1(a) - Unforeseen Contingency</v>
          </cell>
          <cell r="F824" t="str">
            <v>N/A</v>
          </cell>
          <cell r="G824">
            <v>45442</v>
          </cell>
          <cell r="H824">
            <v>0</v>
          </cell>
          <cell r="I824" t="str">
            <v>N/A</v>
          </cell>
          <cell r="J824">
            <v>45454</v>
          </cell>
          <cell r="K824">
            <v>45454</v>
          </cell>
          <cell r="L824">
            <v>0</v>
          </cell>
          <cell r="M824" t="str">
            <v>N/A</v>
          </cell>
          <cell r="N824" t="str">
            <v>N/A</v>
          </cell>
          <cell r="O824">
            <v>45464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45463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23600</v>
          </cell>
          <cell r="AB824">
            <v>23600</v>
          </cell>
          <cell r="AC824">
            <v>0</v>
          </cell>
          <cell r="AD824">
            <v>23600</v>
          </cell>
          <cell r="AE824">
            <v>23600</v>
          </cell>
          <cell r="AF824">
            <v>0</v>
          </cell>
          <cell r="AG824" t="str">
            <v>M</v>
          </cell>
          <cell r="AH824" t="str">
            <v>ENGR. MICHAEL C. SALARDA
MS. LEONARDA M. LATOR
MS. CARMENCITA VALDEZ
MS. SORAYA P. VERGARA</v>
          </cell>
          <cell r="AI824" t="str">
            <v>N/A</v>
          </cell>
          <cell r="AJ824" t="str">
            <v>N/A</v>
          </cell>
          <cell r="AK824" t="str">
            <v>N/A</v>
          </cell>
          <cell r="AL824" t="str">
            <v>N/A</v>
          </cell>
          <cell r="AM824" t="str">
            <v>N/A</v>
          </cell>
          <cell r="AN824" t="str">
            <v>N/A</v>
          </cell>
          <cell r="AO824">
            <v>0</v>
          </cell>
        </row>
        <row r="825">
          <cell r="A825" t="str">
            <v>24-3050</v>
          </cell>
          <cell r="B825" t="str">
            <v>SPAREPARTS (MOTOR
CYCLE)</v>
          </cell>
          <cell r="C825" t="str">
            <v>PGSO</v>
          </cell>
          <cell r="D825" t="str">
            <v>No</v>
          </cell>
          <cell r="E825" t="str">
            <v>Shopping 52.1(a) - Unforeseen Contingency</v>
          </cell>
          <cell r="F825" t="str">
            <v>N/A</v>
          </cell>
          <cell r="G825">
            <v>45448</v>
          </cell>
          <cell r="H825">
            <v>0</v>
          </cell>
          <cell r="I825" t="str">
            <v>N/A</v>
          </cell>
          <cell r="J825">
            <v>45454</v>
          </cell>
          <cell r="K825">
            <v>45454</v>
          </cell>
          <cell r="L825">
            <v>0</v>
          </cell>
          <cell r="M825" t="str">
            <v>N/A</v>
          </cell>
          <cell r="N825" t="str">
            <v>N/A</v>
          </cell>
          <cell r="O825">
            <v>45464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3150</v>
          </cell>
          <cell r="AB825">
            <v>3150</v>
          </cell>
          <cell r="AC825">
            <v>0</v>
          </cell>
          <cell r="AD825">
            <v>3150</v>
          </cell>
          <cell r="AE825">
            <v>3150</v>
          </cell>
          <cell r="AF825">
            <v>0</v>
          </cell>
          <cell r="AG825" t="str">
            <v>M</v>
          </cell>
          <cell r="AH825" t="str">
            <v>ENGR. MICHAEL C. SALARDA
MS. LEONARDA M. LATOR
MS. CARMENCITA VALDEZ
MS. SORAYA P. VERGARA</v>
          </cell>
          <cell r="AI825" t="str">
            <v>N/A</v>
          </cell>
          <cell r="AJ825" t="str">
            <v>N/A</v>
          </cell>
          <cell r="AK825" t="str">
            <v>N/A</v>
          </cell>
          <cell r="AL825" t="str">
            <v>N/A</v>
          </cell>
          <cell r="AM825" t="str">
            <v>N/A</v>
          </cell>
          <cell r="AN825" t="str">
            <v>N/A</v>
          </cell>
          <cell r="AO825">
            <v>0</v>
          </cell>
        </row>
        <row r="826">
          <cell r="A826" t="str">
            <v>24-3092</v>
          </cell>
          <cell r="B826" t="str">
            <v>SPAREPARTS (LIGHT
VEHICLES)</v>
          </cell>
          <cell r="C826" t="str">
            <v>PGSO</v>
          </cell>
          <cell r="D826" t="str">
            <v>No</v>
          </cell>
          <cell r="E826" t="str">
            <v>Shopping 52.1(a) - Unforeseen Contingency</v>
          </cell>
          <cell r="F826" t="str">
            <v>N/A</v>
          </cell>
          <cell r="G826">
            <v>45448</v>
          </cell>
          <cell r="H826">
            <v>0</v>
          </cell>
          <cell r="I826" t="str">
            <v>N/A</v>
          </cell>
          <cell r="J826">
            <v>45454</v>
          </cell>
          <cell r="K826">
            <v>45454</v>
          </cell>
          <cell r="L826">
            <v>0</v>
          </cell>
          <cell r="M826" t="str">
            <v>N/A</v>
          </cell>
          <cell r="N826" t="str">
            <v>N/A</v>
          </cell>
          <cell r="O826">
            <v>45464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101250</v>
          </cell>
          <cell r="AB826">
            <v>101250</v>
          </cell>
          <cell r="AC826">
            <v>0</v>
          </cell>
          <cell r="AD826">
            <v>101250</v>
          </cell>
          <cell r="AE826">
            <v>101250</v>
          </cell>
          <cell r="AF826">
            <v>0</v>
          </cell>
          <cell r="AG826" t="str">
            <v>M</v>
          </cell>
          <cell r="AH826" t="str">
            <v>ENGR. MICHAEL C. SALARDA
MS. LEONARDA M. LATOR
MS. CARMENCITA VALDEZ
MS. SORAYA P. VERGARA</v>
          </cell>
          <cell r="AI826" t="str">
            <v>N/A</v>
          </cell>
          <cell r="AJ826" t="str">
            <v>N/A</v>
          </cell>
          <cell r="AK826" t="str">
            <v>N/A</v>
          </cell>
          <cell r="AL826" t="str">
            <v>N/A</v>
          </cell>
          <cell r="AM826" t="str">
            <v>N/A</v>
          </cell>
          <cell r="AN826" t="str">
            <v>N/A</v>
          </cell>
          <cell r="AO826">
            <v>0</v>
          </cell>
        </row>
        <row r="827">
          <cell r="A827" t="str">
            <v>24-3049</v>
          </cell>
          <cell r="B827" t="str">
            <v>SPAREPARTS (MOTOR
CYCLE)</v>
          </cell>
          <cell r="C827" t="str">
            <v>PGSO</v>
          </cell>
          <cell r="D827" t="str">
            <v>No</v>
          </cell>
          <cell r="E827" t="str">
            <v>Shopping 52.1(a) - Unforeseen Contingency</v>
          </cell>
          <cell r="F827" t="str">
            <v>N/A</v>
          </cell>
          <cell r="G827">
            <v>45448</v>
          </cell>
          <cell r="H827">
            <v>0</v>
          </cell>
          <cell r="I827" t="str">
            <v>N/A</v>
          </cell>
          <cell r="J827">
            <v>45454</v>
          </cell>
          <cell r="K827">
            <v>45454</v>
          </cell>
          <cell r="L827">
            <v>0</v>
          </cell>
          <cell r="M827" t="str">
            <v>N/A</v>
          </cell>
          <cell r="N827" t="str">
            <v>N/A</v>
          </cell>
          <cell r="O827">
            <v>45464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5850</v>
          </cell>
          <cell r="AB827">
            <v>5850</v>
          </cell>
          <cell r="AC827">
            <v>0</v>
          </cell>
          <cell r="AD827">
            <v>5850</v>
          </cell>
          <cell r="AE827">
            <v>5850</v>
          </cell>
          <cell r="AF827">
            <v>0</v>
          </cell>
          <cell r="AG827" t="str">
            <v>M</v>
          </cell>
          <cell r="AH827" t="str">
            <v>ENGR. MICHAEL C. SALARDA
MS. LEONARDA M. LATOR
MS. CARMENCITA VALDEZ
MS. SORAYA P. VERGARA</v>
          </cell>
          <cell r="AI827" t="str">
            <v>N/A</v>
          </cell>
          <cell r="AJ827" t="str">
            <v>N/A</v>
          </cell>
          <cell r="AK827" t="str">
            <v>N/A</v>
          </cell>
          <cell r="AL827" t="str">
            <v>N/A</v>
          </cell>
          <cell r="AM827" t="str">
            <v>N/A</v>
          </cell>
          <cell r="AN827" t="str">
            <v>N/A</v>
          </cell>
          <cell r="AO827">
            <v>0</v>
          </cell>
        </row>
        <row r="828">
          <cell r="A828" t="str">
            <v>24-3051</v>
          </cell>
          <cell r="B828" t="str">
            <v>SPAREPARTS (MOTOR
CYCLE)</v>
          </cell>
          <cell r="C828" t="str">
            <v>PGSO</v>
          </cell>
          <cell r="D828" t="str">
            <v>No</v>
          </cell>
          <cell r="E828" t="str">
            <v>Shopping 52.1(a) - Unforeseen Contingency</v>
          </cell>
          <cell r="F828" t="str">
            <v>N/A</v>
          </cell>
          <cell r="G828">
            <v>45448</v>
          </cell>
          <cell r="H828">
            <v>0</v>
          </cell>
          <cell r="I828" t="str">
            <v>N/A</v>
          </cell>
          <cell r="J828">
            <v>45454</v>
          </cell>
          <cell r="K828">
            <v>45454</v>
          </cell>
          <cell r="L828">
            <v>0</v>
          </cell>
          <cell r="M828" t="str">
            <v>N/A</v>
          </cell>
          <cell r="N828" t="str">
            <v>N/A</v>
          </cell>
          <cell r="O828">
            <v>45464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45463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2750</v>
          </cell>
          <cell r="AB828">
            <v>2750</v>
          </cell>
          <cell r="AC828">
            <v>0</v>
          </cell>
          <cell r="AD828">
            <v>2750</v>
          </cell>
          <cell r="AE828">
            <v>2750</v>
          </cell>
          <cell r="AF828">
            <v>0</v>
          </cell>
          <cell r="AG828" t="str">
            <v>M</v>
          </cell>
          <cell r="AH828" t="str">
            <v>ENGR. MICHAEL C. SALARDA
MS. LEONARDA M. LATOR
MS. CARMENCITA VALDEZ
MS. SORAYA P. VERGARA</v>
          </cell>
          <cell r="AI828" t="str">
            <v>N/A</v>
          </cell>
          <cell r="AJ828" t="str">
            <v>N/A</v>
          </cell>
          <cell r="AK828" t="str">
            <v>N/A</v>
          </cell>
          <cell r="AL828" t="str">
            <v>N/A</v>
          </cell>
          <cell r="AM828" t="str">
            <v>N/A</v>
          </cell>
          <cell r="AN828" t="str">
            <v>N/A</v>
          </cell>
          <cell r="AO828">
            <v>0</v>
          </cell>
        </row>
        <row r="829">
          <cell r="A829" t="str">
            <v>24-2344</v>
          </cell>
          <cell r="B829" t="str">
            <v>SPAREPARTS (LIGHT
VEHICLES)</v>
          </cell>
          <cell r="C829" t="str">
            <v>PGSO</v>
          </cell>
          <cell r="D829" t="str">
            <v>No</v>
          </cell>
          <cell r="E829" t="str">
            <v>NP-53.9 - Small Value Procurement</v>
          </cell>
          <cell r="F829">
            <v>45407</v>
          </cell>
          <cell r="G829">
            <v>45412</v>
          </cell>
          <cell r="H829">
            <v>0</v>
          </cell>
          <cell r="I829" t="str">
            <v>N/A</v>
          </cell>
          <cell r="J829">
            <v>45454</v>
          </cell>
          <cell r="K829">
            <v>45454</v>
          </cell>
          <cell r="L829">
            <v>0</v>
          </cell>
          <cell r="M829" t="str">
            <v>N/A</v>
          </cell>
          <cell r="N829" t="str">
            <v>N/A</v>
          </cell>
          <cell r="O829">
            <v>45464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45463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20800</v>
          </cell>
          <cell r="AB829">
            <v>20800</v>
          </cell>
          <cell r="AC829">
            <v>0</v>
          </cell>
          <cell r="AD829">
            <v>20800</v>
          </cell>
          <cell r="AE829">
            <v>20800</v>
          </cell>
          <cell r="AF829">
            <v>0</v>
          </cell>
          <cell r="AG829" t="str">
            <v>M</v>
          </cell>
          <cell r="AH829" t="str">
            <v>ENGR. MICHAEL C. SALARDA
MS. LEONARDA M. LATOR
MS. CARMENCITA VALDEZ
MS. SORAYA P. VERGARA</v>
          </cell>
          <cell r="AI829" t="str">
            <v>N/A</v>
          </cell>
          <cell r="AJ829" t="str">
            <v>N/A</v>
          </cell>
          <cell r="AK829" t="str">
            <v>N/A</v>
          </cell>
          <cell r="AL829" t="str">
            <v>N/A</v>
          </cell>
          <cell r="AM829" t="str">
            <v>N/A</v>
          </cell>
          <cell r="AN829" t="str">
            <v>N/A</v>
          </cell>
          <cell r="AO829">
            <v>0</v>
          </cell>
        </row>
        <row r="830">
          <cell r="A830" t="str">
            <v xml:space="preserve">24-2308
</v>
          </cell>
          <cell r="B830" t="str">
            <v>SPAREPARTS (LIGHT
VEHICLES)</v>
          </cell>
          <cell r="C830" t="str">
            <v>PGSO</v>
          </cell>
          <cell r="D830" t="str">
            <v>No</v>
          </cell>
          <cell r="E830" t="str">
            <v>NP-53.9 - Small Value Procurement</v>
          </cell>
          <cell r="F830">
            <v>45407</v>
          </cell>
          <cell r="G830">
            <v>45412</v>
          </cell>
          <cell r="H830">
            <v>0</v>
          </cell>
          <cell r="I830" t="str">
            <v>N/A</v>
          </cell>
          <cell r="J830">
            <v>45454</v>
          </cell>
          <cell r="K830">
            <v>45454</v>
          </cell>
          <cell r="L830">
            <v>0</v>
          </cell>
          <cell r="M830" t="str">
            <v>N/A</v>
          </cell>
          <cell r="N830" t="str">
            <v>N/A</v>
          </cell>
          <cell r="O830">
            <v>45464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1100</v>
          </cell>
          <cell r="AB830">
            <v>1100</v>
          </cell>
          <cell r="AC830">
            <v>0</v>
          </cell>
          <cell r="AD830">
            <v>1100</v>
          </cell>
          <cell r="AE830">
            <v>1100</v>
          </cell>
          <cell r="AF830">
            <v>0</v>
          </cell>
          <cell r="AG830" t="e">
            <v>#N/A</v>
          </cell>
          <cell r="AH830" t="str">
            <v>ENGR. MICHAEL C. SALARDA
MS. LEONARDA M. LATOR
MS. CARMENCITA VALDEZ
MS. SORAYA P. VERGARA</v>
          </cell>
          <cell r="AI830" t="str">
            <v>N/A</v>
          </cell>
          <cell r="AJ830" t="str">
            <v>N/A</v>
          </cell>
          <cell r="AK830" t="str">
            <v>N/A</v>
          </cell>
          <cell r="AL830" t="str">
            <v>N/A</v>
          </cell>
          <cell r="AM830" t="str">
            <v>N/A</v>
          </cell>
          <cell r="AN830" t="str">
            <v>N/A</v>
          </cell>
          <cell r="AO830">
            <v>0</v>
          </cell>
        </row>
        <row r="831">
          <cell r="A831" t="str">
            <v>24-1422</v>
          </cell>
          <cell r="B831" t="str">
            <v>CONSTRUCTION MATERIALS</v>
          </cell>
          <cell r="C831" t="str">
            <v>PEO</v>
          </cell>
          <cell r="D831" t="str">
            <v>No</v>
          </cell>
          <cell r="E831" t="str">
            <v>NP-53.9 - Small Value Procurement</v>
          </cell>
          <cell r="F831" t="str">
            <v>N/A</v>
          </cell>
          <cell r="G831">
            <v>45429</v>
          </cell>
          <cell r="H831">
            <v>0</v>
          </cell>
          <cell r="I831" t="str">
            <v>N/A</v>
          </cell>
          <cell r="J831">
            <v>45454</v>
          </cell>
          <cell r="K831">
            <v>45454</v>
          </cell>
          <cell r="L831">
            <v>0</v>
          </cell>
          <cell r="M831" t="str">
            <v>N/A</v>
          </cell>
          <cell r="N831" t="str">
            <v>N/A</v>
          </cell>
          <cell r="O831">
            <v>45464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434704.27</v>
          </cell>
          <cell r="AB831">
            <v>0</v>
          </cell>
          <cell r="AC831">
            <v>434704.27</v>
          </cell>
          <cell r="AD831">
            <v>432438</v>
          </cell>
          <cell r="AE831">
            <v>0</v>
          </cell>
          <cell r="AF831">
            <v>432438</v>
          </cell>
          <cell r="AG831" t="str">
            <v>C</v>
          </cell>
          <cell r="AH831" t="str">
            <v>ENGR. MICHAEL C. SALARDA
MS. LEONARDA M. LATOR
MS. CARMENCITA VALDEZ
MS. SORAYA P. VERGARA</v>
          </cell>
          <cell r="AI831" t="str">
            <v>N/A</v>
          </cell>
          <cell r="AJ831" t="str">
            <v>N/A</v>
          </cell>
          <cell r="AK831" t="str">
            <v>N/A</v>
          </cell>
          <cell r="AL831" t="str">
            <v>N/A</v>
          </cell>
          <cell r="AM831" t="str">
            <v>N/A</v>
          </cell>
          <cell r="AN831" t="str">
            <v>N/A</v>
          </cell>
          <cell r="AO831">
            <v>0</v>
          </cell>
        </row>
        <row r="832">
          <cell r="A832" t="str">
            <v>24-C1201</v>
          </cell>
          <cell r="B832" t="str">
            <v>CONSTRUCTION MATERIALS</v>
          </cell>
          <cell r="C832" t="str">
            <v>PEO</v>
          </cell>
          <cell r="D832" t="str">
            <v>No</v>
          </cell>
          <cell r="E832" t="str">
            <v>NP-53.9 - Small Value Procurement</v>
          </cell>
          <cell r="F832" t="str">
            <v>N/A</v>
          </cell>
          <cell r="G832">
            <v>45434</v>
          </cell>
          <cell r="H832">
            <v>0</v>
          </cell>
          <cell r="I832" t="str">
            <v>N/A</v>
          </cell>
          <cell r="J832">
            <v>45454</v>
          </cell>
          <cell r="K832">
            <v>45454</v>
          </cell>
          <cell r="L832">
            <v>0</v>
          </cell>
          <cell r="M832" t="str">
            <v>N/A</v>
          </cell>
          <cell r="N832" t="str">
            <v>N/A</v>
          </cell>
          <cell r="O832">
            <v>45464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716536.59</v>
          </cell>
          <cell r="AB832">
            <v>0</v>
          </cell>
          <cell r="AC832">
            <v>716536.59</v>
          </cell>
          <cell r="AD832">
            <v>714454</v>
          </cell>
          <cell r="AE832">
            <v>0</v>
          </cell>
          <cell r="AF832">
            <v>714454</v>
          </cell>
          <cell r="AG832" t="str">
            <v>C</v>
          </cell>
          <cell r="AH832" t="str">
            <v>ENGR. MICHAEL C. SALARDA
MS. LEONARDA M. LATOR
MS. CARMENCITA VALDEZ
MS. SORAYA P. VERGARA</v>
          </cell>
          <cell r="AI832" t="str">
            <v>N/A</v>
          </cell>
          <cell r="AJ832" t="str">
            <v>N/A</v>
          </cell>
          <cell r="AK832" t="str">
            <v>N/A</v>
          </cell>
          <cell r="AL832" t="str">
            <v>N/A</v>
          </cell>
          <cell r="AM832" t="str">
            <v>N/A</v>
          </cell>
          <cell r="AN832" t="str">
            <v>N/A</v>
          </cell>
          <cell r="AO832">
            <v>0</v>
          </cell>
        </row>
        <row r="833">
          <cell r="A833" t="str">
            <v>24-C1274</v>
          </cell>
          <cell r="B833" t="str">
            <v>CONSTRUCTION MATERIALS</v>
          </cell>
          <cell r="C833" t="str">
            <v>PEO</v>
          </cell>
          <cell r="D833" t="str">
            <v>No</v>
          </cell>
          <cell r="E833" t="str">
            <v>NP-53.9 - Small Value Procurement</v>
          </cell>
          <cell r="F833" t="str">
            <v>N/A</v>
          </cell>
          <cell r="G833">
            <v>45434</v>
          </cell>
          <cell r="H833">
            <v>0</v>
          </cell>
          <cell r="I833" t="str">
            <v>N/A</v>
          </cell>
          <cell r="J833">
            <v>45454</v>
          </cell>
          <cell r="K833">
            <v>45454</v>
          </cell>
          <cell r="L833">
            <v>0</v>
          </cell>
          <cell r="M833" t="str">
            <v>N/A</v>
          </cell>
          <cell r="N833" t="str">
            <v>N/A</v>
          </cell>
          <cell r="O833">
            <v>45464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399962</v>
          </cell>
          <cell r="AB833">
            <v>0</v>
          </cell>
          <cell r="AC833">
            <v>399962</v>
          </cell>
          <cell r="AD833">
            <v>391957</v>
          </cell>
          <cell r="AE833">
            <v>0</v>
          </cell>
          <cell r="AF833">
            <v>391957</v>
          </cell>
          <cell r="AG833" t="str">
            <v>C</v>
          </cell>
          <cell r="AH833" t="str">
            <v>ENGR. MICHAEL C. SALARDA
MS. LEONARDA M. LATOR
MS. CARMENCITA VALDEZ
MS. SORAYA P. VERGARA</v>
          </cell>
          <cell r="AI833" t="str">
            <v>N/A</v>
          </cell>
          <cell r="AJ833" t="str">
            <v>N/A</v>
          </cell>
          <cell r="AK833" t="str">
            <v>N/A</v>
          </cell>
          <cell r="AL833" t="str">
            <v>N/A</v>
          </cell>
          <cell r="AM833" t="str">
            <v>N/A</v>
          </cell>
          <cell r="AN833" t="str">
            <v>N/A</v>
          </cell>
          <cell r="AO833">
            <v>0</v>
          </cell>
        </row>
        <row r="834">
          <cell r="A834" t="str">
            <v>24-1674</v>
          </cell>
          <cell r="B834" t="str">
            <v>CONSTRUCTION MATERIALS</v>
          </cell>
          <cell r="C834" t="str">
            <v>PEO</v>
          </cell>
          <cell r="D834" t="str">
            <v>No</v>
          </cell>
          <cell r="E834" t="str">
            <v>NP-53.9 - Small Value Procurement</v>
          </cell>
          <cell r="F834" t="str">
            <v>N/A</v>
          </cell>
          <cell r="G834">
            <v>45434</v>
          </cell>
          <cell r="H834">
            <v>0</v>
          </cell>
          <cell r="I834" t="str">
            <v>N/A</v>
          </cell>
          <cell r="J834">
            <v>45454</v>
          </cell>
          <cell r="K834">
            <v>45454</v>
          </cell>
          <cell r="L834">
            <v>0</v>
          </cell>
          <cell r="M834" t="str">
            <v>N/A</v>
          </cell>
          <cell r="N834" t="str">
            <v>N/A</v>
          </cell>
          <cell r="O834">
            <v>45464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496028.3</v>
          </cell>
          <cell r="AB834">
            <v>0</v>
          </cell>
          <cell r="AC834">
            <v>496028.3</v>
          </cell>
          <cell r="AD834">
            <v>493840</v>
          </cell>
          <cell r="AE834">
            <v>0</v>
          </cell>
          <cell r="AF834">
            <v>493840</v>
          </cell>
          <cell r="AG834" t="str">
            <v>C</v>
          </cell>
          <cell r="AH834" t="str">
            <v>ENGR. MICHAEL C. SALARDA
MS. LEONARDA M. LATOR
MS. CARMENCITA VALDEZ
MS. SORAYA P. VERGARA</v>
          </cell>
          <cell r="AI834" t="str">
            <v>N/A</v>
          </cell>
          <cell r="AJ834" t="str">
            <v>N/A</v>
          </cell>
          <cell r="AK834" t="str">
            <v>N/A</v>
          </cell>
          <cell r="AL834" t="str">
            <v>N/A</v>
          </cell>
          <cell r="AM834" t="str">
            <v>N/A</v>
          </cell>
          <cell r="AN834" t="str">
            <v>N/A</v>
          </cell>
          <cell r="AO834">
            <v>0</v>
          </cell>
        </row>
        <row r="835">
          <cell r="A835" t="str">
            <v>24-C1290</v>
          </cell>
          <cell r="B835" t="str">
            <v>CONSTRUCTION MATERIALS</v>
          </cell>
          <cell r="C835" t="str">
            <v>PEO</v>
          </cell>
          <cell r="D835" t="str">
            <v>No</v>
          </cell>
          <cell r="E835" t="str">
            <v>NP-53.9 - Small Value Procurement</v>
          </cell>
          <cell r="F835" t="str">
            <v>N/A</v>
          </cell>
          <cell r="G835">
            <v>45434</v>
          </cell>
          <cell r="H835">
            <v>0</v>
          </cell>
          <cell r="I835" t="str">
            <v>N/A</v>
          </cell>
          <cell r="J835">
            <v>45454</v>
          </cell>
          <cell r="K835">
            <v>45454</v>
          </cell>
          <cell r="L835">
            <v>0</v>
          </cell>
          <cell r="M835" t="str">
            <v>N/A</v>
          </cell>
          <cell r="N835" t="str">
            <v>N/A</v>
          </cell>
          <cell r="O835">
            <v>45464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399962</v>
          </cell>
          <cell r="AB835">
            <v>0</v>
          </cell>
          <cell r="AC835">
            <v>399962</v>
          </cell>
          <cell r="AD835">
            <v>397277</v>
          </cell>
          <cell r="AE835">
            <v>0</v>
          </cell>
          <cell r="AF835">
            <v>397277</v>
          </cell>
          <cell r="AG835" t="str">
            <v>C</v>
          </cell>
          <cell r="AH835" t="str">
            <v>ENGR. MICHAEL C. SALARDA
MS. LEONARDA M. LATOR
MS. CARMENCITA VALDEZ
MS. SORAYA P. VERGARA</v>
          </cell>
          <cell r="AI835" t="str">
            <v>N/A</v>
          </cell>
          <cell r="AJ835" t="str">
            <v>N/A</v>
          </cell>
          <cell r="AK835" t="str">
            <v>N/A</v>
          </cell>
          <cell r="AL835" t="str">
            <v>N/A</v>
          </cell>
          <cell r="AM835" t="str">
            <v>N/A</v>
          </cell>
          <cell r="AN835" t="str">
            <v>N/A</v>
          </cell>
          <cell r="AO835">
            <v>0</v>
          </cell>
        </row>
        <row r="836">
          <cell r="A836" t="str">
            <v>24-2417</v>
          </cell>
          <cell r="B836" t="str">
            <v>FOOD/CATERING SERVICES</v>
          </cell>
          <cell r="C836" t="str">
            <v>PAO-ADMIN</v>
          </cell>
          <cell r="D836" t="str">
            <v>No</v>
          </cell>
          <cell r="E836" t="str">
            <v>NP-53.9 - Small Value Procurement</v>
          </cell>
          <cell r="F836" t="str">
            <v>N/A</v>
          </cell>
          <cell r="G836">
            <v>45442</v>
          </cell>
          <cell r="H836">
            <v>0</v>
          </cell>
          <cell r="I836" t="str">
            <v>N/A</v>
          </cell>
          <cell r="J836">
            <v>45454</v>
          </cell>
          <cell r="K836">
            <v>45454</v>
          </cell>
          <cell r="L836">
            <v>0</v>
          </cell>
          <cell r="M836" t="str">
            <v>N/A</v>
          </cell>
          <cell r="N836" t="str">
            <v>N/A</v>
          </cell>
          <cell r="O836">
            <v>45464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45463</v>
          </cell>
          <cell r="U836">
            <v>45471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100000</v>
          </cell>
          <cell r="AB836">
            <v>100000</v>
          </cell>
          <cell r="AC836">
            <v>0</v>
          </cell>
          <cell r="AD836">
            <v>98858</v>
          </cell>
          <cell r="AE836">
            <v>98858</v>
          </cell>
          <cell r="AF836">
            <v>0</v>
          </cell>
          <cell r="AG836" t="str">
            <v>M</v>
          </cell>
          <cell r="AH836" t="str">
            <v>ENGR. MICHAEL C. SALARDA
MS. LEONARDA M. LATOR
MS. CARMENCITA VALDEZ
MS. SORAYA P. VERGARA</v>
          </cell>
          <cell r="AI836" t="str">
            <v>N/A</v>
          </cell>
          <cell r="AJ836" t="str">
            <v>N/A</v>
          </cell>
          <cell r="AK836" t="str">
            <v>N/A</v>
          </cell>
          <cell r="AL836" t="str">
            <v>N/A</v>
          </cell>
          <cell r="AM836" t="str">
            <v>N/A</v>
          </cell>
          <cell r="AN836" t="str">
            <v>N/A</v>
          </cell>
          <cell r="AO836">
            <v>0</v>
          </cell>
        </row>
        <row r="837">
          <cell r="A837" t="str">
            <v>24-2984</v>
          </cell>
          <cell r="B837" t="str">
            <v>MONOBLOCK PLASTIC
CHAIR</v>
          </cell>
          <cell r="C837" t="str">
            <v>PGO</v>
          </cell>
          <cell r="D837" t="str">
            <v>No</v>
          </cell>
          <cell r="E837" t="str">
            <v>NP-53.9 - Small Value Procurement</v>
          </cell>
          <cell r="F837" t="str">
            <v>N/A</v>
          </cell>
          <cell r="G837">
            <v>45442</v>
          </cell>
          <cell r="H837">
            <v>0</v>
          </cell>
          <cell r="I837" t="str">
            <v>N/A</v>
          </cell>
          <cell r="J837">
            <v>45454</v>
          </cell>
          <cell r="K837">
            <v>45454</v>
          </cell>
          <cell r="L837">
            <v>0</v>
          </cell>
          <cell r="M837" t="str">
            <v>N/A</v>
          </cell>
          <cell r="N837" t="str">
            <v>N/A</v>
          </cell>
          <cell r="O837">
            <v>45464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277680</v>
          </cell>
          <cell r="AB837">
            <v>0</v>
          </cell>
          <cell r="AC837">
            <v>277680</v>
          </cell>
          <cell r="AD837">
            <v>275600</v>
          </cell>
          <cell r="AE837">
            <v>0</v>
          </cell>
          <cell r="AF837">
            <v>275600</v>
          </cell>
          <cell r="AG837" t="str">
            <v>C</v>
          </cell>
          <cell r="AH837" t="str">
            <v>ENGR. MICHAEL C. SALARDA
MS. LEONARDA M. LATOR
MS. CARMENCITA VALDEZ
MS. SORAYA P. VERGARA</v>
          </cell>
          <cell r="AI837" t="str">
            <v>N/A</v>
          </cell>
          <cell r="AJ837" t="str">
            <v>N/A</v>
          </cell>
          <cell r="AK837" t="str">
            <v>N/A</v>
          </cell>
          <cell r="AL837" t="str">
            <v>N/A</v>
          </cell>
          <cell r="AM837" t="str">
            <v>N/A</v>
          </cell>
          <cell r="AN837" t="str">
            <v>N/A</v>
          </cell>
          <cell r="AO837">
            <v>0</v>
          </cell>
        </row>
        <row r="838">
          <cell r="A838" t="str">
            <v>24-2868</v>
          </cell>
          <cell r="B838" t="str">
            <v>BATTERY &amp; SELF INKING
STAMP WITH ATTACHED
SAMPLE</v>
          </cell>
          <cell r="C838" t="str">
            <v>PTO</v>
          </cell>
          <cell r="D838" t="str">
            <v>No</v>
          </cell>
          <cell r="E838" t="str">
            <v>NP-53.9 - Small Value Procurement</v>
          </cell>
          <cell r="F838" t="str">
            <v>N/A</v>
          </cell>
          <cell r="G838">
            <v>45442</v>
          </cell>
          <cell r="H838">
            <v>0</v>
          </cell>
          <cell r="I838" t="str">
            <v>N/A</v>
          </cell>
          <cell r="J838">
            <v>45454</v>
          </cell>
          <cell r="K838">
            <v>45454</v>
          </cell>
          <cell r="L838">
            <v>0</v>
          </cell>
          <cell r="M838" t="str">
            <v>N/A</v>
          </cell>
          <cell r="N838" t="str">
            <v>N/A</v>
          </cell>
          <cell r="O838">
            <v>45464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45463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5040</v>
          </cell>
          <cell r="AB838">
            <v>5040</v>
          </cell>
          <cell r="AC838">
            <v>0</v>
          </cell>
          <cell r="AD838">
            <v>5040</v>
          </cell>
          <cell r="AE838">
            <v>5040</v>
          </cell>
          <cell r="AF838">
            <v>0</v>
          </cell>
          <cell r="AG838" t="str">
            <v>M</v>
          </cell>
          <cell r="AH838" t="str">
            <v>ENGR. MICHAEL C. SALARDA
MS. LEONARDA M. LATOR
MS. CARMENCITA VALDEZ
MS. SORAYA P. VERGARA</v>
          </cell>
          <cell r="AI838" t="str">
            <v>N/A</v>
          </cell>
          <cell r="AJ838" t="str">
            <v>N/A</v>
          </cell>
          <cell r="AK838" t="str">
            <v>N/A</v>
          </cell>
          <cell r="AL838" t="str">
            <v>N/A</v>
          </cell>
          <cell r="AM838" t="str">
            <v>N/A</v>
          </cell>
          <cell r="AN838" t="str">
            <v>N/A</v>
          </cell>
          <cell r="AO838">
            <v>0</v>
          </cell>
        </row>
        <row r="839">
          <cell r="A839" t="str">
            <v>24-2869</v>
          </cell>
          <cell r="B839" t="str">
            <v>AIRPOT</v>
          </cell>
          <cell r="C839" t="str">
            <v>PTO</v>
          </cell>
          <cell r="D839" t="str">
            <v>No</v>
          </cell>
          <cell r="E839" t="str">
            <v>NP-53.9 - Small Value Procurement</v>
          </cell>
          <cell r="F839" t="str">
            <v>N/A</v>
          </cell>
          <cell r="G839">
            <v>45442</v>
          </cell>
          <cell r="H839">
            <v>0</v>
          </cell>
          <cell r="I839" t="str">
            <v>N/A</v>
          </cell>
          <cell r="J839">
            <v>45454</v>
          </cell>
          <cell r="K839">
            <v>45454</v>
          </cell>
          <cell r="L839">
            <v>0</v>
          </cell>
          <cell r="M839" t="str">
            <v>N/A</v>
          </cell>
          <cell r="N839" t="str">
            <v>N/A</v>
          </cell>
          <cell r="O839">
            <v>45464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45463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3500</v>
          </cell>
          <cell r="AB839">
            <v>3500</v>
          </cell>
          <cell r="AC839">
            <v>0</v>
          </cell>
          <cell r="AD839">
            <v>3500</v>
          </cell>
          <cell r="AE839">
            <v>3500</v>
          </cell>
          <cell r="AF839">
            <v>0</v>
          </cell>
          <cell r="AG839" t="str">
            <v>M</v>
          </cell>
          <cell r="AH839" t="str">
            <v>ENGR. MICHAEL C. SALARDA
MS. LEONARDA M. LATOR
MS. CARMENCITA VALDEZ
MS. SORAYA P. VERGARA</v>
          </cell>
          <cell r="AI839" t="str">
            <v>N/A</v>
          </cell>
          <cell r="AJ839" t="str">
            <v>N/A</v>
          </cell>
          <cell r="AK839" t="str">
            <v>N/A</v>
          </cell>
          <cell r="AL839" t="str">
            <v>N/A</v>
          </cell>
          <cell r="AM839" t="str">
            <v>N/A</v>
          </cell>
          <cell r="AN839" t="str">
            <v>N/A</v>
          </cell>
          <cell r="AO839">
            <v>0</v>
          </cell>
        </row>
        <row r="840">
          <cell r="A840" t="str">
            <v>24-2998</v>
          </cell>
          <cell r="B840" t="str">
            <v>CONSTRUCTION SUPPLIES</v>
          </cell>
          <cell r="C840" t="str">
            <v>PDRRMO</v>
          </cell>
          <cell r="D840" t="str">
            <v>No</v>
          </cell>
          <cell r="E840" t="str">
            <v>NP-53.9 - Small Value Procurement</v>
          </cell>
          <cell r="F840">
            <v>45440</v>
          </cell>
          <cell r="G840">
            <v>45442</v>
          </cell>
          <cell r="H840">
            <v>0</v>
          </cell>
          <cell r="I840" t="str">
            <v>N/A</v>
          </cell>
          <cell r="J840">
            <v>45454</v>
          </cell>
          <cell r="K840">
            <v>45454</v>
          </cell>
          <cell r="L840">
            <v>0</v>
          </cell>
          <cell r="M840" t="str">
            <v>N/A</v>
          </cell>
          <cell r="N840" t="str">
            <v>N/A</v>
          </cell>
          <cell r="O840">
            <v>45464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115928</v>
          </cell>
          <cell r="AB840">
            <v>0</v>
          </cell>
          <cell r="AC840">
            <v>115928</v>
          </cell>
          <cell r="AD840">
            <v>115612</v>
          </cell>
          <cell r="AE840">
            <v>0</v>
          </cell>
          <cell r="AF840">
            <v>115612</v>
          </cell>
          <cell r="AG840" t="str">
            <v>C</v>
          </cell>
          <cell r="AH840" t="str">
            <v>ENGR. MICHAEL C. SALARDA
MS. LEONARDA M. LATOR
MS. CARMENCITA VALDEZ
MS. SORAYA P. VERGARA</v>
          </cell>
          <cell r="AI840" t="str">
            <v>N/A</v>
          </cell>
          <cell r="AJ840" t="str">
            <v>N/A</v>
          </cell>
          <cell r="AK840" t="str">
            <v>N/A</v>
          </cell>
          <cell r="AL840" t="str">
            <v>N/A</v>
          </cell>
          <cell r="AM840" t="str">
            <v>N/A</v>
          </cell>
          <cell r="AN840" t="str">
            <v>N/A</v>
          </cell>
          <cell r="AO840">
            <v>0</v>
          </cell>
        </row>
        <row r="841">
          <cell r="A841" t="str">
            <v>24-2730</v>
          </cell>
          <cell r="B841" t="str">
            <v>BARCODE SCANNER</v>
          </cell>
          <cell r="C841" t="str">
            <v>PACCO</v>
          </cell>
          <cell r="D841" t="str">
            <v>No</v>
          </cell>
          <cell r="E841" t="str">
            <v>NP-53.9 - Small Value Procurement</v>
          </cell>
          <cell r="F841" t="str">
            <v>N/A</v>
          </cell>
          <cell r="G841">
            <v>45442</v>
          </cell>
          <cell r="H841">
            <v>0</v>
          </cell>
          <cell r="I841" t="str">
            <v>N/A</v>
          </cell>
          <cell r="J841">
            <v>45454</v>
          </cell>
          <cell r="K841">
            <v>45454</v>
          </cell>
          <cell r="L841">
            <v>0</v>
          </cell>
          <cell r="M841" t="str">
            <v>N/A</v>
          </cell>
          <cell r="N841" t="str">
            <v>N/A</v>
          </cell>
          <cell r="O841">
            <v>45464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45463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6600</v>
          </cell>
          <cell r="AB841">
            <v>6600</v>
          </cell>
          <cell r="AC841">
            <v>0</v>
          </cell>
          <cell r="AD841">
            <v>5339</v>
          </cell>
          <cell r="AE841">
            <v>5339</v>
          </cell>
          <cell r="AF841">
            <v>0</v>
          </cell>
          <cell r="AG841" t="str">
            <v>M</v>
          </cell>
          <cell r="AH841" t="str">
            <v>ENGR. MICHAEL C. SALARDA
MS. LEONARDA M. LATOR
MS. CARMENCITA VALDEZ
MS. SORAYA P. VERGARA</v>
          </cell>
          <cell r="AI841" t="str">
            <v>N/A</v>
          </cell>
          <cell r="AJ841" t="str">
            <v>N/A</v>
          </cell>
          <cell r="AK841" t="str">
            <v>N/A</v>
          </cell>
          <cell r="AL841" t="str">
            <v>N/A</v>
          </cell>
          <cell r="AM841" t="str">
            <v>N/A</v>
          </cell>
          <cell r="AN841" t="str">
            <v>N/A</v>
          </cell>
          <cell r="AO841">
            <v>0</v>
          </cell>
        </row>
        <row r="842">
          <cell r="A842" t="str">
            <v>24-2850</v>
          </cell>
          <cell r="B842" t="str">
            <v>TARPAULIN</v>
          </cell>
          <cell r="C842" t="str">
            <v>PEO</v>
          </cell>
          <cell r="D842" t="str">
            <v>No</v>
          </cell>
          <cell r="E842" t="str">
            <v>NP-53.9 - Small Value Procurement</v>
          </cell>
          <cell r="F842">
            <v>45440</v>
          </cell>
          <cell r="G842">
            <v>45442</v>
          </cell>
          <cell r="H842">
            <v>0</v>
          </cell>
          <cell r="I842" t="str">
            <v>N/A</v>
          </cell>
          <cell r="J842">
            <v>45454</v>
          </cell>
          <cell r="K842">
            <v>45454</v>
          </cell>
          <cell r="L842">
            <v>0</v>
          </cell>
          <cell r="M842" t="str">
            <v>N/A</v>
          </cell>
          <cell r="N842" t="str">
            <v>N/A</v>
          </cell>
          <cell r="O842">
            <v>45464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1792</v>
          </cell>
          <cell r="AB842">
            <v>0</v>
          </cell>
          <cell r="AC842">
            <v>1792</v>
          </cell>
          <cell r="AD842">
            <v>1792</v>
          </cell>
          <cell r="AE842">
            <v>0</v>
          </cell>
          <cell r="AF842">
            <v>1792</v>
          </cell>
          <cell r="AG842" t="str">
            <v>C</v>
          </cell>
          <cell r="AH842" t="str">
            <v>ENGR. MICHAEL C. SALARDA
MS. LEONARDA M. LATOR
MS. CARMENCITA VALDEZ
MS. SORAYA P. VERGARA</v>
          </cell>
          <cell r="AI842" t="str">
            <v>N/A</v>
          </cell>
          <cell r="AJ842" t="str">
            <v>N/A</v>
          </cell>
          <cell r="AK842" t="str">
            <v>N/A</v>
          </cell>
          <cell r="AL842" t="str">
            <v>N/A</v>
          </cell>
          <cell r="AM842" t="str">
            <v>N/A</v>
          </cell>
          <cell r="AN842" t="str">
            <v>N/A</v>
          </cell>
          <cell r="AO842">
            <v>0</v>
          </cell>
        </row>
        <row r="843">
          <cell r="A843" t="str">
            <v>24-2514</v>
          </cell>
          <cell r="B843" t="str">
            <v>TARPAULIN</v>
          </cell>
          <cell r="C843" t="str">
            <v>SEF</v>
          </cell>
          <cell r="D843" t="str">
            <v>No</v>
          </cell>
          <cell r="E843" t="str">
            <v>NP-53.9 - Small Value Procurement</v>
          </cell>
          <cell r="F843">
            <v>45440</v>
          </cell>
          <cell r="G843">
            <v>45442</v>
          </cell>
          <cell r="H843">
            <v>0</v>
          </cell>
          <cell r="I843" t="str">
            <v>N/A</v>
          </cell>
          <cell r="J843">
            <v>45454</v>
          </cell>
          <cell r="K843">
            <v>45454</v>
          </cell>
          <cell r="L843">
            <v>0</v>
          </cell>
          <cell r="M843" t="str">
            <v>N/A</v>
          </cell>
          <cell r="N843" t="str">
            <v>N/A</v>
          </cell>
          <cell r="O843">
            <v>45464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1792</v>
          </cell>
          <cell r="AB843">
            <v>0</v>
          </cell>
          <cell r="AC843">
            <v>1792</v>
          </cell>
          <cell r="AD843">
            <v>1792</v>
          </cell>
          <cell r="AE843">
            <v>0</v>
          </cell>
          <cell r="AF843">
            <v>1792</v>
          </cell>
          <cell r="AG843" t="str">
            <v>C</v>
          </cell>
          <cell r="AH843" t="str">
            <v>ENGR. MICHAEL C. SALARDA
MS. LEONARDA M. LATOR
MS. CARMENCITA VALDEZ
MS. SORAYA P. VERGARA</v>
          </cell>
          <cell r="AI843" t="str">
            <v>N/A</v>
          </cell>
          <cell r="AJ843" t="str">
            <v>N/A</v>
          </cell>
          <cell r="AK843" t="str">
            <v>N/A</v>
          </cell>
          <cell r="AL843" t="str">
            <v>N/A</v>
          </cell>
          <cell r="AM843" t="str">
            <v>N/A</v>
          </cell>
          <cell r="AN843" t="str">
            <v>N/A</v>
          </cell>
          <cell r="AO843">
            <v>0</v>
          </cell>
        </row>
        <row r="844">
          <cell r="A844" t="str">
            <v>24-2988</v>
          </cell>
          <cell r="B844" t="str">
            <v>TARPAULIN</v>
          </cell>
          <cell r="C844" t="str">
            <v>PEO</v>
          </cell>
          <cell r="D844" t="str">
            <v>No</v>
          </cell>
          <cell r="E844" t="str">
            <v>NP-53.9 - Small Value Procurement</v>
          </cell>
          <cell r="F844">
            <v>45440</v>
          </cell>
          <cell r="G844">
            <v>45442</v>
          </cell>
          <cell r="H844">
            <v>0</v>
          </cell>
          <cell r="I844" t="str">
            <v>N/A</v>
          </cell>
          <cell r="J844">
            <v>45454</v>
          </cell>
          <cell r="K844">
            <v>45454</v>
          </cell>
          <cell r="L844">
            <v>0</v>
          </cell>
          <cell r="M844" t="str">
            <v>N/A</v>
          </cell>
          <cell r="N844" t="str">
            <v>N/A</v>
          </cell>
          <cell r="O844">
            <v>45464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1792</v>
          </cell>
          <cell r="AB844">
            <v>0</v>
          </cell>
          <cell r="AC844">
            <v>1792</v>
          </cell>
          <cell r="AD844">
            <v>1792</v>
          </cell>
          <cell r="AE844">
            <v>0</v>
          </cell>
          <cell r="AF844">
            <v>1792</v>
          </cell>
          <cell r="AG844" t="str">
            <v>C</v>
          </cell>
          <cell r="AH844" t="str">
            <v>ENGR. MICHAEL C. SALARDA
MS. LEONARDA M. LATOR
MS. CARMENCITA VALDEZ
MS. SORAYA P. VERGARA</v>
          </cell>
          <cell r="AI844" t="str">
            <v>N/A</v>
          </cell>
          <cell r="AJ844" t="str">
            <v>N/A</v>
          </cell>
          <cell r="AK844" t="str">
            <v>N/A</v>
          </cell>
          <cell r="AL844" t="str">
            <v>N/A</v>
          </cell>
          <cell r="AM844" t="str">
            <v>N/A</v>
          </cell>
          <cell r="AN844" t="str">
            <v>N/A</v>
          </cell>
          <cell r="AO844">
            <v>0</v>
          </cell>
        </row>
        <row r="845">
          <cell r="A845" t="str">
            <v>24-2992</v>
          </cell>
          <cell r="B845" t="str">
            <v>TARPAULIN</v>
          </cell>
          <cell r="C845" t="str">
            <v>PEO</v>
          </cell>
          <cell r="D845" t="str">
            <v>No</v>
          </cell>
          <cell r="E845" t="str">
            <v>NP-53.9 - Small Value Procurement</v>
          </cell>
          <cell r="F845">
            <v>45440</v>
          </cell>
          <cell r="G845">
            <v>45442</v>
          </cell>
          <cell r="H845">
            <v>0</v>
          </cell>
          <cell r="I845" t="str">
            <v>N/A</v>
          </cell>
          <cell r="J845">
            <v>45454</v>
          </cell>
          <cell r="K845">
            <v>45454</v>
          </cell>
          <cell r="L845">
            <v>0</v>
          </cell>
          <cell r="M845" t="str">
            <v>N/A</v>
          </cell>
          <cell r="N845" t="str">
            <v>N/A</v>
          </cell>
          <cell r="O845">
            <v>45464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1792</v>
          </cell>
          <cell r="AB845">
            <v>0</v>
          </cell>
          <cell r="AC845">
            <v>1792</v>
          </cell>
          <cell r="AD845">
            <v>1792</v>
          </cell>
          <cell r="AE845">
            <v>0</v>
          </cell>
          <cell r="AF845">
            <v>1792</v>
          </cell>
          <cell r="AG845" t="str">
            <v>C</v>
          </cell>
          <cell r="AH845" t="str">
            <v>ENGR. MICHAEL C. SALARDA
MS. LEONARDA M. LATOR
MS. CARMENCITA VALDEZ
MS. SORAYA P. VERGARA</v>
          </cell>
          <cell r="AI845" t="str">
            <v>N/A</v>
          </cell>
          <cell r="AJ845" t="str">
            <v>N/A</v>
          </cell>
          <cell r="AK845" t="str">
            <v>N/A</v>
          </cell>
          <cell r="AL845" t="str">
            <v>N/A</v>
          </cell>
          <cell r="AM845" t="str">
            <v>N/A</v>
          </cell>
          <cell r="AN845" t="str">
            <v>N/A</v>
          </cell>
          <cell r="AO845">
            <v>0</v>
          </cell>
        </row>
        <row r="846">
          <cell r="A846" t="str">
            <v>24-3020</v>
          </cell>
          <cell r="B846" t="str">
            <v>TARPAULIN</v>
          </cell>
          <cell r="C846" t="str">
            <v>PEO</v>
          </cell>
          <cell r="D846" t="str">
            <v>No</v>
          </cell>
          <cell r="E846" t="str">
            <v>NP-53.9 - Small Value Procurement</v>
          </cell>
          <cell r="F846">
            <v>45440</v>
          </cell>
          <cell r="G846">
            <v>45442</v>
          </cell>
          <cell r="H846">
            <v>0</v>
          </cell>
          <cell r="I846" t="str">
            <v>N/A</v>
          </cell>
          <cell r="J846">
            <v>45454</v>
          </cell>
          <cell r="K846">
            <v>45454</v>
          </cell>
          <cell r="L846">
            <v>0</v>
          </cell>
          <cell r="M846" t="str">
            <v>N/A</v>
          </cell>
          <cell r="N846" t="str">
            <v>N/A</v>
          </cell>
          <cell r="O846">
            <v>45464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1792</v>
          </cell>
          <cell r="AB846">
            <v>0</v>
          </cell>
          <cell r="AC846">
            <v>1792</v>
          </cell>
          <cell r="AD846">
            <v>1792</v>
          </cell>
          <cell r="AE846">
            <v>0</v>
          </cell>
          <cell r="AF846">
            <v>1792</v>
          </cell>
          <cell r="AG846" t="str">
            <v>C</v>
          </cell>
          <cell r="AH846" t="str">
            <v>ENGR. MICHAEL C. SALARDA
MS. LEONARDA M. LATOR
MS. CARMENCITA VALDEZ
MS. SORAYA P. VERGARA</v>
          </cell>
          <cell r="AI846" t="str">
            <v>N/A</v>
          </cell>
          <cell r="AJ846" t="str">
            <v>N/A</v>
          </cell>
          <cell r="AK846" t="str">
            <v>N/A</v>
          </cell>
          <cell r="AL846" t="str">
            <v>N/A</v>
          </cell>
          <cell r="AM846" t="str">
            <v>N/A</v>
          </cell>
          <cell r="AN846" t="str">
            <v>N/A</v>
          </cell>
          <cell r="AO846">
            <v>0</v>
          </cell>
        </row>
        <row r="847">
          <cell r="A847" t="str">
            <v>24-2419</v>
          </cell>
          <cell r="B847" t="str">
            <v>FOOD/CATERING SERVICES</v>
          </cell>
          <cell r="C847" t="str">
            <v>PAO-ADMIN</v>
          </cell>
          <cell r="D847" t="str">
            <v>No</v>
          </cell>
          <cell r="E847" t="str">
            <v>NP-53.9 - Small Value Procurement</v>
          </cell>
          <cell r="F847" t="str">
            <v>N/A</v>
          </cell>
          <cell r="G847">
            <v>45442</v>
          </cell>
          <cell r="H847">
            <v>0</v>
          </cell>
          <cell r="I847" t="str">
            <v>N/A</v>
          </cell>
          <cell r="J847">
            <v>45454</v>
          </cell>
          <cell r="K847">
            <v>45454</v>
          </cell>
          <cell r="L847">
            <v>0</v>
          </cell>
          <cell r="M847" t="str">
            <v>N/A</v>
          </cell>
          <cell r="N847" t="str">
            <v>N/A</v>
          </cell>
          <cell r="O847">
            <v>45464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45463</v>
          </cell>
          <cell r="U847">
            <v>45474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230000</v>
          </cell>
          <cell r="AB847">
            <v>230000</v>
          </cell>
          <cell r="AC847">
            <v>0</v>
          </cell>
          <cell r="AD847">
            <v>230000</v>
          </cell>
          <cell r="AE847">
            <v>230000</v>
          </cell>
          <cell r="AF847">
            <v>0</v>
          </cell>
          <cell r="AG847" t="str">
            <v>M</v>
          </cell>
          <cell r="AH847" t="str">
            <v>ENGR. MICHAEL C. SALARDA
MS. LEONARDA M. LATOR
MS. CARMENCITA VALDEZ
MS. SORAYA P. VERGARA</v>
          </cell>
          <cell r="AI847" t="str">
            <v>N/A</v>
          </cell>
          <cell r="AJ847" t="str">
            <v>N/A</v>
          </cell>
          <cell r="AK847" t="str">
            <v>N/A</v>
          </cell>
          <cell r="AL847" t="str">
            <v>N/A</v>
          </cell>
          <cell r="AM847" t="str">
            <v>N/A</v>
          </cell>
          <cell r="AN847" t="str">
            <v>N/A</v>
          </cell>
          <cell r="AO847">
            <v>0</v>
          </cell>
        </row>
        <row r="848">
          <cell r="A848" t="str">
            <v>24-2542</v>
          </cell>
          <cell r="B848" t="str">
            <v>FOOD/CATERING SERVICES</v>
          </cell>
          <cell r="C848" t="str">
            <v>PGO</v>
          </cell>
          <cell r="D848" t="str">
            <v>No</v>
          </cell>
          <cell r="E848" t="str">
            <v>NP-53.9 - Small Value Procurement</v>
          </cell>
          <cell r="F848" t="str">
            <v>N/A</v>
          </cell>
          <cell r="G848">
            <v>45442</v>
          </cell>
          <cell r="H848">
            <v>0</v>
          </cell>
          <cell r="I848" t="str">
            <v>N/A</v>
          </cell>
          <cell r="J848">
            <v>45454</v>
          </cell>
          <cell r="K848">
            <v>45454</v>
          </cell>
          <cell r="L848">
            <v>0</v>
          </cell>
          <cell r="M848" t="str">
            <v>N/A</v>
          </cell>
          <cell r="N848" t="str">
            <v>N/A</v>
          </cell>
          <cell r="O848">
            <v>45464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12480</v>
          </cell>
          <cell r="AB848">
            <v>12480</v>
          </cell>
          <cell r="AC848">
            <v>0</v>
          </cell>
          <cell r="AD848">
            <v>12366</v>
          </cell>
          <cell r="AE848">
            <v>12366</v>
          </cell>
          <cell r="AF848">
            <v>0</v>
          </cell>
          <cell r="AG848" t="str">
            <v>M</v>
          </cell>
          <cell r="AH848" t="str">
            <v>ENGR. MICHAEL C. SALARDA
MS. LEONARDA M. LATOR
MS. CARMENCITA VALDEZ
MS. SORAYA P. VERGARA</v>
          </cell>
          <cell r="AI848" t="str">
            <v>N/A</v>
          </cell>
          <cell r="AJ848" t="str">
            <v>N/A</v>
          </cell>
          <cell r="AK848" t="str">
            <v>N/A</v>
          </cell>
          <cell r="AL848" t="str">
            <v>N/A</v>
          </cell>
          <cell r="AM848" t="str">
            <v>N/A</v>
          </cell>
          <cell r="AN848" t="str">
            <v>N/A</v>
          </cell>
          <cell r="AO848">
            <v>0</v>
          </cell>
        </row>
        <row r="849">
          <cell r="A849" t="str">
            <v>24-2715</v>
          </cell>
          <cell r="B849" t="str">
            <v>TARPAULIN</v>
          </cell>
          <cell r="C849" t="str">
            <v>SPO</v>
          </cell>
          <cell r="D849" t="str">
            <v>No</v>
          </cell>
          <cell r="E849" t="str">
            <v>NP-53.9 - Small Value Procurement</v>
          </cell>
          <cell r="F849">
            <v>45440</v>
          </cell>
          <cell r="G849">
            <v>45442</v>
          </cell>
          <cell r="H849">
            <v>0</v>
          </cell>
          <cell r="I849" t="str">
            <v>N/A</v>
          </cell>
          <cell r="J849">
            <v>45454</v>
          </cell>
          <cell r="K849">
            <v>45454</v>
          </cell>
          <cell r="L849">
            <v>0</v>
          </cell>
          <cell r="M849" t="str">
            <v>N/A</v>
          </cell>
          <cell r="N849" t="str">
            <v>N/A</v>
          </cell>
          <cell r="O849">
            <v>45464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14000</v>
          </cell>
          <cell r="AB849">
            <v>14000</v>
          </cell>
          <cell r="AC849">
            <v>0</v>
          </cell>
          <cell r="AD849">
            <v>14000</v>
          </cell>
          <cell r="AE849">
            <v>14000</v>
          </cell>
          <cell r="AF849">
            <v>0</v>
          </cell>
          <cell r="AG849" t="str">
            <v>M</v>
          </cell>
          <cell r="AH849" t="str">
            <v>ENGR. MICHAEL C. SALARDA
MS. LEONARDA M. LATOR
MS. CARMENCITA VALDEZ
MS. SORAYA P. VERGARA</v>
          </cell>
          <cell r="AI849" t="str">
            <v>N/A</v>
          </cell>
          <cell r="AJ849" t="str">
            <v>N/A</v>
          </cell>
          <cell r="AK849" t="str">
            <v>N/A</v>
          </cell>
          <cell r="AL849" t="str">
            <v>N/A</v>
          </cell>
          <cell r="AM849" t="str">
            <v>N/A</v>
          </cell>
          <cell r="AN849" t="str">
            <v>N/A</v>
          </cell>
          <cell r="AO849">
            <v>0</v>
          </cell>
        </row>
        <row r="850">
          <cell r="A850" t="str">
            <v>24-3000</v>
          </cell>
          <cell r="B850" t="str">
            <v>TARPAULIN</v>
          </cell>
          <cell r="C850" t="str">
            <v>PDRRMO</v>
          </cell>
          <cell r="D850" t="str">
            <v>No</v>
          </cell>
          <cell r="E850" t="str">
            <v>NP-53.9 - Small Value Procurement</v>
          </cell>
          <cell r="F850">
            <v>45440</v>
          </cell>
          <cell r="G850">
            <v>45442</v>
          </cell>
          <cell r="H850">
            <v>0</v>
          </cell>
          <cell r="I850" t="str">
            <v>N/A</v>
          </cell>
          <cell r="J850">
            <v>45454</v>
          </cell>
          <cell r="K850">
            <v>45454</v>
          </cell>
          <cell r="L850">
            <v>0</v>
          </cell>
          <cell r="M850" t="str">
            <v>N/A</v>
          </cell>
          <cell r="N850" t="str">
            <v>N/A</v>
          </cell>
          <cell r="O850">
            <v>45464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1792</v>
          </cell>
          <cell r="AB850">
            <v>0</v>
          </cell>
          <cell r="AC850">
            <v>1792</v>
          </cell>
          <cell r="AD850">
            <v>1792</v>
          </cell>
          <cell r="AE850">
            <v>0</v>
          </cell>
          <cell r="AF850">
            <v>1792</v>
          </cell>
          <cell r="AG850" t="str">
            <v>C</v>
          </cell>
          <cell r="AH850" t="str">
            <v>ENGR. MICHAEL C. SALARDA
MS. LEONARDA M. LATOR
MS. CARMENCITA VALDEZ
MS. SORAYA P. VERGARA</v>
          </cell>
          <cell r="AI850" t="str">
            <v>N/A</v>
          </cell>
          <cell r="AJ850" t="str">
            <v>N/A</v>
          </cell>
          <cell r="AK850" t="str">
            <v>N/A</v>
          </cell>
          <cell r="AL850" t="str">
            <v>N/A</v>
          </cell>
          <cell r="AM850" t="str">
            <v>N/A</v>
          </cell>
          <cell r="AN850" t="str">
            <v>N/A</v>
          </cell>
          <cell r="AO850">
            <v>0</v>
          </cell>
        </row>
        <row r="851">
          <cell r="A851" t="str">
            <v>24-1883</v>
          </cell>
          <cell r="B851" t="str">
            <v>POSTER CALENDAR</v>
          </cell>
          <cell r="C851" t="str">
            <v>PAO-ADMIN</v>
          </cell>
          <cell r="D851" t="str">
            <v>No</v>
          </cell>
          <cell r="E851" t="str">
            <v>NP-53.9 - Small Value Procurement</v>
          </cell>
          <cell r="F851" t="str">
            <v>N/A</v>
          </cell>
          <cell r="G851">
            <v>45442</v>
          </cell>
          <cell r="H851">
            <v>0</v>
          </cell>
          <cell r="I851" t="str">
            <v>N/A</v>
          </cell>
          <cell r="J851">
            <v>45454</v>
          </cell>
          <cell r="K851">
            <v>45454</v>
          </cell>
          <cell r="L851">
            <v>0</v>
          </cell>
          <cell r="M851" t="str">
            <v>N/A</v>
          </cell>
          <cell r="N851" t="str">
            <v>N/A</v>
          </cell>
          <cell r="O851">
            <v>45464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24981</v>
          </cell>
          <cell r="AB851">
            <v>0</v>
          </cell>
          <cell r="AC851">
            <v>24981</v>
          </cell>
          <cell r="AD851">
            <v>23467</v>
          </cell>
          <cell r="AE851">
            <v>0</v>
          </cell>
          <cell r="AF851">
            <v>23467</v>
          </cell>
          <cell r="AG851" t="str">
            <v>C</v>
          </cell>
          <cell r="AH851" t="str">
            <v>ENGR. MICHAEL C. SALARDA
MS. LEONARDA M. LATOR
MS. CARMENCITA VALDEZ
MS. SORAYA P. VERGARA</v>
          </cell>
          <cell r="AI851" t="str">
            <v>N/A</v>
          </cell>
          <cell r="AJ851" t="str">
            <v>N/A</v>
          </cell>
          <cell r="AK851" t="str">
            <v>N/A</v>
          </cell>
          <cell r="AL851" t="str">
            <v>N/A</v>
          </cell>
          <cell r="AM851" t="str">
            <v>N/A</v>
          </cell>
          <cell r="AN851" t="str">
            <v>N/A</v>
          </cell>
          <cell r="AO851">
            <v>0</v>
          </cell>
        </row>
        <row r="852">
          <cell r="A852" t="str">
            <v>24-2605</v>
          </cell>
          <cell r="B852" t="str">
            <v>TARPAULIN</v>
          </cell>
          <cell r="C852" t="str">
            <v>PAO-ADMIN</v>
          </cell>
          <cell r="D852" t="str">
            <v>No</v>
          </cell>
          <cell r="E852" t="str">
            <v>NP-53.9 - Small Value Procurement</v>
          </cell>
          <cell r="F852" t="str">
            <v>N/A</v>
          </cell>
          <cell r="G852">
            <v>45442</v>
          </cell>
          <cell r="H852">
            <v>0</v>
          </cell>
          <cell r="I852" t="str">
            <v>N/A</v>
          </cell>
          <cell r="J852">
            <v>45454</v>
          </cell>
          <cell r="K852">
            <v>45454</v>
          </cell>
          <cell r="L852">
            <v>0</v>
          </cell>
          <cell r="M852" t="str">
            <v>N/A</v>
          </cell>
          <cell r="N852" t="str">
            <v>N/A</v>
          </cell>
          <cell r="O852">
            <v>45464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28000</v>
          </cell>
          <cell r="AB852">
            <v>28000</v>
          </cell>
          <cell r="AC852">
            <v>0</v>
          </cell>
          <cell r="AD852">
            <v>28000</v>
          </cell>
          <cell r="AE852">
            <v>28000</v>
          </cell>
          <cell r="AF852">
            <v>0</v>
          </cell>
          <cell r="AG852" t="str">
            <v>M</v>
          </cell>
          <cell r="AH852" t="str">
            <v>ENGR. MICHAEL C. SALARDA
MS. LEONARDA M. LATOR
MS. CARMENCITA VALDEZ
MS. SORAYA P. VERGARA</v>
          </cell>
          <cell r="AI852" t="str">
            <v>N/A</v>
          </cell>
          <cell r="AJ852" t="str">
            <v>N/A</v>
          </cell>
          <cell r="AK852" t="str">
            <v>N/A</v>
          </cell>
          <cell r="AL852" t="str">
            <v>N/A</v>
          </cell>
          <cell r="AM852" t="str">
            <v>N/A</v>
          </cell>
          <cell r="AN852" t="str">
            <v>N/A</v>
          </cell>
          <cell r="AO852">
            <v>0</v>
          </cell>
        </row>
        <row r="853">
          <cell r="A853" t="str">
            <v>24-C1372</v>
          </cell>
          <cell r="B853" t="str">
            <v>COMPUTER SUPPLIES &amp;
PRINTER</v>
          </cell>
          <cell r="C853" t="str">
            <v>PBO</v>
          </cell>
          <cell r="D853" t="str">
            <v>No</v>
          </cell>
          <cell r="E853" t="str">
            <v>NP-53.9 - Small Value Procurement</v>
          </cell>
          <cell r="F853" t="str">
            <v>N/A</v>
          </cell>
          <cell r="G853">
            <v>45442</v>
          </cell>
          <cell r="H853">
            <v>0</v>
          </cell>
          <cell r="I853" t="str">
            <v>N/A</v>
          </cell>
          <cell r="J853">
            <v>45454</v>
          </cell>
          <cell r="K853">
            <v>45454</v>
          </cell>
          <cell r="L853">
            <v>0</v>
          </cell>
          <cell r="M853" t="str">
            <v>N/A</v>
          </cell>
          <cell r="N853" t="str">
            <v>N/A</v>
          </cell>
          <cell r="O853">
            <v>45464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45463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25137</v>
          </cell>
          <cell r="AB853">
            <v>25137</v>
          </cell>
          <cell r="AC853">
            <v>0</v>
          </cell>
          <cell r="AD853">
            <v>21111</v>
          </cell>
          <cell r="AE853">
            <v>21111</v>
          </cell>
          <cell r="AF853">
            <v>0</v>
          </cell>
          <cell r="AG853" t="str">
            <v>M</v>
          </cell>
          <cell r="AH853" t="str">
            <v>ENGR. MICHAEL C. SALARDA
MS. LEONARDA M. LATOR
MS. CARMENCITA VALDEZ
MS. SORAYA P. VERGARA</v>
          </cell>
          <cell r="AI853" t="str">
            <v>N/A</v>
          </cell>
          <cell r="AJ853" t="str">
            <v>N/A</v>
          </cell>
          <cell r="AK853" t="str">
            <v>N/A</v>
          </cell>
          <cell r="AL853" t="str">
            <v>N/A</v>
          </cell>
          <cell r="AM853" t="str">
            <v>N/A</v>
          </cell>
          <cell r="AN853" t="str">
            <v>N/A</v>
          </cell>
          <cell r="AO853">
            <v>0</v>
          </cell>
        </row>
        <row r="854">
          <cell r="A854" t="str">
            <v>24-2713</v>
          </cell>
          <cell r="B854" t="str">
            <v>PUBLICATION OF
ORDINANCES</v>
          </cell>
          <cell r="C854" t="str">
            <v>SPO</v>
          </cell>
          <cell r="D854" t="str">
            <v>No</v>
          </cell>
          <cell r="E854" t="str">
            <v>NP-53.9 - Small Value Procurement</v>
          </cell>
          <cell r="F854">
            <v>45440</v>
          </cell>
          <cell r="G854">
            <v>45442</v>
          </cell>
          <cell r="H854">
            <v>0</v>
          </cell>
          <cell r="I854" t="str">
            <v>N/A</v>
          </cell>
          <cell r="J854">
            <v>45454</v>
          </cell>
          <cell r="K854">
            <v>45454</v>
          </cell>
          <cell r="L854">
            <v>0</v>
          </cell>
          <cell r="M854" t="str">
            <v>N/A</v>
          </cell>
          <cell r="N854" t="str">
            <v>N/A</v>
          </cell>
          <cell r="O854">
            <v>45464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45463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180000</v>
          </cell>
          <cell r="AB854">
            <v>180000</v>
          </cell>
          <cell r="AC854">
            <v>0</v>
          </cell>
          <cell r="AD854">
            <v>150000</v>
          </cell>
          <cell r="AE854">
            <v>150000</v>
          </cell>
          <cell r="AF854">
            <v>0</v>
          </cell>
          <cell r="AG854" t="str">
            <v>M</v>
          </cell>
          <cell r="AH854" t="str">
            <v>ENGR. MICHAEL C. SALARDA
MS. LEONARDA M. LATOR
MS. CARMENCITA VALDEZ
MS. SORAYA P. VERGARA</v>
          </cell>
          <cell r="AI854" t="str">
            <v>N/A</v>
          </cell>
          <cell r="AJ854" t="str">
            <v>N/A</v>
          </cell>
          <cell r="AK854" t="str">
            <v>N/A</v>
          </cell>
          <cell r="AL854" t="str">
            <v>N/A</v>
          </cell>
          <cell r="AM854" t="str">
            <v>N/A</v>
          </cell>
          <cell r="AN854" t="str">
            <v>N/A</v>
          </cell>
          <cell r="AO854">
            <v>0</v>
          </cell>
        </row>
        <row r="855">
          <cell r="A855" t="str">
            <v>24-2928</v>
          </cell>
          <cell r="B855" t="str">
            <v>FOOD/CATERING SERVICES</v>
          </cell>
          <cell r="C855" t="str">
            <v>PGO</v>
          </cell>
          <cell r="D855" t="str">
            <v>No</v>
          </cell>
          <cell r="E855" t="str">
            <v>NP-53.9 - Small Value Procurement</v>
          </cell>
          <cell r="F855" t="str">
            <v>N/A</v>
          </cell>
          <cell r="G855">
            <v>45442</v>
          </cell>
          <cell r="H855">
            <v>0</v>
          </cell>
          <cell r="I855" t="str">
            <v>N/A</v>
          </cell>
          <cell r="J855">
            <v>45454</v>
          </cell>
          <cell r="K855">
            <v>45454</v>
          </cell>
          <cell r="L855">
            <v>0</v>
          </cell>
          <cell r="M855" t="str">
            <v>N/A</v>
          </cell>
          <cell r="N855" t="str">
            <v>N/A</v>
          </cell>
          <cell r="O855">
            <v>45464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74460</v>
          </cell>
          <cell r="AB855">
            <v>0</v>
          </cell>
          <cell r="AC855">
            <v>74460</v>
          </cell>
          <cell r="AD855">
            <v>73584</v>
          </cell>
          <cell r="AE855">
            <v>0</v>
          </cell>
          <cell r="AF855">
            <v>73584</v>
          </cell>
          <cell r="AG855" t="str">
            <v>C</v>
          </cell>
          <cell r="AH855" t="str">
            <v>ENGR. MICHAEL C. SALARDA
MS. LEONARDA M. LATOR
MS. CARMENCITA VALDEZ
MS. SORAYA P. VERGARA</v>
          </cell>
          <cell r="AI855" t="str">
            <v>N/A</v>
          </cell>
          <cell r="AJ855" t="str">
            <v>N/A</v>
          </cell>
          <cell r="AK855" t="str">
            <v>N/A</v>
          </cell>
          <cell r="AL855" t="str">
            <v>N/A</v>
          </cell>
          <cell r="AM855" t="str">
            <v>N/A</v>
          </cell>
          <cell r="AN855" t="str">
            <v>N/A</v>
          </cell>
          <cell r="AO855">
            <v>0</v>
          </cell>
        </row>
        <row r="856">
          <cell r="A856" t="str">
            <v>24-2319</v>
          </cell>
          <cell r="B856" t="str">
            <v>CHB</v>
          </cell>
          <cell r="C856" t="str">
            <v>PEO</v>
          </cell>
          <cell r="D856" t="str">
            <v>No</v>
          </cell>
          <cell r="E856" t="str">
            <v>NP-53.9 - Small Value Procurement</v>
          </cell>
          <cell r="F856">
            <v>45407</v>
          </cell>
          <cell r="G856">
            <v>45442</v>
          </cell>
          <cell r="H856">
            <v>0</v>
          </cell>
          <cell r="I856" t="str">
            <v>N/A</v>
          </cell>
          <cell r="J856">
            <v>45454</v>
          </cell>
          <cell r="K856">
            <v>45454</v>
          </cell>
          <cell r="L856">
            <v>0</v>
          </cell>
          <cell r="M856" t="str">
            <v>N/A</v>
          </cell>
          <cell r="N856" t="str">
            <v>N/A</v>
          </cell>
          <cell r="O856">
            <v>45464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6270</v>
          </cell>
          <cell r="AB856">
            <v>0</v>
          </cell>
          <cell r="AC856">
            <v>6270</v>
          </cell>
          <cell r="AD856">
            <v>6270</v>
          </cell>
          <cell r="AE856">
            <v>0</v>
          </cell>
          <cell r="AF856">
            <v>6270</v>
          </cell>
          <cell r="AG856" t="str">
            <v>C</v>
          </cell>
          <cell r="AH856" t="str">
            <v>ENGR. MICHAEL C. SALARDA
MS. LEONARDA M. LATOR
MS. CARMENCITA VALDEZ
MS. SORAYA P. VERGARA</v>
          </cell>
          <cell r="AI856" t="str">
            <v>N/A</v>
          </cell>
          <cell r="AJ856" t="str">
            <v>N/A</v>
          </cell>
          <cell r="AK856" t="str">
            <v>N/A</v>
          </cell>
          <cell r="AL856" t="str">
            <v>N/A</v>
          </cell>
          <cell r="AM856" t="str">
            <v>N/A</v>
          </cell>
          <cell r="AN856" t="str">
            <v>N/A</v>
          </cell>
          <cell r="AO856">
            <v>0</v>
          </cell>
        </row>
        <row r="857">
          <cell r="A857" t="str">
            <v>24-1910</v>
          </cell>
          <cell r="B857" t="str">
            <v>WATER</v>
          </cell>
          <cell r="C857" t="str">
            <v>PGO</v>
          </cell>
          <cell r="D857" t="str">
            <v>No</v>
          </cell>
          <cell r="E857" t="str">
            <v>NP-53.9 - Small Value Procurement</v>
          </cell>
          <cell r="F857" t="str">
            <v>N/A</v>
          </cell>
          <cell r="G857">
            <v>45397</v>
          </cell>
          <cell r="H857">
            <v>0</v>
          </cell>
          <cell r="I857" t="str">
            <v>N/A</v>
          </cell>
          <cell r="J857">
            <v>45454</v>
          </cell>
          <cell r="K857">
            <v>45454</v>
          </cell>
          <cell r="L857">
            <v>0</v>
          </cell>
          <cell r="M857" t="str">
            <v>N/A</v>
          </cell>
          <cell r="N857" t="str">
            <v>N/A</v>
          </cell>
          <cell r="O857">
            <v>45464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1640</v>
          </cell>
          <cell r="AB857">
            <v>0</v>
          </cell>
          <cell r="AC857">
            <v>1640</v>
          </cell>
          <cell r="AD857">
            <v>1600</v>
          </cell>
          <cell r="AE857">
            <v>0</v>
          </cell>
          <cell r="AF857">
            <v>1600</v>
          </cell>
          <cell r="AG857" t="str">
            <v>C</v>
          </cell>
          <cell r="AH857" t="str">
            <v>ENGR. MICHAEL C. SALARDA
MS. LEONARDA M. LATOR
MS. CARMENCITA VALDEZ
MS. SORAYA P. VERGARA</v>
          </cell>
          <cell r="AI857" t="str">
            <v>N/A</v>
          </cell>
          <cell r="AJ857" t="str">
            <v>N/A</v>
          </cell>
          <cell r="AK857" t="str">
            <v>N/A</v>
          </cell>
          <cell r="AL857" t="str">
            <v>N/A</v>
          </cell>
          <cell r="AM857" t="str">
            <v>N/A</v>
          </cell>
          <cell r="AN857" t="str">
            <v>N/A</v>
          </cell>
          <cell r="AO857">
            <v>0</v>
          </cell>
        </row>
        <row r="858">
          <cell r="A858" t="str">
            <v>24-2320</v>
          </cell>
          <cell r="B858" t="str">
            <v>CHB</v>
          </cell>
          <cell r="C858" t="str">
            <v>PEO</v>
          </cell>
          <cell r="D858" t="str">
            <v>No</v>
          </cell>
          <cell r="E858" t="str">
            <v>NP-53.9 - Small Value Procurement</v>
          </cell>
          <cell r="F858" t="str">
            <v>N/A</v>
          </cell>
          <cell r="G858">
            <v>45397</v>
          </cell>
          <cell r="H858">
            <v>0</v>
          </cell>
          <cell r="I858" t="str">
            <v>N/A</v>
          </cell>
          <cell r="J858">
            <v>45454</v>
          </cell>
          <cell r="K858">
            <v>45454</v>
          </cell>
          <cell r="L858">
            <v>0</v>
          </cell>
          <cell r="M858" t="str">
            <v>N/A</v>
          </cell>
          <cell r="N858" t="str">
            <v>N/A</v>
          </cell>
          <cell r="O858">
            <v>45464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45463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6270</v>
          </cell>
          <cell r="AB858">
            <v>0</v>
          </cell>
          <cell r="AC858">
            <v>6270</v>
          </cell>
          <cell r="AD858">
            <v>6270</v>
          </cell>
          <cell r="AE858">
            <v>0</v>
          </cell>
          <cell r="AF858">
            <v>6270</v>
          </cell>
          <cell r="AG858" t="str">
            <v>C</v>
          </cell>
          <cell r="AH858" t="str">
            <v>ENGR. MICHAEL C. SALARDA
MS. LEONARDA M. LATOR
MS. CARMENCITA VALDEZ
MS. SORAYA P. VERGARA</v>
          </cell>
          <cell r="AI858" t="str">
            <v>N/A</v>
          </cell>
          <cell r="AJ858" t="str">
            <v>N/A</v>
          </cell>
          <cell r="AK858" t="str">
            <v>N/A</v>
          </cell>
          <cell r="AL858" t="str">
            <v>N/A</v>
          </cell>
          <cell r="AM858" t="str">
            <v>N/A</v>
          </cell>
          <cell r="AN858" t="str">
            <v>N/A</v>
          </cell>
          <cell r="AO858">
            <v>0</v>
          </cell>
        </row>
        <row r="859">
          <cell r="A859" t="str">
            <v>24-2064</v>
          </cell>
          <cell r="B859" t="str">
            <v>CONSTRUCTION MATERIALS</v>
          </cell>
          <cell r="C859" t="str">
            <v>SEF</v>
          </cell>
          <cell r="D859" t="str">
            <v>No</v>
          </cell>
          <cell r="E859" t="str">
            <v>NP-53.9 - Small Value Procurement</v>
          </cell>
          <cell r="F859">
            <v>45387</v>
          </cell>
          <cell r="G859">
            <v>45397</v>
          </cell>
          <cell r="H859">
            <v>0</v>
          </cell>
          <cell r="I859" t="str">
            <v>N/A</v>
          </cell>
          <cell r="J859">
            <v>45454</v>
          </cell>
          <cell r="K859">
            <v>45454</v>
          </cell>
          <cell r="L859">
            <v>0</v>
          </cell>
          <cell r="M859" t="str">
            <v>N/A</v>
          </cell>
          <cell r="N859" t="str">
            <v>N/A</v>
          </cell>
          <cell r="O859">
            <v>45464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224734.8</v>
          </cell>
          <cell r="AB859">
            <v>0</v>
          </cell>
          <cell r="AC859">
            <v>224734.8</v>
          </cell>
          <cell r="AD859">
            <v>224325</v>
          </cell>
          <cell r="AE859">
            <v>0</v>
          </cell>
          <cell r="AF859">
            <v>224325</v>
          </cell>
          <cell r="AG859" t="str">
            <v>C</v>
          </cell>
          <cell r="AH859" t="str">
            <v>ENGR. MICHAEL C. SALARDA
MS. LEONARDA M. LATOR
MS. CARMENCITA VALDEZ
MS. SORAYA P. VERGARA</v>
          </cell>
          <cell r="AI859" t="str">
            <v>N/A</v>
          </cell>
          <cell r="AJ859" t="str">
            <v>N/A</v>
          </cell>
          <cell r="AK859" t="str">
            <v>N/A</v>
          </cell>
          <cell r="AL859" t="str">
            <v>N/A</v>
          </cell>
          <cell r="AM859" t="str">
            <v>N/A</v>
          </cell>
          <cell r="AN859" t="str">
            <v>N/A</v>
          </cell>
          <cell r="AO859">
            <v>0</v>
          </cell>
        </row>
        <row r="860">
          <cell r="A860" t="str">
            <v>24-2377</v>
          </cell>
          <cell r="B860" t="str">
            <v>POWER TOOLS TIRE
WRENCE</v>
          </cell>
          <cell r="C860" t="str">
            <v>PDRRMO</v>
          </cell>
          <cell r="D860" t="str">
            <v>No</v>
          </cell>
          <cell r="E860" t="str">
            <v>NP-53.9 - Small Value Procurement</v>
          </cell>
          <cell r="F860">
            <v>45440</v>
          </cell>
          <cell r="G860">
            <v>45442</v>
          </cell>
          <cell r="H860">
            <v>0</v>
          </cell>
          <cell r="I860" t="str">
            <v>N/A</v>
          </cell>
          <cell r="J860">
            <v>45454</v>
          </cell>
          <cell r="K860">
            <v>45454</v>
          </cell>
          <cell r="L860">
            <v>0</v>
          </cell>
          <cell r="M860" t="str">
            <v>N/A</v>
          </cell>
          <cell r="N860" t="str">
            <v>N/A</v>
          </cell>
          <cell r="O860">
            <v>45464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45463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18700</v>
          </cell>
          <cell r="AB860">
            <v>0</v>
          </cell>
          <cell r="AC860">
            <v>18700</v>
          </cell>
          <cell r="AD860">
            <v>18696</v>
          </cell>
          <cell r="AE860">
            <v>0</v>
          </cell>
          <cell r="AF860">
            <v>18696</v>
          </cell>
          <cell r="AG860" t="str">
            <v>C</v>
          </cell>
          <cell r="AH860" t="str">
            <v>ENGR. MICHAEL C. SALARDA
MS. LEONARDA M. LATOR
MS. CARMENCITA VALDEZ
MS. SORAYA P. VERGARA</v>
          </cell>
          <cell r="AI860" t="str">
            <v>N/A</v>
          </cell>
          <cell r="AJ860" t="str">
            <v>N/A</v>
          </cell>
          <cell r="AK860" t="str">
            <v>N/A</v>
          </cell>
          <cell r="AL860" t="str">
            <v>N/A</v>
          </cell>
          <cell r="AM860" t="str">
            <v>N/A</v>
          </cell>
          <cell r="AN860" t="str">
            <v>N/A</v>
          </cell>
          <cell r="AO860">
            <v>0</v>
          </cell>
        </row>
        <row r="861">
          <cell r="A861" t="str">
            <v>24-2862</v>
          </cell>
          <cell r="B861" t="str">
            <v>INDUSTRIAL FLOOR FAN</v>
          </cell>
          <cell r="C861" t="str">
            <v>PGSO</v>
          </cell>
          <cell r="D861" t="str">
            <v>No</v>
          </cell>
          <cell r="E861" t="str">
            <v>NP-53.9 - Small Value Procurement</v>
          </cell>
          <cell r="F861" t="str">
            <v>N/A</v>
          </cell>
          <cell r="G861">
            <v>45442</v>
          </cell>
          <cell r="H861">
            <v>0</v>
          </cell>
          <cell r="I861" t="str">
            <v>N/A</v>
          </cell>
          <cell r="J861">
            <v>45454</v>
          </cell>
          <cell r="K861">
            <v>45454</v>
          </cell>
          <cell r="L861">
            <v>0</v>
          </cell>
          <cell r="M861" t="str">
            <v>N/A</v>
          </cell>
          <cell r="N861" t="str">
            <v>N/A</v>
          </cell>
          <cell r="O861">
            <v>45464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45463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20850</v>
          </cell>
          <cell r="AB861">
            <v>20850</v>
          </cell>
          <cell r="AC861">
            <v>0</v>
          </cell>
          <cell r="AD861">
            <v>20844</v>
          </cell>
          <cell r="AE861">
            <v>20844</v>
          </cell>
          <cell r="AF861">
            <v>0</v>
          </cell>
          <cell r="AG861" t="str">
            <v>M</v>
          </cell>
          <cell r="AH861" t="str">
            <v>ENGR. MICHAEL C. SALARDA
MS. LEONARDA M. LATOR
MS. CARMENCITA VALDEZ
MS. SORAYA P. VERGARA</v>
          </cell>
          <cell r="AI861" t="str">
            <v>N/A</v>
          </cell>
          <cell r="AJ861" t="str">
            <v>N/A</v>
          </cell>
          <cell r="AK861" t="str">
            <v>N/A</v>
          </cell>
          <cell r="AL861" t="str">
            <v>N/A</v>
          </cell>
          <cell r="AM861" t="str">
            <v>N/A</v>
          </cell>
          <cell r="AN861" t="str">
            <v>N/A</v>
          </cell>
          <cell r="AO861">
            <v>0</v>
          </cell>
        </row>
        <row r="862">
          <cell r="A862" t="str">
            <v>24-C1340</v>
          </cell>
          <cell r="B862" t="str">
            <v>COMPUTER SUPPLIES</v>
          </cell>
          <cell r="C862" t="str">
            <v>PDRRMO</v>
          </cell>
          <cell r="D862" t="str">
            <v>No</v>
          </cell>
          <cell r="E862" t="str">
            <v>NP-53.9 - Small Value Procurement</v>
          </cell>
          <cell r="F862" t="str">
            <v>N/A</v>
          </cell>
          <cell r="G862">
            <v>45412</v>
          </cell>
          <cell r="H862">
            <v>0</v>
          </cell>
          <cell r="I862" t="str">
            <v>N/A</v>
          </cell>
          <cell r="J862">
            <v>45454</v>
          </cell>
          <cell r="K862">
            <v>45454</v>
          </cell>
          <cell r="L862">
            <v>0</v>
          </cell>
          <cell r="M862" t="str">
            <v>N/A</v>
          </cell>
          <cell r="N862" t="str">
            <v>N/A</v>
          </cell>
          <cell r="O862">
            <v>45464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45463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24400</v>
          </cell>
          <cell r="AB862">
            <v>0</v>
          </cell>
          <cell r="AC862">
            <v>24400</v>
          </cell>
          <cell r="AD862">
            <v>24370</v>
          </cell>
          <cell r="AE862">
            <v>0</v>
          </cell>
          <cell r="AF862">
            <v>24370</v>
          </cell>
          <cell r="AG862" t="str">
            <v>C</v>
          </cell>
          <cell r="AH862" t="str">
            <v>ENGR. MICHAEL C. SALARDA
MS. LEONARDA M. LATOR
MS. CARMENCITA VALDEZ
MS. SORAYA P. VERGARA</v>
          </cell>
          <cell r="AI862" t="str">
            <v>N/A</v>
          </cell>
          <cell r="AJ862" t="str">
            <v>N/A</v>
          </cell>
          <cell r="AK862" t="str">
            <v>N/A</v>
          </cell>
          <cell r="AL862" t="str">
            <v>N/A</v>
          </cell>
          <cell r="AM862" t="str">
            <v>N/A</v>
          </cell>
          <cell r="AN862" t="str">
            <v>N/A</v>
          </cell>
          <cell r="AO862">
            <v>0</v>
          </cell>
        </row>
        <row r="863">
          <cell r="A863" t="str">
            <v>24-2867</v>
          </cell>
          <cell r="B863" t="str">
            <v>RECHARGEABLE BATTERY
&amp; BATTERY CHARGER</v>
          </cell>
          <cell r="C863" t="str">
            <v>PTO</v>
          </cell>
          <cell r="D863" t="str">
            <v>No</v>
          </cell>
          <cell r="E863" t="str">
            <v>NP-53.9 - Small Value Procurement</v>
          </cell>
          <cell r="F863" t="str">
            <v>N/A</v>
          </cell>
          <cell r="G863">
            <v>45442</v>
          </cell>
          <cell r="H863">
            <v>0</v>
          </cell>
          <cell r="I863" t="str">
            <v>N/A</v>
          </cell>
          <cell r="J863">
            <v>45454</v>
          </cell>
          <cell r="K863">
            <v>45454</v>
          </cell>
          <cell r="L863">
            <v>0</v>
          </cell>
          <cell r="M863" t="str">
            <v>N/A</v>
          </cell>
          <cell r="N863" t="str">
            <v>N/A</v>
          </cell>
          <cell r="O863">
            <v>45464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45463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2360</v>
          </cell>
          <cell r="AB863">
            <v>2360</v>
          </cell>
          <cell r="AC863">
            <v>0</v>
          </cell>
          <cell r="AD863">
            <v>2360</v>
          </cell>
          <cell r="AE863">
            <v>2360</v>
          </cell>
          <cell r="AF863">
            <v>0</v>
          </cell>
          <cell r="AG863" t="str">
            <v>M</v>
          </cell>
          <cell r="AH863" t="str">
            <v>ENGR. MICHAEL C. SALARDA
MS. LEONARDA M. LATOR
MS. CARMENCITA VALDEZ
MS. SORAYA P. VERGARA</v>
          </cell>
          <cell r="AI863" t="str">
            <v>N/A</v>
          </cell>
          <cell r="AJ863" t="str">
            <v>N/A</v>
          </cell>
          <cell r="AK863" t="str">
            <v>N/A</v>
          </cell>
          <cell r="AL863" t="str">
            <v>N/A</v>
          </cell>
          <cell r="AM863" t="str">
            <v>N/A</v>
          </cell>
          <cell r="AN863" t="str">
            <v>N/A</v>
          </cell>
          <cell r="AO863">
            <v>0</v>
          </cell>
        </row>
        <row r="864">
          <cell r="A864" t="str">
            <v>24-C1363</v>
          </cell>
          <cell r="B864" t="str">
            <v>COLORED PRINTER &amp;
POWER SUPPLY</v>
          </cell>
          <cell r="C864" t="str">
            <v>SPO</v>
          </cell>
          <cell r="D864" t="str">
            <v>No</v>
          </cell>
          <cell r="E864" t="str">
            <v>NP-53.9 - Small Value Procurement</v>
          </cell>
          <cell r="F864" t="str">
            <v>N/A</v>
          </cell>
          <cell r="G864">
            <v>45436</v>
          </cell>
          <cell r="H864">
            <v>0</v>
          </cell>
          <cell r="I864" t="str">
            <v>N/A</v>
          </cell>
          <cell r="J864">
            <v>45454</v>
          </cell>
          <cell r="K864">
            <v>45454</v>
          </cell>
          <cell r="L864">
            <v>0</v>
          </cell>
          <cell r="M864" t="str">
            <v>N/A</v>
          </cell>
          <cell r="N864" t="str">
            <v>N/A</v>
          </cell>
          <cell r="O864">
            <v>45464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55280</v>
          </cell>
          <cell r="AB864">
            <v>55280</v>
          </cell>
          <cell r="AC864">
            <v>0</v>
          </cell>
          <cell r="AD864">
            <v>55000</v>
          </cell>
          <cell r="AE864">
            <v>55000</v>
          </cell>
          <cell r="AF864">
            <v>0</v>
          </cell>
          <cell r="AG864" t="str">
            <v>M</v>
          </cell>
          <cell r="AH864" t="str">
            <v>ENGR. MICHAEL C. SALARDA
MS. LEONARDA M. LATOR
MS. CARMENCITA VALDEZ
MS. SORAYA P. VERGARA</v>
          </cell>
          <cell r="AI864" t="str">
            <v>N/A</v>
          </cell>
          <cell r="AJ864" t="str">
            <v>N/A</v>
          </cell>
          <cell r="AK864" t="str">
            <v>N/A</v>
          </cell>
          <cell r="AL864" t="str">
            <v>N/A</v>
          </cell>
          <cell r="AM864" t="str">
            <v>N/A</v>
          </cell>
          <cell r="AN864" t="str">
            <v>N/A</v>
          </cell>
          <cell r="AO864">
            <v>0</v>
          </cell>
        </row>
        <row r="865">
          <cell r="A865" t="str">
            <v>24-2672</v>
          </cell>
          <cell r="B865" t="str">
            <v>HEAVY DUTY HYDRAULIC
JACK</v>
          </cell>
          <cell r="C865" t="str">
            <v>PDRRMO</v>
          </cell>
          <cell r="D865" t="str">
            <v>No</v>
          </cell>
          <cell r="E865" t="str">
            <v>NP-53.9 - Small Value Procurement</v>
          </cell>
          <cell r="F865">
            <v>45440</v>
          </cell>
          <cell r="G865">
            <v>45442</v>
          </cell>
          <cell r="H865">
            <v>0</v>
          </cell>
          <cell r="I865" t="str">
            <v>N/A</v>
          </cell>
          <cell r="J865">
            <v>45454</v>
          </cell>
          <cell r="K865">
            <v>45454</v>
          </cell>
          <cell r="L865">
            <v>0</v>
          </cell>
          <cell r="M865" t="str">
            <v>N/A</v>
          </cell>
          <cell r="N865" t="str">
            <v>N/A</v>
          </cell>
          <cell r="O865">
            <v>45464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45463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14800</v>
          </cell>
          <cell r="AB865">
            <v>0</v>
          </cell>
          <cell r="AC865">
            <v>14800</v>
          </cell>
          <cell r="AD865">
            <v>14799</v>
          </cell>
          <cell r="AE865">
            <v>0</v>
          </cell>
          <cell r="AF865">
            <v>14799</v>
          </cell>
          <cell r="AG865" t="str">
            <v>C</v>
          </cell>
          <cell r="AH865" t="str">
            <v>ENGR. MICHAEL C. SALARDA
MS. LEONARDA M. LATOR
MS. CARMENCITA VALDEZ
MS. SORAYA P. VERGARA</v>
          </cell>
          <cell r="AI865" t="str">
            <v>N/A</v>
          </cell>
          <cell r="AJ865" t="str">
            <v>N/A</v>
          </cell>
          <cell r="AK865" t="str">
            <v>N/A</v>
          </cell>
          <cell r="AL865" t="str">
            <v>N/A</v>
          </cell>
          <cell r="AM865" t="str">
            <v>N/A</v>
          </cell>
          <cell r="AN865" t="str">
            <v>N/A</v>
          </cell>
          <cell r="AO865">
            <v>0</v>
          </cell>
        </row>
        <row r="866">
          <cell r="A866" t="str">
            <v>24-2934</v>
          </cell>
          <cell r="B866" t="str">
            <v>PIPE WRENCH</v>
          </cell>
          <cell r="C866" t="str">
            <v>PDRRMO</v>
          </cell>
          <cell r="D866" t="str">
            <v>No</v>
          </cell>
          <cell r="E866" t="str">
            <v>NP-53.9 - Small Value Procurement</v>
          </cell>
          <cell r="F866">
            <v>45440</v>
          </cell>
          <cell r="G866">
            <v>45442</v>
          </cell>
          <cell r="H866">
            <v>0</v>
          </cell>
          <cell r="I866" t="str">
            <v>N/A</v>
          </cell>
          <cell r="J866">
            <v>45454</v>
          </cell>
          <cell r="K866">
            <v>45454</v>
          </cell>
          <cell r="L866">
            <v>0</v>
          </cell>
          <cell r="M866" t="str">
            <v>N/A</v>
          </cell>
          <cell r="N866" t="str">
            <v>N/A</v>
          </cell>
          <cell r="O866">
            <v>45464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45463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5200</v>
          </cell>
          <cell r="AB866">
            <v>0</v>
          </cell>
          <cell r="AC866">
            <v>5200</v>
          </cell>
          <cell r="AD866">
            <v>5198</v>
          </cell>
          <cell r="AE866">
            <v>0</v>
          </cell>
          <cell r="AF866">
            <v>5198</v>
          </cell>
          <cell r="AG866" t="str">
            <v>C</v>
          </cell>
          <cell r="AH866" t="str">
            <v>ENGR. MICHAEL C. SALARDA
MS. LEONARDA M. LATOR
MS. CARMENCITA VALDEZ
MS. SORAYA P. VERGARA</v>
          </cell>
          <cell r="AI866" t="str">
            <v>N/A</v>
          </cell>
          <cell r="AJ866" t="str">
            <v>N/A</v>
          </cell>
          <cell r="AK866" t="str">
            <v>N/A</v>
          </cell>
          <cell r="AL866" t="str">
            <v>N/A</v>
          </cell>
          <cell r="AM866" t="str">
            <v>N/A</v>
          </cell>
          <cell r="AN866" t="str">
            <v>N/A</v>
          </cell>
          <cell r="AO866">
            <v>0</v>
          </cell>
        </row>
        <row r="867">
          <cell r="A867" t="str">
            <v>24-1241</v>
          </cell>
          <cell r="B867" t="str">
            <v>JOB ORDER: SUPPLY AND INSTALLATION OF 3 UNITS OF 50KVA DISTRIBUTION TRANSFER</v>
          </cell>
          <cell r="C867" t="str">
            <v>PAGRO</v>
          </cell>
          <cell r="D867" t="str">
            <v>No</v>
          </cell>
          <cell r="E867" t="str">
            <v>Competitive Bidding</v>
          </cell>
          <cell r="F867">
            <v>45398</v>
          </cell>
          <cell r="G867">
            <v>45411</v>
          </cell>
          <cell r="H867">
            <v>0</v>
          </cell>
          <cell r="I867">
            <v>45421</v>
          </cell>
          <cell r="J867">
            <v>45440</v>
          </cell>
          <cell r="K867">
            <v>45440</v>
          </cell>
          <cell r="L867">
            <v>0</v>
          </cell>
          <cell r="M867">
            <v>45440</v>
          </cell>
          <cell r="N867">
            <v>45457</v>
          </cell>
          <cell r="O867">
            <v>45464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794859</v>
          </cell>
          <cell r="AB867">
            <v>0</v>
          </cell>
          <cell r="AC867">
            <v>794859</v>
          </cell>
          <cell r="AD867">
            <v>750000</v>
          </cell>
          <cell r="AE867">
            <v>0</v>
          </cell>
          <cell r="AF867">
            <v>750000</v>
          </cell>
          <cell r="AG867" t="str">
            <v>C</v>
          </cell>
          <cell r="AH867" t="str">
            <v>ENGR. MICHAEL C. SALARDA
MS. LEONARDA M. LATOR
MS. CARMENCITA VALDEZ
MS. SORAYA P. VERGARA</v>
          </cell>
          <cell r="AI867">
            <v>45419</v>
          </cell>
          <cell r="AJ867">
            <v>45439</v>
          </cell>
          <cell r="AK867">
            <v>45439</v>
          </cell>
          <cell r="AL867">
            <v>45439</v>
          </cell>
          <cell r="AM867" t="str">
            <v>N/A</v>
          </cell>
          <cell r="AN867" t="str">
            <v>N/A</v>
          </cell>
          <cell r="AO867">
            <v>0</v>
          </cell>
        </row>
        <row r="868">
          <cell r="A868" t="str">
            <v>23-4953</v>
          </cell>
          <cell r="B868" t="str">
            <v>SUPPLY AND DELIVERY OF LAPTOP (MIDRANGE)</v>
          </cell>
          <cell r="C868" t="str">
            <v>SEF</v>
          </cell>
          <cell r="D868" t="str">
            <v>No</v>
          </cell>
          <cell r="E868" t="str">
            <v>Competitive Bidding</v>
          </cell>
          <cell r="F868">
            <v>45421</v>
          </cell>
          <cell r="G868">
            <v>45425</v>
          </cell>
          <cell r="H868">
            <v>0</v>
          </cell>
          <cell r="I868" t="str">
            <v>N/A</v>
          </cell>
          <cell r="J868">
            <v>45440</v>
          </cell>
          <cell r="K868">
            <v>45440</v>
          </cell>
          <cell r="L868">
            <v>0</v>
          </cell>
          <cell r="M868">
            <v>45440</v>
          </cell>
          <cell r="N868">
            <v>45457</v>
          </cell>
          <cell r="O868">
            <v>45464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165000</v>
          </cell>
          <cell r="AB868">
            <v>0</v>
          </cell>
          <cell r="AC868">
            <v>165000</v>
          </cell>
          <cell r="AD868">
            <v>157200</v>
          </cell>
          <cell r="AE868">
            <v>0</v>
          </cell>
          <cell r="AF868">
            <v>157200</v>
          </cell>
          <cell r="AG868" t="str">
            <v>C</v>
          </cell>
          <cell r="AH868" t="str">
            <v>ENGR. MICHAEL C. SALARDA
MS. LEONARDA M. LATOR
MS. CARMENCITA VALDEZ
MS. SORAYA P. VERGARA</v>
          </cell>
          <cell r="AI868" t="str">
            <v>N/A</v>
          </cell>
          <cell r="AJ868" t="str">
            <v>N/A</v>
          </cell>
          <cell r="AK868" t="str">
            <v>N/A</v>
          </cell>
          <cell r="AL868" t="str">
            <v>N/A</v>
          </cell>
          <cell r="AM868" t="str">
            <v>N/A</v>
          </cell>
          <cell r="AN868" t="str">
            <v>N/A</v>
          </cell>
          <cell r="AO868">
            <v>0</v>
          </cell>
        </row>
        <row r="869">
          <cell r="A869" t="str">
            <v>24-2360</v>
          </cell>
          <cell r="B869" t="str">
            <v>ACCOUNTABLE FORMS</v>
          </cell>
          <cell r="C869" t="str">
            <v>PTO</v>
          </cell>
          <cell r="D869" t="str">
            <v>No</v>
          </cell>
          <cell r="E869" t="str">
            <v>NP-53.5 Agency-to-Agency</v>
          </cell>
          <cell r="F869">
            <v>45398</v>
          </cell>
          <cell r="G869">
            <v>45404</v>
          </cell>
          <cell r="H869">
            <v>0</v>
          </cell>
          <cell r="I869" t="str">
            <v>N/A</v>
          </cell>
          <cell r="J869">
            <v>45461</v>
          </cell>
          <cell r="K869">
            <v>45461</v>
          </cell>
          <cell r="L869">
            <v>0</v>
          </cell>
          <cell r="M869" t="str">
            <v>N/A</v>
          </cell>
          <cell r="N869" t="str">
            <v>N/A</v>
          </cell>
          <cell r="O869">
            <v>45464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1899865</v>
          </cell>
          <cell r="AB869">
            <v>1899865</v>
          </cell>
          <cell r="AC869">
            <v>0</v>
          </cell>
          <cell r="AD869">
            <v>1545568.25</v>
          </cell>
          <cell r="AE869">
            <v>1545568.25</v>
          </cell>
          <cell r="AF869">
            <v>0</v>
          </cell>
          <cell r="AG869" t="str">
            <v>M</v>
          </cell>
          <cell r="AH869" t="str">
            <v>ENGR. MICHAEL C. SALARDA
MS. LEONARDA M. LATOR
MS. CARMENCITA VALDEZ
MS. SORAYA P. VERGARA</v>
          </cell>
          <cell r="AI869" t="str">
            <v>N/A</v>
          </cell>
          <cell r="AJ869" t="str">
            <v>N/A</v>
          </cell>
          <cell r="AK869" t="str">
            <v>N/A</v>
          </cell>
          <cell r="AL869" t="str">
            <v>N/A</v>
          </cell>
          <cell r="AM869" t="str">
            <v>N/A</v>
          </cell>
          <cell r="AN869" t="str">
            <v>N/A</v>
          </cell>
          <cell r="AO869">
            <v>0</v>
          </cell>
        </row>
        <row r="870">
          <cell r="A870" t="str">
            <v>24-2803</v>
          </cell>
          <cell r="B870" t="str">
            <v>TONER</v>
          </cell>
          <cell r="C870" t="str">
            <v>PBO</v>
          </cell>
          <cell r="D870" t="str">
            <v>No</v>
          </cell>
          <cell r="E870" t="str">
            <v>Direct Contracting</v>
          </cell>
          <cell r="F870" t="str">
            <v>N/A</v>
          </cell>
          <cell r="G870">
            <v>45448</v>
          </cell>
          <cell r="H870">
            <v>0</v>
          </cell>
          <cell r="I870" t="str">
            <v>N/A</v>
          </cell>
          <cell r="J870">
            <v>45461</v>
          </cell>
          <cell r="K870">
            <v>45461</v>
          </cell>
          <cell r="L870">
            <v>0</v>
          </cell>
          <cell r="M870" t="str">
            <v>N/A</v>
          </cell>
          <cell r="N870" t="str">
            <v>N/A</v>
          </cell>
          <cell r="O870">
            <v>45464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45475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6023</v>
          </cell>
          <cell r="AB870">
            <v>6023</v>
          </cell>
          <cell r="AC870">
            <v>0</v>
          </cell>
          <cell r="AD870">
            <v>6023</v>
          </cell>
          <cell r="AE870">
            <v>6023</v>
          </cell>
          <cell r="AF870">
            <v>0</v>
          </cell>
          <cell r="AG870" t="str">
            <v>M</v>
          </cell>
          <cell r="AH870" t="str">
            <v>ENGR. MICHAEL C. SALARDA
MS. LEONARDA M. LATOR
MS. CARMENCITA VALDEZ
MS. SORAYA P. VERGARA</v>
          </cell>
          <cell r="AI870" t="str">
            <v>N/A</v>
          </cell>
          <cell r="AJ870" t="str">
            <v>N/A</v>
          </cell>
          <cell r="AK870" t="str">
            <v>N/A</v>
          </cell>
          <cell r="AL870" t="str">
            <v>N/A</v>
          </cell>
          <cell r="AM870" t="str">
            <v>N/A</v>
          </cell>
          <cell r="AN870" t="str">
            <v>N/A</v>
          </cell>
          <cell r="AO870">
            <v>0</v>
          </cell>
        </row>
        <row r="871">
          <cell r="A871" t="str">
            <v>24-3175</v>
          </cell>
          <cell r="B871" t="str">
            <v>SPAREPARTS (LIGHT
VEHICLES)</v>
          </cell>
          <cell r="C871" t="str">
            <v>PDRRMO</v>
          </cell>
          <cell r="D871" t="str">
            <v>No</v>
          </cell>
          <cell r="E871" t="str">
            <v>Shopping 52.1(a) - Unforeseen Contingency</v>
          </cell>
          <cell r="F871">
            <v>45454</v>
          </cell>
          <cell r="G871">
            <v>45457</v>
          </cell>
          <cell r="H871">
            <v>0</v>
          </cell>
          <cell r="I871" t="str">
            <v>N/A</v>
          </cell>
          <cell r="J871">
            <v>45461</v>
          </cell>
          <cell r="K871">
            <v>45461</v>
          </cell>
          <cell r="L871">
            <v>0</v>
          </cell>
          <cell r="M871" t="str">
            <v>N/A</v>
          </cell>
          <cell r="N871" t="str">
            <v>N/A</v>
          </cell>
          <cell r="O871">
            <v>45464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17500</v>
          </cell>
          <cell r="AB871">
            <v>17500</v>
          </cell>
          <cell r="AC871">
            <v>0</v>
          </cell>
          <cell r="AD871">
            <v>17500</v>
          </cell>
          <cell r="AE871">
            <v>17500</v>
          </cell>
          <cell r="AF871">
            <v>0</v>
          </cell>
          <cell r="AG871" t="str">
            <v>M</v>
          </cell>
          <cell r="AH871" t="str">
            <v>ENGR. MICHAEL C. SALARDA
MS. LEONARDA M. LATOR
MS. CARMENCITA VALDEZ
MS. SORAYA P. VERGARA</v>
          </cell>
          <cell r="AI871" t="str">
            <v>N/A</v>
          </cell>
          <cell r="AJ871" t="str">
            <v>N/A</v>
          </cell>
          <cell r="AK871" t="str">
            <v>N/A</v>
          </cell>
          <cell r="AL871" t="str">
            <v>N/A</v>
          </cell>
          <cell r="AM871" t="str">
            <v>N/A</v>
          </cell>
          <cell r="AN871" t="str">
            <v>N/A</v>
          </cell>
          <cell r="AO871">
            <v>0</v>
          </cell>
        </row>
        <row r="872">
          <cell r="A872" t="str">
            <v>24-2881</v>
          </cell>
          <cell r="B872" t="str">
            <v>SPAREPARTS (LIGHT
VEHICLES)</v>
          </cell>
          <cell r="C872" t="str">
            <v>PDRRMO</v>
          </cell>
          <cell r="D872" t="str">
            <v>No</v>
          </cell>
          <cell r="E872" t="str">
            <v>Shopping 52.1(a) - Unforeseen Contingency</v>
          </cell>
          <cell r="F872" t="str">
            <v>N/A</v>
          </cell>
          <cell r="G872">
            <v>45457</v>
          </cell>
          <cell r="H872">
            <v>0</v>
          </cell>
          <cell r="I872" t="str">
            <v>N/A</v>
          </cell>
          <cell r="J872">
            <v>45461</v>
          </cell>
          <cell r="K872">
            <v>45461</v>
          </cell>
          <cell r="L872">
            <v>0</v>
          </cell>
          <cell r="M872" t="str">
            <v>N/A</v>
          </cell>
          <cell r="N872" t="str">
            <v>N/A</v>
          </cell>
          <cell r="O872">
            <v>45464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45469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85000</v>
          </cell>
          <cell r="AB872">
            <v>85000</v>
          </cell>
          <cell r="AC872">
            <v>0</v>
          </cell>
          <cell r="AD872">
            <v>85000</v>
          </cell>
          <cell r="AE872">
            <v>85000</v>
          </cell>
          <cell r="AF872">
            <v>0</v>
          </cell>
          <cell r="AG872" t="str">
            <v>M</v>
          </cell>
          <cell r="AH872" t="str">
            <v>ENGR. MICHAEL C. SALARDA
MS. LEONARDA M. LATOR
MS. CARMENCITA VALDEZ
MS. SORAYA P. VERGARA</v>
          </cell>
          <cell r="AI872" t="str">
            <v>N/A</v>
          </cell>
          <cell r="AJ872" t="str">
            <v>N/A</v>
          </cell>
          <cell r="AK872" t="str">
            <v>N/A</v>
          </cell>
          <cell r="AL872" t="str">
            <v>N/A</v>
          </cell>
          <cell r="AM872" t="str">
            <v>N/A</v>
          </cell>
          <cell r="AN872" t="str">
            <v>N/A</v>
          </cell>
          <cell r="AO872">
            <v>0</v>
          </cell>
        </row>
        <row r="873">
          <cell r="A873" t="str">
            <v>24-3381</v>
          </cell>
          <cell r="B873" t="str">
            <v>JOB ORDER(LABOR &amp;
MATERIALS)</v>
          </cell>
          <cell r="C873" t="str">
            <v>VGO</v>
          </cell>
          <cell r="D873" t="str">
            <v>No</v>
          </cell>
          <cell r="E873" t="str">
            <v>Shopping 52.1(a) - Unforeseen Contingency</v>
          </cell>
          <cell r="F873" t="str">
            <v>N/A</v>
          </cell>
          <cell r="G873">
            <v>45457</v>
          </cell>
          <cell r="H873">
            <v>0</v>
          </cell>
          <cell r="I873" t="str">
            <v>N/A</v>
          </cell>
          <cell r="J873">
            <v>45461</v>
          </cell>
          <cell r="K873">
            <v>45461</v>
          </cell>
          <cell r="L873">
            <v>0</v>
          </cell>
          <cell r="M873" t="str">
            <v>N/A</v>
          </cell>
          <cell r="N873" t="str">
            <v>N/A</v>
          </cell>
          <cell r="O873">
            <v>45464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45474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3500</v>
          </cell>
          <cell r="AB873">
            <v>3500</v>
          </cell>
          <cell r="AC873">
            <v>0</v>
          </cell>
          <cell r="AD873">
            <v>3500</v>
          </cell>
          <cell r="AE873">
            <v>3500</v>
          </cell>
          <cell r="AF873">
            <v>0</v>
          </cell>
          <cell r="AG873" t="str">
            <v>M</v>
          </cell>
          <cell r="AH873" t="str">
            <v>ENGR. MICHAEL C. SALARDA
MS. LEONARDA M. LATOR
MS. CARMENCITA VALDEZ
MS. SORAYA P. VERGARA</v>
          </cell>
          <cell r="AI873" t="str">
            <v>N/A</v>
          </cell>
          <cell r="AJ873" t="str">
            <v>N/A</v>
          </cell>
          <cell r="AK873" t="str">
            <v>N/A</v>
          </cell>
          <cell r="AL873" t="str">
            <v>N/A</v>
          </cell>
          <cell r="AM873" t="str">
            <v>N/A</v>
          </cell>
          <cell r="AN873" t="str">
            <v>N/A</v>
          </cell>
          <cell r="AO873">
            <v>0</v>
          </cell>
        </row>
        <row r="874">
          <cell r="A874" t="str">
            <v>24-2725</v>
          </cell>
          <cell r="B874" t="str">
            <v>SPAREPARTS (MOTOR
CYCLE)</v>
          </cell>
          <cell r="C874" t="str">
            <v>PGSO</v>
          </cell>
          <cell r="D874" t="str">
            <v>No</v>
          </cell>
          <cell r="E874" t="str">
            <v>Shopping 52.1(a) - Unforeseen Contingency</v>
          </cell>
          <cell r="F874">
            <v>45440</v>
          </cell>
          <cell r="G874">
            <v>45442</v>
          </cell>
          <cell r="H874">
            <v>0</v>
          </cell>
          <cell r="I874" t="str">
            <v>N/A</v>
          </cell>
          <cell r="J874">
            <v>45461</v>
          </cell>
          <cell r="K874">
            <v>45461</v>
          </cell>
          <cell r="L874">
            <v>0</v>
          </cell>
          <cell r="M874" t="str">
            <v>N/A</v>
          </cell>
          <cell r="N874" t="str">
            <v>N/A</v>
          </cell>
          <cell r="O874">
            <v>45464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1700</v>
          </cell>
          <cell r="AB874">
            <v>1700</v>
          </cell>
          <cell r="AC874">
            <v>0</v>
          </cell>
          <cell r="AD874">
            <v>1675</v>
          </cell>
          <cell r="AE874">
            <v>1675</v>
          </cell>
          <cell r="AF874">
            <v>0</v>
          </cell>
          <cell r="AG874" t="str">
            <v>M</v>
          </cell>
          <cell r="AH874" t="str">
            <v>ENGR. MICHAEL C. SALARDA
MS. LEONARDA M. LATOR
MS. CARMENCITA VALDEZ
MS. SORAYA P. VERGARA</v>
          </cell>
          <cell r="AI874" t="str">
            <v>N/A</v>
          </cell>
          <cell r="AJ874" t="str">
            <v>N/A</v>
          </cell>
          <cell r="AK874" t="str">
            <v>N/A</v>
          </cell>
          <cell r="AL874" t="str">
            <v>N/A</v>
          </cell>
          <cell r="AM874" t="str">
            <v>N/A</v>
          </cell>
          <cell r="AN874" t="str">
            <v>N/A</v>
          </cell>
          <cell r="AO874">
            <v>0</v>
          </cell>
        </row>
        <row r="875">
          <cell r="A875" t="str">
            <v>24-2692</v>
          </cell>
          <cell r="B875" t="str">
            <v>SPAREPARTS (LIGHT
VEHICLES)</v>
          </cell>
          <cell r="C875" t="str">
            <v>PGSO</v>
          </cell>
          <cell r="D875" t="str">
            <v>No</v>
          </cell>
          <cell r="E875" t="str">
            <v>Shopping 52.1(a) - Unforeseen Contingency</v>
          </cell>
          <cell r="F875">
            <v>45440</v>
          </cell>
          <cell r="G875">
            <v>45442</v>
          </cell>
          <cell r="H875">
            <v>0</v>
          </cell>
          <cell r="I875" t="str">
            <v>N/A</v>
          </cell>
          <cell r="J875">
            <v>45461</v>
          </cell>
          <cell r="K875">
            <v>45461</v>
          </cell>
          <cell r="L875">
            <v>0</v>
          </cell>
          <cell r="M875" t="str">
            <v>N/A</v>
          </cell>
          <cell r="N875" t="str">
            <v>N/A</v>
          </cell>
          <cell r="O875">
            <v>45464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45474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63050</v>
          </cell>
          <cell r="AB875">
            <v>63050</v>
          </cell>
          <cell r="AC875">
            <v>0</v>
          </cell>
          <cell r="AD875">
            <v>43150</v>
          </cell>
          <cell r="AE875">
            <v>43150</v>
          </cell>
          <cell r="AF875">
            <v>0</v>
          </cell>
          <cell r="AG875" t="str">
            <v>M</v>
          </cell>
          <cell r="AH875" t="str">
            <v>ENGR. MICHAEL C. SALARDA
MS. LEONARDA M. LATOR
MS. CARMENCITA VALDEZ
MS. SORAYA P. VERGARA</v>
          </cell>
          <cell r="AI875" t="str">
            <v>N/A</v>
          </cell>
          <cell r="AJ875" t="str">
            <v>N/A</v>
          </cell>
          <cell r="AK875" t="str">
            <v>N/A</v>
          </cell>
          <cell r="AL875" t="str">
            <v>N/A</v>
          </cell>
          <cell r="AM875" t="str">
            <v>N/A</v>
          </cell>
          <cell r="AN875" t="str">
            <v>N/A</v>
          </cell>
          <cell r="AO875">
            <v>0</v>
          </cell>
        </row>
        <row r="876">
          <cell r="A876" t="str">
            <v>24-2853</v>
          </cell>
          <cell r="B876" t="str">
            <v>SPAREPARTS (LIGHT
VEHICLES)</v>
          </cell>
          <cell r="C876" t="str">
            <v>PGSO</v>
          </cell>
          <cell r="D876" t="str">
            <v>No</v>
          </cell>
          <cell r="E876" t="str">
            <v>Shopping 52.1(a) - Unforeseen Contingency</v>
          </cell>
          <cell r="F876" t="str">
            <v>N/A</v>
          </cell>
          <cell r="G876">
            <v>45442</v>
          </cell>
          <cell r="H876">
            <v>0</v>
          </cell>
          <cell r="I876" t="str">
            <v>N/A</v>
          </cell>
          <cell r="J876">
            <v>45461</v>
          </cell>
          <cell r="K876">
            <v>45461</v>
          </cell>
          <cell r="L876">
            <v>0</v>
          </cell>
          <cell r="M876" t="str">
            <v>N/A</v>
          </cell>
          <cell r="N876" t="str">
            <v>N/A</v>
          </cell>
          <cell r="O876">
            <v>45464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45469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56580</v>
          </cell>
          <cell r="AB876">
            <v>56580</v>
          </cell>
          <cell r="AC876">
            <v>0</v>
          </cell>
          <cell r="AD876">
            <v>51130</v>
          </cell>
          <cell r="AE876">
            <v>51130</v>
          </cell>
          <cell r="AF876">
            <v>0</v>
          </cell>
          <cell r="AG876" t="str">
            <v>M</v>
          </cell>
          <cell r="AH876" t="str">
            <v>ENGR. MICHAEL C. SALARDA
MS. LEONARDA M. LATOR
MS. CARMENCITA VALDEZ
MS. SORAYA P. VERGARA</v>
          </cell>
          <cell r="AI876" t="str">
            <v>N/A</v>
          </cell>
          <cell r="AJ876" t="str">
            <v>N/A</v>
          </cell>
          <cell r="AK876" t="str">
            <v>N/A</v>
          </cell>
          <cell r="AL876" t="str">
            <v>N/A</v>
          </cell>
          <cell r="AM876" t="str">
            <v>N/A</v>
          </cell>
          <cell r="AN876" t="str">
            <v>N/A</v>
          </cell>
          <cell r="AO876">
            <v>0</v>
          </cell>
        </row>
        <row r="877">
          <cell r="A877" t="str">
            <v>24-2681</v>
          </cell>
          <cell r="B877" t="str">
            <v>SPAREPARTS (LIGHT
VEHICLES)</v>
          </cell>
          <cell r="C877" t="str">
            <v>PGSO</v>
          </cell>
          <cell r="D877" t="str">
            <v>No</v>
          </cell>
          <cell r="E877" t="str">
            <v>Shopping 52.1(a) - Unforeseen Contingency</v>
          </cell>
          <cell r="F877">
            <v>45440</v>
          </cell>
          <cell r="G877">
            <v>45442</v>
          </cell>
          <cell r="H877">
            <v>0</v>
          </cell>
          <cell r="I877" t="str">
            <v>N/A</v>
          </cell>
          <cell r="J877">
            <v>45461</v>
          </cell>
          <cell r="K877">
            <v>45461</v>
          </cell>
          <cell r="L877">
            <v>0</v>
          </cell>
          <cell r="M877" t="str">
            <v>N/A</v>
          </cell>
          <cell r="N877" t="str">
            <v>N/A</v>
          </cell>
          <cell r="O877">
            <v>45464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45469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5500</v>
          </cell>
          <cell r="AB877">
            <v>5500</v>
          </cell>
          <cell r="AC877">
            <v>0</v>
          </cell>
          <cell r="AD877">
            <v>4800</v>
          </cell>
          <cell r="AE877">
            <v>4800</v>
          </cell>
          <cell r="AF877">
            <v>0</v>
          </cell>
          <cell r="AG877" t="str">
            <v>M</v>
          </cell>
          <cell r="AH877" t="str">
            <v>ENGR. MICHAEL C. SALARDA
MS. LEONARDA M. LATOR
MS. CARMENCITA VALDEZ
MS. SORAYA P. VERGARA</v>
          </cell>
          <cell r="AI877" t="str">
            <v>N/A</v>
          </cell>
          <cell r="AJ877" t="str">
            <v>N/A</v>
          </cell>
          <cell r="AK877" t="str">
            <v>N/A</v>
          </cell>
          <cell r="AL877" t="str">
            <v>N/A</v>
          </cell>
          <cell r="AM877" t="str">
            <v>N/A</v>
          </cell>
          <cell r="AN877" t="str">
            <v>N/A</v>
          </cell>
          <cell r="AO877">
            <v>0</v>
          </cell>
        </row>
        <row r="878">
          <cell r="A878" t="str">
            <v>24-2678</v>
          </cell>
          <cell r="B878" t="str">
            <v>SPAREPARTS (MOTOR
CYCLE)</v>
          </cell>
          <cell r="C878" t="str">
            <v>PGSO</v>
          </cell>
          <cell r="D878" t="str">
            <v>No</v>
          </cell>
          <cell r="E878" t="str">
            <v>Shopping 52.1(a) - Unforeseen Contingency</v>
          </cell>
          <cell r="F878">
            <v>45440</v>
          </cell>
          <cell r="G878">
            <v>45442</v>
          </cell>
          <cell r="H878">
            <v>0</v>
          </cell>
          <cell r="I878" t="str">
            <v>N/A</v>
          </cell>
          <cell r="J878">
            <v>45461</v>
          </cell>
          <cell r="K878">
            <v>45461</v>
          </cell>
          <cell r="L878">
            <v>0</v>
          </cell>
          <cell r="M878" t="str">
            <v>N/A</v>
          </cell>
          <cell r="N878" t="str">
            <v>N/A</v>
          </cell>
          <cell r="O878">
            <v>45464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5850</v>
          </cell>
          <cell r="AB878">
            <v>5850</v>
          </cell>
          <cell r="AC878">
            <v>0</v>
          </cell>
          <cell r="AD878">
            <v>5845</v>
          </cell>
          <cell r="AE878">
            <v>5845</v>
          </cell>
          <cell r="AF878">
            <v>0</v>
          </cell>
          <cell r="AG878" t="str">
            <v>M</v>
          </cell>
          <cell r="AH878" t="str">
            <v>ENGR. MICHAEL C. SALARDA
MS. LEONARDA M. LATOR
MS. CARMENCITA VALDEZ
MS. SORAYA P. VERGARA</v>
          </cell>
          <cell r="AI878" t="str">
            <v>N/A</v>
          </cell>
          <cell r="AJ878" t="str">
            <v>N/A</v>
          </cell>
          <cell r="AK878" t="str">
            <v>N/A</v>
          </cell>
          <cell r="AL878" t="str">
            <v>N/A</v>
          </cell>
          <cell r="AM878" t="str">
            <v>N/A</v>
          </cell>
          <cell r="AN878" t="str">
            <v>N/A</v>
          </cell>
          <cell r="AO878">
            <v>0</v>
          </cell>
        </row>
        <row r="879">
          <cell r="A879" t="str">
            <v>24-2721</v>
          </cell>
          <cell r="B879" t="str">
            <v>SPAREPARTS (LIGHT
VEHICLES)</v>
          </cell>
          <cell r="C879" t="str">
            <v>PGSO</v>
          </cell>
          <cell r="D879" t="str">
            <v>No</v>
          </cell>
          <cell r="E879" t="str">
            <v>Shopping 52.1(a) - Unforeseen Contingency</v>
          </cell>
          <cell r="F879">
            <v>45440</v>
          </cell>
          <cell r="G879">
            <v>45442</v>
          </cell>
          <cell r="H879">
            <v>0</v>
          </cell>
          <cell r="I879" t="str">
            <v>N/A</v>
          </cell>
          <cell r="J879">
            <v>45461</v>
          </cell>
          <cell r="K879">
            <v>45461</v>
          </cell>
          <cell r="L879">
            <v>0</v>
          </cell>
          <cell r="M879" t="str">
            <v>N/A</v>
          </cell>
          <cell r="N879" t="str">
            <v>N/A</v>
          </cell>
          <cell r="O879">
            <v>45464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45469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31650</v>
          </cell>
          <cell r="AB879">
            <v>31650</v>
          </cell>
          <cell r="AC879">
            <v>0</v>
          </cell>
          <cell r="AD879">
            <v>29630</v>
          </cell>
          <cell r="AE879">
            <v>29630</v>
          </cell>
          <cell r="AF879">
            <v>0</v>
          </cell>
          <cell r="AG879" t="str">
            <v>M</v>
          </cell>
          <cell r="AH879" t="str">
            <v>ENGR. MICHAEL C. SALARDA
MS. LEONARDA M. LATOR
MS. CARMENCITA VALDEZ
MS. SORAYA P. VERGARA</v>
          </cell>
          <cell r="AI879" t="str">
            <v>N/A</v>
          </cell>
          <cell r="AJ879" t="str">
            <v>N/A</v>
          </cell>
          <cell r="AK879" t="str">
            <v>N/A</v>
          </cell>
          <cell r="AL879" t="str">
            <v>N/A</v>
          </cell>
          <cell r="AM879" t="str">
            <v>N/A</v>
          </cell>
          <cell r="AN879" t="str">
            <v>N/A</v>
          </cell>
          <cell r="AO879">
            <v>0</v>
          </cell>
        </row>
        <row r="880">
          <cell r="A880" t="str">
            <v>24-2852</v>
          </cell>
          <cell r="B880" t="str">
            <v>SPAREPARTS (LIGHT
VEHICLES)</v>
          </cell>
          <cell r="C880" t="str">
            <v>PGSO</v>
          </cell>
          <cell r="D880" t="str">
            <v>No</v>
          </cell>
          <cell r="E880" t="str">
            <v>Shopping 52.1(a) - Unforeseen Contingency</v>
          </cell>
          <cell r="F880" t="str">
            <v>N/A</v>
          </cell>
          <cell r="G880">
            <v>45442</v>
          </cell>
          <cell r="H880">
            <v>0</v>
          </cell>
          <cell r="I880" t="str">
            <v>N/A</v>
          </cell>
          <cell r="J880">
            <v>45461</v>
          </cell>
          <cell r="K880">
            <v>45461</v>
          </cell>
          <cell r="L880">
            <v>0</v>
          </cell>
          <cell r="M880" t="str">
            <v>N/A</v>
          </cell>
          <cell r="N880" t="str">
            <v>N/A</v>
          </cell>
          <cell r="O880">
            <v>45464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9450</v>
          </cell>
          <cell r="AB880">
            <v>9450</v>
          </cell>
          <cell r="AC880">
            <v>0</v>
          </cell>
          <cell r="AD880">
            <v>8500</v>
          </cell>
          <cell r="AE880">
            <v>8500</v>
          </cell>
          <cell r="AF880">
            <v>0</v>
          </cell>
          <cell r="AG880" t="str">
            <v>M</v>
          </cell>
          <cell r="AH880" t="str">
            <v>ENGR. MICHAEL C. SALARDA
MS. LEONARDA M. LATOR
MS. CARMENCITA VALDEZ
MS. SORAYA P. VERGARA</v>
          </cell>
          <cell r="AI880" t="str">
            <v>N/A</v>
          </cell>
          <cell r="AJ880" t="str">
            <v>N/A</v>
          </cell>
          <cell r="AK880" t="str">
            <v>N/A</v>
          </cell>
          <cell r="AL880" t="str">
            <v>N/A</v>
          </cell>
          <cell r="AM880" t="str">
            <v>N/A</v>
          </cell>
          <cell r="AN880" t="str">
            <v>N/A</v>
          </cell>
          <cell r="AO880">
            <v>0</v>
          </cell>
        </row>
        <row r="881">
          <cell r="A881" t="str">
            <v>24-2728</v>
          </cell>
          <cell r="B881" t="str">
            <v>SPAREPARTS (MOTOR
CYCLE)</v>
          </cell>
          <cell r="C881" t="str">
            <v>PGSO</v>
          </cell>
          <cell r="D881" t="str">
            <v>No</v>
          </cell>
          <cell r="E881" t="str">
            <v>Shopping 52.1(a) - Unforeseen Contingency</v>
          </cell>
          <cell r="F881">
            <v>45440</v>
          </cell>
          <cell r="G881">
            <v>45442</v>
          </cell>
          <cell r="H881">
            <v>0</v>
          </cell>
          <cell r="I881" t="str">
            <v>N/A</v>
          </cell>
          <cell r="J881">
            <v>45461</v>
          </cell>
          <cell r="K881">
            <v>45461</v>
          </cell>
          <cell r="L881">
            <v>0</v>
          </cell>
          <cell r="M881" t="str">
            <v>N/A</v>
          </cell>
          <cell r="N881" t="str">
            <v>N/A</v>
          </cell>
          <cell r="O881">
            <v>45464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10150</v>
          </cell>
          <cell r="AB881">
            <v>10150</v>
          </cell>
          <cell r="AC881">
            <v>0</v>
          </cell>
          <cell r="AD881">
            <v>10120</v>
          </cell>
          <cell r="AE881">
            <v>10120</v>
          </cell>
          <cell r="AF881">
            <v>0</v>
          </cell>
          <cell r="AG881" t="str">
            <v>M</v>
          </cell>
          <cell r="AH881" t="str">
            <v>ENGR. MICHAEL C. SALARDA
MS. LEONARDA M. LATOR
MS. CARMENCITA VALDEZ
MS. SORAYA P. VERGARA</v>
          </cell>
          <cell r="AI881" t="str">
            <v>N/A</v>
          </cell>
          <cell r="AJ881" t="str">
            <v>N/A</v>
          </cell>
          <cell r="AK881" t="str">
            <v>N/A</v>
          </cell>
          <cell r="AL881" t="str">
            <v>N/A</v>
          </cell>
          <cell r="AM881" t="str">
            <v>N/A</v>
          </cell>
          <cell r="AN881" t="str">
            <v>N/A</v>
          </cell>
          <cell r="AO881">
            <v>0</v>
          </cell>
        </row>
        <row r="882">
          <cell r="A882" t="str">
            <v>24-2574</v>
          </cell>
          <cell r="B882" t="str">
            <v>SPAREPARTS (LIGHT
VEHICLES)</v>
          </cell>
          <cell r="C882" t="str">
            <v>PGSO</v>
          </cell>
          <cell r="D882" t="str">
            <v>No</v>
          </cell>
          <cell r="E882" t="str">
            <v>Shopping 52.1(a) - Unforeseen Contingency</v>
          </cell>
          <cell r="F882">
            <v>45440</v>
          </cell>
          <cell r="G882">
            <v>45442</v>
          </cell>
          <cell r="H882">
            <v>0</v>
          </cell>
          <cell r="I882" t="str">
            <v>N/A</v>
          </cell>
          <cell r="J882">
            <v>45461</v>
          </cell>
          <cell r="K882">
            <v>45461</v>
          </cell>
          <cell r="L882">
            <v>0</v>
          </cell>
          <cell r="M882" t="str">
            <v>N/A</v>
          </cell>
          <cell r="N882" t="str">
            <v>N/A</v>
          </cell>
          <cell r="O882">
            <v>45464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45474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5500</v>
          </cell>
          <cell r="AB882">
            <v>5500</v>
          </cell>
          <cell r="AC882">
            <v>0</v>
          </cell>
          <cell r="AD882">
            <v>4800</v>
          </cell>
          <cell r="AE882">
            <v>4800</v>
          </cell>
          <cell r="AF882">
            <v>0</v>
          </cell>
          <cell r="AG882" t="str">
            <v>M</v>
          </cell>
          <cell r="AH882" t="str">
            <v>ENGR. MICHAEL C. SALARDA
MS. LEONARDA M. LATOR
MS. CARMENCITA VALDEZ
MS. SORAYA P. VERGARA</v>
          </cell>
          <cell r="AI882" t="str">
            <v>N/A</v>
          </cell>
          <cell r="AJ882" t="str">
            <v>N/A</v>
          </cell>
          <cell r="AK882" t="str">
            <v>N/A</v>
          </cell>
          <cell r="AL882" t="str">
            <v>N/A</v>
          </cell>
          <cell r="AM882" t="str">
            <v>N/A</v>
          </cell>
          <cell r="AN882" t="str">
            <v>N/A</v>
          </cell>
          <cell r="AO882">
            <v>0</v>
          </cell>
        </row>
        <row r="883">
          <cell r="A883" t="str">
            <v>24-2732</v>
          </cell>
          <cell r="B883" t="str">
            <v>SPAREPARTS (MOTOR
CYCLE)</v>
          </cell>
          <cell r="C883" t="str">
            <v>PGSO</v>
          </cell>
          <cell r="D883" t="str">
            <v>No</v>
          </cell>
          <cell r="E883" t="str">
            <v>Shopping 52.1(a) - Unforeseen Contingency</v>
          </cell>
          <cell r="F883">
            <v>45440</v>
          </cell>
          <cell r="G883">
            <v>45442</v>
          </cell>
          <cell r="H883">
            <v>0</v>
          </cell>
          <cell r="I883" t="str">
            <v>N/A</v>
          </cell>
          <cell r="J883">
            <v>45461</v>
          </cell>
          <cell r="K883">
            <v>45461</v>
          </cell>
          <cell r="L883">
            <v>0</v>
          </cell>
          <cell r="M883" t="str">
            <v>N/A</v>
          </cell>
          <cell r="N883" t="str">
            <v>N/A</v>
          </cell>
          <cell r="O883">
            <v>45464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15750</v>
          </cell>
          <cell r="AB883">
            <v>15750</v>
          </cell>
          <cell r="AC883">
            <v>0</v>
          </cell>
          <cell r="AD883">
            <v>15695</v>
          </cell>
          <cell r="AE883">
            <v>15695</v>
          </cell>
          <cell r="AF883">
            <v>0</v>
          </cell>
          <cell r="AG883" t="str">
            <v>M</v>
          </cell>
          <cell r="AH883" t="str">
            <v>ENGR. MICHAEL C. SALARDA
MS. LEONARDA M. LATOR
MS. CARMENCITA VALDEZ
MS. SORAYA P. VERGARA</v>
          </cell>
          <cell r="AI883" t="str">
            <v>N/A</v>
          </cell>
          <cell r="AJ883" t="str">
            <v>N/A</v>
          </cell>
          <cell r="AK883" t="str">
            <v>N/A</v>
          </cell>
          <cell r="AL883" t="str">
            <v>N/A</v>
          </cell>
          <cell r="AM883" t="str">
            <v>N/A</v>
          </cell>
          <cell r="AN883" t="str">
            <v>N/A</v>
          </cell>
          <cell r="AO883">
            <v>0</v>
          </cell>
        </row>
        <row r="884">
          <cell r="A884" t="str">
            <v>24-2677</v>
          </cell>
          <cell r="B884" t="str">
            <v>SPAREPARTS (LIGHT</v>
          </cell>
          <cell r="C884" t="str">
            <v>PGSO</v>
          </cell>
          <cell r="D884" t="str">
            <v>No</v>
          </cell>
          <cell r="E884" t="str">
            <v>Shopping 52.1(a) - Unforeseen Contingency</v>
          </cell>
          <cell r="F884">
            <v>45440</v>
          </cell>
          <cell r="G884">
            <v>45442</v>
          </cell>
          <cell r="H884">
            <v>0</v>
          </cell>
          <cell r="I884" t="str">
            <v>N/A</v>
          </cell>
          <cell r="J884">
            <v>45461</v>
          </cell>
          <cell r="K884">
            <v>45461</v>
          </cell>
          <cell r="L884">
            <v>0</v>
          </cell>
          <cell r="M884" t="str">
            <v>N/A</v>
          </cell>
          <cell r="N884" t="str">
            <v>N/A</v>
          </cell>
          <cell r="O884">
            <v>45464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45474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1300</v>
          </cell>
          <cell r="AB884">
            <v>1300</v>
          </cell>
          <cell r="AC884">
            <v>0</v>
          </cell>
          <cell r="AD884">
            <v>1200</v>
          </cell>
          <cell r="AE884">
            <v>1200</v>
          </cell>
          <cell r="AF884">
            <v>0</v>
          </cell>
          <cell r="AG884" t="str">
            <v>M</v>
          </cell>
          <cell r="AH884" t="str">
            <v>ENGR. MICHAEL C. SALARDA
MS. LEONARDA M. LATOR
MS. CARMENCITA VALDEZ
MS. SORAYA P. VERGARA</v>
          </cell>
          <cell r="AI884" t="str">
            <v>N/A</v>
          </cell>
          <cell r="AJ884" t="str">
            <v>N/A</v>
          </cell>
          <cell r="AK884" t="str">
            <v>N/A</v>
          </cell>
          <cell r="AL884" t="str">
            <v>N/A</v>
          </cell>
          <cell r="AM884" t="str">
            <v>N/A</v>
          </cell>
          <cell r="AN884" t="str">
            <v>N/A</v>
          </cell>
          <cell r="AO884">
            <v>0</v>
          </cell>
        </row>
        <row r="885">
          <cell r="A885" t="str">
            <v>24-2674</v>
          </cell>
          <cell r="B885" t="str">
            <v>SPAREPARTS (LIGHT
VEHICLES)</v>
          </cell>
          <cell r="C885" t="str">
            <v>PGSO</v>
          </cell>
          <cell r="D885" t="str">
            <v>No</v>
          </cell>
          <cell r="E885" t="str">
            <v>Shopping 52.1(a) - Unforeseen Contingency</v>
          </cell>
          <cell r="F885">
            <v>45440</v>
          </cell>
          <cell r="G885">
            <v>45442</v>
          </cell>
          <cell r="H885">
            <v>0</v>
          </cell>
          <cell r="I885" t="str">
            <v>N/A</v>
          </cell>
          <cell r="J885">
            <v>45461</v>
          </cell>
          <cell r="K885">
            <v>45461</v>
          </cell>
          <cell r="L885">
            <v>0</v>
          </cell>
          <cell r="M885" t="str">
            <v>N/A</v>
          </cell>
          <cell r="N885" t="str">
            <v>N/A</v>
          </cell>
          <cell r="O885">
            <v>45464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45469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15700</v>
          </cell>
          <cell r="AB885">
            <v>15700</v>
          </cell>
          <cell r="AC885">
            <v>0</v>
          </cell>
          <cell r="AD885">
            <v>15300</v>
          </cell>
          <cell r="AE885">
            <v>15300</v>
          </cell>
          <cell r="AF885">
            <v>0</v>
          </cell>
          <cell r="AG885" t="str">
            <v>M</v>
          </cell>
          <cell r="AH885" t="str">
            <v>ENGR. MICHAEL C. SALARDA
MS. LEONARDA M. LATOR
MS. CARMENCITA VALDEZ
MS. SORAYA P. VERGARA</v>
          </cell>
          <cell r="AI885" t="str">
            <v>N/A</v>
          </cell>
          <cell r="AJ885" t="str">
            <v>N/A</v>
          </cell>
          <cell r="AK885" t="str">
            <v>N/A</v>
          </cell>
          <cell r="AL885" t="str">
            <v>N/A</v>
          </cell>
          <cell r="AM885" t="str">
            <v>N/A</v>
          </cell>
          <cell r="AN885" t="str">
            <v>N/A</v>
          </cell>
          <cell r="AO885">
            <v>0</v>
          </cell>
        </row>
        <row r="886">
          <cell r="A886" t="str">
            <v>24-2851</v>
          </cell>
          <cell r="B886" t="str">
            <v>SPAREPARTS (LIGHT
VEHICLES)</v>
          </cell>
          <cell r="C886" t="str">
            <v>PGSO</v>
          </cell>
          <cell r="D886" t="str">
            <v>No</v>
          </cell>
          <cell r="E886" t="str">
            <v>Shopping 52.1(a) - Unforeseen Contingency</v>
          </cell>
          <cell r="F886" t="str">
            <v>N/A</v>
          </cell>
          <cell r="G886">
            <v>45442</v>
          </cell>
          <cell r="H886">
            <v>0</v>
          </cell>
          <cell r="I886" t="str">
            <v>N/A</v>
          </cell>
          <cell r="J886">
            <v>45461</v>
          </cell>
          <cell r="K886">
            <v>45461</v>
          </cell>
          <cell r="L886">
            <v>0</v>
          </cell>
          <cell r="M886" t="str">
            <v>N/A</v>
          </cell>
          <cell r="N886" t="str">
            <v>N/A</v>
          </cell>
          <cell r="O886">
            <v>45464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45469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20500</v>
          </cell>
          <cell r="AB886">
            <v>20500</v>
          </cell>
          <cell r="AC886">
            <v>0</v>
          </cell>
          <cell r="AD886">
            <v>19500</v>
          </cell>
          <cell r="AE886">
            <v>19500</v>
          </cell>
          <cell r="AF886">
            <v>0</v>
          </cell>
          <cell r="AG886" t="str">
            <v>M</v>
          </cell>
          <cell r="AH886" t="str">
            <v>ENGR. MICHAEL C. SALARDA
MS. LEONARDA M. LATOR
MS. CARMENCITA VALDEZ
MS. SORAYA P. VERGARA</v>
          </cell>
          <cell r="AI886" t="str">
            <v>N/A</v>
          </cell>
          <cell r="AJ886" t="str">
            <v>N/A</v>
          </cell>
          <cell r="AK886" t="str">
            <v>N/A</v>
          </cell>
          <cell r="AL886" t="str">
            <v>N/A</v>
          </cell>
          <cell r="AM886" t="str">
            <v>N/A</v>
          </cell>
          <cell r="AN886" t="str">
            <v>N/A</v>
          </cell>
          <cell r="AO886">
            <v>0</v>
          </cell>
        </row>
        <row r="887">
          <cell r="A887" t="str">
            <v>24-2680</v>
          </cell>
          <cell r="B887" t="str">
            <v>SPAREPARTS (MOTOR</v>
          </cell>
          <cell r="C887" t="str">
            <v>PGSO</v>
          </cell>
          <cell r="D887" t="str">
            <v>No</v>
          </cell>
          <cell r="E887" t="str">
            <v>Shopping 52.1(a) - Unforeseen Contingency</v>
          </cell>
          <cell r="F887">
            <v>45440</v>
          </cell>
          <cell r="G887">
            <v>45442</v>
          </cell>
          <cell r="H887">
            <v>0</v>
          </cell>
          <cell r="I887" t="str">
            <v>N/A</v>
          </cell>
          <cell r="J887">
            <v>45461</v>
          </cell>
          <cell r="K887">
            <v>45461</v>
          </cell>
          <cell r="L887">
            <v>0</v>
          </cell>
          <cell r="M887" t="str">
            <v>N/A</v>
          </cell>
          <cell r="N887" t="str">
            <v>N/A</v>
          </cell>
          <cell r="O887">
            <v>45464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45469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12740</v>
          </cell>
          <cell r="AB887">
            <v>12740</v>
          </cell>
          <cell r="AC887">
            <v>0</v>
          </cell>
          <cell r="AD887">
            <v>12671</v>
          </cell>
          <cell r="AE887">
            <v>12671</v>
          </cell>
          <cell r="AF887">
            <v>0</v>
          </cell>
          <cell r="AG887" t="str">
            <v>M</v>
          </cell>
          <cell r="AH887" t="str">
            <v>ENGR. MICHAEL C. SALARDA
MS. LEONARDA M. LATOR
MS. CARMENCITA VALDEZ
MS. SORAYA P. VERGARA</v>
          </cell>
          <cell r="AI887" t="str">
            <v>N/A</v>
          </cell>
          <cell r="AJ887" t="str">
            <v>N/A</v>
          </cell>
          <cell r="AK887" t="str">
            <v>N/A</v>
          </cell>
          <cell r="AL887" t="str">
            <v>N/A</v>
          </cell>
          <cell r="AM887" t="str">
            <v>N/A</v>
          </cell>
          <cell r="AN887" t="str">
            <v>N/A</v>
          </cell>
          <cell r="AO887">
            <v>0</v>
          </cell>
        </row>
        <row r="888">
          <cell r="A888" t="str">
            <v>24-2673</v>
          </cell>
          <cell r="B888" t="str">
            <v>SPAREPARTS (LIGHT
VEHICLES)</v>
          </cell>
          <cell r="C888" t="str">
            <v>PGSO</v>
          </cell>
          <cell r="D888" t="str">
            <v>No</v>
          </cell>
          <cell r="E888" t="str">
            <v>Shopping 52.1(a) - Unforeseen Contingency</v>
          </cell>
          <cell r="F888">
            <v>45440</v>
          </cell>
          <cell r="G888">
            <v>45442</v>
          </cell>
          <cell r="H888">
            <v>0</v>
          </cell>
          <cell r="I888" t="str">
            <v>N/A</v>
          </cell>
          <cell r="J888">
            <v>45461</v>
          </cell>
          <cell r="K888">
            <v>45461</v>
          </cell>
          <cell r="L888">
            <v>0</v>
          </cell>
          <cell r="M888" t="str">
            <v>N/A</v>
          </cell>
          <cell r="N888" t="str">
            <v>N/A</v>
          </cell>
          <cell r="O888">
            <v>45464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45474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8250</v>
          </cell>
          <cell r="AB888">
            <v>8250</v>
          </cell>
          <cell r="AC888">
            <v>0</v>
          </cell>
          <cell r="AD888">
            <v>7300</v>
          </cell>
          <cell r="AE888">
            <v>7300</v>
          </cell>
          <cell r="AF888">
            <v>0</v>
          </cell>
          <cell r="AG888" t="str">
            <v>M</v>
          </cell>
          <cell r="AH888" t="str">
            <v>ENGR. MICHAEL C. SALARDA
MS. LEONARDA M. LATOR
MS. CARMENCITA VALDEZ
MS. SORAYA P. VERGARA</v>
          </cell>
          <cell r="AI888" t="str">
            <v>N/A</v>
          </cell>
          <cell r="AJ888" t="str">
            <v>N/A</v>
          </cell>
          <cell r="AK888" t="str">
            <v>N/A</v>
          </cell>
          <cell r="AL888" t="str">
            <v>N/A</v>
          </cell>
          <cell r="AM888" t="str">
            <v>N/A</v>
          </cell>
          <cell r="AN888" t="str">
            <v>N/A</v>
          </cell>
          <cell r="AO888">
            <v>0</v>
          </cell>
        </row>
        <row r="889">
          <cell r="A889" t="str">
            <v>24-1267</v>
          </cell>
          <cell r="B889" t="str">
            <v xml:space="preserve">LUMBER </v>
          </cell>
          <cell r="C889" t="str">
            <v>SEF</v>
          </cell>
          <cell r="D889" t="str">
            <v>No</v>
          </cell>
          <cell r="E889" t="str">
            <v>NP-53.9 - Small Value Procurement</v>
          </cell>
          <cell r="F889">
            <v>45370</v>
          </cell>
          <cell r="G889">
            <v>45376</v>
          </cell>
          <cell r="H889">
            <v>0</v>
          </cell>
          <cell r="I889" t="str">
            <v>N/A</v>
          </cell>
          <cell r="J889">
            <v>45461</v>
          </cell>
          <cell r="K889">
            <v>45461</v>
          </cell>
          <cell r="L889">
            <v>0</v>
          </cell>
          <cell r="M889" t="str">
            <v>N/A</v>
          </cell>
          <cell r="N889" t="str">
            <v>N/A</v>
          </cell>
          <cell r="O889">
            <v>45464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7347.51</v>
          </cell>
          <cell r="AB889">
            <v>0</v>
          </cell>
          <cell r="AC889">
            <v>7347.51</v>
          </cell>
          <cell r="AD889">
            <v>7269.34</v>
          </cell>
          <cell r="AE889">
            <v>0</v>
          </cell>
          <cell r="AF889">
            <v>7269.34</v>
          </cell>
          <cell r="AG889" t="str">
            <v>C</v>
          </cell>
          <cell r="AH889" t="str">
            <v>ENGR. MICHAEL C. SALARDA
MS. LEONARDA M. LATOR
MS. CARMENCITA VALDEZ
MS. SORAYA P. VERGARA</v>
          </cell>
          <cell r="AI889" t="str">
            <v>N/A</v>
          </cell>
          <cell r="AJ889" t="str">
            <v>N/A</v>
          </cell>
          <cell r="AK889" t="str">
            <v>N/A</v>
          </cell>
          <cell r="AL889" t="str">
            <v>N/A</v>
          </cell>
          <cell r="AM889" t="str">
            <v>N/A</v>
          </cell>
          <cell r="AN889" t="str">
            <v>N/A</v>
          </cell>
          <cell r="AO889">
            <v>0</v>
          </cell>
        </row>
        <row r="890">
          <cell r="A890" t="str">
            <v>24-1426</v>
          </cell>
          <cell r="B890" t="str">
            <v xml:space="preserve">LUMBER
</v>
          </cell>
          <cell r="C890" t="str">
            <v>PEO</v>
          </cell>
          <cell r="D890" t="str">
            <v>No</v>
          </cell>
          <cell r="E890" t="str">
            <v>NP-53.9 - Small Value Procurement</v>
          </cell>
          <cell r="F890">
            <v>45370</v>
          </cell>
          <cell r="G890">
            <v>45376</v>
          </cell>
          <cell r="H890">
            <v>0</v>
          </cell>
          <cell r="I890" t="str">
            <v>N/A</v>
          </cell>
          <cell r="J890">
            <v>45461</v>
          </cell>
          <cell r="K890">
            <v>45461</v>
          </cell>
          <cell r="L890">
            <v>0</v>
          </cell>
          <cell r="M890" t="str">
            <v>N/A</v>
          </cell>
          <cell r="N890" t="str">
            <v>N/A</v>
          </cell>
          <cell r="O890">
            <v>45464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43616</v>
          </cell>
          <cell r="AB890">
            <v>0</v>
          </cell>
          <cell r="AC890">
            <v>43616</v>
          </cell>
          <cell r="AD890">
            <v>43152</v>
          </cell>
          <cell r="AE890">
            <v>0</v>
          </cell>
          <cell r="AF890">
            <v>43152</v>
          </cell>
          <cell r="AG890" t="str">
            <v>C</v>
          </cell>
          <cell r="AH890" t="str">
            <v>ENGR. MICHAEL C. SALARDA
MS. LEONARDA M. LATOR
MS. CARMENCITA VALDEZ
MS. SORAYA P. VERGARA</v>
          </cell>
          <cell r="AI890" t="str">
            <v>N/A</v>
          </cell>
          <cell r="AJ890" t="str">
            <v>N/A</v>
          </cell>
          <cell r="AK890" t="str">
            <v>N/A</v>
          </cell>
          <cell r="AL890" t="str">
            <v>N/A</v>
          </cell>
          <cell r="AM890" t="str">
            <v>N/A</v>
          </cell>
          <cell r="AN890" t="str">
            <v>N/A</v>
          </cell>
          <cell r="AO890">
            <v>0</v>
          </cell>
        </row>
        <row r="891">
          <cell r="A891" t="str">
            <v>24-1809</v>
          </cell>
          <cell r="B891" t="str">
            <v xml:space="preserve">LUMBER </v>
          </cell>
          <cell r="C891" t="str">
            <v>PEO</v>
          </cell>
          <cell r="D891" t="str">
            <v>No</v>
          </cell>
          <cell r="E891" t="str">
            <v>NP-53.9 - Small Value Procurement</v>
          </cell>
          <cell r="F891">
            <v>45370</v>
          </cell>
          <cell r="G891">
            <v>45376</v>
          </cell>
          <cell r="H891">
            <v>0</v>
          </cell>
          <cell r="I891" t="str">
            <v>N/A</v>
          </cell>
          <cell r="J891">
            <v>45461</v>
          </cell>
          <cell r="K891">
            <v>45461</v>
          </cell>
          <cell r="L891">
            <v>0</v>
          </cell>
          <cell r="M891" t="str">
            <v>N/A</v>
          </cell>
          <cell r="N891" t="str">
            <v>N/A</v>
          </cell>
          <cell r="O891">
            <v>45464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20601.509999999998</v>
          </cell>
          <cell r="AB891">
            <v>0</v>
          </cell>
          <cell r="AC891">
            <v>20601.509999999998</v>
          </cell>
          <cell r="AD891">
            <v>20382.34</v>
          </cell>
          <cell r="AE891">
            <v>0</v>
          </cell>
          <cell r="AF891">
            <v>20382.34</v>
          </cell>
          <cell r="AG891" t="str">
            <v>C</v>
          </cell>
          <cell r="AH891" t="str">
            <v>ENGR. MICHAEL C. SALARDA
MS. LEONARDA M. LATOR
MS. CARMENCITA VALDEZ
MS. SORAYA P. VERGARA</v>
          </cell>
          <cell r="AI891" t="str">
            <v>N/A</v>
          </cell>
          <cell r="AJ891" t="str">
            <v>N/A</v>
          </cell>
          <cell r="AK891" t="str">
            <v>N/A</v>
          </cell>
          <cell r="AL891" t="str">
            <v>N/A</v>
          </cell>
          <cell r="AM891" t="str">
            <v>N/A</v>
          </cell>
          <cell r="AN891" t="str">
            <v>N/A</v>
          </cell>
          <cell r="AO891">
            <v>0</v>
          </cell>
        </row>
        <row r="892">
          <cell r="A892" t="str">
            <v>24-2190</v>
          </cell>
          <cell r="B892" t="str">
            <v xml:space="preserve">LUMBER
</v>
          </cell>
          <cell r="C892" t="str">
            <v>PEO</v>
          </cell>
          <cell r="D892" t="str">
            <v>No</v>
          </cell>
          <cell r="E892" t="str">
            <v>NP-53.9 - Small Value Procurement</v>
          </cell>
          <cell r="F892">
            <v>45384</v>
          </cell>
          <cell r="G892">
            <v>45390</v>
          </cell>
          <cell r="H892">
            <v>0</v>
          </cell>
          <cell r="I892" t="str">
            <v>N/A</v>
          </cell>
          <cell r="J892">
            <v>45461</v>
          </cell>
          <cell r="K892">
            <v>45461</v>
          </cell>
          <cell r="L892">
            <v>0</v>
          </cell>
          <cell r="M892" t="str">
            <v>N/A</v>
          </cell>
          <cell r="N892" t="str">
            <v>N/A</v>
          </cell>
          <cell r="O892">
            <v>45464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21071.51</v>
          </cell>
          <cell r="AB892">
            <v>0</v>
          </cell>
          <cell r="AC892">
            <v>21071.51</v>
          </cell>
          <cell r="AD892">
            <v>20847.34</v>
          </cell>
          <cell r="AE892">
            <v>0</v>
          </cell>
          <cell r="AF892">
            <v>20847.34</v>
          </cell>
          <cell r="AG892" t="str">
            <v>C</v>
          </cell>
          <cell r="AH892" t="str">
            <v>ENGR. MICHAEL C. SALARDA
MS. LEONARDA M. LATOR
MS. CARMENCITA VALDEZ
MS. SORAYA P. VERGARA</v>
          </cell>
          <cell r="AI892" t="str">
            <v>N/A</v>
          </cell>
          <cell r="AJ892" t="str">
            <v>N/A</v>
          </cell>
          <cell r="AK892" t="str">
            <v>N/A</v>
          </cell>
          <cell r="AL892" t="str">
            <v>N/A</v>
          </cell>
          <cell r="AM892" t="str">
            <v>N/A</v>
          </cell>
          <cell r="AN892" t="str">
            <v>N/A</v>
          </cell>
          <cell r="AO892">
            <v>0</v>
          </cell>
        </row>
        <row r="893">
          <cell r="A893" t="str">
            <v>24-1258</v>
          </cell>
          <cell r="B893" t="str">
            <v xml:space="preserve">LUMBER
</v>
          </cell>
          <cell r="C893" t="str">
            <v>PAGRO</v>
          </cell>
          <cell r="D893" t="str">
            <v>No</v>
          </cell>
          <cell r="E893" t="str">
            <v>NP-53.9 - Small Value Procurement</v>
          </cell>
          <cell r="F893">
            <v>45384</v>
          </cell>
          <cell r="G893">
            <v>45390</v>
          </cell>
          <cell r="H893">
            <v>0</v>
          </cell>
          <cell r="I893" t="str">
            <v>N/A</v>
          </cell>
          <cell r="J893">
            <v>45461</v>
          </cell>
          <cell r="K893">
            <v>45461</v>
          </cell>
          <cell r="L893">
            <v>0</v>
          </cell>
          <cell r="M893" t="str">
            <v>N/A</v>
          </cell>
          <cell r="N893" t="str">
            <v>N/A</v>
          </cell>
          <cell r="O893">
            <v>45464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2256</v>
          </cell>
          <cell r="AB893">
            <v>0</v>
          </cell>
          <cell r="AC893">
            <v>2256</v>
          </cell>
          <cell r="AD893">
            <v>2208</v>
          </cell>
          <cell r="AE893">
            <v>0</v>
          </cell>
          <cell r="AF893">
            <v>2208</v>
          </cell>
          <cell r="AG893" t="str">
            <v>C</v>
          </cell>
          <cell r="AH893" t="str">
            <v>ENGR. MICHAEL C. SALARDA
MS. LEONARDA M. LATOR
MS. CARMENCITA VALDEZ
MS. SORAYA P. VERGARA</v>
          </cell>
          <cell r="AI893" t="str">
            <v>N/A</v>
          </cell>
          <cell r="AJ893" t="str">
            <v>N/A</v>
          </cell>
          <cell r="AK893" t="str">
            <v>N/A</v>
          </cell>
          <cell r="AL893" t="str">
            <v>N/A</v>
          </cell>
          <cell r="AM893" t="str">
            <v>N/A</v>
          </cell>
          <cell r="AN893" t="str">
            <v>N/A</v>
          </cell>
          <cell r="AO893">
            <v>0</v>
          </cell>
        </row>
        <row r="894">
          <cell r="A894" t="str">
            <v>24-2393</v>
          </cell>
          <cell r="B894" t="str">
            <v xml:space="preserve">BINDER AND SELF INKING PAD W/ SAMPLE
</v>
          </cell>
          <cell r="C894" t="str">
            <v>PTO</v>
          </cell>
          <cell r="D894" t="str">
            <v>No</v>
          </cell>
          <cell r="E894" t="str">
            <v>NP-53.9 - Small Value Procurement</v>
          </cell>
          <cell r="F894" t="str">
            <v>N/A</v>
          </cell>
          <cell r="G894">
            <v>45404</v>
          </cell>
          <cell r="H894">
            <v>0</v>
          </cell>
          <cell r="I894" t="str">
            <v>N/A</v>
          </cell>
          <cell r="J894">
            <v>45461</v>
          </cell>
          <cell r="K894">
            <v>45461</v>
          </cell>
          <cell r="L894">
            <v>0</v>
          </cell>
          <cell r="M894" t="str">
            <v>N/A</v>
          </cell>
          <cell r="N894" t="str">
            <v>N/A</v>
          </cell>
          <cell r="O894">
            <v>45464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6090</v>
          </cell>
          <cell r="AB894">
            <v>6090</v>
          </cell>
          <cell r="AC894">
            <v>0</v>
          </cell>
          <cell r="AD894">
            <v>0</v>
          </cell>
          <cell r="AE894">
            <v>5880</v>
          </cell>
          <cell r="AF894">
            <v>0</v>
          </cell>
          <cell r="AG894" t="str">
            <v>M</v>
          </cell>
          <cell r="AH894" t="str">
            <v>ENGR. MICHAEL C. SALARDA
MS. LEONARDA M. LATOR
MS. CARMENCITA VALDEZ
MS. SORAYA P. VERGARA</v>
          </cell>
          <cell r="AI894" t="str">
            <v>N/A</v>
          </cell>
          <cell r="AJ894" t="str">
            <v>N/A</v>
          </cell>
          <cell r="AK894" t="str">
            <v>N/A</v>
          </cell>
          <cell r="AL894" t="str">
            <v>N/A</v>
          </cell>
          <cell r="AM894" t="str">
            <v>N/A</v>
          </cell>
          <cell r="AN894" t="str">
            <v>N/A</v>
          </cell>
          <cell r="AO894">
            <v>0</v>
          </cell>
        </row>
        <row r="895">
          <cell r="A895" t="str">
            <v>24-C1342</v>
          </cell>
          <cell r="B895" t="str">
            <v xml:space="preserve">SPAREPARTS (LIGHT VEHICLES)
</v>
          </cell>
          <cell r="C895" t="str">
            <v>SPO</v>
          </cell>
          <cell r="D895" t="str">
            <v>No</v>
          </cell>
          <cell r="E895" t="str">
            <v>NP-53.9 - Small Value Procurement</v>
          </cell>
          <cell r="F895">
            <v>45421</v>
          </cell>
          <cell r="G895">
            <v>45425</v>
          </cell>
          <cell r="H895">
            <v>0</v>
          </cell>
          <cell r="I895" t="str">
            <v>N/A</v>
          </cell>
          <cell r="J895">
            <v>45461</v>
          </cell>
          <cell r="K895">
            <v>45461</v>
          </cell>
          <cell r="L895">
            <v>0</v>
          </cell>
          <cell r="M895" t="str">
            <v>N/A</v>
          </cell>
          <cell r="N895" t="str">
            <v>N/A</v>
          </cell>
          <cell r="O895">
            <v>45464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389756</v>
          </cell>
          <cell r="AB895">
            <v>389756</v>
          </cell>
          <cell r="AC895">
            <v>0</v>
          </cell>
          <cell r="AD895">
            <v>0</v>
          </cell>
          <cell r="AE895">
            <v>377675</v>
          </cell>
          <cell r="AF895">
            <v>0</v>
          </cell>
          <cell r="AG895" t="str">
            <v>M</v>
          </cell>
          <cell r="AH895" t="str">
            <v>ENGR. MICHAEL C. SALARDA
MS. LEONARDA M. LATOR
MS. CARMENCITA VALDEZ
MS. SORAYA P. VERGARA</v>
          </cell>
          <cell r="AI895" t="str">
            <v>N/A</v>
          </cell>
          <cell r="AJ895" t="str">
            <v>N/A</v>
          </cell>
          <cell r="AK895" t="str">
            <v>N/A</v>
          </cell>
          <cell r="AL895" t="str">
            <v>N/A</v>
          </cell>
          <cell r="AM895" t="str">
            <v>N/A</v>
          </cell>
          <cell r="AN895" t="str">
            <v>N/A</v>
          </cell>
          <cell r="AO895">
            <v>0</v>
          </cell>
        </row>
        <row r="896">
          <cell r="A896" t="str">
            <v>24-2799</v>
          </cell>
          <cell r="B896" t="str">
            <v xml:space="preserve">UTILITY BOX
</v>
          </cell>
          <cell r="C896" t="str">
            <v>PBO</v>
          </cell>
          <cell r="D896" t="str">
            <v>No</v>
          </cell>
          <cell r="E896" t="str">
            <v>NP-53.9 - Small Value Procurement</v>
          </cell>
          <cell r="F896" t="str">
            <v>N/A</v>
          </cell>
          <cell r="G896">
            <v>45442</v>
          </cell>
          <cell r="H896">
            <v>0</v>
          </cell>
          <cell r="I896" t="str">
            <v>N/A</v>
          </cell>
          <cell r="J896">
            <v>45461</v>
          </cell>
          <cell r="K896">
            <v>45461</v>
          </cell>
          <cell r="L896">
            <v>0</v>
          </cell>
          <cell r="M896" t="str">
            <v>N/A</v>
          </cell>
          <cell r="N896" t="str">
            <v>N/A</v>
          </cell>
          <cell r="O896">
            <v>45464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6000</v>
          </cell>
          <cell r="AB896">
            <v>6000</v>
          </cell>
          <cell r="AC896">
            <v>0</v>
          </cell>
          <cell r="AD896">
            <v>0</v>
          </cell>
          <cell r="AE896">
            <v>5916</v>
          </cell>
          <cell r="AF896">
            <v>0</v>
          </cell>
          <cell r="AG896" t="str">
            <v>M</v>
          </cell>
          <cell r="AH896" t="str">
            <v>ENGR. MICHAEL C. SALARDA
MS. LEONARDA M. LATOR
MS. CARMENCITA VALDEZ
MS. SORAYA P. VERGARA</v>
          </cell>
          <cell r="AI896" t="str">
            <v>N/A</v>
          </cell>
          <cell r="AJ896" t="str">
            <v>N/A</v>
          </cell>
          <cell r="AK896" t="str">
            <v>N/A</v>
          </cell>
          <cell r="AL896" t="str">
            <v>N/A</v>
          </cell>
          <cell r="AM896" t="str">
            <v>N/A</v>
          </cell>
          <cell r="AN896" t="str">
            <v>N/A</v>
          </cell>
          <cell r="AO896">
            <v>0</v>
          </cell>
        </row>
        <row r="897">
          <cell r="A897" t="str">
            <v>24-2036</v>
          </cell>
          <cell r="B897" t="str">
            <v xml:space="preserve">LUMBER
</v>
          </cell>
          <cell r="C897" t="str">
            <v>SEF</v>
          </cell>
          <cell r="D897" t="str">
            <v>No</v>
          </cell>
          <cell r="E897" t="str">
            <v>NP-53.9 - Small Value Procurement</v>
          </cell>
          <cell r="F897">
            <v>45387</v>
          </cell>
          <cell r="G897">
            <v>45397</v>
          </cell>
          <cell r="H897">
            <v>0</v>
          </cell>
          <cell r="I897" t="str">
            <v>N/A</v>
          </cell>
          <cell r="J897">
            <v>45461</v>
          </cell>
          <cell r="K897">
            <v>45461</v>
          </cell>
          <cell r="L897">
            <v>0</v>
          </cell>
          <cell r="M897" t="str">
            <v>N/A</v>
          </cell>
          <cell r="N897" t="str">
            <v>N/A</v>
          </cell>
          <cell r="O897">
            <v>45464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7347.51</v>
          </cell>
          <cell r="AB897">
            <v>0</v>
          </cell>
          <cell r="AC897">
            <v>7347.51</v>
          </cell>
          <cell r="AD897">
            <v>7269.34</v>
          </cell>
          <cell r="AE897">
            <v>0</v>
          </cell>
          <cell r="AF897">
            <v>7269.34</v>
          </cell>
          <cell r="AG897" t="str">
            <v>C</v>
          </cell>
          <cell r="AH897" t="str">
            <v>ENGR. MICHAEL C. SALARDA
MS. LEONARDA M. LATOR
MS. CARMENCITA VALDEZ
MS. SORAYA P. VERGARA</v>
          </cell>
          <cell r="AI897" t="str">
            <v>N/A</v>
          </cell>
          <cell r="AJ897" t="str">
            <v>N/A</v>
          </cell>
          <cell r="AK897" t="str">
            <v>N/A</v>
          </cell>
          <cell r="AL897" t="str">
            <v>N/A</v>
          </cell>
          <cell r="AM897" t="str">
            <v>N/A</v>
          </cell>
          <cell r="AN897" t="str">
            <v>N/A</v>
          </cell>
          <cell r="AO897">
            <v>0</v>
          </cell>
        </row>
        <row r="898">
          <cell r="A898" t="str">
            <v>24-1363</v>
          </cell>
          <cell r="B898" t="str">
            <v xml:space="preserve">LUMBER
</v>
          </cell>
          <cell r="C898" t="str">
            <v>PVGO</v>
          </cell>
          <cell r="D898" t="str">
            <v>No</v>
          </cell>
          <cell r="E898" t="str">
            <v>NP-53.9 - Small Value Procurement</v>
          </cell>
          <cell r="F898" t="str">
            <v>N/A</v>
          </cell>
          <cell r="G898">
            <v>45412</v>
          </cell>
          <cell r="H898">
            <v>0</v>
          </cell>
          <cell r="I898" t="str">
            <v>N/A</v>
          </cell>
          <cell r="J898">
            <v>45461</v>
          </cell>
          <cell r="K898">
            <v>45461</v>
          </cell>
          <cell r="L898">
            <v>0</v>
          </cell>
          <cell r="M898" t="str">
            <v>N/A</v>
          </cell>
          <cell r="N898" t="str">
            <v>N/A</v>
          </cell>
          <cell r="O898">
            <v>45464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4136</v>
          </cell>
          <cell r="AB898">
            <v>4136</v>
          </cell>
          <cell r="AC898">
            <v>0</v>
          </cell>
          <cell r="AD898">
            <v>0</v>
          </cell>
          <cell r="AE898">
            <v>4092</v>
          </cell>
          <cell r="AF898">
            <v>0</v>
          </cell>
          <cell r="AG898" t="str">
            <v>M</v>
          </cell>
          <cell r="AH898" t="str">
            <v>ENGR. MICHAEL C. SALARDA
MS. LEONARDA M. LATOR
MS. CARMENCITA VALDEZ
MS. SORAYA P. VERGARA</v>
          </cell>
          <cell r="AI898" t="str">
            <v>N/A</v>
          </cell>
          <cell r="AJ898" t="str">
            <v>N/A</v>
          </cell>
          <cell r="AK898" t="str">
            <v>N/A</v>
          </cell>
          <cell r="AL898" t="str">
            <v>N/A</v>
          </cell>
          <cell r="AM898" t="str">
            <v>N/A</v>
          </cell>
          <cell r="AN898" t="str">
            <v>N/A</v>
          </cell>
          <cell r="AO898">
            <v>0</v>
          </cell>
        </row>
        <row r="899">
          <cell r="A899" t="str">
            <v>24-C1347</v>
          </cell>
          <cell r="B899" t="str">
            <v xml:space="preserve">LUMBER
</v>
          </cell>
          <cell r="C899" t="str">
            <v>PDRRMO</v>
          </cell>
          <cell r="D899" t="str">
            <v>No</v>
          </cell>
          <cell r="E899" t="str">
            <v>NP-53.9 - Small Value Procurement</v>
          </cell>
          <cell r="F899">
            <v>45421</v>
          </cell>
          <cell r="G899">
            <v>45425</v>
          </cell>
          <cell r="H899">
            <v>0</v>
          </cell>
          <cell r="I899" t="str">
            <v>N/A</v>
          </cell>
          <cell r="J899">
            <v>45461</v>
          </cell>
          <cell r="K899">
            <v>45461</v>
          </cell>
          <cell r="L899">
            <v>0</v>
          </cell>
          <cell r="M899" t="str">
            <v>N/A</v>
          </cell>
          <cell r="N899" t="str">
            <v>N/A</v>
          </cell>
          <cell r="O899">
            <v>45464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21693.08</v>
          </cell>
          <cell r="AB899">
            <v>21693.08</v>
          </cell>
          <cell r="AC899">
            <v>0</v>
          </cell>
          <cell r="AD899">
            <v>0</v>
          </cell>
          <cell r="AE899">
            <v>21515.58</v>
          </cell>
          <cell r="AF899">
            <v>0</v>
          </cell>
          <cell r="AG899" t="str">
            <v>M</v>
          </cell>
          <cell r="AH899" t="str">
            <v>ENGR. MICHAEL C. SALARDA
MS. LEONARDA M. LATOR
MS. CARMENCITA VALDEZ
MS. SORAYA P. VERGARA</v>
          </cell>
          <cell r="AI899" t="str">
            <v>N/A</v>
          </cell>
          <cell r="AJ899" t="str">
            <v>N/A</v>
          </cell>
          <cell r="AK899" t="str">
            <v>N/A</v>
          </cell>
          <cell r="AL899" t="str">
            <v>N/A</v>
          </cell>
          <cell r="AM899" t="str">
            <v>N/A</v>
          </cell>
          <cell r="AN899" t="str">
            <v>N/A</v>
          </cell>
          <cell r="AO899">
            <v>0</v>
          </cell>
        </row>
        <row r="900">
          <cell r="A900" t="str">
            <v>24-2408</v>
          </cell>
          <cell r="B900" t="str">
            <v xml:space="preserve">LUMBER
</v>
          </cell>
          <cell r="C900" t="str">
            <v>SEF</v>
          </cell>
          <cell r="D900" t="str">
            <v>No</v>
          </cell>
          <cell r="E900" t="str">
            <v>NP-53.9 - Small Value Procurement</v>
          </cell>
          <cell r="F900">
            <v>45421</v>
          </cell>
          <cell r="G900">
            <v>45425</v>
          </cell>
          <cell r="H900">
            <v>0</v>
          </cell>
          <cell r="I900" t="str">
            <v>N/A</v>
          </cell>
          <cell r="J900">
            <v>45461</v>
          </cell>
          <cell r="K900">
            <v>45461</v>
          </cell>
          <cell r="L900">
            <v>0</v>
          </cell>
          <cell r="M900" t="str">
            <v>N/A</v>
          </cell>
          <cell r="N900" t="str">
            <v>N/A</v>
          </cell>
          <cell r="O900">
            <v>45464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20082.509999999998</v>
          </cell>
          <cell r="AB900">
            <v>0</v>
          </cell>
          <cell r="AC900">
            <v>20082.509999999998</v>
          </cell>
          <cell r="AD900">
            <v>20011.84</v>
          </cell>
          <cell r="AE900">
            <v>0</v>
          </cell>
          <cell r="AF900">
            <v>20011.84</v>
          </cell>
          <cell r="AG900" t="str">
            <v>C</v>
          </cell>
          <cell r="AH900" t="str">
            <v>ENGR. MICHAEL C. SALARDA
MS. LEONARDA M. LATOR
MS. CARMENCITA VALDEZ
MS. SORAYA P. VERGARA</v>
          </cell>
          <cell r="AI900" t="str">
            <v>N/A</v>
          </cell>
          <cell r="AJ900" t="str">
            <v>N/A</v>
          </cell>
          <cell r="AK900" t="str">
            <v>N/A</v>
          </cell>
          <cell r="AL900" t="str">
            <v>N/A</v>
          </cell>
          <cell r="AM900" t="str">
            <v>N/A</v>
          </cell>
          <cell r="AN900" t="str">
            <v>N/A</v>
          </cell>
          <cell r="AO900">
            <v>0</v>
          </cell>
        </row>
        <row r="901">
          <cell r="A901" t="str">
            <v>24-2581</v>
          </cell>
          <cell r="B901" t="str">
            <v xml:space="preserve">LUMBER </v>
          </cell>
          <cell r="C901" t="str">
            <v>PEO</v>
          </cell>
          <cell r="D901" t="str">
            <v>No</v>
          </cell>
          <cell r="E901" t="str">
            <v>NP-53.9 - Small Value Procurement</v>
          </cell>
          <cell r="F901">
            <v>45421</v>
          </cell>
          <cell r="G901">
            <v>45425</v>
          </cell>
          <cell r="H901">
            <v>0</v>
          </cell>
          <cell r="I901" t="str">
            <v>N/A</v>
          </cell>
          <cell r="J901">
            <v>45461</v>
          </cell>
          <cell r="K901">
            <v>45461</v>
          </cell>
          <cell r="L901">
            <v>0</v>
          </cell>
          <cell r="M901" t="str">
            <v>N/A</v>
          </cell>
          <cell r="N901" t="str">
            <v>N/A</v>
          </cell>
          <cell r="O901">
            <v>45464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2256</v>
          </cell>
          <cell r="AB901">
            <v>0</v>
          </cell>
          <cell r="AC901">
            <v>2256</v>
          </cell>
          <cell r="AD901">
            <v>2232</v>
          </cell>
          <cell r="AE901">
            <v>0</v>
          </cell>
          <cell r="AF901">
            <v>2232</v>
          </cell>
          <cell r="AG901" t="str">
            <v>C</v>
          </cell>
          <cell r="AH901" t="str">
            <v>ENGR. MICHAEL C. SALARDA
MS. LEONARDA M. LATOR
MS. CARMENCITA VALDEZ
MS. SORAYA P. VERGARA</v>
          </cell>
          <cell r="AI901" t="str">
            <v>N/A</v>
          </cell>
          <cell r="AJ901" t="str">
            <v>N/A</v>
          </cell>
          <cell r="AK901" t="str">
            <v>N/A</v>
          </cell>
          <cell r="AL901" t="str">
            <v>N/A</v>
          </cell>
          <cell r="AM901" t="str">
            <v>N/A</v>
          </cell>
          <cell r="AN901" t="str">
            <v>N/A</v>
          </cell>
          <cell r="AO901">
            <v>0</v>
          </cell>
        </row>
        <row r="902">
          <cell r="A902" t="str">
            <v>24-2767</v>
          </cell>
          <cell r="B902" t="str">
            <v xml:space="preserve">CLOTH &amp; STREAMERS
</v>
          </cell>
          <cell r="C902" t="str">
            <v>PDRRMO</v>
          </cell>
          <cell r="D902" t="str">
            <v>No</v>
          </cell>
          <cell r="E902" t="str">
            <v>NP-53.9 - Small Value Procurement</v>
          </cell>
          <cell r="F902">
            <v>45440</v>
          </cell>
          <cell r="G902">
            <v>45442</v>
          </cell>
          <cell r="H902">
            <v>0</v>
          </cell>
          <cell r="I902" t="str">
            <v>N/A</v>
          </cell>
          <cell r="J902">
            <v>45461</v>
          </cell>
          <cell r="K902">
            <v>45461</v>
          </cell>
          <cell r="L902">
            <v>0</v>
          </cell>
          <cell r="M902" t="str">
            <v>N/A</v>
          </cell>
          <cell r="N902" t="str">
            <v>N/A</v>
          </cell>
          <cell r="O902">
            <v>45464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8800</v>
          </cell>
          <cell r="AB902">
            <v>0</v>
          </cell>
          <cell r="AC902">
            <v>8800</v>
          </cell>
          <cell r="AD902">
            <v>8800</v>
          </cell>
          <cell r="AE902">
            <v>0</v>
          </cell>
          <cell r="AF902">
            <v>8800</v>
          </cell>
          <cell r="AG902" t="str">
            <v>C</v>
          </cell>
          <cell r="AH902" t="str">
            <v>ENGR. MICHAEL C. SALARDA
MS. LEONARDA M. LATOR
MS. CARMENCITA VALDEZ
MS. SORAYA P. VERGARA</v>
          </cell>
          <cell r="AI902" t="str">
            <v>N/A</v>
          </cell>
          <cell r="AJ902" t="str">
            <v>N/A</v>
          </cell>
          <cell r="AK902" t="str">
            <v>N/A</v>
          </cell>
          <cell r="AL902" t="str">
            <v>N/A</v>
          </cell>
          <cell r="AM902" t="str">
            <v>N/A</v>
          </cell>
          <cell r="AN902" t="str">
            <v>N/A</v>
          </cell>
          <cell r="AO902">
            <v>0</v>
          </cell>
        </row>
        <row r="903">
          <cell r="A903" t="str">
            <v>24-2515</v>
          </cell>
          <cell r="B903" t="str">
            <v xml:space="preserve">MEDICAL KIT </v>
          </cell>
          <cell r="C903" t="str">
            <v>SEF</v>
          </cell>
          <cell r="D903" t="str">
            <v>No</v>
          </cell>
          <cell r="E903" t="str">
            <v>NP-53.9 - Small Value Procurement</v>
          </cell>
          <cell r="F903">
            <v>45440</v>
          </cell>
          <cell r="G903">
            <v>45442</v>
          </cell>
          <cell r="H903">
            <v>0</v>
          </cell>
          <cell r="I903" t="str">
            <v>N/A</v>
          </cell>
          <cell r="J903">
            <v>45461</v>
          </cell>
          <cell r="K903">
            <v>45461</v>
          </cell>
          <cell r="L903">
            <v>0</v>
          </cell>
          <cell r="M903" t="str">
            <v>N/A</v>
          </cell>
          <cell r="N903" t="str">
            <v>N/A</v>
          </cell>
          <cell r="O903">
            <v>45464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45474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1925</v>
          </cell>
          <cell r="AB903">
            <v>0</v>
          </cell>
          <cell r="AC903">
            <v>1925</v>
          </cell>
          <cell r="AD903">
            <v>1920</v>
          </cell>
          <cell r="AE903">
            <v>0</v>
          </cell>
          <cell r="AF903">
            <v>1920</v>
          </cell>
          <cell r="AG903" t="str">
            <v>C</v>
          </cell>
          <cell r="AH903" t="str">
            <v>ENGR. MICHAEL C. SALARDA
MS. LEONARDA M. LATOR
MS. CARMENCITA VALDEZ
MS. SORAYA P. VERGARA</v>
          </cell>
          <cell r="AI903" t="str">
            <v>N/A</v>
          </cell>
          <cell r="AJ903" t="str">
            <v>N/A</v>
          </cell>
          <cell r="AK903" t="str">
            <v>N/A</v>
          </cell>
          <cell r="AL903" t="str">
            <v>N/A</v>
          </cell>
          <cell r="AM903" t="str">
            <v>N/A</v>
          </cell>
          <cell r="AN903" t="str">
            <v>N/A</v>
          </cell>
          <cell r="AO903">
            <v>0</v>
          </cell>
        </row>
        <row r="904">
          <cell r="A904" t="str">
            <v>24-3082</v>
          </cell>
          <cell r="B904" t="str">
            <v xml:space="preserve">OIL, PENETRATING </v>
          </cell>
          <cell r="C904" t="str">
            <v>PDRRMO</v>
          </cell>
          <cell r="D904" t="str">
            <v>No</v>
          </cell>
          <cell r="E904" t="str">
            <v>NP-53.9 - Small Value Procurement</v>
          </cell>
          <cell r="F904" t="str">
            <v>N/A</v>
          </cell>
          <cell r="G904">
            <v>45448</v>
          </cell>
          <cell r="H904">
            <v>0</v>
          </cell>
          <cell r="I904" t="str">
            <v>N/A</v>
          </cell>
          <cell r="J904">
            <v>45461</v>
          </cell>
          <cell r="K904">
            <v>45461</v>
          </cell>
          <cell r="L904">
            <v>0</v>
          </cell>
          <cell r="M904" t="str">
            <v>N/A</v>
          </cell>
          <cell r="N904" t="str">
            <v>N/A</v>
          </cell>
          <cell r="O904">
            <v>45464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3750</v>
          </cell>
          <cell r="AB904">
            <v>0</v>
          </cell>
          <cell r="AC904">
            <v>3750</v>
          </cell>
          <cell r="AD904">
            <v>3720</v>
          </cell>
          <cell r="AE904">
            <v>0</v>
          </cell>
          <cell r="AF904">
            <v>3720</v>
          </cell>
          <cell r="AG904" t="str">
            <v>C</v>
          </cell>
          <cell r="AH904" t="str">
            <v>ENGR. MICHAEL C. SALARDA
MS. LEONARDA M. LATOR
MS. CARMENCITA VALDEZ
MS. SORAYA P. VERGARA</v>
          </cell>
          <cell r="AI904" t="str">
            <v>N/A</v>
          </cell>
          <cell r="AJ904" t="str">
            <v>N/A</v>
          </cell>
          <cell r="AK904" t="str">
            <v>N/A</v>
          </cell>
          <cell r="AL904" t="str">
            <v>N/A</v>
          </cell>
          <cell r="AM904" t="str">
            <v>N/A</v>
          </cell>
          <cell r="AN904" t="str">
            <v>N/A</v>
          </cell>
          <cell r="AO904">
            <v>0</v>
          </cell>
        </row>
        <row r="905">
          <cell r="A905" t="str">
            <v>24-3215</v>
          </cell>
          <cell r="B905" t="str">
            <v xml:space="preserve">FOOD/CATERING SERVICES FOR </v>
          </cell>
          <cell r="C905" t="str">
            <v>PGO</v>
          </cell>
          <cell r="D905" t="str">
            <v>No</v>
          </cell>
          <cell r="E905" t="str">
            <v>NP-53.9 - Small Value Procurement</v>
          </cell>
          <cell r="F905" t="str">
            <v>N/A</v>
          </cell>
          <cell r="G905">
            <v>45448</v>
          </cell>
          <cell r="H905">
            <v>0</v>
          </cell>
          <cell r="I905" t="str">
            <v>N/A</v>
          </cell>
          <cell r="J905">
            <v>45461</v>
          </cell>
          <cell r="K905">
            <v>45461</v>
          </cell>
          <cell r="L905">
            <v>0</v>
          </cell>
          <cell r="M905" t="str">
            <v>N/A</v>
          </cell>
          <cell r="N905" t="str">
            <v>N/A</v>
          </cell>
          <cell r="O905">
            <v>45464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80500</v>
          </cell>
          <cell r="AB905">
            <v>0</v>
          </cell>
          <cell r="AC905">
            <v>80500</v>
          </cell>
          <cell r="AD905">
            <v>80237.5</v>
          </cell>
          <cell r="AE905">
            <v>0</v>
          </cell>
          <cell r="AF905">
            <v>80237.5</v>
          </cell>
          <cell r="AG905" t="str">
            <v>C</v>
          </cell>
          <cell r="AH905" t="str">
            <v>ENGR. MICHAEL C. SALARDA
MS. LEONARDA M. LATOR
MS. CARMENCITA VALDEZ
MS. SORAYA P. VERGARA</v>
          </cell>
          <cell r="AI905" t="str">
            <v>N/A</v>
          </cell>
          <cell r="AJ905" t="str">
            <v>N/A</v>
          </cell>
          <cell r="AK905" t="str">
            <v>N/A</v>
          </cell>
          <cell r="AL905" t="str">
            <v>N/A</v>
          </cell>
          <cell r="AM905" t="str">
            <v>N/A</v>
          </cell>
          <cell r="AN905" t="str">
            <v>N/A</v>
          </cell>
          <cell r="AO905">
            <v>0</v>
          </cell>
        </row>
        <row r="906">
          <cell r="A906" t="str">
            <v>24-2919</v>
          </cell>
          <cell r="B906" t="str">
            <v>FOOD/CATERING SERVICES</v>
          </cell>
          <cell r="C906" t="str">
            <v>PGO</v>
          </cell>
          <cell r="D906" t="str">
            <v>No</v>
          </cell>
          <cell r="E906" t="str">
            <v>NP-53.9 - Small Value Procurement</v>
          </cell>
          <cell r="F906" t="str">
            <v>N/A</v>
          </cell>
          <cell r="G906">
            <v>45448</v>
          </cell>
          <cell r="H906">
            <v>0</v>
          </cell>
          <cell r="I906" t="str">
            <v>N/A</v>
          </cell>
          <cell r="J906">
            <v>45461</v>
          </cell>
          <cell r="K906">
            <v>45461</v>
          </cell>
          <cell r="L906">
            <v>0</v>
          </cell>
          <cell r="M906" t="str">
            <v>N/A</v>
          </cell>
          <cell r="N906" t="str">
            <v>N/A</v>
          </cell>
          <cell r="O906">
            <v>45464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4500</v>
          </cell>
          <cell r="AB906">
            <v>0</v>
          </cell>
          <cell r="AC906">
            <v>4500</v>
          </cell>
          <cell r="AD906">
            <v>4485</v>
          </cell>
          <cell r="AE906">
            <v>0</v>
          </cell>
          <cell r="AF906">
            <v>4485</v>
          </cell>
          <cell r="AG906" t="str">
            <v>C</v>
          </cell>
          <cell r="AH906" t="str">
            <v>ENGR. MICHAEL C. SALARDA
MS. LEONARDA M. LATOR
MS. CARMENCITA VALDEZ
MS. SORAYA P. VERGARA</v>
          </cell>
          <cell r="AI906" t="str">
            <v>N/A</v>
          </cell>
          <cell r="AJ906" t="str">
            <v>N/A</v>
          </cell>
          <cell r="AK906" t="str">
            <v>N/A</v>
          </cell>
          <cell r="AL906" t="str">
            <v>N/A</v>
          </cell>
          <cell r="AM906" t="str">
            <v>N/A</v>
          </cell>
          <cell r="AN906" t="str">
            <v>N/A</v>
          </cell>
          <cell r="AO906">
            <v>0</v>
          </cell>
        </row>
        <row r="907">
          <cell r="A907" t="str">
            <v>24-2991</v>
          </cell>
          <cell r="B907" t="str">
            <v xml:space="preserve">MEDICAL KIT
</v>
          </cell>
          <cell r="C907" t="str">
            <v>PDRRMO</v>
          </cell>
          <cell r="D907" t="str">
            <v>No</v>
          </cell>
          <cell r="E907" t="str">
            <v>NP-53.9 - Small Value Procurement</v>
          </cell>
          <cell r="F907">
            <v>45446</v>
          </cell>
          <cell r="G907">
            <v>45448</v>
          </cell>
          <cell r="H907">
            <v>0</v>
          </cell>
          <cell r="I907" t="str">
            <v>N/A</v>
          </cell>
          <cell r="J907">
            <v>45461</v>
          </cell>
          <cell r="K907">
            <v>45461</v>
          </cell>
          <cell r="L907">
            <v>0</v>
          </cell>
          <cell r="M907" t="str">
            <v>N/A</v>
          </cell>
          <cell r="N907" t="str">
            <v>N/A</v>
          </cell>
          <cell r="O907">
            <v>45464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1925</v>
          </cell>
          <cell r="AB907">
            <v>0</v>
          </cell>
          <cell r="AC907">
            <v>1925</v>
          </cell>
          <cell r="AD907">
            <v>1920</v>
          </cell>
          <cell r="AE907">
            <v>0</v>
          </cell>
          <cell r="AF907">
            <v>1920</v>
          </cell>
          <cell r="AG907" t="str">
            <v>C</v>
          </cell>
          <cell r="AH907" t="str">
            <v>ENGR. MICHAEL C. SALARDA
MS. LEONARDA M. LATOR
MS. CARMENCITA VALDEZ
MS. SORAYA P. VERGARA</v>
          </cell>
          <cell r="AI907" t="str">
            <v>N/A</v>
          </cell>
          <cell r="AJ907" t="str">
            <v>N/A</v>
          </cell>
          <cell r="AK907" t="str">
            <v>N/A</v>
          </cell>
          <cell r="AL907" t="str">
            <v>N/A</v>
          </cell>
          <cell r="AM907" t="str">
            <v>N/A</v>
          </cell>
          <cell r="AN907" t="str">
            <v>N/A</v>
          </cell>
          <cell r="AO907">
            <v>0</v>
          </cell>
        </row>
        <row r="908">
          <cell r="A908" t="str">
            <v>24-3073</v>
          </cell>
          <cell r="B908" t="str">
            <v xml:space="preserve">CONSTRUCTION MATERIALS </v>
          </cell>
          <cell r="C908" t="str">
            <v>PDRRMO</v>
          </cell>
          <cell r="D908" t="str">
            <v>No</v>
          </cell>
          <cell r="E908" t="str">
            <v>NP-53.9 - Small Value Procurement</v>
          </cell>
          <cell r="F908">
            <v>45446</v>
          </cell>
          <cell r="G908">
            <v>45448</v>
          </cell>
          <cell r="H908">
            <v>0</v>
          </cell>
          <cell r="I908" t="str">
            <v>N/A</v>
          </cell>
          <cell r="J908">
            <v>45461</v>
          </cell>
          <cell r="K908">
            <v>45461</v>
          </cell>
          <cell r="L908">
            <v>0</v>
          </cell>
          <cell r="M908" t="str">
            <v>N/A</v>
          </cell>
          <cell r="N908" t="str">
            <v>N/A</v>
          </cell>
          <cell r="O908">
            <v>45464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173317</v>
          </cell>
          <cell r="AB908">
            <v>0</v>
          </cell>
          <cell r="AC908">
            <v>173317</v>
          </cell>
          <cell r="AD908">
            <v>173312</v>
          </cell>
          <cell r="AE908">
            <v>0</v>
          </cell>
          <cell r="AF908">
            <v>173312</v>
          </cell>
          <cell r="AG908" t="str">
            <v>C</v>
          </cell>
          <cell r="AH908" t="str">
            <v>ENGR. MICHAEL C. SALARDA
MS. LEONARDA M. LATOR
MS. CARMENCITA VALDEZ
MS. SORAYA P. VERGARA</v>
          </cell>
          <cell r="AI908" t="str">
            <v>N/A</v>
          </cell>
          <cell r="AJ908" t="str">
            <v>N/A</v>
          </cell>
          <cell r="AK908" t="str">
            <v>N/A</v>
          </cell>
          <cell r="AL908" t="str">
            <v>N/A</v>
          </cell>
          <cell r="AM908" t="str">
            <v>N/A</v>
          </cell>
          <cell r="AN908" t="str">
            <v>N/A</v>
          </cell>
          <cell r="AO908">
            <v>0</v>
          </cell>
        </row>
        <row r="909">
          <cell r="A909" t="str">
            <v>24-C1408</v>
          </cell>
          <cell r="B909" t="str">
            <v xml:space="preserve">MACHINE MAINTENANCE SUPPLIES
</v>
          </cell>
          <cell r="C909" t="str">
            <v>PDRRMO</v>
          </cell>
          <cell r="D909" t="str">
            <v>No</v>
          </cell>
          <cell r="E909" t="str">
            <v>NP-53.9 - Small Value Procurement</v>
          </cell>
          <cell r="F909" t="str">
            <v>N/A</v>
          </cell>
          <cell r="G909">
            <v>45448</v>
          </cell>
          <cell r="H909">
            <v>0</v>
          </cell>
          <cell r="I909" t="str">
            <v>N/A</v>
          </cell>
          <cell r="J909">
            <v>45461</v>
          </cell>
          <cell r="K909">
            <v>45461</v>
          </cell>
          <cell r="L909">
            <v>0</v>
          </cell>
          <cell r="M909" t="str">
            <v>N/A</v>
          </cell>
          <cell r="N909" t="str">
            <v>N/A</v>
          </cell>
          <cell r="O909">
            <v>45464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17323.8</v>
          </cell>
          <cell r="AB909">
            <v>0</v>
          </cell>
          <cell r="AC909">
            <v>17323.8</v>
          </cell>
          <cell r="AD909">
            <v>17261</v>
          </cell>
          <cell r="AE909">
            <v>0</v>
          </cell>
          <cell r="AF909">
            <v>17261</v>
          </cell>
          <cell r="AG909" t="str">
            <v>C</v>
          </cell>
          <cell r="AH909" t="str">
            <v>ENGR. MICHAEL C. SALARDA
MS. LEONARDA M. LATOR
MS. CARMENCITA VALDEZ
MS. SORAYA P. VERGARA</v>
          </cell>
          <cell r="AI909" t="str">
            <v>N/A</v>
          </cell>
          <cell r="AJ909" t="str">
            <v>N/A</v>
          </cell>
          <cell r="AK909" t="str">
            <v>N/A</v>
          </cell>
          <cell r="AL909" t="str">
            <v>N/A</v>
          </cell>
          <cell r="AM909" t="str">
            <v>N/A</v>
          </cell>
          <cell r="AN909" t="str">
            <v>N/A</v>
          </cell>
          <cell r="AO909">
            <v>0</v>
          </cell>
        </row>
        <row r="910">
          <cell r="A910" t="str">
            <v>24-C1362</v>
          </cell>
          <cell r="B910" t="str">
            <v xml:space="preserve">MEDICAL SUPPLIES
</v>
          </cell>
          <cell r="C910" t="str">
            <v>PDRRMO</v>
          </cell>
          <cell r="D910" t="str">
            <v>No</v>
          </cell>
          <cell r="E910" t="str">
            <v>NP-53.9 - Small Value Procurement</v>
          </cell>
          <cell r="F910">
            <v>45446</v>
          </cell>
          <cell r="G910">
            <v>45448</v>
          </cell>
          <cell r="H910">
            <v>0</v>
          </cell>
          <cell r="I910" t="str">
            <v>N/A</v>
          </cell>
          <cell r="J910">
            <v>45461</v>
          </cell>
          <cell r="K910">
            <v>45461</v>
          </cell>
          <cell r="L910">
            <v>0</v>
          </cell>
          <cell r="M910" t="str">
            <v>N/A</v>
          </cell>
          <cell r="N910" t="str">
            <v>N/A</v>
          </cell>
          <cell r="O910">
            <v>45464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287715</v>
          </cell>
          <cell r="AB910">
            <v>0</v>
          </cell>
          <cell r="AC910">
            <v>287715</v>
          </cell>
          <cell r="AD910">
            <v>118400</v>
          </cell>
          <cell r="AE910">
            <v>0</v>
          </cell>
          <cell r="AF910">
            <v>118400</v>
          </cell>
          <cell r="AG910" t="str">
            <v>C</v>
          </cell>
          <cell r="AH910" t="str">
            <v>ENGR. MICHAEL C. SALARDA
MS. LEONARDA M. LATOR
MS. CARMENCITA VALDEZ
MS. SORAYA P. VERGARA</v>
          </cell>
          <cell r="AI910" t="str">
            <v>N/A</v>
          </cell>
          <cell r="AJ910" t="str">
            <v>N/A</v>
          </cell>
          <cell r="AK910" t="str">
            <v>N/A</v>
          </cell>
          <cell r="AL910" t="str">
            <v>N/A</v>
          </cell>
          <cell r="AM910" t="str">
            <v>N/A</v>
          </cell>
          <cell r="AN910" t="str">
            <v>N/A</v>
          </cell>
          <cell r="AO910">
            <v>0</v>
          </cell>
        </row>
        <row r="911">
          <cell r="A911" t="str">
            <v>24-2806</v>
          </cell>
          <cell r="B911" t="str">
            <v xml:space="preserve">SPAREPARTS (LIGHT VEHICLES)
</v>
          </cell>
          <cell r="C911" t="str">
            <v>PDRRMO</v>
          </cell>
          <cell r="D911" t="str">
            <v>No</v>
          </cell>
          <cell r="E911" t="str">
            <v>NP-53.9 - Small Value Procurement</v>
          </cell>
          <cell r="F911">
            <v>45446</v>
          </cell>
          <cell r="G911">
            <v>45448</v>
          </cell>
          <cell r="H911">
            <v>0</v>
          </cell>
          <cell r="I911" t="str">
            <v>N/A</v>
          </cell>
          <cell r="J911">
            <v>45461</v>
          </cell>
          <cell r="K911">
            <v>45461</v>
          </cell>
          <cell r="L911">
            <v>0</v>
          </cell>
          <cell r="M911" t="str">
            <v>N/A</v>
          </cell>
          <cell r="N911" t="str">
            <v>N/A</v>
          </cell>
          <cell r="O911">
            <v>45464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141295</v>
          </cell>
          <cell r="AB911">
            <v>141295</v>
          </cell>
          <cell r="AC911">
            <v>0</v>
          </cell>
          <cell r="AD911">
            <v>110500</v>
          </cell>
          <cell r="AE911">
            <v>110500</v>
          </cell>
          <cell r="AF911">
            <v>0</v>
          </cell>
          <cell r="AG911" t="str">
            <v>M</v>
          </cell>
          <cell r="AH911" t="str">
            <v>ENGR. MICHAEL C. SALARDA
MS. LEONARDA M. LATOR
MS. CARMENCITA VALDEZ
MS. SORAYA P. VERGARA</v>
          </cell>
          <cell r="AI911" t="str">
            <v>N/A</v>
          </cell>
          <cell r="AJ911" t="str">
            <v>N/A</v>
          </cell>
          <cell r="AK911" t="str">
            <v>N/A</v>
          </cell>
          <cell r="AL911" t="str">
            <v>N/A</v>
          </cell>
          <cell r="AM911" t="str">
            <v>N/A</v>
          </cell>
          <cell r="AN911" t="str">
            <v>N/A</v>
          </cell>
          <cell r="AO911">
            <v>0</v>
          </cell>
        </row>
        <row r="912">
          <cell r="A912" t="str">
            <v>24-1165</v>
          </cell>
          <cell r="B912" t="str">
            <v xml:space="preserve">SPAREPARTS (LIGHT VEHICLES)
</v>
          </cell>
          <cell r="C912" t="str">
            <v>PGO</v>
          </cell>
          <cell r="D912" t="str">
            <v>No</v>
          </cell>
          <cell r="E912" t="str">
            <v>NP-53.9 - Small Value Procurement</v>
          </cell>
          <cell r="F912" t="str">
            <v>N/A</v>
          </cell>
          <cell r="G912">
            <v>45448</v>
          </cell>
          <cell r="H912">
            <v>0</v>
          </cell>
          <cell r="I912" t="str">
            <v>N/A</v>
          </cell>
          <cell r="J912">
            <v>45461</v>
          </cell>
          <cell r="K912">
            <v>45461</v>
          </cell>
          <cell r="L912">
            <v>0</v>
          </cell>
          <cell r="M912" t="str">
            <v>N/A</v>
          </cell>
          <cell r="N912" t="str">
            <v>N/A</v>
          </cell>
          <cell r="O912">
            <v>45464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73776</v>
          </cell>
          <cell r="AB912">
            <v>0</v>
          </cell>
          <cell r="AC912">
            <v>73776</v>
          </cell>
          <cell r="AD912">
            <v>66000</v>
          </cell>
          <cell r="AE912">
            <v>0</v>
          </cell>
          <cell r="AF912">
            <v>66000</v>
          </cell>
          <cell r="AG912" t="str">
            <v>C</v>
          </cell>
          <cell r="AH912" t="str">
            <v>ENGR. MICHAEL C. SALARDA
MS. LEONARDA M. LATOR
MS. CARMENCITA VALDEZ
MS. SORAYA P. VERGARA</v>
          </cell>
          <cell r="AI912" t="str">
            <v>N/A</v>
          </cell>
          <cell r="AJ912" t="str">
            <v>N/A</v>
          </cell>
          <cell r="AK912" t="str">
            <v>N/A</v>
          </cell>
          <cell r="AL912" t="str">
            <v>N/A</v>
          </cell>
          <cell r="AM912" t="str">
            <v>N/A</v>
          </cell>
          <cell r="AN912" t="str">
            <v>N/A</v>
          </cell>
          <cell r="AO912">
            <v>0</v>
          </cell>
        </row>
        <row r="913">
          <cell r="A913" t="str">
            <v>24-3595</v>
          </cell>
          <cell r="B913" t="str">
            <v xml:space="preserve">PLAQUE
</v>
          </cell>
          <cell r="C913" t="str">
            <v>PGO</v>
          </cell>
          <cell r="D913" t="str">
            <v>No</v>
          </cell>
          <cell r="E913" t="str">
            <v>NP-53.9 - Small Value Procurement</v>
          </cell>
          <cell r="F913" t="str">
            <v>N/A</v>
          </cell>
          <cell r="G913">
            <v>45461</v>
          </cell>
          <cell r="H913">
            <v>0</v>
          </cell>
          <cell r="I913" t="str">
            <v>N/A</v>
          </cell>
          <cell r="J913">
            <v>45461</v>
          </cell>
          <cell r="K913">
            <v>45461</v>
          </cell>
          <cell r="L913">
            <v>0</v>
          </cell>
          <cell r="M913" t="str">
            <v>N/A</v>
          </cell>
          <cell r="N913" t="str">
            <v>N/A</v>
          </cell>
          <cell r="O913">
            <v>45464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3000</v>
          </cell>
          <cell r="AB913">
            <v>0</v>
          </cell>
          <cell r="AC913">
            <v>3000</v>
          </cell>
          <cell r="AD913">
            <v>2996</v>
          </cell>
          <cell r="AE913">
            <v>0</v>
          </cell>
          <cell r="AF913">
            <v>2996</v>
          </cell>
          <cell r="AG913" t="str">
            <v>C</v>
          </cell>
          <cell r="AH913" t="str">
            <v>ENGR. MICHAEL C. SALARDA
MS. LEONARDA M. LATOR
MS. CARMENCITA VALDEZ
MS. SORAYA P. VERGARA</v>
          </cell>
          <cell r="AI913" t="str">
            <v>N/A</v>
          </cell>
          <cell r="AJ913" t="str">
            <v>N/A</v>
          </cell>
          <cell r="AK913" t="str">
            <v>N/A</v>
          </cell>
          <cell r="AL913" t="str">
            <v>N/A</v>
          </cell>
          <cell r="AM913" t="str">
            <v>N/A</v>
          </cell>
          <cell r="AN913" t="str">
            <v>N/A</v>
          </cell>
          <cell r="AO913">
            <v>0</v>
          </cell>
        </row>
        <row r="914">
          <cell r="A914" t="str">
            <v>24-3108</v>
          </cell>
          <cell r="B914" t="str">
            <v>ACCOUNTABLE FORMS</v>
          </cell>
          <cell r="C914" t="str">
            <v>PTO</v>
          </cell>
          <cell r="D914" t="str">
            <v>No</v>
          </cell>
          <cell r="E914" t="str">
            <v>NP-53.5 Agency-to-Agency</v>
          </cell>
          <cell r="F914" t="str">
            <v>N/A</v>
          </cell>
          <cell r="G914">
            <v>45448</v>
          </cell>
          <cell r="H914">
            <v>0</v>
          </cell>
          <cell r="I914" t="str">
            <v>N/A</v>
          </cell>
          <cell r="J914">
            <v>45468</v>
          </cell>
          <cell r="K914">
            <v>45468</v>
          </cell>
          <cell r="L914">
            <v>0</v>
          </cell>
          <cell r="M914" t="str">
            <v>N/A</v>
          </cell>
          <cell r="N914" t="str">
            <v>N/A</v>
          </cell>
          <cell r="O914">
            <v>45469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562500</v>
          </cell>
          <cell r="AB914">
            <v>0</v>
          </cell>
          <cell r="AC914">
            <v>562500</v>
          </cell>
          <cell r="AD914">
            <v>355472</v>
          </cell>
          <cell r="AE914">
            <v>0</v>
          </cell>
          <cell r="AF914">
            <v>355472</v>
          </cell>
          <cell r="AG914" t="str">
            <v>C</v>
          </cell>
          <cell r="AH914" t="str">
            <v>ENGR. MICHAEL C. SALARDA
MS. LEONARDA M. LATOR
MS. CARMENCITA VALDEZ
MS. SORAYA P. VERGARA</v>
          </cell>
          <cell r="AI914" t="str">
            <v>N/A</v>
          </cell>
          <cell r="AJ914" t="str">
            <v>N/A</v>
          </cell>
          <cell r="AK914" t="str">
            <v>N/A</v>
          </cell>
          <cell r="AL914" t="str">
            <v>N/A</v>
          </cell>
          <cell r="AM914" t="str">
            <v>N/A</v>
          </cell>
          <cell r="AN914" t="str">
            <v>N/A</v>
          </cell>
          <cell r="AO914">
            <v>0</v>
          </cell>
        </row>
        <row r="915">
          <cell r="A915" t="str">
            <v>24-2878</v>
          </cell>
          <cell r="B915" t="str">
            <v xml:space="preserve">SPAREPARTS (LIGHT VEHICLES)
</v>
          </cell>
          <cell r="C915" t="str">
            <v>SPO</v>
          </cell>
          <cell r="D915" t="str">
            <v>No</v>
          </cell>
          <cell r="E915" t="str">
            <v>Shopping 52.1(a) - Unforeseen Contingency</v>
          </cell>
          <cell r="F915" t="str">
            <v>N/A</v>
          </cell>
          <cell r="G915">
            <v>45463</v>
          </cell>
          <cell r="H915">
            <v>0</v>
          </cell>
          <cell r="I915" t="str">
            <v>N/A</v>
          </cell>
          <cell r="J915">
            <v>45468</v>
          </cell>
          <cell r="K915">
            <v>45468</v>
          </cell>
          <cell r="L915">
            <v>0</v>
          </cell>
          <cell r="M915" t="str">
            <v>N/A</v>
          </cell>
          <cell r="N915" t="str">
            <v>N/A</v>
          </cell>
          <cell r="O915">
            <v>45469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5800</v>
          </cell>
          <cell r="AB915">
            <v>5800</v>
          </cell>
          <cell r="AC915">
            <v>0</v>
          </cell>
          <cell r="AD915">
            <v>5800</v>
          </cell>
          <cell r="AE915">
            <v>5800</v>
          </cell>
          <cell r="AF915">
            <v>0</v>
          </cell>
          <cell r="AG915" t="str">
            <v>M</v>
          </cell>
          <cell r="AH915" t="str">
            <v>ENGR. MICHAEL C. SALARDA
MS. LEONARDA M. LATOR
MS. CARMENCITA VALDEZ
MS. SORAYA P. VERGARA</v>
          </cell>
          <cell r="AI915" t="str">
            <v>N/A</v>
          </cell>
          <cell r="AJ915" t="str">
            <v>N/A</v>
          </cell>
          <cell r="AK915" t="str">
            <v>N/A</v>
          </cell>
          <cell r="AL915" t="str">
            <v>N/A</v>
          </cell>
          <cell r="AM915" t="str">
            <v>N/A</v>
          </cell>
          <cell r="AN915" t="str">
            <v>N/A</v>
          </cell>
          <cell r="AO915">
            <v>0</v>
          </cell>
        </row>
        <row r="916">
          <cell r="A916" t="str">
            <v>24-C1361</v>
          </cell>
          <cell r="B916" t="str">
            <v xml:space="preserve">JOB ORDER: REIMBURSEMENT </v>
          </cell>
          <cell r="C916" t="str">
            <v>SPO</v>
          </cell>
          <cell r="D916" t="str">
            <v>No</v>
          </cell>
          <cell r="E916" t="str">
            <v>Shopping 52.1(a) - Unforeseen Contingency</v>
          </cell>
          <cell r="F916">
            <v>45461</v>
          </cell>
          <cell r="G916">
            <v>45463</v>
          </cell>
          <cell r="H916">
            <v>0</v>
          </cell>
          <cell r="I916" t="str">
            <v>N/A</v>
          </cell>
          <cell r="J916">
            <v>45468</v>
          </cell>
          <cell r="K916">
            <v>45468</v>
          </cell>
          <cell r="L916">
            <v>0</v>
          </cell>
          <cell r="M916" t="str">
            <v>N/A</v>
          </cell>
          <cell r="N916" t="str">
            <v>N/A</v>
          </cell>
          <cell r="O916">
            <v>45469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8900</v>
          </cell>
          <cell r="AB916">
            <v>8900</v>
          </cell>
          <cell r="AC916">
            <v>0</v>
          </cell>
          <cell r="AD916">
            <v>8900</v>
          </cell>
          <cell r="AE916">
            <v>8900</v>
          </cell>
          <cell r="AF916">
            <v>0</v>
          </cell>
          <cell r="AG916" t="str">
            <v>M</v>
          </cell>
          <cell r="AH916" t="str">
            <v>ENGR. MICHAEL C. SALARDA
MS. LEONARDA M. LATOR
MS. CARMENCITA VALDEZ
MS. SORAYA P. VERGARA</v>
          </cell>
          <cell r="AI916" t="str">
            <v>N/A</v>
          </cell>
          <cell r="AJ916" t="str">
            <v>N/A</v>
          </cell>
          <cell r="AK916" t="str">
            <v>N/A</v>
          </cell>
          <cell r="AL916" t="str">
            <v>N/A</v>
          </cell>
          <cell r="AM916" t="str">
            <v>N/A</v>
          </cell>
          <cell r="AN916" t="str">
            <v>N/A</v>
          </cell>
          <cell r="AO916">
            <v>0</v>
          </cell>
        </row>
        <row r="917">
          <cell r="A917" t="str">
            <v>24-3057</v>
          </cell>
          <cell r="B917" t="str">
            <v xml:space="preserve">SPAREPARTS (MOTOR CYCLE)
</v>
          </cell>
          <cell r="C917" t="str">
            <v>PGSO</v>
          </cell>
          <cell r="D917" t="str">
            <v>No</v>
          </cell>
          <cell r="E917" t="str">
            <v>Shopping 52.1(a) - Unforeseen Contingency</v>
          </cell>
          <cell r="F917" t="str">
            <v>N/A</v>
          </cell>
          <cell r="G917">
            <v>45463</v>
          </cell>
          <cell r="H917">
            <v>0</v>
          </cell>
          <cell r="I917" t="str">
            <v>N/A</v>
          </cell>
          <cell r="J917">
            <v>45468</v>
          </cell>
          <cell r="K917">
            <v>45468</v>
          </cell>
          <cell r="L917">
            <v>0</v>
          </cell>
          <cell r="M917" t="str">
            <v>N/A</v>
          </cell>
          <cell r="N917" t="str">
            <v>N/A</v>
          </cell>
          <cell r="O917">
            <v>45469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4000</v>
          </cell>
          <cell r="AB917">
            <v>4000</v>
          </cell>
          <cell r="AC917">
            <v>0</v>
          </cell>
          <cell r="AD917">
            <v>4000</v>
          </cell>
          <cell r="AE917">
            <v>4000</v>
          </cell>
          <cell r="AF917">
            <v>0</v>
          </cell>
          <cell r="AG917" t="str">
            <v>M</v>
          </cell>
          <cell r="AH917" t="str">
            <v>ENGR. MICHAEL C. SALARDA
MS. LEONARDA M. LATOR
MS. CARMENCITA VALDEZ
MS. SORAYA P. VERGARA</v>
          </cell>
          <cell r="AI917" t="str">
            <v>N/A</v>
          </cell>
          <cell r="AJ917" t="str">
            <v>N/A</v>
          </cell>
          <cell r="AK917" t="str">
            <v>N/A</v>
          </cell>
          <cell r="AL917" t="str">
            <v>N/A</v>
          </cell>
          <cell r="AM917" t="str">
            <v>N/A</v>
          </cell>
          <cell r="AN917" t="str">
            <v>N/A</v>
          </cell>
          <cell r="AO917">
            <v>0</v>
          </cell>
        </row>
        <row r="918">
          <cell r="A918" t="str">
            <v>24-3562</v>
          </cell>
          <cell r="B918" t="str">
            <v xml:space="preserve">SPAREPARTS (LIGHT VEHICLES)
</v>
          </cell>
          <cell r="C918" t="str">
            <v>PGSO</v>
          </cell>
          <cell r="D918" t="str">
            <v>No</v>
          </cell>
          <cell r="E918" t="str">
            <v>Shopping 52.1(a) - Unforeseen Contingency</v>
          </cell>
          <cell r="F918" t="str">
            <v>N/A</v>
          </cell>
          <cell r="G918">
            <v>45463</v>
          </cell>
          <cell r="H918">
            <v>0</v>
          </cell>
          <cell r="I918" t="str">
            <v>N/A</v>
          </cell>
          <cell r="J918">
            <v>45468</v>
          </cell>
          <cell r="K918">
            <v>45468</v>
          </cell>
          <cell r="L918">
            <v>0</v>
          </cell>
          <cell r="M918" t="str">
            <v>N/A</v>
          </cell>
          <cell r="N918" t="str">
            <v>N/A</v>
          </cell>
          <cell r="O918">
            <v>45469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26050</v>
          </cell>
          <cell r="AB918">
            <v>26050</v>
          </cell>
          <cell r="AC918">
            <v>0</v>
          </cell>
          <cell r="AD918">
            <v>26050</v>
          </cell>
          <cell r="AE918">
            <v>26050</v>
          </cell>
          <cell r="AF918">
            <v>0</v>
          </cell>
          <cell r="AG918" t="str">
            <v>M</v>
          </cell>
          <cell r="AH918" t="str">
            <v>ENGR. MICHAEL C. SALARDA
MS. LEONARDA M. LATOR
MS. CARMENCITA VALDEZ
MS. SORAYA P. VERGARA</v>
          </cell>
          <cell r="AI918" t="str">
            <v>N/A</v>
          </cell>
          <cell r="AJ918" t="str">
            <v>N/A</v>
          </cell>
          <cell r="AK918" t="str">
            <v>N/A</v>
          </cell>
          <cell r="AL918" t="str">
            <v>N/A</v>
          </cell>
          <cell r="AM918" t="str">
            <v>N/A</v>
          </cell>
          <cell r="AN918" t="str">
            <v>N/A</v>
          </cell>
          <cell r="AO918">
            <v>0</v>
          </cell>
        </row>
        <row r="919">
          <cell r="A919" t="str">
            <v>24-2884</v>
          </cell>
          <cell r="B919" t="str">
            <v xml:space="preserve">SPAREPARTS (LIGHT VEHICLES)
</v>
          </cell>
          <cell r="C919" t="str">
            <v>PGSO</v>
          </cell>
          <cell r="D919" t="str">
            <v>No</v>
          </cell>
          <cell r="E919" t="str">
            <v>Shopping 52.1(a) - Unforeseen Contingency</v>
          </cell>
          <cell r="F919" t="str">
            <v>N/A</v>
          </cell>
          <cell r="G919">
            <v>45457</v>
          </cell>
          <cell r="H919">
            <v>0</v>
          </cell>
          <cell r="I919" t="str">
            <v>N/A</v>
          </cell>
          <cell r="J919">
            <v>45468</v>
          </cell>
          <cell r="K919">
            <v>45468</v>
          </cell>
          <cell r="L919">
            <v>0</v>
          </cell>
          <cell r="M919" t="str">
            <v>N/A</v>
          </cell>
          <cell r="N919" t="str">
            <v>N/A</v>
          </cell>
          <cell r="O919">
            <v>45469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8570</v>
          </cell>
          <cell r="AB919">
            <v>8570</v>
          </cell>
          <cell r="AC919">
            <v>0</v>
          </cell>
          <cell r="AD919">
            <v>8500</v>
          </cell>
          <cell r="AE919">
            <v>8500</v>
          </cell>
          <cell r="AF919">
            <v>0</v>
          </cell>
          <cell r="AG919" t="str">
            <v>M</v>
          </cell>
          <cell r="AH919" t="str">
            <v>ENGR. MICHAEL C. SALARDA
MS. LEONARDA M. LATOR
MS. CARMENCITA VALDEZ
MS. SORAYA P. VERGARA</v>
          </cell>
          <cell r="AI919" t="str">
            <v>N/A</v>
          </cell>
          <cell r="AJ919" t="str">
            <v>N/A</v>
          </cell>
          <cell r="AK919" t="str">
            <v>N/A</v>
          </cell>
          <cell r="AL919" t="str">
            <v>N/A</v>
          </cell>
          <cell r="AM919" t="str">
            <v>N/A</v>
          </cell>
          <cell r="AN919" t="str">
            <v>N/A</v>
          </cell>
          <cell r="AO919">
            <v>0</v>
          </cell>
        </row>
        <row r="920">
          <cell r="A920" t="str">
            <v>24-2793</v>
          </cell>
          <cell r="B920" t="str">
            <v xml:space="preserve">SPAREPARTS (HEAVY EQUIPT)
</v>
          </cell>
          <cell r="C920" t="str">
            <v>PGSO</v>
          </cell>
          <cell r="D920" t="str">
            <v>No</v>
          </cell>
          <cell r="E920" t="str">
            <v>Shopping 52.1(a) - Unforeseen Contingency</v>
          </cell>
          <cell r="F920" t="str">
            <v>N/A</v>
          </cell>
          <cell r="G920">
            <v>45457</v>
          </cell>
          <cell r="H920">
            <v>0</v>
          </cell>
          <cell r="I920" t="str">
            <v>N/A</v>
          </cell>
          <cell r="J920">
            <v>45468</v>
          </cell>
          <cell r="K920">
            <v>45468</v>
          </cell>
          <cell r="L920">
            <v>0</v>
          </cell>
          <cell r="M920" t="str">
            <v>N/A</v>
          </cell>
          <cell r="N920" t="str">
            <v>N/A</v>
          </cell>
          <cell r="O920">
            <v>45469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52000</v>
          </cell>
          <cell r="AB920">
            <v>52000</v>
          </cell>
          <cell r="AC920">
            <v>0</v>
          </cell>
          <cell r="AD920">
            <v>49850</v>
          </cell>
          <cell r="AE920">
            <v>49850</v>
          </cell>
          <cell r="AF920">
            <v>0</v>
          </cell>
          <cell r="AG920" t="str">
            <v>M</v>
          </cell>
          <cell r="AH920" t="str">
            <v>ENGR. MICHAEL C. SALARDA
MS. LEONARDA M. LATOR
MS. CARMENCITA VALDEZ
MS. SORAYA P. VERGARA</v>
          </cell>
          <cell r="AI920" t="str">
            <v>N/A</v>
          </cell>
          <cell r="AJ920" t="str">
            <v>N/A</v>
          </cell>
          <cell r="AK920" t="str">
            <v>N/A</v>
          </cell>
          <cell r="AL920" t="str">
            <v>N/A</v>
          </cell>
          <cell r="AM920" t="str">
            <v>N/A</v>
          </cell>
          <cell r="AN920" t="str">
            <v>N/A</v>
          </cell>
          <cell r="AO920">
            <v>0</v>
          </cell>
        </row>
        <row r="921">
          <cell r="A921" t="str">
            <v>24-2842</v>
          </cell>
          <cell r="B921" t="str">
            <v xml:space="preserve">SPAREPARTS (LIGHT VEHICLES)
</v>
          </cell>
          <cell r="C921" t="str">
            <v>PGSO</v>
          </cell>
          <cell r="D921" t="str">
            <v>No</v>
          </cell>
          <cell r="E921" t="str">
            <v>Shopping 52.1(a) - Unforeseen Contingency</v>
          </cell>
          <cell r="F921" t="str">
            <v>N/A</v>
          </cell>
          <cell r="G921">
            <v>45457</v>
          </cell>
          <cell r="H921">
            <v>0</v>
          </cell>
          <cell r="I921" t="str">
            <v>N/A</v>
          </cell>
          <cell r="J921">
            <v>45468</v>
          </cell>
          <cell r="K921">
            <v>45468</v>
          </cell>
          <cell r="L921">
            <v>0</v>
          </cell>
          <cell r="M921" t="str">
            <v>N/A</v>
          </cell>
          <cell r="N921" t="str">
            <v>N/A</v>
          </cell>
          <cell r="O921">
            <v>45469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9750</v>
          </cell>
          <cell r="AB921">
            <v>9750</v>
          </cell>
          <cell r="AC921">
            <v>0</v>
          </cell>
          <cell r="AD921">
            <v>9700</v>
          </cell>
          <cell r="AE921">
            <v>9700</v>
          </cell>
          <cell r="AF921">
            <v>0</v>
          </cell>
          <cell r="AG921" t="str">
            <v>M</v>
          </cell>
          <cell r="AH921" t="str">
            <v>ENGR. MICHAEL C. SALARDA
MS. LEONARDA M. LATOR
MS. CARMENCITA VALDEZ
MS. SORAYA P. VERGARA</v>
          </cell>
          <cell r="AI921" t="str">
            <v>N/A</v>
          </cell>
          <cell r="AJ921" t="str">
            <v>N/A</v>
          </cell>
          <cell r="AK921" t="str">
            <v>N/A</v>
          </cell>
          <cell r="AL921" t="str">
            <v>N/A</v>
          </cell>
          <cell r="AM921" t="str">
            <v>N/A</v>
          </cell>
          <cell r="AN921" t="str">
            <v>N/A</v>
          </cell>
          <cell r="AO921">
            <v>0</v>
          </cell>
        </row>
        <row r="922">
          <cell r="A922" t="str">
            <v>24-2843</v>
          </cell>
          <cell r="B922" t="str">
            <v xml:space="preserve">SPAREPARTS (LIGHT VEHICLES)
</v>
          </cell>
          <cell r="C922" t="str">
            <v>PGSO</v>
          </cell>
          <cell r="D922" t="str">
            <v>No</v>
          </cell>
          <cell r="E922" t="str">
            <v>Shopping 52.1(a) - Unforeseen Contingency</v>
          </cell>
          <cell r="F922" t="str">
            <v>N/A</v>
          </cell>
          <cell r="G922">
            <v>45457</v>
          </cell>
          <cell r="H922">
            <v>0</v>
          </cell>
          <cell r="I922" t="str">
            <v>N/A</v>
          </cell>
          <cell r="J922">
            <v>45468</v>
          </cell>
          <cell r="K922">
            <v>45468</v>
          </cell>
          <cell r="L922">
            <v>0</v>
          </cell>
          <cell r="M922" t="str">
            <v>N/A</v>
          </cell>
          <cell r="N922" t="str">
            <v>N/A</v>
          </cell>
          <cell r="O922">
            <v>45469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22000</v>
          </cell>
          <cell r="AB922">
            <v>22000</v>
          </cell>
          <cell r="AC922">
            <v>0</v>
          </cell>
          <cell r="AD922">
            <v>21800</v>
          </cell>
          <cell r="AE922">
            <v>21800</v>
          </cell>
          <cell r="AF922">
            <v>0</v>
          </cell>
          <cell r="AG922" t="str">
            <v>M</v>
          </cell>
          <cell r="AH922" t="str">
            <v>ENGR. MICHAEL C. SALARDA
MS. LEONARDA M. LATOR
MS. CARMENCITA VALDEZ
MS. SORAYA P. VERGARA</v>
          </cell>
          <cell r="AI922" t="str">
            <v>N/A</v>
          </cell>
          <cell r="AJ922" t="str">
            <v>N/A</v>
          </cell>
          <cell r="AK922" t="str">
            <v>N/A</v>
          </cell>
          <cell r="AL922" t="str">
            <v>N/A</v>
          </cell>
          <cell r="AM922" t="str">
            <v>N/A</v>
          </cell>
          <cell r="AN922" t="str">
            <v>N/A</v>
          </cell>
          <cell r="AO922">
            <v>0</v>
          </cell>
        </row>
        <row r="923">
          <cell r="A923" t="str">
            <v>24-2813</v>
          </cell>
          <cell r="B923" t="str">
            <v xml:space="preserve">SPAREPARTS (LIGHT VEHICLES)
</v>
          </cell>
          <cell r="C923" t="str">
            <v>PGSO</v>
          </cell>
          <cell r="D923" t="str">
            <v>No</v>
          </cell>
          <cell r="E923" t="str">
            <v>Shopping 52.1(a) - Unforeseen Contingency</v>
          </cell>
          <cell r="F923" t="str">
            <v>N/A</v>
          </cell>
          <cell r="G923">
            <v>45457</v>
          </cell>
          <cell r="H923">
            <v>0</v>
          </cell>
          <cell r="I923" t="str">
            <v>N/A</v>
          </cell>
          <cell r="J923">
            <v>45468</v>
          </cell>
          <cell r="K923">
            <v>45468</v>
          </cell>
          <cell r="L923">
            <v>0</v>
          </cell>
          <cell r="M923" t="str">
            <v>N/A</v>
          </cell>
          <cell r="N923" t="str">
            <v>N/A</v>
          </cell>
          <cell r="O923">
            <v>45469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22000</v>
          </cell>
          <cell r="AB923">
            <v>22000</v>
          </cell>
          <cell r="AC923">
            <v>0</v>
          </cell>
          <cell r="AD923">
            <v>22000</v>
          </cell>
          <cell r="AE923">
            <v>22000</v>
          </cell>
          <cell r="AF923">
            <v>0</v>
          </cell>
          <cell r="AG923" t="str">
            <v>M</v>
          </cell>
          <cell r="AH923" t="str">
            <v>ENGR. MICHAEL C. SALARDA
MS. LEONARDA M. LATOR
MS. CARMENCITA VALDEZ
MS. SORAYA P. VERGARA</v>
          </cell>
          <cell r="AI923" t="str">
            <v>N/A</v>
          </cell>
          <cell r="AJ923" t="str">
            <v>N/A</v>
          </cell>
          <cell r="AK923" t="str">
            <v>N/A</v>
          </cell>
          <cell r="AL923" t="str">
            <v>N/A</v>
          </cell>
          <cell r="AM923" t="str">
            <v>N/A</v>
          </cell>
          <cell r="AN923" t="str">
            <v>N/A</v>
          </cell>
          <cell r="AO923">
            <v>0</v>
          </cell>
        </row>
        <row r="924">
          <cell r="A924" t="str">
            <v>24-2917</v>
          </cell>
          <cell r="B924" t="str">
            <v xml:space="preserve">SPAREPARTS (LIGHT VEHICLES)
</v>
          </cell>
          <cell r="C924" t="str">
            <v>PGSO</v>
          </cell>
          <cell r="D924" t="str">
            <v>No</v>
          </cell>
          <cell r="E924" t="str">
            <v>Shopping 52.1(a) - Unforeseen Contingency</v>
          </cell>
          <cell r="F924" t="str">
            <v>N/A</v>
          </cell>
          <cell r="G924">
            <v>45457</v>
          </cell>
          <cell r="H924">
            <v>0</v>
          </cell>
          <cell r="I924" t="str">
            <v>N/A</v>
          </cell>
          <cell r="J924">
            <v>45468</v>
          </cell>
          <cell r="K924">
            <v>45468</v>
          </cell>
          <cell r="L924">
            <v>0</v>
          </cell>
          <cell r="M924" t="str">
            <v>N/A</v>
          </cell>
          <cell r="N924" t="str">
            <v>N/A</v>
          </cell>
          <cell r="O924">
            <v>45469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29500</v>
          </cell>
          <cell r="AB924">
            <v>29500</v>
          </cell>
          <cell r="AC924">
            <v>0</v>
          </cell>
          <cell r="AD924">
            <v>29400</v>
          </cell>
          <cell r="AE924">
            <v>29400</v>
          </cell>
          <cell r="AF924">
            <v>0</v>
          </cell>
          <cell r="AG924" t="str">
            <v>M</v>
          </cell>
          <cell r="AH924" t="str">
            <v>ENGR. MICHAEL C. SALARDA
MS. LEONARDA M. LATOR
MS. CARMENCITA VALDEZ
MS. SORAYA P. VERGARA</v>
          </cell>
          <cell r="AI924" t="str">
            <v>N/A</v>
          </cell>
          <cell r="AJ924" t="str">
            <v>N/A</v>
          </cell>
          <cell r="AK924" t="str">
            <v>N/A</v>
          </cell>
          <cell r="AL924" t="str">
            <v>N/A</v>
          </cell>
          <cell r="AM924" t="str">
            <v>N/A</v>
          </cell>
          <cell r="AN924" t="str">
            <v>N/A</v>
          </cell>
          <cell r="AO924">
            <v>0</v>
          </cell>
        </row>
        <row r="925">
          <cell r="A925" t="str">
            <v>24-2726</v>
          </cell>
          <cell r="B925" t="str">
            <v xml:space="preserve">SPAREPARTS (LIGHT VEHICLES)
</v>
          </cell>
          <cell r="C925" t="str">
            <v>PGSO</v>
          </cell>
          <cell r="D925" t="str">
            <v>No</v>
          </cell>
          <cell r="E925" t="str">
            <v>Shopping 52.1(a) - Unforeseen Contingency</v>
          </cell>
          <cell r="F925">
            <v>45440</v>
          </cell>
          <cell r="G925">
            <v>45442</v>
          </cell>
          <cell r="H925">
            <v>0</v>
          </cell>
          <cell r="I925" t="str">
            <v>N/A</v>
          </cell>
          <cell r="J925">
            <v>45468</v>
          </cell>
          <cell r="K925">
            <v>45468</v>
          </cell>
          <cell r="L925">
            <v>0</v>
          </cell>
          <cell r="M925" t="str">
            <v>N/A</v>
          </cell>
          <cell r="N925" t="str">
            <v>N/A</v>
          </cell>
          <cell r="O925">
            <v>45469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2450</v>
          </cell>
          <cell r="AB925">
            <v>2450</v>
          </cell>
          <cell r="AC925">
            <v>0</v>
          </cell>
          <cell r="AD925">
            <v>2300</v>
          </cell>
          <cell r="AE925">
            <v>2300</v>
          </cell>
          <cell r="AF925">
            <v>0</v>
          </cell>
          <cell r="AG925" t="str">
            <v>M</v>
          </cell>
          <cell r="AH925" t="str">
            <v>ENGR. MICHAEL C. SALARDA
MS. LEONARDA M. LATOR
MS. CARMENCITA VALDEZ
MS. SORAYA P. VERGARA</v>
          </cell>
          <cell r="AI925" t="str">
            <v>N/A</v>
          </cell>
          <cell r="AJ925" t="str">
            <v>N/A</v>
          </cell>
          <cell r="AK925" t="str">
            <v>N/A</v>
          </cell>
          <cell r="AL925" t="str">
            <v>N/A</v>
          </cell>
          <cell r="AM925" t="str">
            <v>N/A</v>
          </cell>
          <cell r="AN925" t="str">
            <v>N/A</v>
          </cell>
          <cell r="AO925">
            <v>0</v>
          </cell>
        </row>
        <row r="926">
          <cell r="A926" t="str">
            <v>24-2513</v>
          </cell>
          <cell r="B926" t="str">
            <v xml:space="preserve">CIRCUIT BOARD
</v>
          </cell>
          <cell r="C926" t="str">
            <v>PGSO</v>
          </cell>
          <cell r="D926" t="str">
            <v>No</v>
          </cell>
          <cell r="E926" t="str">
            <v>NP-53.9 - Small Value Procurement</v>
          </cell>
          <cell r="F926" t="str">
            <v>N/A</v>
          </cell>
          <cell r="G926">
            <v>45415</v>
          </cell>
          <cell r="H926">
            <v>0</v>
          </cell>
          <cell r="I926" t="str">
            <v>N/A</v>
          </cell>
          <cell r="J926">
            <v>45468</v>
          </cell>
          <cell r="K926">
            <v>45468</v>
          </cell>
          <cell r="L926">
            <v>0</v>
          </cell>
          <cell r="M926" t="str">
            <v>N/A</v>
          </cell>
          <cell r="N926" t="str">
            <v>N/A</v>
          </cell>
          <cell r="O926">
            <v>45469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57566.74</v>
          </cell>
          <cell r="AB926">
            <v>57566.74</v>
          </cell>
          <cell r="AC926">
            <v>0</v>
          </cell>
          <cell r="AD926">
            <v>53000</v>
          </cell>
          <cell r="AE926">
            <v>53000</v>
          </cell>
          <cell r="AF926">
            <v>0</v>
          </cell>
          <cell r="AG926" t="str">
            <v>M</v>
          </cell>
          <cell r="AH926" t="str">
            <v>ENGR. MICHAEL C. SALARDA
MS. LEONARDA M. LATOR
MS. CARMENCITA VALDEZ
MS. SORAYA P. VERGARA</v>
          </cell>
          <cell r="AI926" t="str">
            <v>N/A</v>
          </cell>
          <cell r="AJ926" t="str">
            <v>N/A</v>
          </cell>
          <cell r="AK926" t="str">
            <v>N/A</v>
          </cell>
          <cell r="AL926" t="str">
            <v>N/A</v>
          </cell>
          <cell r="AM926" t="str">
            <v>N/A</v>
          </cell>
          <cell r="AN926" t="str">
            <v>N/A</v>
          </cell>
          <cell r="AO926">
            <v>0</v>
          </cell>
        </row>
        <row r="927">
          <cell r="A927" t="str">
            <v>24-2632</v>
          </cell>
          <cell r="B927" t="str">
            <v xml:space="preserve">ELECTRONIC MULTI- PURPOSE ULTRASONIC PEST REPELLER
</v>
          </cell>
          <cell r="C927" t="str">
            <v>SPO</v>
          </cell>
          <cell r="D927" t="str">
            <v>No</v>
          </cell>
          <cell r="E927" t="str">
            <v>NP-53.9 - Small Value Procurement</v>
          </cell>
          <cell r="F927" t="str">
            <v>N/A</v>
          </cell>
          <cell r="G927">
            <v>45429</v>
          </cell>
          <cell r="H927">
            <v>0</v>
          </cell>
          <cell r="I927" t="str">
            <v>N/A</v>
          </cell>
          <cell r="J927">
            <v>45468</v>
          </cell>
          <cell r="K927">
            <v>45468</v>
          </cell>
          <cell r="L927">
            <v>0</v>
          </cell>
          <cell r="M927" t="str">
            <v>N/A</v>
          </cell>
          <cell r="N927" t="str">
            <v>N/A</v>
          </cell>
          <cell r="O927">
            <v>45469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4000</v>
          </cell>
          <cell r="AB927">
            <v>4000</v>
          </cell>
          <cell r="AC927">
            <v>0</v>
          </cell>
          <cell r="AD927">
            <v>3700</v>
          </cell>
          <cell r="AE927">
            <v>3700</v>
          </cell>
          <cell r="AF927">
            <v>0</v>
          </cell>
          <cell r="AG927" t="str">
            <v>M</v>
          </cell>
          <cell r="AH927" t="str">
            <v>ENGR. MICHAEL C. SALARDA
MS. LEONARDA M. LATOR
MS. CARMENCITA VALDEZ
MS. SORAYA P. VERGARA</v>
          </cell>
          <cell r="AI927" t="str">
            <v>N/A</v>
          </cell>
          <cell r="AJ927" t="str">
            <v>N/A</v>
          </cell>
          <cell r="AK927" t="str">
            <v>N/A</v>
          </cell>
          <cell r="AL927" t="str">
            <v>N/A</v>
          </cell>
          <cell r="AM927" t="str">
            <v>N/A</v>
          </cell>
          <cell r="AN927" t="str">
            <v>N/A</v>
          </cell>
          <cell r="AO927">
            <v>0</v>
          </cell>
        </row>
        <row r="928">
          <cell r="A928" t="str">
            <v>24-2587</v>
          </cell>
          <cell r="B928" t="str">
            <v xml:space="preserve">MEDICAL KIT
</v>
          </cell>
          <cell r="C928" t="str">
            <v>PEO</v>
          </cell>
          <cell r="D928" t="str">
            <v>No</v>
          </cell>
          <cell r="E928" t="str">
            <v>NP-53.9 - Small Value Procurement</v>
          </cell>
          <cell r="F928">
            <v>45426</v>
          </cell>
          <cell r="G928">
            <v>45429</v>
          </cell>
          <cell r="H928">
            <v>0</v>
          </cell>
          <cell r="I928" t="str">
            <v>N/A</v>
          </cell>
          <cell r="J928">
            <v>45468</v>
          </cell>
          <cell r="K928">
            <v>45468</v>
          </cell>
          <cell r="L928">
            <v>0</v>
          </cell>
          <cell r="M928" t="str">
            <v>N/A</v>
          </cell>
          <cell r="N928" t="str">
            <v>N/A</v>
          </cell>
          <cell r="O928">
            <v>45469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1925</v>
          </cell>
          <cell r="AB928">
            <v>0</v>
          </cell>
          <cell r="AC928">
            <v>1925</v>
          </cell>
          <cell r="AD928">
            <v>1920</v>
          </cell>
          <cell r="AE928">
            <v>0</v>
          </cell>
          <cell r="AF928">
            <v>1920</v>
          </cell>
          <cell r="AG928" t="str">
            <v>C</v>
          </cell>
          <cell r="AH928" t="str">
            <v>ENGR. MICHAEL C. SALARDA
MS. LEONARDA M. LATOR
MS. CARMENCITA VALDEZ
MS. SORAYA P. VERGARA</v>
          </cell>
          <cell r="AI928" t="str">
            <v>N/A</v>
          </cell>
          <cell r="AJ928" t="str">
            <v>N/A</v>
          </cell>
          <cell r="AK928" t="str">
            <v>N/A</v>
          </cell>
          <cell r="AL928" t="str">
            <v>N/A</v>
          </cell>
          <cell r="AM928" t="str">
            <v>N/A</v>
          </cell>
          <cell r="AN928" t="str">
            <v>N/A</v>
          </cell>
          <cell r="AO928">
            <v>0</v>
          </cell>
        </row>
        <row r="929">
          <cell r="A929" t="str">
            <v>24-C1373</v>
          </cell>
          <cell r="B929" t="str">
            <v>JANITORIAL SUPPLIES</v>
          </cell>
          <cell r="C929" t="str">
            <v>PAGRO</v>
          </cell>
          <cell r="D929" t="str">
            <v>No</v>
          </cell>
          <cell r="E929" t="str">
            <v>NP-53.9 - Small Value Procurement</v>
          </cell>
          <cell r="F929" t="str">
            <v>N/A</v>
          </cell>
          <cell r="G929">
            <v>45448</v>
          </cell>
          <cell r="H929">
            <v>0</v>
          </cell>
          <cell r="I929" t="str">
            <v>N/A</v>
          </cell>
          <cell r="J929">
            <v>45468</v>
          </cell>
          <cell r="K929">
            <v>45468</v>
          </cell>
          <cell r="L929">
            <v>0</v>
          </cell>
          <cell r="M929" t="str">
            <v>N/A</v>
          </cell>
          <cell r="N929" t="str">
            <v>N/A</v>
          </cell>
          <cell r="O929">
            <v>45469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101290</v>
          </cell>
          <cell r="AB929">
            <v>0</v>
          </cell>
          <cell r="AC929">
            <v>101290</v>
          </cell>
          <cell r="AD929">
            <v>100580</v>
          </cell>
          <cell r="AE929">
            <v>0</v>
          </cell>
          <cell r="AF929">
            <v>100580</v>
          </cell>
          <cell r="AG929" t="str">
            <v>C</v>
          </cell>
          <cell r="AH929" t="str">
            <v>ENGR. MICHAEL C. SALARDA
MS. LEONARDA M. LATOR
MS. CARMENCITA VALDEZ
MS. SORAYA P. VERGARA</v>
          </cell>
          <cell r="AI929" t="str">
            <v>N/A</v>
          </cell>
          <cell r="AJ929" t="str">
            <v>N/A</v>
          </cell>
          <cell r="AK929" t="str">
            <v>N/A</v>
          </cell>
          <cell r="AL929" t="str">
            <v>N/A</v>
          </cell>
          <cell r="AM929" t="str">
            <v>N/A</v>
          </cell>
          <cell r="AN929" t="str">
            <v>N/A</v>
          </cell>
          <cell r="AO929">
            <v>0</v>
          </cell>
        </row>
        <row r="930">
          <cell r="A930" t="str">
            <v>24-2496</v>
          </cell>
          <cell r="B930" t="str">
            <v xml:space="preserve">MEDICAL KIT
</v>
          </cell>
          <cell r="C930" t="str">
            <v>SEF</v>
          </cell>
          <cell r="D930" t="str">
            <v>No</v>
          </cell>
          <cell r="E930" t="str">
            <v>NP-53.9 - Small Value Procurement</v>
          </cell>
          <cell r="F930">
            <v>45426</v>
          </cell>
          <cell r="G930">
            <v>45429</v>
          </cell>
          <cell r="H930">
            <v>0</v>
          </cell>
          <cell r="I930" t="str">
            <v>N/A</v>
          </cell>
          <cell r="J930">
            <v>45468</v>
          </cell>
          <cell r="K930">
            <v>45468</v>
          </cell>
          <cell r="L930">
            <v>0</v>
          </cell>
          <cell r="M930" t="str">
            <v>N/A</v>
          </cell>
          <cell r="N930" t="str">
            <v>N/A</v>
          </cell>
          <cell r="O930">
            <v>45469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1925</v>
          </cell>
          <cell r="AB930">
            <v>0</v>
          </cell>
          <cell r="AC930">
            <v>1925</v>
          </cell>
          <cell r="AD930">
            <v>1920</v>
          </cell>
          <cell r="AE930">
            <v>0</v>
          </cell>
          <cell r="AF930">
            <v>1920</v>
          </cell>
          <cell r="AG930" t="str">
            <v>C</v>
          </cell>
          <cell r="AH930" t="str">
            <v>ENGR. MICHAEL C. SALARDA
MS. LEONARDA M. LATOR
MS. CARMENCITA VALDEZ
MS. SORAYA P. VERGARA</v>
          </cell>
          <cell r="AI930" t="str">
            <v>N/A</v>
          </cell>
          <cell r="AJ930" t="str">
            <v>N/A</v>
          </cell>
          <cell r="AK930" t="str">
            <v>N/A</v>
          </cell>
          <cell r="AL930" t="str">
            <v>N/A</v>
          </cell>
          <cell r="AM930" t="str">
            <v>N/A</v>
          </cell>
          <cell r="AN930" t="str">
            <v>N/A</v>
          </cell>
          <cell r="AO930">
            <v>0</v>
          </cell>
        </row>
        <row r="931">
          <cell r="A931" t="str">
            <v>24-3676</v>
          </cell>
          <cell r="B931" t="str">
            <v xml:space="preserve">GEAR OIL AND PENETRATING OIL
</v>
          </cell>
          <cell r="C931" t="str">
            <v>PDRRMO</v>
          </cell>
          <cell r="D931" t="str">
            <v>No</v>
          </cell>
          <cell r="E931" t="str">
            <v>NP-53.9 - Small Value Procurement</v>
          </cell>
          <cell r="F931" t="str">
            <v>N/A</v>
          </cell>
          <cell r="G931">
            <v>45457</v>
          </cell>
          <cell r="H931">
            <v>0</v>
          </cell>
          <cell r="I931" t="str">
            <v>N/A</v>
          </cell>
          <cell r="J931">
            <v>45468</v>
          </cell>
          <cell r="K931">
            <v>45468</v>
          </cell>
          <cell r="L931">
            <v>0</v>
          </cell>
          <cell r="M931" t="str">
            <v>N/A</v>
          </cell>
          <cell r="N931" t="str">
            <v>N/A</v>
          </cell>
          <cell r="O931">
            <v>45469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4961.2</v>
          </cell>
          <cell r="AB931">
            <v>0</v>
          </cell>
          <cell r="AC931">
            <v>4961.2</v>
          </cell>
          <cell r="AD931">
            <v>4950</v>
          </cell>
          <cell r="AE931">
            <v>0</v>
          </cell>
          <cell r="AF931">
            <v>4950</v>
          </cell>
          <cell r="AG931" t="str">
            <v>C</v>
          </cell>
          <cell r="AH931" t="str">
            <v>ENGR. MICHAEL C. SALARDA
MS. LEONARDA M. LATOR
MS. CARMENCITA VALDEZ
MS. SORAYA P. VERGARA</v>
          </cell>
          <cell r="AI931" t="str">
            <v>N/A</v>
          </cell>
          <cell r="AJ931" t="str">
            <v>N/A</v>
          </cell>
          <cell r="AK931" t="str">
            <v>N/A</v>
          </cell>
          <cell r="AL931" t="str">
            <v>N/A</v>
          </cell>
          <cell r="AM931" t="str">
            <v>N/A</v>
          </cell>
          <cell r="AN931" t="str">
            <v>N/A</v>
          </cell>
          <cell r="AO931">
            <v>0</v>
          </cell>
        </row>
        <row r="932">
          <cell r="A932" t="str">
            <v>24-2938</v>
          </cell>
          <cell r="B932" t="str">
            <v xml:space="preserve">SPAREPARTS (LIGHT VEHICLES)
</v>
          </cell>
          <cell r="C932" t="str">
            <v>PVGO</v>
          </cell>
          <cell r="D932" t="str">
            <v>No</v>
          </cell>
          <cell r="E932" t="str">
            <v>NP-53.9 - Small Value Procurement</v>
          </cell>
          <cell r="F932" t="str">
            <v>N/A</v>
          </cell>
          <cell r="G932">
            <v>45457</v>
          </cell>
          <cell r="H932">
            <v>0</v>
          </cell>
          <cell r="I932" t="str">
            <v>N/A</v>
          </cell>
          <cell r="J932">
            <v>45468</v>
          </cell>
          <cell r="K932">
            <v>45468</v>
          </cell>
          <cell r="L932">
            <v>0</v>
          </cell>
          <cell r="M932" t="str">
            <v>N/A</v>
          </cell>
          <cell r="N932" t="str">
            <v>N/A</v>
          </cell>
          <cell r="O932">
            <v>45469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233720</v>
          </cell>
          <cell r="AB932">
            <v>233720</v>
          </cell>
          <cell r="AC932">
            <v>0</v>
          </cell>
          <cell r="AD932">
            <v>143200</v>
          </cell>
          <cell r="AE932">
            <v>143200</v>
          </cell>
          <cell r="AF932">
            <v>0</v>
          </cell>
          <cell r="AG932" t="str">
            <v>M</v>
          </cell>
          <cell r="AH932" t="str">
            <v>ENGR. MICHAEL C. SALARDA
MS. LEONARDA M. LATOR
MS. CARMENCITA VALDEZ
MS. SORAYA P. VERGARA</v>
          </cell>
          <cell r="AI932" t="str">
            <v>N/A</v>
          </cell>
          <cell r="AJ932" t="str">
            <v>N/A</v>
          </cell>
          <cell r="AK932" t="str">
            <v>N/A</v>
          </cell>
          <cell r="AL932" t="str">
            <v>N/A</v>
          </cell>
          <cell r="AM932" t="str">
            <v>N/A</v>
          </cell>
          <cell r="AN932" t="str">
            <v>N/A</v>
          </cell>
          <cell r="AO932">
            <v>0</v>
          </cell>
        </row>
        <row r="933">
          <cell r="A933" t="str">
            <v>24-C1161</v>
          </cell>
          <cell r="B933" t="str">
            <v>DRUGS AND MEDICINES</v>
          </cell>
          <cell r="C933" t="str">
            <v>PHO</v>
          </cell>
          <cell r="D933" t="str">
            <v>No</v>
          </cell>
          <cell r="E933" t="str">
            <v>Competitive Bidding</v>
          </cell>
          <cell r="F933">
            <v>45407</v>
          </cell>
          <cell r="G933">
            <v>45411</v>
          </cell>
          <cell r="H933">
            <v>0</v>
          </cell>
          <cell r="I933">
            <v>45421</v>
          </cell>
          <cell r="J933">
            <v>45440</v>
          </cell>
          <cell r="K933">
            <v>45440</v>
          </cell>
          <cell r="L933">
            <v>0</v>
          </cell>
          <cell r="M933">
            <v>45440</v>
          </cell>
          <cell r="N933">
            <v>45457</v>
          </cell>
          <cell r="O933">
            <v>45469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1244516</v>
          </cell>
          <cell r="AB933">
            <v>0</v>
          </cell>
          <cell r="AC933">
            <v>1244516</v>
          </cell>
          <cell r="AD933">
            <v>1029353.4</v>
          </cell>
          <cell r="AE933">
            <v>0</v>
          </cell>
          <cell r="AF933">
            <v>1029353.4</v>
          </cell>
          <cell r="AG933" t="str">
            <v>C</v>
          </cell>
          <cell r="AH933" t="str">
            <v>ENGR. MICHAEL C. SALARDA
MS. LEONARDA M. LATOR
MS. CARMENCITA VALDEZ
MS. SORAYA P. VERGARA</v>
          </cell>
          <cell r="AI933">
            <v>45419</v>
          </cell>
          <cell r="AJ933">
            <v>45439</v>
          </cell>
          <cell r="AK933">
            <v>45439</v>
          </cell>
          <cell r="AL933">
            <v>45439</v>
          </cell>
          <cell r="AM933" t="str">
            <v>N/A</v>
          </cell>
          <cell r="AN933" t="str">
            <v>N/A</v>
          </cell>
          <cell r="AO933">
            <v>0</v>
          </cell>
        </row>
        <row r="934">
          <cell r="A934" t="str">
            <v>24-C1335</v>
          </cell>
          <cell r="B934" t="str">
            <v xml:space="preserve">STAINLESS STEEL CYLINDRICAL WATER STORAGE TANK (HORIZONTAL), 20, 000 LTRS CAPACITY, </v>
          </cell>
          <cell r="C934" t="str">
            <v>PEO</v>
          </cell>
          <cell r="D934" t="str">
            <v>No</v>
          </cell>
          <cell r="E934" t="str">
            <v>Competitive Bidding</v>
          </cell>
          <cell r="F934">
            <v>45412</v>
          </cell>
          <cell r="G934">
            <v>45418</v>
          </cell>
          <cell r="H934">
            <v>0</v>
          </cell>
          <cell r="I934">
            <v>45426</v>
          </cell>
          <cell r="J934">
            <v>45440</v>
          </cell>
          <cell r="K934">
            <v>45440</v>
          </cell>
          <cell r="L934">
            <v>0</v>
          </cell>
          <cell r="M934">
            <v>45440</v>
          </cell>
          <cell r="N934">
            <v>45457</v>
          </cell>
          <cell r="O934">
            <v>45469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1119678</v>
          </cell>
          <cell r="AB934">
            <v>0</v>
          </cell>
          <cell r="AC934">
            <v>1119678</v>
          </cell>
          <cell r="AD934">
            <v>993000</v>
          </cell>
          <cell r="AE934">
            <v>0</v>
          </cell>
          <cell r="AF934">
            <v>993000</v>
          </cell>
          <cell r="AG934" t="str">
            <v>C</v>
          </cell>
          <cell r="AH934" t="str">
            <v>ENGR. MICHAEL C. SALARDA
MS. LEONARDA M. LATOR
MS. CARMENCITA VALDEZ
MS. SORAYA P. VERGARA</v>
          </cell>
          <cell r="AI934">
            <v>45421</v>
          </cell>
          <cell r="AJ934">
            <v>45439</v>
          </cell>
          <cell r="AK934">
            <v>45439</v>
          </cell>
          <cell r="AL934">
            <v>45439</v>
          </cell>
          <cell r="AM934" t="str">
            <v>N/A</v>
          </cell>
          <cell r="AN934" t="str">
            <v>N/A</v>
          </cell>
          <cell r="AO934">
            <v>0</v>
          </cell>
        </row>
        <row r="935">
          <cell r="A935" t="str">
            <v>24-2559</v>
          </cell>
          <cell r="B935" t="str">
            <v>GLASS</v>
          </cell>
          <cell r="C935" t="str">
            <v>PGSO</v>
          </cell>
          <cell r="D935" t="str">
            <v>No</v>
          </cell>
          <cell r="E935" t="str">
            <v>Competitive Bidding</v>
          </cell>
          <cell r="F935">
            <v>45421</v>
          </cell>
          <cell r="G935">
            <v>45425</v>
          </cell>
          <cell r="H935">
            <v>0</v>
          </cell>
          <cell r="I935" t="str">
            <v>N/A</v>
          </cell>
          <cell r="J935">
            <v>45440</v>
          </cell>
          <cell r="K935">
            <v>45440</v>
          </cell>
          <cell r="L935">
            <v>0</v>
          </cell>
          <cell r="M935">
            <v>45440</v>
          </cell>
          <cell r="N935">
            <v>45457</v>
          </cell>
          <cell r="O935">
            <v>45469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191698.04</v>
          </cell>
          <cell r="AB935">
            <v>0</v>
          </cell>
          <cell r="AC935">
            <v>191698.04</v>
          </cell>
          <cell r="AD935">
            <v>190800</v>
          </cell>
          <cell r="AE935">
            <v>0</v>
          </cell>
          <cell r="AF935">
            <v>190800</v>
          </cell>
          <cell r="AG935" t="str">
            <v>C</v>
          </cell>
          <cell r="AH935" t="str">
            <v>ENGR. MICHAEL C. SALARDA
MS. LEONARDA M. LATOR
MS. CARMENCITA VALDEZ
MS. SORAYA P. VERGARA</v>
          </cell>
          <cell r="AI935" t="str">
            <v>N/A</v>
          </cell>
          <cell r="AJ935">
            <v>45439</v>
          </cell>
          <cell r="AK935">
            <v>45439</v>
          </cell>
          <cell r="AL935">
            <v>45439</v>
          </cell>
          <cell r="AM935" t="str">
            <v>N/A</v>
          </cell>
          <cell r="AN935" t="str">
            <v>N/A</v>
          </cell>
          <cell r="AO935">
            <v>0</v>
          </cell>
        </row>
        <row r="936">
          <cell r="A936" t="str">
            <v>24-2565</v>
          </cell>
          <cell r="B936" t="str">
            <v>MEALS AND SNACKS A</v>
          </cell>
          <cell r="C936" t="str">
            <v>PSWDO</v>
          </cell>
          <cell r="D936" t="str">
            <v>No</v>
          </cell>
          <cell r="E936" t="str">
            <v>Competitive Bidding</v>
          </cell>
          <cell r="F936">
            <v>45421</v>
          </cell>
          <cell r="G936">
            <v>45425</v>
          </cell>
          <cell r="H936">
            <v>0</v>
          </cell>
          <cell r="I936" t="str">
            <v>N/A</v>
          </cell>
          <cell r="J936">
            <v>45454</v>
          </cell>
          <cell r="K936">
            <v>45454</v>
          </cell>
          <cell r="L936">
            <v>0</v>
          </cell>
          <cell r="M936">
            <v>45454</v>
          </cell>
          <cell r="N936">
            <v>45457</v>
          </cell>
          <cell r="O936">
            <v>45469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2040000</v>
          </cell>
          <cell r="AB936">
            <v>0</v>
          </cell>
          <cell r="AC936">
            <v>2040000</v>
          </cell>
          <cell r="AD936">
            <v>2016000</v>
          </cell>
          <cell r="AE936">
            <v>0</v>
          </cell>
          <cell r="AF936">
            <v>2016000</v>
          </cell>
          <cell r="AG936" t="str">
            <v>C</v>
          </cell>
          <cell r="AH936" t="str">
            <v>ENGR. MICHAEL C. SALARDA
MS. LEONARDA M. LATOR
MS. CARMENCITA VALDEZ
MS. SORAYA P. VERGARA</v>
          </cell>
          <cell r="AI936" t="str">
            <v>N/A</v>
          </cell>
          <cell r="AJ936">
            <v>45450</v>
          </cell>
          <cell r="AK936">
            <v>45450</v>
          </cell>
          <cell r="AL936">
            <v>45450</v>
          </cell>
          <cell r="AM936" t="str">
            <v>N/A</v>
          </cell>
          <cell r="AN936" t="str">
            <v>N/A</v>
          </cell>
          <cell r="AO936">
            <v>0</v>
          </cell>
        </row>
        <row r="937">
          <cell r="A937" t="str">
            <v>24-C1268</v>
          </cell>
          <cell r="B937" t="str">
            <v>MEALS AND SNACKS WITH ACCOMMODATION</v>
          </cell>
          <cell r="C937" t="str">
            <v>PGO</v>
          </cell>
          <cell r="D937" t="str">
            <v>No</v>
          </cell>
          <cell r="E937" t="str">
            <v>Competitive Bidding</v>
          </cell>
          <cell r="F937">
            <v>45432</v>
          </cell>
          <cell r="G937">
            <v>45440</v>
          </cell>
          <cell r="H937">
            <v>0</v>
          </cell>
          <cell r="I937" t="str">
            <v>N/A</v>
          </cell>
          <cell r="J937">
            <v>45454</v>
          </cell>
          <cell r="K937">
            <v>45454</v>
          </cell>
          <cell r="L937">
            <v>0</v>
          </cell>
          <cell r="M937">
            <v>45454</v>
          </cell>
          <cell r="N937">
            <v>45462</v>
          </cell>
          <cell r="O937">
            <v>45469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1320000</v>
          </cell>
          <cell r="AB937">
            <v>0</v>
          </cell>
          <cell r="AC937">
            <v>1320000</v>
          </cell>
          <cell r="AD937">
            <v>1320000</v>
          </cell>
          <cell r="AE937">
            <v>0</v>
          </cell>
          <cell r="AF937">
            <v>1320000</v>
          </cell>
          <cell r="AG937" t="str">
            <v>C</v>
          </cell>
          <cell r="AH937" t="str">
            <v>ENGR. MICHAEL C. SALARDA
MS. LEONARDA M. LATOR
MS. CARMENCITA VALDEZ
MS. SORAYA P. VERGARA</v>
          </cell>
          <cell r="AI937" t="str">
            <v>N/A</v>
          </cell>
          <cell r="AJ937">
            <v>45450</v>
          </cell>
          <cell r="AK937">
            <v>45450</v>
          </cell>
          <cell r="AL937">
            <v>45450</v>
          </cell>
          <cell r="AM937" t="str">
            <v>N/A</v>
          </cell>
          <cell r="AN937" t="str">
            <v>N/A</v>
          </cell>
          <cell r="AO937">
            <v>0</v>
          </cell>
        </row>
        <row r="938">
          <cell r="A938" t="str">
            <v>24-2586</v>
          </cell>
          <cell r="B938" t="str">
            <v>INSTALLATION OF TRANSFORMER FOR THE IMPROVEMENT OF BAHAY PANGARAP FACILITY</v>
          </cell>
          <cell r="C938" t="str">
            <v>PEO</v>
          </cell>
          <cell r="D938" t="str">
            <v>No</v>
          </cell>
          <cell r="E938" t="str">
            <v>Competitive Bidding</v>
          </cell>
          <cell r="F938">
            <v>45440</v>
          </cell>
          <cell r="G938">
            <v>45446</v>
          </cell>
          <cell r="H938">
            <v>0</v>
          </cell>
          <cell r="I938" t="str">
            <v>N/A</v>
          </cell>
          <cell r="J938">
            <v>45454</v>
          </cell>
          <cell r="K938">
            <v>45454</v>
          </cell>
          <cell r="L938">
            <v>0</v>
          </cell>
          <cell r="M938">
            <v>45454</v>
          </cell>
          <cell r="N938">
            <v>45462</v>
          </cell>
          <cell r="O938">
            <v>45469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270858</v>
          </cell>
          <cell r="AB938">
            <v>0</v>
          </cell>
          <cell r="AC938">
            <v>270858</v>
          </cell>
          <cell r="AD938">
            <v>230000</v>
          </cell>
          <cell r="AE938">
            <v>0</v>
          </cell>
          <cell r="AF938">
            <v>230000</v>
          </cell>
          <cell r="AG938" t="str">
            <v>C</v>
          </cell>
          <cell r="AH938" t="str">
            <v>ENGR. MICHAEL C. SALARDA
MS. LEONARDA M. LATOR
MS. CARMENCITA VALDEZ
MS. SORAYA P. VERGARA</v>
          </cell>
          <cell r="AI938" t="str">
            <v>N/A</v>
          </cell>
          <cell r="AJ938">
            <v>45450</v>
          </cell>
          <cell r="AK938">
            <v>45450</v>
          </cell>
          <cell r="AL938">
            <v>45450</v>
          </cell>
          <cell r="AM938" t="str">
            <v>N/A</v>
          </cell>
          <cell r="AN938" t="str">
            <v>N/A</v>
          </cell>
          <cell r="AO938">
            <v>0</v>
          </cell>
        </row>
        <row r="939">
          <cell r="A939" t="str">
            <v>24-2560</v>
          </cell>
          <cell r="B939" t="str">
            <v>INSTALLATION OF GAS</v>
          </cell>
          <cell r="C939" t="str">
            <v>PGSO</v>
          </cell>
          <cell r="D939" t="str">
            <v>No</v>
          </cell>
          <cell r="E939" t="str">
            <v>Competitive Bidding</v>
          </cell>
          <cell r="F939">
            <v>45440</v>
          </cell>
          <cell r="G939">
            <v>45446</v>
          </cell>
          <cell r="H939">
            <v>0</v>
          </cell>
          <cell r="I939" t="str">
            <v>N/A</v>
          </cell>
          <cell r="J939">
            <v>45454</v>
          </cell>
          <cell r="K939">
            <v>45454</v>
          </cell>
          <cell r="L939">
            <v>0</v>
          </cell>
          <cell r="M939">
            <v>45454</v>
          </cell>
          <cell r="N939">
            <v>45462</v>
          </cell>
          <cell r="O939">
            <v>45469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532396.25</v>
          </cell>
          <cell r="AB939">
            <v>0</v>
          </cell>
          <cell r="AC939">
            <v>532396.25</v>
          </cell>
          <cell r="AD939">
            <v>520100</v>
          </cell>
          <cell r="AE939">
            <v>0</v>
          </cell>
          <cell r="AF939">
            <v>520100</v>
          </cell>
          <cell r="AG939" t="str">
            <v>C</v>
          </cell>
          <cell r="AH939" t="str">
            <v>ENGR. MICHAEL C. SALARDA
MS. LEONARDA M. LATOR
MS. CARMENCITA VALDEZ
MS. SORAYA P. VERGARA</v>
          </cell>
          <cell r="AI939" t="str">
            <v>N/A</v>
          </cell>
          <cell r="AJ939">
            <v>45450</v>
          </cell>
          <cell r="AK939">
            <v>45450</v>
          </cell>
          <cell r="AL939">
            <v>45450</v>
          </cell>
          <cell r="AM939" t="str">
            <v>N/A</v>
          </cell>
          <cell r="AN939" t="str">
            <v>N/A</v>
          </cell>
          <cell r="AO939">
            <v>0</v>
          </cell>
        </row>
        <row r="940">
          <cell r="A940" t="str">
            <v>24-C1272</v>
          </cell>
          <cell r="B940" t="str">
            <v>CONSTRUCTION MATERIALS</v>
          </cell>
          <cell r="C940" t="str">
            <v>PEO</v>
          </cell>
          <cell r="D940" t="str">
            <v>No</v>
          </cell>
          <cell r="E940" t="str">
            <v>Competitive Bidding</v>
          </cell>
          <cell r="F940" t="str">
            <v>N/A</v>
          </cell>
          <cell r="G940">
            <v>45411</v>
          </cell>
          <cell r="H940">
            <v>0</v>
          </cell>
          <cell r="I940">
            <v>45421</v>
          </cell>
          <cell r="J940">
            <v>45440</v>
          </cell>
          <cell r="K940">
            <v>45440</v>
          </cell>
          <cell r="L940">
            <v>0</v>
          </cell>
          <cell r="M940">
            <v>45440</v>
          </cell>
          <cell r="N940">
            <v>45457</v>
          </cell>
          <cell r="O940">
            <v>45469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1195435</v>
          </cell>
          <cell r="AB940">
            <v>1195435</v>
          </cell>
          <cell r="AC940">
            <v>0</v>
          </cell>
          <cell r="AD940">
            <v>675931</v>
          </cell>
          <cell r="AE940">
            <v>675931</v>
          </cell>
          <cell r="AF940">
            <v>0</v>
          </cell>
          <cell r="AG940" t="str">
            <v>M</v>
          </cell>
          <cell r="AH940" t="str">
            <v>ENGR. MICHAEL C. SALARDA
MS. LEONARDA M. LATOR
MS. CARMENCITA VALDEZ
MS. SORAYA P. VERGARA</v>
          </cell>
          <cell r="AI940">
            <v>45419</v>
          </cell>
          <cell r="AJ940">
            <v>45439</v>
          </cell>
          <cell r="AK940">
            <v>45439</v>
          </cell>
          <cell r="AL940">
            <v>45439</v>
          </cell>
          <cell r="AM940" t="str">
            <v>N/A</v>
          </cell>
          <cell r="AN940" t="str">
            <v>N/A</v>
          </cell>
          <cell r="AO940">
            <v>0</v>
          </cell>
        </row>
        <row r="941">
          <cell r="A941" t="str">
            <v>24-2407</v>
          </cell>
          <cell r="B941" t="str">
            <v>CONSTRUCTION MATERIALS</v>
          </cell>
          <cell r="C941" t="str">
            <v>PEO</v>
          </cell>
          <cell r="D941" t="str">
            <v>No</v>
          </cell>
          <cell r="E941" t="str">
            <v>Competitive Bidding</v>
          </cell>
          <cell r="F941">
            <v>45421</v>
          </cell>
          <cell r="G941">
            <v>45425</v>
          </cell>
          <cell r="H941">
            <v>0</v>
          </cell>
          <cell r="I941" t="str">
            <v>N/A</v>
          </cell>
          <cell r="J941">
            <v>45440</v>
          </cell>
          <cell r="K941">
            <v>45440</v>
          </cell>
          <cell r="L941">
            <v>0</v>
          </cell>
          <cell r="M941">
            <v>45440</v>
          </cell>
          <cell r="N941">
            <v>45457</v>
          </cell>
          <cell r="O941">
            <v>45469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757981.85</v>
          </cell>
          <cell r="AB941">
            <v>0</v>
          </cell>
          <cell r="AC941">
            <v>757981.85</v>
          </cell>
          <cell r="AD941">
            <v>756182</v>
          </cell>
          <cell r="AE941">
            <v>0</v>
          </cell>
          <cell r="AF941">
            <v>756182</v>
          </cell>
          <cell r="AG941" t="str">
            <v>C</v>
          </cell>
          <cell r="AH941" t="str">
            <v>ENGR. MICHAEL C. SALARDA
MS. LEONARDA M. LATOR
MS. CARMENCITA VALDEZ
MS. SORAYA P. VERGARA</v>
          </cell>
          <cell r="AI941" t="str">
            <v>N/A</v>
          </cell>
          <cell r="AJ941">
            <v>45439</v>
          </cell>
          <cell r="AK941">
            <v>45439</v>
          </cell>
          <cell r="AL941">
            <v>45439</v>
          </cell>
          <cell r="AM941" t="str">
            <v>N/A</v>
          </cell>
          <cell r="AN941" t="str">
            <v>N/A</v>
          </cell>
          <cell r="AO941">
            <v>0</v>
          </cell>
        </row>
        <row r="942">
          <cell r="A942" t="str">
            <v>24-2549</v>
          </cell>
          <cell r="B942" t="str">
            <v>CONSTRUCTION MATERIALS</v>
          </cell>
          <cell r="C942" t="str">
            <v>PEO</v>
          </cell>
          <cell r="D942" t="str">
            <v>No</v>
          </cell>
          <cell r="E942" t="str">
            <v>Competitive Bidding</v>
          </cell>
          <cell r="F942" t="str">
            <v>N/A</v>
          </cell>
          <cell r="G942">
            <v>45432</v>
          </cell>
          <cell r="H942">
            <v>0</v>
          </cell>
          <cell r="I942" t="str">
            <v>N/A</v>
          </cell>
          <cell r="J942">
            <v>45440</v>
          </cell>
          <cell r="K942">
            <v>45440</v>
          </cell>
          <cell r="L942">
            <v>0</v>
          </cell>
          <cell r="M942">
            <v>45440</v>
          </cell>
          <cell r="N942">
            <v>45457</v>
          </cell>
          <cell r="O942">
            <v>45469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370815</v>
          </cell>
          <cell r="AB942">
            <v>370815</v>
          </cell>
          <cell r="AC942">
            <v>0</v>
          </cell>
          <cell r="AD942">
            <v>370768</v>
          </cell>
          <cell r="AE942">
            <v>370768</v>
          </cell>
          <cell r="AF942">
            <v>0</v>
          </cell>
          <cell r="AG942" t="str">
            <v>M</v>
          </cell>
          <cell r="AH942" t="str">
            <v>ENGR. MICHAEL C. SALARDA
MS. LEONARDA M. LATOR
MS. CARMENCITA VALDEZ
MS. SORAYA P. VERGARA</v>
          </cell>
          <cell r="AI942" t="str">
            <v>N/A</v>
          </cell>
          <cell r="AJ942">
            <v>45439</v>
          </cell>
          <cell r="AK942">
            <v>45439</v>
          </cell>
          <cell r="AL942">
            <v>45439</v>
          </cell>
          <cell r="AM942" t="str">
            <v>N/A</v>
          </cell>
          <cell r="AN942" t="str">
            <v>N/A</v>
          </cell>
          <cell r="AO942">
            <v>0</v>
          </cell>
        </row>
        <row r="943">
          <cell r="A943" t="str">
            <v>24-2512</v>
          </cell>
          <cell r="B943" t="str">
            <v>CONSTRUCTION SUPPLIES</v>
          </cell>
          <cell r="C943" t="str">
            <v>PEO</v>
          </cell>
          <cell r="D943" t="str">
            <v>No</v>
          </cell>
          <cell r="E943" t="str">
            <v>Competitive Bidding</v>
          </cell>
          <cell r="F943">
            <v>45440</v>
          </cell>
          <cell r="G943">
            <v>45446</v>
          </cell>
          <cell r="H943">
            <v>0</v>
          </cell>
          <cell r="I943" t="str">
            <v>N/A</v>
          </cell>
          <cell r="J943">
            <v>45440</v>
          </cell>
          <cell r="K943">
            <v>45440</v>
          </cell>
          <cell r="L943">
            <v>0</v>
          </cell>
          <cell r="M943">
            <v>45440</v>
          </cell>
          <cell r="N943">
            <v>45457</v>
          </cell>
          <cell r="O943">
            <v>45469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262375.71999999997</v>
          </cell>
          <cell r="AB943">
            <v>0</v>
          </cell>
          <cell r="AC943">
            <v>262375.71999999997</v>
          </cell>
          <cell r="AD943">
            <v>231022.5</v>
          </cell>
          <cell r="AE943">
            <v>0</v>
          </cell>
          <cell r="AF943">
            <v>231022.5</v>
          </cell>
          <cell r="AG943" t="str">
            <v>C</v>
          </cell>
          <cell r="AH943" t="str">
            <v>ENGR. MICHAEL C. SALARDA
MS. LEONARDA M. LATOR
MS. CARMENCITA VALDEZ
MS. SORAYA P. VERGARA</v>
          </cell>
          <cell r="AI943" t="str">
            <v>N/A</v>
          </cell>
          <cell r="AJ943">
            <v>45439</v>
          </cell>
          <cell r="AK943">
            <v>45439</v>
          </cell>
          <cell r="AL943">
            <v>45439</v>
          </cell>
          <cell r="AM943" t="str">
            <v>N/A</v>
          </cell>
          <cell r="AN943" t="str">
            <v>N/A</v>
          </cell>
          <cell r="AO943">
            <v>0</v>
          </cell>
        </row>
        <row r="944">
          <cell r="A944" t="str">
            <v>24-2847</v>
          </cell>
          <cell r="B944" t="str">
            <v>CONSTRUCTION SUPPLIES</v>
          </cell>
          <cell r="C944" t="str">
            <v>PEO</v>
          </cell>
          <cell r="D944" t="str">
            <v>No</v>
          </cell>
          <cell r="E944" t="str">
            <v>Competitive Bidding</v>
          </cell>
          <cell r="F944">
            <v>45440</v>
          </cell>
          <cell r="G944">
            <v>45446</v>
          </cell>
          <cell r="H944">
            <v>0</v>
          </cell>
          <cell r="I944" t="str">
            <v>N/A</v>
          </cell>
          <cell r="J944">
            <v>45454</v>
          </cell>
          <cell r="K944">
            <v>45454</v>
          </cell>
          <cell r="L944">
            <v>45454</v>
          </cell>
          <cell r="M944">
            <v>45454</v>
          </cell>
          <cell r="N944">
            <v>45457</v>
          </cell>
          <cell r="O944">
            <v>45469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631681</v>
          </cell>
          <cell r="AB944">
            <v>0</v>
          </cell>
          <cell r="AC944">
            <v>631681</v>
          </cell>
          <cell r="AD944">
            <v>539934</v>
          </cell>
          <cell r="AE944">
            <v>0</v>
          </cell>
          <cell r="AF944">
            <v>539934</v>
          </cell>
          <cell r="AG944" t="str">
            <v>C</v>
          </cell>
          <cell r="AH944" t="str">
            <v>ENGR. MICHAEL C. SALARDA
MS. LEONARDA M. LATOR
MS. CARMENCITA VALDEZ
MS. SORAYA P. VERGARA</v>
          </cell>
          <cell r="AI944" t="str">
            <v>N/A</v>
          </cell>
          <cell r="AJ944">
            <v>45450</v>
          </cell>
          <cell r="AK944">
            <v>45450</v>
          </cell>
          <cell r="AL944">
            <v>45450</v>
          </cell>
          <cell r="AM944" t="str">
            <v>N/A</v>
          </cell>
          <cell r="AN944" t="str">
            <v>N/A</v>
          </cell>
          <cell r="AO944">
            <v>0</v>
          </cell>
        </row>
        <row r="945">
          <cell r="A945" t="str">
            <v>24-2989</v>
          </cell>
          <cell r="B945" t="str">
            <v>CONSTRUCTION SUPPLIES</v>
          </cell>
          <cell r="C945" t="str">
            <v>PEO</v>
          </cell>
          <cell r="D945" t="str">
            <v>No</v>
          </cell>
          <cell r="E945" t="str">
            <v>Competitive Bidding</v>
          </cell>
          <cell r="F945">
            <v>45440</v>
          </cell>
          <cell r="G945">
            <v>45446</v>
          </cell>
          <cell r="H945">
            <v>0</v>
          </cell>
          <cell r="I945" t="str">
            <v>N/A</v>
          </cell>
          <cell r="J945">
            <v>45454</v>
          </cell>
          <cell r="K945">
            <v>45454</v>
          </cell>
          <cell r="L945">
            <v>45454</v>
          </cell>
          <cell r="M945">
            <v>45454</v>
          </cell>
          <cell r="N945">
            <v>45457</v>
          </cell>
          <cell r="O945">
            <v>45469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317776</v>
          </cell>
          <cell r="AB945">
            <v>0</v>
          </cell>
          <cell r="AC945">
            <v>317776</v>
          </cell>
          <cell r="AD945">
            <v>257378</v>
          </cell>
          <cell r="AE945">
            <v>0</v>
          </cell>
          <cell r="AF945">
            <v>257378</v>
          </cell>
          <cell r="AG945" t="str">
            <v>C</v>
          </cell>
          <cell r="AH945" t="str">
            <v>ENGR. MICHAEL C. SALARDA
MS. LEONARDA M. LATOR
MS. CARMENCITA VALDEZ
MS. SORAYA P. VERGARA</v>
          </cell>
          <cell r="AI945" t="str">
            <v>N/A</v>
          </cell>
          <cell r="AJ945">
            <v>45450</v>
          </cell>
          <cell r="AK945">
            <v>45450</v>
          </cell>
          <cell r="AL945">
            <v>45450</v>
          </cell>
          <cell r="AM945" t="str">
            <v>N/A</v>
          </cell>
          <cell r="AN945" t="str">
            <v>N/A</v>
          </cell>
          <cell r="AO945">
            <v>0</v>
          </cell>
        </row>
        <row r="946">
          <cell r="A946" t="str">
            <v>24-2493</v>
          </cell>
          <cell r="B946" t="str">
            <v>CONSTRUCTION SUPPLIES</v>
          </cell>
          <cell r="C946" t="str">
            <v>PEO</v>
          </cell>
          <cell r="D946" t="str">
            <v>No</v>
          </cell>
          <cell r="E946" t="str">
            <v>Competitive Bidding</v>
          </cell>
          <cell r="F946">
            <v>45440</v>
          </cell>
          <cell r="G946">
            <v>45446</v>
          </cell>
          <cell r="H946">
            <v>0</v>
          </cell>
          <cell r="I946" t="str">
            <v>N/A</v>
          </cell>
          <cell r="J946">
            <v>45454</v>
          </cell>
          <cell r="K946">
            <v>45454</v>
          </cell>
          <cell r="L946">
            <v>45454</v>
          </cell>
          <cell r="M946">
            <v>45454</v>
          </cell>
          <cell r="N946">
            <v>45457</v>
          </cell>
          <cell r="O946">
            <v>45469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275019.82</v>
          </cell>
          <cell r="AB946">
            <v>0</v>
          </cell>
          <cell r="AC946">
            <v>275019.82</v>
          </cell>
          <cell r="AD946">
            <v>259141</v>
          </cell>
          <cell r="AE946">
            <v>0</v>
          </cell>
          <cell r="AF946">
            <v>259141</v>
          </cell>
          <cell r="AG946" t="str">
            <v>C</v>
          </cell>
          <cell r="AH946" t="str">
            <v>ENGR. MICHAEL C. SALARDA
MS. LEONARDA M. LATOR
MS. CARMENCITA VALDEZ
MS. SORAYA P. VERGARA</v>
          </cell>
          <cell r="AI946" t="str">
            <v>N/A</v>
          </cell>
          <cell r="AJ946">
            <v>45450</v>
          </cell>
          <cell r="AK946">
            <v>45450</v>
          </cell>
          <cell r="AL946">
            <v>45450</v>
          </cell>
          <cell r="AM946" t="str">
            <v>N/A</v>
          </cell>
          <cell r="AN946" t="str">
            <v>N/A</v>
          </cell>
          <cell r="AO946">
            <v>0</v>
          </cell>
        </row>
        <row r="947">
          <cell r="A947" t="str">
            <v>24-3017</v>
          </cell>
          <cell r="B947" t="str">
            <v>CONSTRUCTION SUPPLIES</v>
          </cell>
          <cell r="C947" t="str">
            <v>PEO</v>
          </cell>
          <cell r="D947" t="str">
            <v>No</v>
          </cell>
          <cell r="E947" t="str">
            <v>Competitive Bidding</v>
          </cell>
          <cell r="F947">
            <v>45440</v>
          </cell>
          <cell r="G947">
            <v>45446</v>
          </cell>
          <cell r="H947">
            <v>0</v>
          </cell>
          <cell r="I947" t="str">
            <v>N/A</v>
          </cell>
          <cell r="J947">
            <v>45454</v>
          </cell>
          <cell r="K947">
            <v>45454</v>
          </cell>
          <cell r="L947">
            <v>45454</v>
          </cell>
          <cell r="M947">
            <v>45454</v>
          </cell>
          <cell r="N947">
            <v>45457</v>
          </cell>
          <cell r="O947">
            <v>45469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675042</v>
          </cell>
          <cell r="AB947">
            <v>0</v>
          </cell>
          <cell r="AC947">
            <v>675042</v>
          </cell>
          <cell r="AD947">
            <v>574974</v>
          </cell>
          <cell r="AE947">
            <v>0</v>
          </cell>
          <cell r="AF947">
            <v>574974</v>
          </cell>
          <cell r="AG947" t="str">
            <v>C</v>
          </cell>
          <cell r="AH947" t="str">
            <v>ENGR. MICHAEL C. SALARDA
MS. LEONARDA M. LATOR
MS. CARMENCITA VALDEZ
MS. SORAYA P. VERGARA</v>
          </cell>
          <cell r="AI947" t="str">
            <v>N/A</v>
          </cell>
          <cell r="AJ947">
            <v>45450</v>
          </cell>
          <cell r="AK947">
            <v>45450</v>
          </cell>
          <cell r="AL947">
            <v>45450</v>
          </cell>
          <cell r="AM947" t="str">
            <v>N/A</v>
          </cell>
          <cell r="AN947" t="str">
            <v>N/A</v>
          </cell>
          <cell r="AO947">
            <v>0</v>
          </cell>
        </row>
        <row r="948">
          <cell r="A948" t="str">
            <v>24-2396</v>
          </cell>
          <cell r="B948" t="str">
            <v>COMPLETION OF GYM, STAGE, AGUINALDO NATIONAL LAAK, DAVAO DE ORO</v>
          </cell>
          <cell r="C948" t="str">
            <v>SEF</v>
          </cell>
          <cell r="D948" t="str">
            <v>No</v>
          </cell>
          <cell r="E948" t="str">
            <v>Competitive Bidding</v>
          </cell>
          <cell r="F948">
            <v>45407</v>
          </cell>
          <cell r="G948">
            <v>45432</v>
          </cell>
          <cell r="H948">
            <v>0</v>
          </cell>
          <cell r="I948">
            <v>45440</v>
          </cell>
          <cell r="J948">
            <v>45454</v>
          </cell>
          <cell r="K948">
            <v>45454</v>
          </cell>
          <cell r="L948">
            <v>45454</v>
          </cell>
          <cell r="M948">
            <v>45454</v>
          </cell>
          <cell r="N948">
            <v>45463</v>
          </cell>
          <cell r="O948">
            <v>45469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1543162.09</v>
          </cell>
          <cell r="AB948">
            <v>0</v>
          </cell>
          <cell r="AC948">
            <v>1543162.09</v>
          </cell>
          <cell r="AD948">
            <v>1493354.44</v>
          </cell>
          <cell r="AE948">
            <v>0</v>
          </cell>
          <cell r="AF948">
            <v>1493354.44</v>
          </cell>
          <cell r="AG948" t="e">
            <v>#N/A</v>
          </cell>
          <cell r="AH948" t="str">
            <v>ENGR. MICHAEL C. SALARDA
MS. LEONARDA M. LATOR
MS. CARMENCITA VALDEZ
MS. SORAYA P. VERGARA</v>
          </cell>
          <cell r="AI948">
            <v>45439</v>
          </cell>
          <cell r="AJ948">
            <v>45450</v>
          </cell>
          <cell r="AK948">
            <v>45450</v>
          </cell>
          <cell r="AL948">
            <v>45450</v>
          </cell>
          <cell r="AM948" t="str">
            <v>N/A</v>
          </cell>
          <cell r="AN948" t="str">
            <v>N/A</v>
          </cell>
          <cell r="AO948">
            <v>0</v>
          </cell>
        </row>
        <row r="949">
          <cell r="A949" t="str">
            <v>24-2518</v>
          </cell>
          <cell r="B949" t="str">
            <v>IMPROVEMENT OF DAVAO DE ORO PROVINCIAL HOSPITAL, MONTEVISTA</v>
          </cell>
          <cell r="C949" t="str">
            <v>PEO</v>
          </cell>
          <cell r="D949" t="str">
            <v>No</v>
          </cell>
          <cell r="E949" t="str">
            <v>Competitive Bidding</v>
          </cell>
          <cell r="F949">
            <v>45421</v>
          </cell>
          <cell r="G949">
            <v>45433</v>
          </cell>
          <cell r="H949">
            <v>0</v>
          </cell>
          <cell r="I949" t="str">
            <v>N/A</v>
          </cell>
          <cell r="J949">
            <v>45454</v>
          </cell>
          <cell r="K949">
            <v>45454</v>
          </cell>
          <cell r="L949">
            <v>45454</v>
          </cell>
          <cell r="M949">
            <v>45454</v>
          </cell>
          <cell r="N949">
            <v>45463</v>
          </cell>
          <cell r="O949">
            <v>45469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272577.49</v>
          </cell>
          <cell r="AB949">
            <v>0</v>
          </cell>
          <cell r="AC949">
            <v>272577.49</v>
          </cell>
          <cell r="AD949">
            <v>270512.28999999998</v>
          </cell>
          <cell r="AE949">
            <v>0</v>
          </cell>
          <cell r="AF949">
            <v>270512.28999999998</v>
          </cell>
          <cell r="AG949" t="e">
            <v>#N/A</v>
          </cell>
          <cell r="AH949" t="str">
            <v>ENGR. MICHAEL C. SALARDA
MS. LEONARDA M. LATOR
MS. CARMENCITA VALDEZ
MS. SORAYA P. VERGARA</v>
          </cell>
          <cell r="AI949" t="str">
            <v>N/A</v>
          </cell>
          <cell r="AJ949">
            <v>45450</v>
          </cell>
          <cell r="AK949">
            <v>45450</v>
          </cell>
          <cell r="AL949">
            <v>45450</v>
          </cell>
          <cell r="AM949" t="str">
            <v>N/A</v>
          </cell>
          <cell r="AN949" t="str">
            <v>N/A</v>
          </cell>
          <cell r="AO949">
            <v>0</v>
          </cell>
        </row>
        <row r="950">
          <cell r="A950" t="str">
            <v>ONGOING PROCUREMENT ACTIVITIES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 t="str">
            <v/>
          </cell>
          <cell r="I950">
            <v>0</v>
          </cell>
          <cell r="J950">
            <v>0</v>
          </cell>
          <cell r="K950">
            <v>0</v>
          </cell>
          <cell r="L950" t="str">
            <v/>
          </cell>
          <cell r="M950">
            <v>0</v>
          </cell>
          <cell r="N950">
            <v>0</v>
          </cell>
          <cell r="O950">
            <v>0</v>
          </cell>
          <cell r="P950" t="str">
            <v/>
          </cell>
          <cell r="Q950" t="str">
            <v/>
          </cell>
          <cell r="R950" t="str">
            <v/>
          </cell>
          <cell r="S950">
            <v>0</v>
          </cell>
          <cell r="T950">
            <v>0</v>
          </cell>
          <cell r="U950">
            <v>0</v>
          </cell>
          <cell r="V950" t="str">
            <v/>
          </cell>
          <cell r="W950" t="str">
            <v/>
          </cell>
          <cell r="X950">
            <v>0</v>
          </cell>
          <cell r="Y950">
            <v>0</v>
          </cell>
          <cell r="Z950">
            <v>0</v>
          </cell>
          <cell r="AA950" t="str">
            <v/>
          </cell>
          <cell r="AB950">
            <v>0</v>
          </cell>
          <cell r="AC950">
            <v>0</v>
          </cell>
          <cell r="AD950" t="str">
            <v/>
          </cell>
          <cell r="AE950">
            <v>0</v>
          </cell>
          <cell r="AF950">
            <v>0</v>
          </cell>
          <cell r="AG950" t="e">
            <v>#N/A</v>
          </cell>
          <cell r="AH950" t="str">
            <v>-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</row>
        <row r="951">
          <cell r="A951" t="str">
            <v>23-0340</v>
          </cell>
          <cell r="B951" t="str">
            <v>CONSTRUCTION OF SCHOOL FACILITY BUILDING (SCIENCE LABORATORY) AT PANGI NATIONAL HIGH SCHOOL, PANGI, MACO, DAVAO DE ORO</v>
          </cell>
          <cell r="C951" t="str">
            <v>PEO</v>
          </cell>
          <cell r="D951" t="str">
            <v>No</v>
          </cell>
          <cell r="E951" t="str">
            <v>Competitive Bidding</v>
          </cell>
          <cell r="F951">
            <v>45342</v>
          </cell>
          <cell r="G951">
            <v>45453</v>
          </cell>
          <cell r="H951">
            <v>111</v>
          </cell>
          <cell r="I951">
            <v>45461</v>
          </cell>
          <cell r="J951">
            <v>0</v>
          </cell>
          <cell r="K951">
            <v>0</v>
          </cell>
          <cell r="L951" t="str">
            <v/>
          </cell>
          <cell r="M951">
            <v>0</v>
          </cell>
          <cell r="N951">
            <v>0</v>
          </cell>
          <cell r="O951">
            <v>0</v>
          </cell>
          <cell r="P951" t="str">
            <v/>
          </cell>
          <cell r="Q951" t="str">
            <v/>
          </cell>
          <cell r="R951" t="str">
            <v/>
          </cell>
          <cell r="S951">
            <v>0</v>
          </cell>
          <cell r="T951">
            <v>0</v>
          </cell>
          <cell r="U951">
            <v>0</v>
          </cell>
          <cell r="V951" t="str">
            <v/>
          </cell>
          <cell r="W951" t="str">
            <v/>
          </cell>
          <cell r="X951">
            <v>0</v>
          </cell>
          <cell r="Y951">
            <v>0</v>
          </cell>
          <cell r="Z951">
            <v>0</v>
          </cell>
          <cell r="AA951">
            <v>2808471.79</v>
          </cell>
          <cell r="AB951">
            <v>0</v>
          </cell>
          <cell r="AC951">
            <v>2808471.79</v>
          </cell>
          <cell r="AD951">
            <v>0</v>
          </cell>
          <cell r="AE951">
            <v>0</v>
          </cell>
          <cell r="AF951">
            <v>0</v>
          </cell>
          <cell r="AG951" t="e">
            <v>#N/A</v>
          </cell>
          <cell r="AH951" t="str">
            <v>-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</row>
        <row r="952">
          <cell r="A952" t="str">
            <v>24-0891</v>
          </cell>
          <cell r="B952" t="str">
            <v>CONSTRUCTION OF ONE (1) STOREY-TWO (2) CLASSROOMS SCHOOL BUILDING WITH TOILET ATTACHED AT MANURIGAO IS, NEW BATAAN, DAVAO DE ORO</v>
          </cell>
          <cell r="C952" t="str">
            <v>PEO</v>
          </cell>
          <cell r="D952" t="str">
            <v>No</v>
          </cell>
          <cell r="E952" t="str">
            <v>Competitive Bidding</v>
          </cell>
          <cell r="F952">
            <v>45342</v>
          </cell>
          <cell r="G952">
            <v>45439</v>
          </cell>
          <cell r="H952">
            <v>97</v>
          </cell>
          <cell r="I952">
            <v>45454</v>
          </cell>
          <cell r="J952">
            <v>45468</v>
          </cell>
          <cell r="K952">
            <v>45468</v>
          </cell>
          <cell r="L952">
            <v>29</v>
          </cell>
          <cell r="M952">
            <v>45468</v>
          </cell>
          <cell r="N952">
            <v>0</v>
          </cell>
          <cell r="O952">
            <v>0</v>
          </cell>
          <cell r="P952" t="str">
            <v/>
          </cell>
          <cell r="Q952" t="str">
            <v/>
          </cell>
          <cell r="R952" t="str">
            <v/>
          </cell>
          <cell r="S952">
            <v>0</v>
          </cell>
          <cell r="T952">
            <v>0</v>
          </cell>
          <cell r="U952">
            <v>0</v>
          </cell>
          <cell r="V952" t="str">
            <v/>
          </cell>
          <cell r="W952" t="str">
            <v/>
          </cell>
          <cell r="X952">
            <v>0</v>
          </cell>
          <cell r="Y952">
            <v>0</v>
          </cell>
          <cell r="Z952">
            <v>0</v>
          </cell>
          <cell r="AA952">
            <v>3864022.63</v>
          </cell>
          <cell r="AB952">
            <v>0</v>
          </cell>
          <cell r="AC952">
            <v>3864022.63</v>
          </cell>
          <cell r="AD952">
            <v>0</v>
          </cell>
          <cell r="AE952">
            <v>0</v>
          </cell>
          <cell r="AF952">
            <v>0</v>
          </cell>
          <cell r="AG952" t="e">
            <v>#N/A</v>
          </cell>
          <cell r="AH952" t="str">
            <v>-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</row>
        <row r="953">
          <cell r="A953" t="str">
            <v>24-0886</v>
          </cell>
          <cell r="B953" t="str">
            <v>CONSTRUCTION OF ONE (1) STOREY-TWO (2) CLASSROOMS SCHOOL BUILDING WITH TOILET ATTACHED AT PANGI NHS, MACO, DAVAO DE ORO</v>
          </cell>
          <cell r="C953" t="str">
            <v>SEF</v>
          </cell>
          <cell r="D953" t="str">
            <v>No</v>
          </cell>
          <cell r="E953" t="str">
            <v>Competitive Bidding</v>
          </cell>
          <cell r="F953">
            <v>45342</v>
          </cell>
          <cell r="G953">
            <v>45439</v>
          </cell>
          <cell r="H953">
            <v>97</v>
          </cell>
          <cell r="I953">
            <v>45454</v>
          </cell>
          <cell r="J953">
            <v>45468</v>
          </cell>
          <cell r="K953">
            <v>45468</v>
          </cell>
          <cell r="L953">
            <v>29</v>
          </cell>
          <cell r="M953">
            <v>45468</v>
          </cell>
          <cell r="N953">
            <v>0</v>
          </cell>
          <cell r="O953">
            <v>0</v>
          </cell>
          <cell r="P953" t="str">
            <v/>
          </cell>
          <cell r="Q953" t="str">
            <v/>
          </cell>
          <cell r="R953" t="str">
            <v/>
          </cell>
          <cell r="S953">
            <v>0</v>
          </cell>
          <cell r="T953">
            <v>0</v>
          </cell>
          <cell r="U953">
            <v>0</v>
          </cell>
          <cell r="V953" t="str">
            <v/>
          </cell>
          <cell r="W953" t="str">
            <v/>
          </cell>
          <cell r="X953">
            <v>0</v>
          </cell>
          <cell r="Y953">
            <v>0</v>
          </cell>
          <cell r="Z953">
            <v>0</v>
          </cell>
          <cell r="AA953">
            <v>3293744.24</v>
          </cell>
          <cell r="AB953">
            <v>0</v>
          </cell>
          <cell r="AC953">
            <v>3293744.24</v>
          </cell>
          <cell r="AD953">
            <v>0</v>
          </cell>
          <cell r="AE953">
            <v>0</v>
          </cell>
          <cell r="AF953">
            <v>0</v>
          </cell>
          <cell r="AG953" t="e">
            <v>#N/A</v>
          </cell>
          <cell r="AH953" t="str">
            <v>-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</row>
        <row r="954">
          <cell r="A954" t="str">
            <v>24-0339</v>
          </cell>
          <cell r="B954" t="str">
            <v>CONSTRUCTION OF CENTER ISLAND WITH SOLAR LIGHTS AT MAWAB, DAVAO DE ORO</v>
          </cell>
          <cell r="C954" t="str">
            <v>PEO</v>
          </cell>
          <cell r="D954" t="str">
            <v>No</v>
          </cell>
          <cell r="E954" t="str">
            <v>Competitive Bidding</v>
          </cell>
          <cell r="F954">
            <v>45440</v>
          </cell>
          <cell r="G954">
            <v>0</v>
          </cell>
          <cell r="H954" t="str">
            <v/>
          </cell>
          <cell r="I954">
            <v>0</v>
          </cell>
          <cell r="J954">
            <v>0</v>
          </cell>
          <cell r="K954">
            <v>0</v>
          </cell>
          <cell r="L954" t="str">
            <v/>
          </cell>
          <cell r="M954">
            <v>0</v>
          </cell>
          <cell r="N954">
            <v>0</v>
          </cell>
          <cell r="O954">
            <v>0</v>
          </cell>
          <cell r="P954" t="str">
            <v/>
          </cell>
          <cell r="Q954" t="str">
            <v/>
          </cell>
          <cell r="R954" t="str">
            <v/>
          </cell>
          <cell r="S954">
            <v>0</v>
          </cell>
          <cell r="T954">
            <v>0</v>
          </cell>
          <cell r="U954">
            <v>0</v>
          </cell>
          <cell r="V954" t="str">
            <v/>
          </cell>
          <cell r="W954" t="str">
            <v/>
          </cell>
          <cell r="X954">
            <v>0</v>
          </cell>
          <cell r="Y954">
            <v>0</v>
          </cell>
          <cell r="Z954">
            <v>0</v>
          </cell>
          <cell r="AA954">
            <v>2872872.67</v>
          </cell>
          <cell r="AB954">
            <v>0</v>
          </cell>
          <cell r="AC954">
            <v>2872872.67</v>
          </cell>
          <cell r="AD954">
            <v>0</v>
          </cell>
          <cell r="AE954">
            <v>0</v>
          </cell>
          <cell r="AF954">
            <v>0</v>
          </cell>
          <cell r="AG954" t="e">
            <v>#N/A</v>
          </cell>
          <cell r="AH954" t="str">
            <v>-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</row>
        <row r="955">
          <cell r="A955" t="str">
            <v>24-2386</v>
          </cell>
          <cell r="B955" t="str">
            <v>CONSTRUCTION OF MULTI-PURPOSE HALL , CORAZON ES , BRGY. OSMENA , COMPOSTELA , DAVAO DE ORO</v>
          </cell>
          <cell r="C955" t="str">
            <v>SEF</v>
          </cell>
          <cell r="D955" t="str">
            <v>No</v>
          </cell>
          <cell r="E955" t="str">
            <v>Competitive Bidding</v>
          </cell>
          <cell r="F955">
            <v>45407</v>
          </cell>
          <cell r="G955">
            <v>45439</v>
          </cell>
          <cell r="H955">
            <v>0</v>
          </cell>
          <cell r="I955">
            <v>45454</v>
          </cell>
          <cell r="J955">
            <v>45468</v>
          </cell>
          <cell r="K955">
            <v>45468</v>
          </cell>
          <cell r="L955">
            <v>0</v>
          </cell>
          <cell r="M955">
            <v>45468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6096583.2800000003</v>
          </cell>
          <cell r="AB955">
            <v>0</v>
          </cell>
          <cell r="AC955">
            <v>6096583.2800000003</v>
          </cell>
          <cell r="AD955">
            <v>0</v>
          </cell>
          <cell r="AE955">
            <v>0</v>
          </cell>
          <cell r="AF955">
            <v>0</v>
          </cell>
          <cell r="AG955" t="e">
            <v>#N/A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</row>
        <row r="956">
          <cell r="A956" t="str">
            <v>24-2537</v>
          </cell>
          <cell r="B956" t="str">
            <v>CONSTRUCTION OF DOUBLE BARREL  BOX CULVERT CULVERT AT BRGY.
DUMLAN MACO (KKMP), DAVAO DE ORO</v>
          </cell>
          <cell r="C956" t="str">
            <v>PDRRMO</v>
          </cell>
          <cell r="D956" t="str">
            <v>No</v>
          </cell>
          <cell r="E956" t="str">
            <v>Competitive Bidding</v>
          </cell>
          <cell r="F956">
            <v>45421</v>
          </cell>
          <cell r="G956">
            <v>45453</v>
          </cell>
          <cell r="H956">
            <v>0</v>
          </cell>
          <cell r="I956">
            <v>45461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4900246.12</v>
          </cell>
          <cell r="AB956">
            <v>0</v>
          </cell>
          <cell r="AC956">
            <v>4900246.12</v>
          </cell>
          <cell r="AD956">
            <v>0</v>
          </cell>
          <cell r="AE956">
            <v>0</v>
          </cell>
          <cell r="AF956">
            <v>0</v>
          </cell>
          <cell r="AG956" t="e">
            <v>#N/A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</row>
        <row r="957">
          <cell r="A957" t="str">
            <v>24-1333</v>
          </cell>
          <cell r="B957" t="str">
            <v>CONSTRUCTION OF ONE (1) STOREY-TWO (2) CLASSROOMS SCHOOL BUILDING WITH TOILET ATTACHED AT BIASONG ES, PANTUKAN</v>
          </cell>
          <cell r="C957" t="str">
            <v>SEF</v>
          </cell>
          <cell r="D957" t="str">
            <v>No</v>
          </cell>
          <cell r="E957" t="str">
            <v>Competitive Bidding</v>
          </cell>
          <cell r="F957">
            <v>45440</v>
          </cell>
          <cell r="G957">
            <v>45453</v>
          </cell>
          <cell r="H957">
            <v>0</v>
          </cell>
          <cell r="I957">
            <v>45461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3974858.79</v>
          </cell>
          <cell r="AB957">
            <v>0</v>
          </cell>
          <cell r="AC957">
            <v>3974858.79</v>
          </cell>
          <cell r="AD957">
            <v>0</v>
          </cell>
          <cell r="AE957">
            <v>0</v>
          </cell>
          <cell r="AF957">
            <v>0</v>
          </cell>
          <cell r="AG957" t="e">
            <v>#N/A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</row>
        <row r="958">
          <cell r="A958" t="str">
            <v>24-2561</v>
          </cell>
          <cell r="B958" t="str">
            <v>CONSTRUCTION OF BLEACHERS AND STAGE, BRGY. SAOSAO, MAWAB, DAVAO DE ORO (CONSTRUCTION OF 42 IN.M. BLEACHERS)</v>
          </cell>
          <cell r="C958" t="str">
            <v>PEO</v>
          </cell>
          <cell r="D958" t="str">
            <v>No</v>
          </cell>
          <cell r="E958" t="str">
            <v>Competitive Bidding</v>
          </cell>
          <cell r="F958">
            <v>45440</v>
          </cell>
          <cell r="G958">
            <v>45453</v>
          </cell>
          <cell r="H958">
            <v>0</v>
          </cell>
          <cell r="I958">
            <v>45461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2357503.25</v>
          </cell>
          <cell r="AB958">
            <v>0</v>
          </cell>
          <cell r="AC958">
            <v>2357503.25</v>
          </cell>
          <cell r="AD958">
            <v>0</v>
          </cell>
          <cell r="AE958">
            <v>0</v>
          </cell>
          <cell r="AF958">
            <v>0</v>
          </cell>
          <cell r="AG958" t="e">
            <v>#N/A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</row>
        <row r="959">
          <cell r="A959" t="str">
            <v>24-2708</v>
          </cell>
          <cell r="B959" t="str">
            <v>CONSTRUCTION OF BLEACHERS AND STAGE, BRGY. KIDAWA, LAAK, DAVAO DE ORO (CONSTRUCTION OF 1 BAY COVERED COURT WITH STAGE AND 1 BAY BLEACHERS)</v>
          </cell>
          <cell r="C959" t="str">
            <v>PEO</v>
          </cell>
          <cell r="D959" t="str">
            <v>No</v>
          </cell>
          <cell r="E959" t="str">
            <v>Competitive Bidding</v>
          </cell>
          <cell r="F959">
            <v>45440</v>
          </cell>
          <cell r="G959">
            <v>45453</v>
          </cell>
          <cell r="H959">
            <v>0</v>
          </cell>
          <cell r="I959">
            <v>45461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2411434.42</v>
          </cell>
          <cell r="AB959">
            <v>0</v>
          </cell>
          <cell r="AC959">
            <v>2411434.42</v>
          </cell>
          <cell r="AD959">
            <v>0</v>
          </cell>
          <cell r="AE959">
            <v>0</v>
          </cell>
          <cell r="AF959">
            <v>0</v>
          </cell>
          <cell r="AG959" t="e">
            <v>#N/A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</row>
        <row r="960">
          <cell r="A960" t="str">
            <v>24-3002</v>
          </cell>
          <cell r="B960" t="str">
            <v>CONSTRUCTION OF BLEACHER AND CR, ANDILI ELEMENTARY SCHOOL GYM, MAWAB (CONSTRUCTION OF 21 IN.M. BLEACHERS)</v>
          </cell>
          <cell r="C960" t="str">
            <v>PEO</v>
          </cell>
          <cell r="D960" t="str">
            <v>No</v>
          </cell>
          <cell r="E960" t="str">
            <v>Competitive Bidding</v>
          </cell>
          <cell r="F960">
            <v>45440</v>
          </cell>
          <cell r="G960">
            <v>45453</v>
          </cell>
          <cell r="H960">
            <v>0</v>
          </cell>
          <cell r="I960">
            <v>45461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1420177.63</v>
          </cell>
          <cell r="AB960">
            <v>0</v>
          </cell>
          <cell r="AC960">
            <v>1420177.63</v>
          </cell>
          <cell r="AD960">
            <v>0</v>
          </cell>
          <cell r="AE960">
            <v>0</v>
          </cell>
          <cell r="AF960">
            <v>0</v>
          </cell>
          <cell r="AG960" t="e">
            <v>#N/A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</row>
        <row r="961">
          <cell r="A961" t="str">
            <v>24-3001</v>
          </cell>
          <cell r="B961" t="str">
            <v>CONSTRUCTION OF FOOT BRIDGE, PRK. 13, MAINIT, GOLDEN VALLEY, MABINI [CONSTRUCTION OF 35 IN.M. FOOT BRIDGE WITH 8 IN.M. CONCRETE FLOOR SLAB (APPROACH SLAB) BOTH SIDE]</v>
          </cell>
          <cell r="C961" t="str">
            <v>PEO</v>
          </cell>
          <cell r="D961" t="str">
            <v>No</v>
          </cell>
          <cell r="E961" t="str">
            <v>Competitive Bidding</v>
          </cell>
          <cell r="F961">
            <v>45440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3304923.16</v>
          </cell>
          <cell r="AB961">
            <v>0</v>
          </cell>
          <cell r="AC961">
            <v>3304923.16</v>
          </cell>
          <cell r="AD961">
            <v>0</v>
          </cell>
          <cell r="AE961">
            <v>0</v>
          </cell>
          <cell r="AF961">
            <v>0</v>
          </cell>
          <cell r="AG961" t="e">
            <v>#N/A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</row>
        <row r="962">
          <cell r="A962" t="str">
            <v>24-2996</v>
          </cell>
          <cell r="B962" t="str">
            <v>CONSTRUCTION OF STAGE AND BLEACHERS, BRGY. CONCEPTION, LAAK, (CONSTRUCTION OF 1 BAY COVERED COURT WITH STAGE AND 1 BAY BLEACHERS)</v>
          </cell>
          <cell r="C962" t="str">
            <v>PEO</v>
          </cell>
          <cell r="D962" t="str">
            <v>No</v>
          </cell>
          <cell r="E962" t="str">
            <v>Competitive Bidding</v>
          </cell>
          <cell r="F962">
            <v>45440</v>
          </cell>
          <cell r="G962">
            <v>45453</v>
          </cell>
          <cell r="H962">
            <v>0</v>
          </cell>
          <cell r="I962">
            <v>45461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2402829.1</v>
          </cell>
          <cell r="AB962">
            <v>0</v>
          </cell>
          <cell r="AC962">
            <v>2402829.1</v>
          </cell>
          <cell r="AD962">
            <v>0</v>
          </cell>
          <cell r="AE962">
            <v>0</v>
          </cell>
          <cell r="AF962">
            <v>0</v>
          </cell>
          <cell r="AG962" t="e">
            <v>#N/A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</row>
        <row r="963">
          <cell r="A963" t="str">
            <v>24-3025</v>
          </cell>
          <cell r="B963" t="str">
            <v>CONSTRUCTION OF BRGY. HALL, BRGY. INCAYAN, LAAK, [CONSTRUCTION OF 142 IN.M. (1 STOREY) BRGY. HALL)</v>
          </cell>
          <cell r="C963" t="str">
            <v>PEO</v>
          </cell>
          <cell r="D963" t="str">
            <v>No</v>
          </cell>
          <cell r="E963" t="str">
            <v>Competitive Bidding</v>
          </cell>
          <cell r="F963">
            <v>45440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4832890.9400000004</v>
          </cell>
          <cell r="AB963">
            <v>0</v>
          </cell>
          <cell r="AC963">
            <v>4832890.9400000004</v>
          </cell>
          <cell r="AD963">
            <v>0</v>
          </cell>
          <cell r="AE963">
            <v>0</v>
          </cell>
          <cell r="AF963">
            <v>0</v>
          </cell>
          <cell r="AG963" t="e">
            <v>#N/A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</row>
        <row r="964">
          <cell r="A964" t="str">
            <v>24-3022</v>
          </cell>
          <cell r="B964" t="str">
            <v>CONSTRUCTION OF BLEACHERS (GYM), BRGY. NUEVA VISAYAS, MAWAB, (CONSTRUCTION OF 36 IN.M. BLEACHERS)</v>
          </cell>
          <cell r="C964" t="str">
            <v>PEO</v>
          </cell>
          <cell r="D964" t="str">
            <v>No</v>
          </cell>
          <cell r="E964" t="str">
            <v>Competitive Bidding</v>
          </cell>
          <cell r="F964">
            <v>45440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1930060.79</v>
          </cell>
          <cell r="AB964">
            <v>0</v>
          </cell>
          <cell r="AC964">
            <v>1930060.79</v>
          </cell>
          <cell r="AD964">
            <v>0</v>
          </cell>
          <cell r="AE964">
            <v>0</v>
          </cell>
          <cell r="AF964">
            <v>0</v>
          </cell>
          <cell r="AG964" t="e">
            <v>#N/A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</row>
        <row r="965">
          <cell r="A965" t="str">
            <v>24-3024</v>
          </cell>
          <cell r="B965" t="str">
            <v xml:space="preserve">CONSTRUCTION OF FOOT BRIDGE, PRK. 2, MANTUNGA, GOLDEN VALLEY, MABINI [CONSTRUCTION OF 43 IN.M. FOOT BRIDGE WITH 8 IN.M. CONCRETE FLOOR SLAB (APPROACH SLAB) BOTH SIDES] </v>
          </cell>
          <cell r="C965" t="str">
            <v>PEO</v>
          </cell>
          <cell r="D965" t="str">
            <v>No</v>
          </cell>
          <cell r="E965" t="str">
            <v>Competitive Bidding</v>
          </cell>
          <cell r="F965">
            <v>45440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3761348.05</v>
          </cell>
          <cell r="AB965">
            <v>0</v>
          </cell>
          <cell r="AC965">
            <v>3761348.05</v>
          </cell>
          <cell r="AD965">
            <v>0</v>
          </cell>
          <cell r="AE965">
            <v>0</v>
          </cell>
          <cell r="AF965">
            <v>0</v>
          </cell>
          <cell r="AG965" t="e">
            <v>#N/A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</row>
        <row r="966">
          <cell r="A966" t="str">
            <v>24-3023</v>
          </cell>
          <cell r="B966" t="str">
            <v>CONSTRUCTION OF BLEAHERS AND STAGE, BAWANI GYM, MAWAB (CONSTRUCTION OF 1 BAY COVARED COURT WITH STAGE AND 48 IN.M. BLEACHERS</v>
          </cell>
          <cell r="C966" t="str">
            <v>PEO</v>
          </cell>
          <cell r="D966" t="str">
            <v>No</v>
          </cell>
          <cell r="E966" t="str">
            <v>Competitive Bidding</v>
          </cell>
          <cell r="F966">
            <v>45446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3861823.28</v>
          </cell>
          <cell r="AB966">
            <v>0</v>
          </cell>
          <cell r="AC966">
            <v>3861823.28</v>
          </cell>
          <cell r="AD966">
            <v>0</v>
          </cell>
          <cell r="AE966">
            <v>0</v>
          </cell>
          <cell r="AF966">
            <v>0</v>
          </cell>
          <cell r="AG966" t="e">
            <v>#N/A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</row>
        <row r="967">
          <cell r="A967" t="str">
            <v>24-2997</v>
          </cell>
          <cell r="B967" t="str">
            <v>CONSTRUCTION OF MULTIPURPOSE BUILDING (MUSLIM COMMUNITY), BRGY. BANBANON, LAAK [CONSTRUCTION OF FOUR (4) BAYS MULTIPURPOSE BUILDING]</v>
          </cell>
          <cell r="C967" t="str">
            <v>PEO</v>
          </cell>
          <cell r="D967" t="str">
            <v>No</v>
          </cell>
          <cell r="E967" t="str">
            <v>Competitive Bidding</v>
          </cell>
          <cell r="F967">
            <v>45440</v>
          </cell>
          <cell r="G967">
            <v>45453</v>
          </cell>
          <cell r="H967">
            <v>0</v>
          </cell>
          <cell r="I967">
            <v>45461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1586283.43</v>
          </cell>
          <cell r="AB967">
            <v>0</v>
          </cell>
          <cell r="AC967">
            <v>1586283.43</v>
          </cell>
          <cell r="AD967">
            <v>0</v>
          </cell>
          <cell r="AE967">
            <v>0</v>
          </cell>
          <cell r="AF967">
            <v>0</v>
          </cell>
          <cell r="AG967" t="e">
            <v>#N/A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</row>
        <row r="968">
          <cell r="A968" t="str">
            <v>24-2706</v>
          </cell>
          <cell r="B968" t="str">
            <v xml:space="preserve">CONSTRUCTION OF STAGE, BAWANI GYM, MAWAB </v>
          </cell>
          <cell r="C968" t="str">
            <v>PEO</v>
          </cell>
          <cell r="D968" t="str">
            <v>No</v>
          </cell>
          <cell r="E968" t="str">
            <v>Competitive Bidding</v>
          </cell>
          <cell r="F968">
            <v>45440</v>
          </cell>
          <cell r="G968">
            <v>45455</v>
          </cell>
          <cell r="H968">
            <v>0</v>
          </cell>
          <cell r="I968" t="str">
            <v>N/A</v>
          </cell>
          <cell r="J968">
            <v>45468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959629.38</v>
          </cell>
          <cell r="AB968">
            <v>0</v>
          </cell>
          <cell r="AC968">
            <v>959629.38</v>
          </cell>
          <cell r="AD968">
            <v>0</v>
          </cell>
          <cell r="AE968">
            <v>0</v>
          </cell>
          <cell r="AF968">
            <v>0</v>
          </cell>
          <cell r="AG968" t="e">
            <v>#N/A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</row>
        <row r="969">
          <cell r="A969" t="str">
            <v>24-3085</v>
          </cell>
          <cell r="B969" t="str">
            <v>CONSTRUCTION OF RETAINING WALL AT PUROK 2-A, BRGY. PINDASAN, MABINI</v>
          </cell>
          <cell r="C969" t="str">
            <v>PEO</v>
          </cell>
          <cell r="D969" t="str">
            <v>No</v>
          </cell>
          <cell r="E969" t="str">
            <v>Competitive Bidding</v>
          </cell>
          <cell r="F969">
            <v>45454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3758574.21</v>
          </cell>
          <cell r="AB969">
            <v>0</v>
          </cell>
          <cell r="AC969">
            <v>3758574.21</v>
          </cell>
          <cell r="AD969">
            <v>0</v>
          </cell>
          <cell r="AE969">
            <v>0</v>
          </cell>
          <cell r="AF969">
            <v>0</v>
          </cell>
          <cell r="AG969" t="e">
            <v>#N/A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</row>
        <row r="970">
          <cell r="A970" t="str">
            <v>24-3221</v>
          </cell>
          <cell r="B970" t="str">
            <v>REHABILITATION OF NEW-VISAYAS-BANAGBANAG, MONTEVISTA TO MAGADING</v>
          </cell>
          <cell r="C970" t="str">
            <v>PEO</v>
          </cell>
          <cell r="D970" t="str">
            <v>No</v>
          </cell>
          <cell r="E970" t="str">
            <v>Competitive Bidding</v>
          </cell>
          <cell r="F970">
            <v>45454</v>
          </cell>
          <cell r="G970">
            <v>45461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279838000</v>
          </cell>
          <cell r="AB970">
            <v>0</v>
          </cell>
          <cell r="AC970">
            <v>279838000</v>
          </cell>
          <cell r="AD970">
            <v>0</v>
          </cell>
          <cell r="AE970">
            <v>0</v>
          </cell>
          <cell r="AF970">
            <v>0</v>
          </cell>
          <cell r="AG970" t="e">
            <v>#N/A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</row>
        <row r="971">
          <cell r="A971" t="str">
            <v>24-3083</v>
          </cell>
          <cell r="B971" t="str">
            <v>CONSTRUCTION OF BARANGAY HEALTH STATION (BHS) AT PUROK 1, BARANGAY MANURIGAO, NEW BATAAN
(CONSTRUCTION OF 75.3SQ.M. BRGY. HEALTH STATION WITH
BIRTHING)</v>
          </cell>
          <cell r="C971" t="str">
            <v>PEO</v>
          </cell>
          <cell r="D971" t="str">
            <v>No</v>
          </cell>
          <cell r="E971" t="str">
            <v>Competitive Bidding</v>
          </cell>
          <cell r="F971">
            <v>45454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2380209.14</v>
          </cell>
          <cell r="AB971">
            <v>0</v>
          </cell>
          <cell r="AC971">
            <v>2380209.14</v>
          </cell>
          <cell r="AD971">
            <v>0</v>
          </cell>
          <cell r="AE971">
            <v>0</v>
          </cell>
          <cell r="AF971">
            <v>0</v>
          </cell>
          <cell r="AG971" t="e">
            <v>#N/A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</row>
        <row r="972">
          <cell r="A972" t="str">
            <v>24-0101
(REBID)</v>
          </cell>
          <cell r="B972" t="str">
            <v>SUPPLY AND DELIVERY OF SHALLOW TUBE WELL PUMP SET 8HP WITH COMPLETE ACCESSORIES</v>
          </cell>
          <cell r="C972" t="str">
            <v>PAGRO</v>
          </cell>
          <cell r="D972" t="str">
            <v>No</v>
          </cell>
          <cell r="E972" t="str">
            <v>Competitive Bidding</v>
          </cell>
          <cell r="F972">
            <v>45384</v>
          </cell>
          <cell r="G972">
            <v>45390</v>
          </cell>
          <cell r="H972">
            <v>0</v>
          </cell>
          <cell r="I972">
            <v>45398</v>
          </cell>
          <cell r="J972">
            <v>45412</v>
          </cell>
          <cell r="K972">
            <v>45412</v>
          </cell>
          <cell r="L972">
            <v>0</v>
          </cell>
          <cell r="M972">
            <v>45412</v>
          </cell>
          <cell r="N972">
            <v>45442</v>
          </cell>
          <cell r="O972">
            <v>45464</v>
          </cell>
          <cell r="P972">
            <v>0</v>
          </cell>
          <cell r="Q972">
            <v>0</v>
          </cell>
          <cell r="R972">
            <v>0</v>
          </cell>
          <cell r="S972">
            <v>45464</v>
          </cell>
          <cell r="T972">
            <v>45464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3893000</v>
          </cell>
          <cell r="AB972">
            <v>0</v>
          </cell>
          <cell r="AC972">
            <v>3893000</v>
          </cell>
          <cell r="AD972">
            <v>3842000</v>
          </cell>
          <cell r="AE972">
            <v>0</v>
          </cell>
          <cell r="AF972">
            <v>3842000</v>
          </cell>
          <cell r="AG972" t="e">
            <v>#N/A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</row>
        <row r="973">
          <cell r="A973" t="str">
            <v>24-C1142</v>
          </cell>
          <cell r="B973" t="str">
            <v>SUPPLY AND DELIVERY OF FEEDS</v>
          </cell>
          <cell r="C973" t="str">
            <v>PVO</v>
          </cell>
          <cell r="D973" t="str">
            <v>No</v>
          </cell>
          <cell r="E973" t="str">
            <v>Competitive Bidding</v>
          </cell>
          <cell r="F973">
            <v>45356</v>
          </cell>
          <cell r="G973">
            <v>45432</v>
          </cell>
          <cell r="H973">
            <v>0</v>
          </cell>
          <cell r="I973">
            <v>45440</v>
          </cell>
          <cell r="J973">
            <v>45454</v>
          </cell>
          <cell r="K973">
            <v>45454</v>
          </cell>
          <cell r="L973">
            <v>0</v>
          </cell>
          <cell r="M973">
            <v>45454</v>
          </cell>
          <cell r="N973">
            <v>45462</v>
          </cell>
          <cell r="O973">
            <v>45469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4213637</v>
          </cell>
          <cell r="AB973">
            <v>0</v>
          </cell>
          <cell r="AC973">
            <v>4213637</v>
          </cell>
          <cell r="AD973">
            <v>4206577.7</v>
          </cell>
          <cell r="AE973">
            <v>0</v>
          </cell>
          <cell r="AF973">
            <v>4206577.7</v>
          </cell>
          <cell r="AG973" t="str">
            <v>C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</row>
        <row r="974">
          <cell r="A974" t="str">
            <v>24-C1140</v>
          </cell>
          <cell r="B974" t="str">
            <v>SUPPLY AND DELIVERY OF SPAREPARTS</v>
          </cell>
          <cell r="C974" t="str">
            <v>PEO-MOTORPOOL</v>
          </cell>
          <cell r="D974" t="str">
            <v>No</v>
          </cell>
          <cell r="E974" t="str">
            <v>NP-53.1 Two Failed Biddings</v>
          </cell>
          <cell r="F974">
            <v>45356</v>
          </cell>
          <cell r="G974">
            <v>45422</v>
          </cell>
          <cell r="H974">
            <v>0</v>
          </cell>
          <cell r="I974" t="str">
            <v>N/A</v>
          </cell>
          <cell r="J974">
            <v>45446</v>
          </cell>
          <cell r="K974">
            <v>45446</v>
          </cell>
          <cell r="L974">
            <v>0</v>
          </cell>
          <cell r="M974" t="str">
            <v>N/A</v>
          </cell>
          <cell r="N974" t="str">
            <v>N/A</v>
          </cell>
          <cell r="O974">
            <v>45448</v>
          </cell>
          <cell r="P974">
            <v>0</v>
          </cell>
          <cell r="Q974">
            <v>0</v>
          </cell>
          <cell r="R974">
            <v>0</v>
          </cell>
          <cell r="S974">
            <v>45448</v>
          </cell>
          <cell r="T974">
            <v>45454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1979215</v>
          </cell>
          <cell r="AB974">
            <v>0</v>
          </cell>
          <cell r="AC974">
            <v>1979215</v>
          </cell>
          <cell r="AD974">
            <v>783066</v>
          </cell>
          <cell r="AE974">
            <v>0</v>
          </cell>
          <cell r="AF974">
            <v>783066</v>
          </cell>
          <cell r="AG974" t="str">
            <v>M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 t="str">
            <v>CANCELLED PO</v>
          </cell>
        </row>
        <row r="975">
          <cell r="A975" t="str">
            <v>24-C1279</v>
          </cell>
          <cell r="B975" t="str">
            <v>SUPPLY AND DELIVERY OF OFFICE EQUIPMENTS</v>
          </cell>
          <cell r="C975" t="str">
            <v>PEO</v>
          </cell>
          <cell r="D975" t="str">
            <v>No</v>
          </cell>
          <cell r="E975" t="str">
            <v>Competitive Bidding</v>
          </cell>
          <cell r="F975">
            <v>45370</v>
          </cell>
          <cell r="G975">
            <v>45404</v>
          </cell>
          <cell r="H975">
            <v>0</v>
          </cell>
          <cell r="I975">
            <v>45412</v>
          </cell>
          <cell r="J975">
            <v>45426</v>
          </cell>
          <cell r="K975">
            <v>45426</v>
          </cell>
          <cell r="L975">
            <v>0</v>
          </cell>
          <cell r="M975">
            <v>45426</v>
          </cell>
          <cell r="N975">
            <v>45433</v>
          </cell>
          <cell r="O975">
            <v>45441</v>
          </cell>
          <cell r="P975">
            <v>0</v>
          </cell>
          <cell r="Q975">
            <v>0</v>
          </cell>
          <cell r="R975">
            <v>0</v>
          </cell>
          <cell r="S975">
            <v>45442</v>
          </cell>
          <cell r="T975">
            <v>45450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4022098.4</v>
          </cell>
          <cell r="AB975">
            <v>0</v>
          </cell>
          <cell r="AC975">
            <v>4022098.4</v>
          </cell>
          <cell r="AD975">
            <v>3973499</v>
          </cell>
          <cell r="AE975">
            <v>0</v>
          </cell>
          <cell r="AF975">
            <v>3973499</v>
          </cell>
          <cell r="AG975" t="str">
            <v>C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</row>
        <row r="976">
          <cell r="A976" t="str">
            <v>23-4950</v>
          </cell>
          <cell r="B976" t="str">
            <v>MEALS AND SNACKS</v>
          </cell>
          <cell r="C976" t="str">
            <v>PDRRMO</v>
          </cell>
          <cell r="D976" t="str">
            <v>No</v>
          </cell>
          <cell r="E976" t="str">
            <v>NP-53.1 Two Failed Biddings</v>
          </cell>
          <cell r="F976" t="str">
            <v>N/A</v>
          </cell>
          <cell r="G976">
            <v>45352</v>
          </cell>
          <cell r="H976">
            <v>0</v>
          </cell>
          <cell r="I976" t="str">
            <v>N/A</v>
          </cell>
          <cell r="J976">
            <v>45370</v>
          </cell>
          <cell r="K976">
            <v>45370</v>
          </cell>
          <cell r="L976">
            <v>0</v>
          </cell>
          <cell r="M976" t="str">
            <v>N/A</v>
          </cell>
          <cell r="N976" t="str">
            <v>N/A</v>
          </cell>
          <cell r="O976">
            <v>45372</v>
          </cell>
          <cell r="P976">
            <v>0</v>
          </cell>
          <cell r="Q976">
            <v>0</v>
          </cell>
          <cell r="R976">
            <v>0</v>
          </cell>
          <cell r="S976">
            <v>45376</v>
          </cell>
          <cell r="T976">
            <v>45386</v>
          </cell>
          <cell r="U976">
            <v>45393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500000</v>
          </cell>
          <cell r="AB976">
            <v>0</v>
          </cell>
          <cell r="AC976">
            <v>500000</v>
          </cell>
          <cell r="AD976">
            <v>500000</v>
          </cell>
          <cell r="AE976">
            <v>0</v>
          </cell>
          <cell r="AF976">
            <v>500000</v>
          </cell>
          <cell r="AG976" t="str">
            <v>C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</row>
        <row r="977">
          <cell r="A977" t="str">
            <v>24-C1194</v>
          </cell>
          <cell r="B977" t="str">
            <v xml:space="preserve">AGRICULTURAL SUPPLIES </v>
          </cell>
          <cell r="C977" t="str">
            <v>PDRRMO</v>
          </cell>
          <cell r="D977" t="str">
            <v>No</v>
          </cell>
          <cell r="E977" t="str">
            <v>NP-53.1 Two Failed Biddings</v>
          </cell>
          <cell r="F977" t="str">
            <v>N/A</v>
          </cell>
          <cell r="G977">
            <v>45404</v>
          </cell>
          <cell r="H977">
            <v>0</v>
          </cell>
          <cell r="I977" t="str">
            <v>N/A</v>
          </cell>
          <cell r="J977">
            <v>45404</v>
          </cell>
          <cell r="K977">
            <v>45404</v>
          </cell>
          <cell r="L977">
            <v>0</v>
          </cell>
          <cell r="M977" t="str">
            <v>N/A</v>
          </cell>
          <cell r="N977" t="str">
            <v>N/A</v>
          </cell>
          <cell r="O977">
            <v>45425</v>
          </cell>
          <cell r="P977">
            <v>0</v>
          </cell>
          <cell r="Q977">
            <v>0</v>
          </cell>
          <cell r="R977">
            <v>0</v>
          </cell>
          <cell r="S977">
            <v>45428</v>
          </cell>
          <cell r="T977">
            <v>45439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674209</v>
          </cell>
          <cell r="AB977">
            <v>0</v>
          </cell>
          <cell r="AC977">
            <v>674209</v>
          </cell>
          <cell r="AD977">
            <v>670587</v>
          </cell>
          <cell r="AE977">
            <v>0</v>
          </cell>
          <cell r="AF977">
            <v>670587</v>
          </cell>
          <cell r="AG977" t="str">
            <v>C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</row>
        <row r="978">
          <cell r="A978" t="str">
            <v>24-1261</v>
          </cell>
          <cell r="B978" t="str">
            <v>PLUMBING SUPPLIES</v>
          </cell>
          <cell r="C978" t="str">
            <v>PGSO</v>
          </cell>
          <cell r="D978" t="str">
            <v>No</v>
          </cell>
          <cell r="E978" t="str">
            <v>NP-53.1 Two Failed Biddings</v>
          </cell>
          <cell r="F978" t="str">
            <v>N/A</v>
          </cell>
          <cell r="G978">
            <v>45404</v>
          </cell>
          <cell r="H978">
            <v>0</v>
          </cell>
          <cell r="I978" t="str">
            <v>N/A</v>
          </cell>
          <cell r="J978">
            <v>45421</v>
          </cell>
          <cell r="K978">
            <v>45421</v>
          </cell>
          <cell r="L978">
            <v>0</v>
          </cell>
          <cell r="M978" t="str">
            <v>N/A</v>
          </cell>
          <cell r="N978" t="str">
            <v>N/A</v>
          </cell>
          <cell r="O978">
            <v>45425</v>
          </cell>
          <cell r="P978">
            <v>0</v>
          </cell>
          <cell r="Q978">
            <v>0</v>
          </cell>
          <cell r="R978">
            <v>0</v>
          </cell>
          <cell r="S978">
            <v>45431</v>
          </cell>
          <cell r="T978">
            <v>45434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307229.5</v>
          </cell>
          <cell r="AB978">
            <v>0</v>
          </cell>
          <cell r="AC978">
            <v>307229.5</v>
          </cell>
          <cell r="AD978">
            <v>306991.95</v>
          </cell>
          <cell r="AE978">
            <v>0</v>
          </cell>
          <cell r="AF978">
            <v>306991.95</v>
          </cell>
          <cell r="AG978" t="str">
            <v>M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</row>
        <row r="979">
          <cell r="A979" t="str">
            <v>24-1127</v>
          </cell>
          <cell r="B979" t="str">
            <v>RICE 50KGS (WELL MILLED RICE) WITH IRON FORTIFIED</v>
          </cell>
          <cell r="C979" t="str">
            <v>PHO</v>
          </cell>
          <cell r="D979" t="str">
            <v>No</v>
          </cell>
          <cell r="E979" t="str">
            <v>NP-53.1 Two Failed Biddings</v>
          </cell>
          <cell r="F979">
            <v>45370</v>
          </cell>
          <cell r="G979">
            <v>45404</v>
          </cell>
          <cell r="H979">
            <v>0</v>
          </cell>
          <cell r="I979" t="str">
            <v>N/A</v>
          </cell>
          <cell r="J979">
            <v>45421</v>
          </cell>
          <cell r="K979">
            <v>45421</v>
          </cell>
          <cell r="L979">
            <v>0</v>
          </cell>
          <cell r="M979" t="str">
            <v>N/A</v>
          </cell>
          <cell r="N979" t="str">
            <v>N/A</v>
          </cell>
          <cell r="O979">
            <v>45425</v>
          </cell>
          <cell r="P979">
            <v>0</v>
          </cell>
          <cell r="Q979">
            <v>0</v>
          </cell>
          <cell r="R979">
            <v>0</v>
          </cell>
          <cell r="S979">
            <v>45428</v>
          </cell>
          <cell r="T979">
            <v>45434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726000</v>
          </cell>
          <cell r="AB979">
            <v>0</v>
          </cell>
          <cell r="AC979">
            <v>726000</v>
          </cell>
          <cell r="AD979">
            <v>654500</v>
          </cell>
          <cell r="AE979">
            <v>0</v>
          </cell>
          <cell r="AF979">
            <v>654500</v>
          </cell>
          <cell r="AG979" t="str">
            <v>C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</row>
        <row r="980">
          <cell r="A980" t="str">
            <v>24-C1065</v>
          </cell>
          <cell r="B980" t="str">
            <v>LUMBER</v>
          </cell>
          <cell r="C980" t="str">
            <v>PVO</v>
          </cell>
          <cell r="D980" t="str">
            <v>No</v>
          </cell>
          <cell r="E980" t="str">
            <v>NP-53.1 Two Failed Biddings</v>
          </cell>
          <cell r="F980">
            <v>45356</v>
          </cell>
          <cell r="G980">
            <v>45404</v>
          </cell>
          <cell r="H980">
            <v>0</v>
          </cell>
          <cell r="I980" t="str">
            <v>N/A</v>
          </cell>
          <cell r="J980">
            <v>45454</v>
          </cell>
          <cell r="K980">
            <v>45454</v>
          </cell>
          <cell r="L980">
            <v>0</v>
          </cell>
          <cell r="M980" t="str">
            <v>N/A</v>
          </cell>
          <cell r="N980" t="str">
            <v>N/A</v>
          </cell>
          <cell r="O980">
            <v>45464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298788.49</v>
          </cell>
          <cell r="AB980">
            <v>0</v>
          </cell>
          <cell r="AC980">
            <v>298788.49</v>
          </cell>
          <cell r="AD980">
            <v>298388.49</v>
          </cell>
          <cell r="AE980">
            <v>0</v>
          </cell>
          <cell r="AF980">
            <v>298388.49</v>
          </cell>
          <cell r="AG980" t="str">
            <v>C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</row>
        <row r="981">
          <cell r="A981" t="str">
            <v>24-C1102</v>
          </cell>
          <cell r="B981" t="str">
            <v>AGRICULTURAL SUPPLIES</v>
          </cell>
          <cell r="C981" t="str">
            <v>PAGRO</v>
          </cell>
          <cell r="D981" t="str">
            <v>No</v>
          </cell>
          <cell r="E981" t="str">
            <v>NP-53.1 Two Failed Biddings</v>
          </cell>
          <cell r="F981">
            <v>45370</v>
          </cell>
          <cell r="G981">
            <v>45404</v>
          </cell>
          <cell r="H981">
            <v>0</v>
          </cell>
          <cell r="I981" t="str">
            <v>N/A</v>
          </cell>
          <cell r="J981">
            <v>45440</v>
          </cell>
          <cell r="K981">
            <v>45440</v>
          </cell>
          <cell r="L981">
            <v>0</v>
          </cell>
          <cell r="M981" t="str">
            <v>N/A</v>
          </cell>
          <cell r="N981" t="str">
            <v>N/A</v>
          </cell>
          <cell r="O981">
            <v>45441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618838</v>
          </cell>
          <cell r="AB981">
            <v>0</v>
          </cell>
          <cell r="AC981">
            <v>618838</v>
          </cell>
          <cell r="AD981">
            <v>616395</v>
          </cell>
          <cell r="AE981">
            <v>0</v>
          </cell>
          <cell r="AF981">
            <v>616395</v>
          </cell>
          <cell r="AG981" t="str">
            <v>C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</row>
        <row r="982">
          <cell r="A982" t="str">
            <v>24-2229</v>
          </cell>
          <cell r="B982" t="str">
            <v>MEALS AND SNACKS WITH ACCOMMODATION</v>
          </cell>
          <cell r="C982" t="str">
            <v>PSWDO</v>
          </cell>
          <cell r="D982" t="str">
            <v>No</v>
          </cell>
          <cell r="E982" t="str">
            <v>NP-53.1 Two Failed Biddings</v>
          </cell>
          <cell r="F982">
            <v>45384</v>
          </cell>
          <cell r="G982">
            <v>45454</v>
          </cell>
          <cell r="H982">
            <v>0</v>
          </cell>
          <cell r="I982" t="str">
            <v>N/A</v>
          </cell>
          <cell r="J982" t="str">
            <v>N/A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862500</v>
          </cell>
          <cell r="AB982">
            <v>0</v>
          </cell>
          <cell r="AC982">
            <v>862500</v>
          </cell>
          <cell r="AD982">
            <v>0</v>
          </cell>
          <cell r="AE982">
            <v>0</v>
          </cell>
          <cell r="AF982">
            <v>0</v>
          </cell>
          <cell r="AG982" t="str">
            <v>C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</row>
        <row r="983">
          <cell r="A983" t="str">
            <v>24-C1139</v>
          </cell>
          <cell r="B983" t="str">
            <v>MEALS AND SNACKS WITH VENUE AND ACCOMMODATION</v>
          </cell>
          <cell r="C983" t="str">
            <v>PGO</v>
          </cell>
          <cell r="D983" t="str">
            <v>No</v>
          </cell>
          <cell r="E983" t="str">
            <v>NP-53.1 Two Failed Biddings</v>
          </cell>
          <cell r="F983" t="str">
            <v>N/A</v>
          </cell>
          <cell r="G983">
            <v>45457</v>
          </cell>
          <cell r="H983">
            <v>0</v>
          </cell>
          <cell r="I983" t="str">
            <v>N/A</v>
          </cell>
          <cell r="J983" t="str">
            <v>N/A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1770000</v>
          </cell>
          <cell r="AB983">
            <v>0</v>
          </cell>
          <cell r="AC983">
            <v>1770000</v>
          </cell>
          <cell r="AD983">
            <v>0</v>
          </cell>
          <cell r="AE983">
            <v>0</v>
          </cell>
          <cell r="AF983">
            <v>0</v>
          </cell>
          <cell r="AG983" t="str">
            <v>C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</row>
        <row r="984">
          <cell r="A984" t="str">
            <v>24-C1314</v>
          </cell>
          <cell r="B984" t="str">
            <v>MEALS AND SNACKS WITH ACCOMMODATION</v>
          </cell>
          <cell r="C984" t="str">
            <v>PHO</v>
          </cell>
          <cell r="D984" t="str">
            <v>No</v>
          </cell>
          <cell r="E984" t="str">
            <v>NP-53.1 Two Failed Biddings</v>
          </cell>
          <cell r="F984" t="str">
            <v>N/A</v>
          </cell>
          <cell r="G984">
            <v>45457</v>
          </cell>
          <cell r="H984">
            <v>0</v>
          </cell>
          <cell r="I984" t="str">
            <v>N/A</v>
          </cell>
          <cell r="J984" t="str">
            <v>N/A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172500</v>
          </cell>
          <cell r="AB984">
            <v>0</v>
          </cell>
          <cell r="AC984">
            <v>172500</v>
          </cell>
          <cell r="AD984">
            <v>0</v>
          </cell>
          <cell r="AE984">
            <v>0</v>
          </cell>
          <cell r="AF984">
            <v>0</v>
          </cell>
          <cell r="AG984" t="str">
            <v>C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</row>
        <row r="985">
          <cell r="A985" t="str">
            <v>24-C1123</v>
          </cell>
          <cell r="B985" t="str">
            <v>CONSTRUCTION MATERIALS</v>
          </cell>
          <cell r="C985" t="str">
            <v>PGSO</v>
          </cell>
          <cell r="D985" t="str">
            <v>No</v>
          </cell>
          <cell r="E985" t="str">
            <v>Competitive Bidding</v>
          </cell>
          <cell r="F985">
            <v>45461</v>
          </cell>
          <cell r="G985">
            <v>45467</v>
          </cell>
          <cell r="H985">
            <v>0</v>
          </cell>
          <cell r="I985" t="str">
            <v>N/A</v>
          </cell>
          <cell r="J985" t="str">
            <v>N/A</v>
          </cell>
          <cell r="K985">
            <v>45475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969925.06</v>
          </cell>
          <cell r="AB985">
            <v>0</v>
          </cell>
          <cell r="AC985">
            <v>969925.06</v>
          </cell>
          <cell r="AD985">
            <v>0</v>
          </cell>
          <cell r="AE985">
            <v>0</v>
          </cell>
          <cell r="AF985">
            <v>0</v>
          </cell>
          <cell r="AG985" t="e">
            <v>#N/A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</row>
        <row r="986">
          <cell r="A986" t="str">
            <v>24-0132</v>
          </cell>
          <cell r="B986" t="str">
            <v>MOBILE MULTIMEDIA CONTROLLER</v>
          </cell>
          <cell r="C986" t="str">
            <v>PICTO</v>
          </cell>
          <cell r="D986" t="str">
            <v>No</v>
          </cell>
          <cell r="E986" t="str">
            <v>NP-53.1 Two Failed Biddings</v>
          </cell>
          <cell r="F986" t="str">
            <v>N/A</v>
          </cell>
          <cell r="G986">
            <v>45429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380000</v>
          </cell>
          <cell r="AB986">
            <v>0</v>
          </cell>
          <cell r="AC986">
            <v>380000</v>
          </cell>
          <cell r="AD986">
            <v>0</v>
          </cell>
          <cell r="AE986">
            <v>0</v>
          </cell>
          <cell r="AF986">
            <v>0</v>
          </cell>
          <cell r="AG986" t="e">
            <v>#N/A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</row>
        <row r="987">
          <cell r="A987" t="str">
            <v>24-C1212</v>
          </cell>
          <cell r="B987" t="str">
            <v>MEALS AND SNACKS</v>
          </cell>
          <cell r="C987" t="str">
            <v>PHO</v>
          </cell>
          <cell r="D987" t="str">
            <v>No</v>
          </cell>
          <cell r="E987" t="str">
            <v>NP-53.1 Two Failed Biddings</v>
          </cell>
          <cell r="F987" t="str">
            <v>N/A</v>
          </cell>
          <cell r="G987">
            <v>45457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493880</v>
          </cell>
          <cell r="AB987">
            <v>0</v>
          </cell>
          <cell r="AC987">
            <v>493880</v>
          </cell>
          <cell r="AD987">
            <v>0</v>
          </cell>
          <cell r="AE987">
            <v>0</v>
          </cell>
          <cell r="AF987">
            <v>0</v>
          </cell>
          <cell r="AG987" t="str">
            <v>C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</row>
        <row r="988">
          <cell r="A988" t="str">
            <v>24-1027</v>
          </cell>
          <cell r="B988" t="str">
            <v>INTERNET SUBSCRIPTION B</v>
          </cell>
          <cell r="C988" t="str">
            <v>PICTO</v>
          </cell>
          <cell r="D988" t="str">
            <v>No</v>
          </cell>
          <cell r="E988" t="str">
            <v>Competitive Bidding</v>
          </cell>
          <cell r="F988">
            <v>45390</v>
          </cell>
          <cell r="G988">
            <v>45432</v>
          </cell>
          <cell r="H988">
            <v>0</v>
          </cell>
          <cell r="I988">
            <v>45440</v>
          </cell>
          <cell r="J988">
            <v>45454</v>
          </cell>
          <cell r="K988">
            <v>45454</v>
          </cell>
          <cell r="L988">
            <v>0</v>
          </cell>
          <cell r="M988">
            <v>45454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1137576</v>
          </cell>
          <cell r="AB988">
            <v>0</v>
          </cell>
          <cell r="AC988">
            <v>1137576</v>
          </cell>
          <cell r="AD988">
            <v>0</v>
          </cell>
          <cell r="AE988">
            <v>0</v>
          </cell>
          <cell r="AF988">
            <v>0</v>
          </cell>
          <cell r="AG988" t="e">
            <v>#N/A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</row>
        <row r="989">
          <cell r="A989" t="str">
            <v>24-2499</v>
          </cell>
          <cell r="B989" t="str">
            <v>MEALS AND SNACKS</v>
          </cell>
          <cell r="C989" t="str">
            <v>SEF</v>
          </cell>
          <cell r="D989" t="str">
            <v>No</v>
          </cell>
          <cell r="E989" t="str">
            <v>Competitive Bidding</v>
          </cell>
          <cell r="F989" t="str">
            <v>N/A</v>
          </cell>
          <cell r="G989">
            <v>45455</v>
          </cell>
          <cell r="H989">
            <v>0</v>
          </cell>
          <cell r="I989" t="str">
            <v>N/A</v>
          </cell>
          <cell r="J989">
            <v>45468</v>
          </cell>
          <cell r="K989">
            <v>45468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400000</v>
          </cell>
          <cell r="AB989">
            <v>0</v>
          </cell>
          <cell r="AC989">
            <v>400000</v>
          </cell>
          <cell r="AD989">
            <v>0</v>
          </cell>
          <cell r="AE989">
            <v>0</v>
          </cell>
          <cell r="AF989">
            <v>0</v>
          </cell>
          <cell r="AG989" t="e">
            <v>#N/A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</row>
        <row r="990">
          <cell r="A990" t="str">
            <v>24-2985</v>
          </cell>
          <cell r="B990" t="str">
            <v>CONSTRUCTION MATERIALS</v>
          </cell>
          <cell r="C990" t="str">
            <v>PEO</v>
          </cell>
          <cell r="D990" t="str">
            <v>No</v>
          </cell>
          <cell r="E990" t="str">
            <v>Competitive Bidding</v>
          </cell>
          <cell r="F990">
            <v>45440</v>
          </cell>
          <cell r="G990">
            <v>45446</v>
          </cell>
          <cell r="H990">
            <v>0</v>
          </cell>
          <cell r="I990">
            <v>45454</v>
          </cell>
          <cell r="J990">
            <v>45468</v>
          </cell>
          <cell r="K990">
            <v>45468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5121025.16</v>
          </cell>
          <cell r="AB990">
            <v>0</v>
          </cell>
          <cell r="AC990">
            <v>5121025.16</v>
          </cell>
          <cell r="AD990">
            <v>0</v>
          </cell>
          <cell r="AE990">
            <v>0</v>
          </cell>
          <cell r="AF990">
            <v>0</v>
          </cell>
          <cell r="AG990" t="e">
            <v>#N/A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</row>
        <row r="991">
          <cell r="A991" t="str">
            <v>24-1774</v>
          </cell>
          <cell r="B991" t="str">
            <v>AIRCON, 5.0TR FLOOR MOUNTED SPLIT TYPE WITH INSTALLATION</v>
          </cell>
          <cell r="C991" t="str">
            <v>PAO</v>
          </cell>
          <cell r="D991" t="str">
            <v>No</v>
          </cell>
          <cell r="E991" t="str">
            <v>Competitive Bidding</v>
          </cell>
          <cell r="F991">
            <v>45440</v>
          </cell>
          <cell r="G991">
            <v>45462</v>
          </cell>
          <cell r="H991">
            <v>0</v>
          </cell>
          <cell r="I991" t="str">
            <v>N/A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107168</v>
          </cell>
          <cell r="AB991">
            <v>0</v>
          </cell>
          <cell r="AC991">
            <v>107168</v>
          </cell>
          <cell r="AD991">
            <v>0</v>
          </cell>
          <cell r="AE991">
            <v>0</v>
          </cell>
          <cell r="AF991">
            <v>0</v>
          </cell>
          <cell r="AG991" t="e">
            <v>#N/A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</row>
        <row r="992">
          <cell r="A992" t="str">
            <v>24-C1368</v>
          </cell>
          <cell r="B992" t="str">
            <v>MOTORCYCLE (125 CC)</v>
          </cell>
          <cell r="C992" t="str">
            <v>PDRRMO</v>
          </cell>
          <cell r="D992" t="str">
            <v>No</v>
          </cell>
          <cell r="E992" t="str">
            <v>Competitive Bidding</v>
          </cell>
          <cell r="F992">
            <v>45440</v>
          </cell>
          <cell r="G992">
            <v>45462</v>
          </cell>
          <cell r="H992">
            <v>0</v>
          </cell>
          <cell r="I992" t="str">
            <v>N/A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160000</v>
          </cell>
          <cell r="AB992">
            <v>0</v>
          </cell>
          <cell r="AC992">
            <v>160000</v>
          </cell>
          <cell r="AD992">
            <v>0</v>
          </cell>
          <cell r="AE992">
            <v>0</v>
          </cell>
          <cell r="AF992">
            <v>0</v>
          </cell>
          <cell r="AG992" t="e">
            <v>#N/A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</row>
        <row r="993">
          <cell r="A993" t="str">
            <v>24-C1400</v>
          </cell>
          <cell r="B993" t="str">
            <v>X-RAY MACHINE WITH DIGITAL
RADIOGRAPHY</v>
          </cell>
          <cell r="C993" t="str">
            <v>PEEMO</v>
          </cell>
          <cell r="D993" t="str">
            <v>No</v>
          </cell>
          <cell r="E993" t="str">
            <v>Competitive Bidding</v>
          </cell>
          <cell r="F993">
            <v>45440</v>
          </cell>
          <cell r="G993">
            <v>45446</v>
          </cell>
          <cell r="H993">
            <v>0</v>
          </cell>
          <cell r="I993">
            <v>45454</v>
          </cell>
          <cell r="J993">
            <v>45468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18600000</v>
          </cell>
          <cell r="AB993">
            <v>0</v>
          </cell>
          <cell r="AC993">
            <v>18600000</v>
          </cell>
          <cell r="AD993">
            <v>0</v>
          </cell>
          <cell r="AE993">
            <v>0</v>
          </cell>
          <cell r="AF993">
            <v>0</v>
          </cell>
          <cell r="AG993" t="e">
            <v>#N/A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</row>
        <row r="994">
          <cell r="A994" t="str">
            <v>24-1755</v>
          </cell>
          <cell r="B994" t="str">
            <v>CONTAINER VAN CLASS B, 20 FTR PAINTED, W/ PLY-BOARD FLOORING</v>
          </cell>
          <cell r="C994" t="str">
            <v>PENRO</v>
          </cell>
          <cell r="D994" t="str">
            <v>No</v>
          </cell>
          <cell r="E994" t="str">
            <v>Competitive Bidding</v>
          </cell>
          <cell r="F994" t="str">
            <v>N/A</v>
          </cell>
          <cell r="G994">
            <v>45462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360000</v>
          </cell>
          <cell r="AB994">
            <v>0</v>
          </cell>
          <cell r="AC994">
            <v>360000</v>
          </cell>
          <cell r="AD994">
            <v>0</v>
          </cell>
          <cell r="AE994">
            <v>0</v>
          </cell>
          <cell r="AF994">
            <v>0</v>
          </cell>
          <cell r="AG994" t="e">
            <v>#N/A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</row>
        <row r="995">
          <cell r="A995" t="str">
            <v>24-C1417</v>
          </cell>
          <cell r="B995" t="str">
            <v>MEALS AND SNACKS WITH ACCOMOODARION
NOTE: W/ PREBID</v>
          </cell>
          <cell r="C995" t="str">
            <v>PDRRMO</v>
          </cell>
          <cell r="D995" t="str">
            <v>No</v>
          </cell>
          <cell r="E995" t="str">
            <v>Competitive Bidding</v>
          </cell>
          <cell r="F995">
            <v>45446</v>
          </cell>
          <cell r="G995">
            <v>45461</v>
          </cell>
          <cell r="H995">
            <v>0</v>
          </cell>
          <cell r="I995" t="str">
            <v>N/A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287715</v>
          </cell>
          <cell r="AB995">
            <v>0</v>
          </cell>
          <cell r="AC995">
            <v>287715</v>
          </cell>
          <cell r="AD995">
            <v>0</v>
          </cell>
          <cell r="AE995">
            <v>0</v>
          </cell>
          <cell r="AF995">
            <v>0</v>
          </cell>
          <cell r="AG995" t="e">
            <v>#N/A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</row>
        <row r="996">
          <cell r="A996" t="str">
            <v>24-C1433</v>
          </cell>
          <cell r="B996" t="str">
            <v xml:space="preserve">MEALS AND SNACKS </v>
          </cell>
          <cell r="C996" t="str">
            <v>PDRRMO</v>
          </cell>
          <cell r="D996" t="str">
            <v>No</v>
          </cell>
          <cell r="E996" t="str">
            <v>Competitive Bidding</v>
          </cell>
          <cell r="F996">
            <v>45446</v>
          </cell>
          <cell r="G996">
            <v>45455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990960</v>
          </cell>
          <cell r="AB996">
            <v>0</v>
          </cell>
          <cell r="AC996">
            <v>990960</v>
          </cell>
          <cell r="AD996">
            <v>0</v>
          </cell>
          <cell r="AE996">
            <v>0</v>
          </cell>
          <cell r="AF996">
            <v>0</v>
          </cell>
          <cell r="AG996" t="e">
            <v>#N/A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</row>
        <row r="997">
          <cell r="A997" t="str">
            <v>24-C1364</v>
          </cell>
          <cell r="B997" t="str">
            <v>AGRICULTURAL SUPPLIES</v>
          </cell>
          <cell r="C997" t="str">
            <v>PAGRO</v>
          </cell>
          <cell r="D997" t="str">
            <v>No</v>
          </cell>
          <cell r="E997" t="str">
            <v>Competitive Bidding</v>
          </cell>
          <cell r="F997" t="str">
            <v>N/A</v>
          </cell>
          <cell r="G997">
            <v>45439</v>
          </cell>
          <cell r="H997">
            <v>0</v>
          </cell>
          <cell r="I997">
            <v>45454</v>
          </cell>
          <cell r="J997">
            <v>45468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1156325</v>
          </cell>
          <cell r="AB997">
            <v>0</v>
          </cell>
          <cell r="AC997">
            <v>1156325</v>
          </cell>
          <cell r="AD997">
            <v>0</v>
          </cell>
          <cell r="AE997">
            <v>0</v>
          </cell>
          <cell r="AF997">
            <v>0</v>
          </cell>
          <cell r="AG997" t="e">
            <v>#N/A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</row>
        <row r="998">
          <cell r="A998" t="str">
            <v>24-C1481</v>
          </cell>
          <cell r="B998" t="str">
            <v>DRUGS AND MEDICINES</v>
          </cell>
          <cell r="C998" t="str">
            <v>PDRRMO</v>
          </cell>
          <cell r="D998" t="str">
            <v>No</v>
          </cell>
          <cell r="E998" t="str">
            <v>Competitive Bidding</v>
          </cell>
          <cell r="F998">
            <v>45454</v>
          </cell>
          <cell r="G998">
            <v>45462</v>
          </cell>
          <cell r="H998">
            <v>0</v>
          </cell>
          <cell r="I998" t="str">
            <v>N/A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714902.08</v>
          </cell>
          <cell r="AB998">
            <v>0</v>
          </cell>
          <cell r="AC998">
            <v>714902.08</v>
          </cell>
          <cell r="AD998">
            <v>0</v>
          </cell>
          <cell r="AE998">
            <v>0</v>
          </cell>
          <cell r="AF998">
            <v>0</v>
          </cell>
          <cell r="AG998" t="e">
            <v>#N/A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</row>
        <row r="999">
          <cell r="A999" t="str">
            <v>24-C1393</v>
          </cell>
          <cell r="B999" t="str">
            <v>CONSTRUCTION MATERIALS</v>
          </cell>
          <cell r="C999" t="str">
            <v>PGO</v>
          </cell>
          <cell r="D999" t="str">
            <v>No</v>
          </cell>
          <cell r="E999" t="str">
            <v>Competitive Bidding</v>
          </cell>
          <cell r="F999">
            <v>45454</v>
          </cell>
          <cell r="G999">
            <v>45467</v>
          </cell>
          <cell r="H999">
            <v>0</v>
          </cell>
          <cell r="I999" t="str">
            <v>N/A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880620</v>
          </cell>
          <cell r="AB999">
            <v>0</v>
          </cell>
          <cell r="AC999">
            <v>880620</v>
          </cell>
          <cell r="AD999">
            <v>0</v>
          </cell>
          <cell r="AE999">
            <v>0</v>
          </cell>
          <cell r="AF999">
            <v>0</v>
          </cell>
          <cell r="AG999" t="e">
            <v>#N/A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</row>
        <row r="1000">
          <cell r="A1000" t="str">
            <v>24-3037</v>
          </cell>
          <cell r="B1000" t="str">
            <v>CONSTRUCTION MATERIALS</v>
          </cell>
          <cell r="C1000" t="str">
            <v>PEO</v>
          </cell>
          <cell r="D1000" t="str">
            <v>No</v>
          </cell>
          <cell r="E1000" t="str">
            <v>Competitive Bidding</v>
          </cell>
          <cell r="F1000">
            <v>45454</v>
          </cell>
          <cell r="G1000">
            <v>45462</v>
          </cell>
          <cell r="H1000">
            <v>0</v>
          </cell>
          <cell r="I1000" t="str">
            <v>N/A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452607.32</v>
          </cell>
          <cell r="AB1000">
            <v>0</v>
          </cell>
          <cell r="AC1000">
            <v>452607.32</v>
          </cell>
          <cell r="AD1000">
            <v>0</v>
          </cell>
          <cell r="AE1000">
            <v>0</v>
          </cell>
          <cell r="AF1000">
            <v>0</v>
          </cell>
          <cell r="AG1000" t="e">
            <v>#N/A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</row>
        <row r="1001">
          <cell r="A1001" t="str">
            <v>24-3357</v>
          </cell>
          <cell r="B1001" t="str">
            <v>MEALS AND SNACKS WITH ACCOMMODATION</v>
          </cell>
          <cell r="C1001" t="str">
            <v>PLO</v>
          </cell>
          <cell r="D1001" t="str">
            <v>No</v>
          </cell>
          <cell r="E1001" t="str">
            <v>Competitive Bidding</v>
          </cell>
          <cell r="F1001">
            <v>45454</v>
          </cell>
          <cell r="G1001">
            <v>45467</v>
          </cell>
          <cell r="H1001">
            <v>0</v>
          </cell>
          <cell r="I1001">
            <v>45475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3520000</v>
          </cell>
          <cell r="AB1001">
            <v>0</v>
          </cell>
          <cell r="AC1001">
            <v>3520000</v>
          </cell>
          <cell r="AD1001">
            <v>0</v>
          </cell>
          <cell r="AE1001">
            <v>0</v>
          </cell>
          <cell r="AF1001">
            <v>0</v>
          </cell>
          <cell r="AG1001" t="e">
            <v>#N/A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</row>
        <row r="1002">
          <cell r="A1002" t="str">
            <v>24-C1465</v>
          </cell>
          <cell r="B1002" t="str">
            <v>MEALS AND SNACKS WITH VENUE</v>
          </cell>
          <cell r="C1002" t="str">
            <v>PHO</v>
          </cell>
          <cell r="D1002" t="str">
            <v>No</v>
          </cell>
          <cell r="E1002" t="str">
            <v>Competitive Bidding</v>
          </cell>
          <cell r="F1002">
            <v>45454</v>
          </cell>
          <cell r="G1002">
            <v>45462</v>
          </cell>
          <cell r="H1002">
            <v>0</v>
          </cell>
          <cell r="I1002">
            <v>45475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588590</v>
          </cell>
          <cell r="AB1002">
            <v>0</v>
          </cell>
          <cell r="AC1002">
            <v>588590</v>
          </cell>
          <cell r="AD1002">
            <v>0</v>
          </cell>
          <cell r="AE1002">
            <v>0</v>
          </cell>
          <cell r="AF1002">
            <v>0</v>
          </cell>
          <cell r="AG1002" t="e">
            <v>#N/A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</row>
        <row r="1003">
          <cell r="A1003" t="str">
            <v>24-2604</v>
          </cell>
          <cell r="B1003" t="str">
            <v>MEALS AND SNACKS WITH ACCOMMODATION</v>
          </cell>
          <cell r="C1003" t="str">
            <v>PAO</v>
          </cell>
          <cell r="D1003" t="str">
            <v>No</v>
          </cell>
          <cell r="E1003" t="str">
            <v>Competitive Bidding</v>
          </cell>
          <cell r="F1003" t="str">
            <v>N/A</v>
          </cell>
          <cell r="G1003">
            <v>45455</v>
          </cell>
          <cell r="H1003">
            <v>0</v>
          </cell>
          <cell r="I1003" t="str">
            <v>N/A</v>
          </cell>
          <cell r="J1003">
            <v>45468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560000</v>
          </cell>
          <cell r="AB1003">
            <v>0</v>
          </cell>
          <cell r="AC1003">
            <v>560000</v>
          </cell>
          <cell r="AD1003">
            <v>0</v>
          </cell>
          <cell r="AE1003">
            <v>0</v>
          </cell>
          <cell r="AF1003">
            <v>0</v>
          </cell>
          <cell r="AG1003" t="e">
            <v>#N/A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</row>
        <row r="1004">
          <cell r="A1004" t="str">
            <v>24-3279</v>
          </cell>
          <cell r="B1004" t="str">
            <v>LAPTOP (CLERICAL WORK)</v>
          </cell>
          <cell r="C1004" t="str">
            <v>PGO</v>
          </cell>
          <cell r="D1004" t="str">
            <v>No</v>
          </cell>
          <cell r="E1004" t="str">
            <v>Competitive Bidding</v>
          </cell>
          <cell r="F1004" t="str">
            <v>N/A</v>
          </cell>
          <cell r="G1004">
            <v>45462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468000</v>
          </cell>
          <cell r="AB1004">
            <v>0</v>
          </cell>
          <cell r="AC1004">
            <v>468000</v>
          </cell>
          <cell r="AD1004">
            <v>0</v>
          </cell>
          <cell r="AE1004">
            <v>0</v>
          </cell>
          <cell r="AF1004">
            <v>0</v>
          </cell>
          <cell r="AG1004" t="e">
            <v>#N/A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</row>
        <row r="1005">
          <cell r="A1005" t="str">
            <v>24-3368</v>
          </cell>
          <cell r="B1005" t="str">
            <v>MEDICAL, DENTAL AND LABORATORY EQUIPMENT</v>
          </cell>
          <cell r="C1005" t="str">
            <v>PHO</v>
          </cell>
          <cell r="D1005" t="str">
            <v>No</v>
          </cell>
          <cell r="E1005" t="str">
            <v>Competitive Bidding</v>
          </cell>
          <cell r="F1005" t="str">
            <v>N/A</v>
          </cell>
          <cell r="G1005">
            <v>45462</v>
          </cell>
          <cell r="H1005">
            <v>0</v>
          </cell>
          <cell r="I1005" t="str">
            <v>N/A</v>
          </cell>
          <cell r="J1005">
            <v>45475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827000</v>
          </cell>
          <cell r="AB1005">
            <v>0</v>
          </cell>
          <cell r="AC1005">
            <v>827000</v>
          </cell>
          <cell r="AD1005">
            <v>0</v>
          </cell>
          <cell r="AE1005">
            <v>0</v>
          </cell>
          <cell r="AF1005">
            <v>0</v>
          </cell>
          <cell r="AG1005" t="e">
            <v>#N/A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</row>
        <row r="1006">
          <cell r="A1006" t="str">
            <v>24-C1482</v>
          </cell>
          <cell r="B1006" t="str">
            <v>MEDICAL SUPPLIES</v>
          </cell>
          <cell r="C1006" t="str">
            <v>PDRRMO</v>
          </cell>
          <cell r="D1006" t="str">
            <v>No</v>
          </cell>
          <cell r="E1006" t="str">
            <v>Competitive Bidding</v>
          </cell>
          <cell r="F1006" t="str">
            <v>N/A</v>
          </cell>
          <cell r="G1006">
            <v>45462</v>
          </cell>
          <cell r="H1006">
            <v>0</v>
          </cell>
          <cell r="I1006" t="str">
            <v>N/A</v>
          </cell>
          <cell r="J1006">
            <v>45475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265105</v>
          </cell>
          <cell r="AB1006">
            <v>0</v>
          </cell>
          <cell r="AC1006">
            <v>265105</v>
          </cell>
          <cell r="AD1006">
            <v>0</v>
          </cell>
          <cell r="AE1006">
            <v>0</v>
          </cell>
          <cell r="AF1006">
            <v>0</v>
          </cell>
          <cell r="AG1006" t="e">
            <v>#N/A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</row>
        <row r="1007">
          <cell r="A1007" t="str">
            <v>24-C1486</v>
          </cell>
          <cell r="B1007" t="str">
            <v xml:space="preserve">AGRICULTURAL SUPPLIES
</v>
          </cell>
          <cell r="C1007" t="str">
            <v>PDRRMO</v>
          </cell>
          <cell r="D1007" t="str">
            <v>No</v>
          </cell>
          <cell r="E1007" t="str">
            <v>Competitive Bidding</v>
          </cell>
          <cell r="F1007" t="str">
            <v>N/A</v>
          </cell>
          <cell r="G1007">
            <v>45462</v>
          </cell>
          <cell r="H1007">
            <v>0</v>
          </cell>
          <cell r="I1007" t="str">
            <v>N/A</v>
          </cell>
          <cell r="J1007">
            <v>45475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385110</v>
          </cell>
          <cell r="AB1007">
            <v>0</v>
          </cell>
          <cell r="AC1007">
            <v>385110</v>
          </cell>
          <cell r="AD1007">
            <v>0</v>
          </cell>
          <cell r="AE1007">
            <v>0</v>
          </cell>
          <cell r="AF1007">
            <v>0</v>
          </cell>
          <cell r="AG1007" t="e">
            <v>#N/A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</row>
        <row r="1008">
          <cell r="A1008" t="str">
            <v>24-3356</v>
          </cell>
          <cell r="B1008" t="str">
            <v>RICE (WELL MILLED) 50KG/SACK</v>
          </cell>
          <cell r="C1008" t="str">
            <v>PDRRMO</v>
          </cell>
          <cell r="D1008" t="str">
            <v>No</v>
          </cell>
          <cell r="E1008" t="str">
            <v>Competitive Bidding</v>
          </cell>
          <cell r="F1008" t="str">
            <v>N/A</v>
          </cell>
          <cell r="G1008">
            <v>45462</v>
          </cell>
          <cell r="H1008">
            <v>0</v>
          </cell>
          <cell r="I1008" t="str">
            <v>N/A</v>
          </cell>
          <cell r="J1008">
            <v>45475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300000</v>
          </cell>
          <cell r="AB1008">
            <v>0</v>
          </cell>
          <cell r="AC1008">
            <v>300000</v>
          </cell>
          <cell r="AD1008">
            <v>0</v>
          </cell>
          <cell r="AE1008">
            <v>0</v>
          </cell>
          <cell r="AF1008">
            <v>0</v>
          </cell>
          <cell r="AG1008" t="e">
            <v>#N/A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</row>
        <row r="1009">
          <cell r="A1009" t="str">
            <v>24-C1488</v>
          </cell>
          <cell r="B1009" t="str">
            <v>MEALS AND SNACKS</v>
          </cell>
          <cell r="C1009" t="str">
            <v>PDRRMO</v>
          </cell>
          <cell r="D1009" t="str">
            <v>No</v>
          </cell>
          <cell r="E1009" t="str">
            <v>Competitive Bidding</v>
          </cell>
          <cell r="F1009" t="str">
            <v>N/A</v>
          </cell>
          <cell r="G1009">
            <v>45462</v>
          </cell>
          <cell r="H1009">
            <v>0</v>
          </cell>
          <cell r="I1009" t="str">
            <v>N/A</v>
          </cell>
          <cell r="J1009">
            <v>45475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274580</v>
          </cell>
          <cell r="AB1009">
            <v>0</v>
          </cell>
          <cell r="AC1009">
            <v>274580</v>
          </cell>
          <cell r="AD1009">
            <v>0</v>
          </cell>
          <cell r="AE1009">
            <v>0</v>
          </cell>
          <cell r="AF1009">
            <v>0</v>
          </cell>
          <cell r="AG1009" t="e">
            <v>#N/A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</row>
        <row r="1010">
          <cell r="A1010" t="str">
            <v>24-3110</v>
          </cell>
          <cell r="B1010" t="str">
            <v>MEALS AND SNACKS</v>
          </cell>
          <cell r="C1010" t="str">
            <v>PGO</v>
          </cell>
          <cell r="D1010" t="str">
            <v>No</v>
          </cell>
          <cell r="E1010" t="str">
            <v>Competitive Bidding</v>
          </cell>
          <cell r="F1010" t="str">
            <v>N/A</v>
          </cell>
          <cell r="G1010">
            <v>45462</v>
          </cell>
          <cell r="H1010">
            <v>0</v>
          </cell>
          <cell r="I1010" t="str">
            <v>N/A</v>
          </cell>
          <cell r="J1010">
            <v>45475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395000</v>
          </cell>
          <cell r="AB1010">
            <v>0</v>
          </cell>
          <cell r="AC1010">
            <v>395000</v>
          </cell>
          <cell r="AD1010">
            <v>0</v>
          </cell>
          <cell r="AE1010">
            <v>0</v>
          </cell>
          <cell r="AF1010">
            <v>0</v>
          </cell>
          <cell r="AG1010" t="e">
            <v>#N/A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</row>
        <row r="1011">
          <cell r="A1011" t="str">
            <v>24-C1402</v>
          </cell>
          <cell r="B1011" t="str">
            <v>MEALS AND SNACKS</v>
          </cell>
          <cell r="C1011" t="str">
            <v>PGO</v>
          </cell>
          <cell r="D1011" t="str">
            <v>No</v>
          </cell>
          <cell r="E1011" t="str">
            <v>Competitive Bidding</v>
          </cell>
          <cell r="F1011" t="str">
            <v>N/A</v>
          </cell>
          <cell r="G1011">
            <v>45462</v>
          </cell>
          <cell r="H1011">
            <v>0</v>
          </cell>
          <cell r="I1011" t="str">
            <v>N/A</v>
          </cell>
          <cell r="J1011">
            <v>45475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690590</v>
          </cell>
          <cell r="AB1011">
            <v>0</v>
          </cell>
          <cell r="AC1011">
            <v>690590</v>
          </cell>
          <cell r="AD1011">
            <v>0</v>
          </cell>
          <cell r="AE1011">
            <v>0</v>
          </cell>
          <cell r="AF1011">
            <v>0</v>
          </cell>
          <cell r="AG1011" t="e">
            <v>#N/A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</row>
        <row r="1012">
          <cell r="A1012" t="str">
            <v>24-C1440</v>
          </cell>
          <cell r="B1012" t="str">
            <v>MEALS AND SNACKS WITH VENUE</v>
          </cell>
          <cell r="C1012" t="str">
            <v>PGO</v>
          </cell>
          <cell r="D1012" t="str">
            <v>No</v>
          </cell>
          <cell r="E1012" t="str">
            <v>Competitive Bidding</v>
          </cell>
          <cell r="F1012" t="str">
            <v>N/A</v>
          </cell>
          <cell r="G1012">
            <v>45462</v>
          </cell>
          <cell r="H1012">
            <v>0</v>
          </cell>
          <cell r="I1012" t="str">
            <v>N/A</v>
          </cell>
          <cell r="J1012">
            <v>45475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404700</v>
          </cell>
          <cell r="AB1012">
            <v>0</v>
          </cell>
          <cell r="AC1012">
            <v>404700</v>
          </cell>
          <cell r="AD1012">
            <v>0</v>
          </cell>
          <cell r="AE1012">
            <v>0</v>
          </cell>
          <cell r="AF1012">
            <v>0</v>
          </cell>
          <cell r="AG1012" t="e">
            <v>#N/A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</row>
        <row r="1013">
          <cell r="A1013" t="str">
            <v>24-C1512</v>
          </cell>
          <cell r="B1013" t="str">
            <v>MEALS AND SNACKS WITH VENUE</v>
          </cell>
          <cell r="C1013" t="str">
            <v>PAGRO</v>
          </cell>
          <cell r="D1013" t="str">
            <v>No</v>
          </cell>
          <cell r="E1013" t="str">
            <v>Competitive Bidding</v>
          </cell>
          <cell r="F1013" t="str">
            <v>N/A</v>
          </cell>
          <cell r="G1013">
            <v>45462</v>
          </cell>
          <cell r="H1013">
            <v>0</v>
          </cell>
          <cell r="I1013" t="str">
            <v>N/A</v>
          </cell>
          <cell r="J1013">
            <v>45475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501280</v>
          </cell>
          <cell r="AB1013">
            <v>0</v>
          </cell>
          <cell r="AC1013">
            <v>501280</v>
          </cell>
          <cell r="AD1013">
            <v>0</v>
          </cell>
          <cell r="AE1013">
            <v>0</v>
          </cell>
          <cell r="AF1013">
            <v>0</v>
          </cell>
          <cell r="AG1013" t="e">
            <v>#N/A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</row>
        <row r="1014">
          <cell r="A1014" t="str">
            <v>24-C1435</v>
          </cell>
          <cell r="B1014" t="str">
            <v>MEALS AND SNACKS WITH VENUE</v>
          </cell>
          <cell r="C1014" t="str">
            <v>PHO</v>
          </cell>
          <cell r="D1014" t="str">
            <v>No</v>
          </cell>
          <cell r="E1014" t="str">
            <v>Competitive Bidding</v>
          </cell>
          <cell r="F1014" t="str">
            <v>N/A</v>
          </cell>
          <cell r="G1014">
            <v>45462</v>
          </cell>
          <cell r="H1014">
            <v>0</v>
          </cell>
          <cell r="I1014" t="str">
            <v>N/A</v>
          </cell>
          <cell r="J1014">
            <v>45475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268400</v>
          </cell>
          <cell r="AB1014">
            <v>0</v>
          </cell>
          <cell r="AC1014">
            <v>268400</v>
          </cell>
          <cell r="AD1014">
            <v>0</v>
          </cell>
          <cell r="AE1014">
            <v>0</v>
          </cell>
          <cell r="AF1014">
            <v>0</v>
          </cell>
          <cell r="AG1014" t="e">
            <v>#N/A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</row>
        <row r="1015">
          <cell r="A1015" t="str">
            <v>24-C1437</v>
          </cell>
          <cell r="B1015" t="str">
            <v xml:space="preserve">MEALS AND SNACKS </v>
          </cell>
          <cell r="C1015" t="str">
            <v>PGO</v>
          </cell>
          <cell r="D1015" t="str">
            <v>No</v>
          </cell>
          <cell r="E1015" t="str">
            <v>Competitive Bidding</v>
          </cell>
          <cell r="F1015" t="str">
            <v>N/A</v>
          </cell>
          <cell r="G1015">
            <v>45462</v>
          </cell>
          <cell r="H1015">
            <v>0</v>
          </cell>
          <cell r="I1015" t="str">
            <v>N/A</v>
          </cell>
          <cell r="J1015">
            <v>45475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455850</v>
          </cell>
          <cell r="AB1015">
            <v>0</v>
          </cell>
          <cell r="AC1015">
            <v>455850</v>
          </cell>
          <cell r="AD1015">
            <v>0</v>
          </cell>
          <cell r="AE1015">
            <v>0</v>
          </cell>
          <cell r="AF1015">
            <v>0</v>
          </cell>
          <cell r="AG1015" t="e">
            <v>#N/A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</row>
        <row r="1016">
          <cell r="A1016" t="str">
            <v>24-C1390</v>
          </cell>
          <cell r="B1016" t="str">
            <v xml:space="preserve">JANITORIAL SUPPLIES </v>
          </cell>
          <cell r="C1016" t="str">
            <v>PEEMO</v>
          </cell>
          <cell r="D1016" t="str">
            <v>No</v>
          </cell>
          <cell r="E1016" t="str">
            <v>Competitive Bidding</v>
          </cell>
          <cell r="F1016" t="str">
            <v>N/A</v>
          </cell>
          <cell r="G1016">
            <v>45467</v>
          </cell>
          <cell r="H1016">
            <v>0</v>
          </cell>
          <cell r="I1016">
            <v>45475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1524630</v>
          </cell>
          <cell r="AB1016">
            <v>0</v>
          </cell>
          <cell r="AC1016">
            <v>1524630</v>
          </cell>
          <cell r="AD1016">
            <v>0</v>
          </cell>
          <cell r="AE1016">
            <v>0</v>
          </cell>
          <cell r="AF1016">
            <v>0</v>
          </cell>
          <cell r="AG1016" t="e">
            <v>#N/A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</row>
        <row r="1017">
          <cell r="A1017" t="str">
            <v>24-C1450</v>
          </cell>
          <cell r="B1017" t="str">
            <v xml:space="preserve">JANITORIAL SUPPLIES </v>
          </cell>
          <cell r="C1017" t="str">
            <v>PDRRMO</v>
          </cell>
          <cell r="D1017" t="str">
            <v>No</v>
          </cell>
          <cell r="E1017" t="str">
            <v>Competitive Bidding</v>
          </cell>
          <cell r="F1017" t="str">
            <v>N/A</v>
          </cell>
          <cell r="G1017">
            <v>45467</v>
          </cell>
          <cell r="H1017">
            <v>0</v>
          </cell>
          <cell r="I1017">
            <v>45475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1044600</v>
          </cell>
          <cell r="AB1017">
            <v>0</v>
          </cell>
          <cell r="AC1017">
            <v>1044600</v>
          </cell>
          <cell r="AD1017">
            <v>0</v>
          </cell>
          <cell r="AE1017">
            <v>0</v>
          </cell>
          <cell r="AF1017">
            <v>0</v>
          </cell>
          <cell r="AG1017" t="e">
            <v>#N/A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</row>
        <row r="1018">
          <cell r="A1018" t="str">
            <v>24-C1396</v>
          </cell>
          <cell r="B1018" t="str">
            <v xml:space="preserve">RICE (WELL MILLED) 50KG/SACK </v>
          </cell>
          <cell r="C1018" t="str">
            <v>PEEMO</v>
          </cell>
          <cell r="D1018" t="str">
            <v>No</v>
          </cell>
          <cell r="E1018" t="str">
            <v>Competitive Bidding</v>
          </cell>
          <cell r="F1018" t="str">
            <v>N/A</v>
          </cell>
          <cell r="G1018">
            <v>45467</v>
          </cell>
          <cell r="H1018">
            <v>0</v>
          </cell>
          <cell r="I1018">
            <v>45475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1083000</v>
          </cell>
          <cell r="AB1018">
            <v>0</v>
          </cell>
          <cell r="AC1018">
            <v>1083000</v>
          </cell>
          <cell r="AD1018">
            <v>0</v>
          </cell>
          <cell r="AE1018">
            <v>0</v>
          </cell>
          <cell r="AF1018">
            <v>0</v>
          </cell>
          <cell r="AG1018" t="e">
            <v>#N/A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</row>
        <row r="1019">
          <cell r="A1019" t="str">
            <v>24-C1478</v>
          </cell>
          <cell r="B1019" t="str">
            <v xml:space="preserve">MEALS AND SNACKS WITH ACCOMMODATION </v>
          </cell>
          <cell r="C1019" t="str">
            <v>PHO</v>
          </cell>
          <cell r="D1019" t="str">
            <v>No</v>
          </cell>
          <cell r="E1019" t="str">
            <v>Competitive Bidding</v>
          </cell>
          <cell r="F1019" t="str">
            <v>N/A</v>
          </cell>
          <cell r="G1019">
            <v>45467</v>
          </cell>
          <cell r="H1019">
            <v>0</v>
          </cell>
          <cell r="I1019">
            <v>45475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1282500</v>
          </cell>
          <cell r="AB1019">
            <v>0</v>
          </cell>
          <cell r="AC1019">
            <v>1282500</v>
          </cell>
          <cell r="AD1019">
            <v>0</v>
          </cell>
          <cell r="AE1019">
            <v>0</v>
          </cell>
          <cell r="AF1019">
            <v>0</v>
          </cell>
          <cell r="AG1019" t="e">
            <v>#N/A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</row>
        <row r="1020">
          <cell r="A1020" t="str">
            <v>24-C1479</v>
          </cell>
          <cell r="B1020" t="str">
            <v xml:space="preserve">MEALS AND SNACKS </v>
          </cell>
          <cell r="C1020" t="str">
            <v>PHO</v>
          </cell>
          <cell r="D1020" t="str">
            <v>No</v>
          </cell>
          <cell r="E1020" t="str">
            <v>Competitive Bidding</v>
          </cell>
          <cell r="F1020" t="str">
            <v>N/A</v>
          </cell>
          <cell r="G1020">
            <v>45467</v>
          </cell>
          <cell r="H1020">
            <v>0</v>
          </cell>
          <cell r="I1020">
            <v>45475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1418400</v>
          </cell>
          <cell r="AB1020">
            <v>0</v>
          </cell>
          <cell r="AC1020">
            <v>1418400</v>
          </cell>
          <cell r="AD1020">
            <v>0</v>
          </cell>
          <cell r="AE1020">
            <v>0</v>
          </cell>
          <cell r="AF1020">
            <v>0</v>
          </cell>
          <cell r="AG1020" t="e">
            <v>#N/A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</row>
        <row r="1021">
          <cell r="A1021" t="str">
            <v>24-1824</v>
          </cell>
          <cell r="B1021" t="str">
            <v>JOB ORDER: SUPPLY, LABOR AND INSTALLATION AT RADIO STATION (PHASE 1)</v>
          </cell>
          <cell r="C1021" t="str">
            <v>PAO-
IPRD</v>
          </cell>
          <cell r="D1021" t="str">
            <v>No</v>
          </cell>
          <cell r="E1021" t="str">
            <v>Competitive Bidding</v>
          </cell>
          <cell r="F1021" t="str">
            <v>N/A</v>
          </cell>
          <cell r="G1021">
            <v>45467</v>
          </cell>
          <cell r="H1021">
            <v>0</v>
          </cell>
          <cell r="I1021">
            <v>45475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3655000</v>
          </cell>
          <cell r="AB1021">
            <v>0</v>
          </cell>
          <cell r="AC1021">
            <v>3655000</v>
          </cell>
          <cell r="AD1021">
            <v>0</v>
          </cell>
          <cell r="AE1021">
            <v>0</v>
          </cell>
          <cell r="AF1021">
            <v>0</v>
          </cell>
          <cell r="AG1021" t="e">
            <v>#N/A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</row>
        <row r="1022">
          <cell r="A1022" t="str">
            <v>24-C1348</v>
          </cell>
          <cell r="B1022" t="str">
            <v>COLORED PRINTER AND BINDING MACHINE</v>
          </cell>
          <cell r="C1022" t="str">
            <v>PBO</v>
          </cell>
          <cell r="D1022" t="str">
            <v>No</v>
          </cell>
          <cell r="E1022" t="str">
            <v>Competitive Bidding</v>
          </cell>
          <cell r="F1022">
            <v>45461</v>
          </cell>
          <cell r="G1022">
            <v>45467</v>
          </cell>
          <cell r="H1022">
            <v>0</v>
          </cell>
          <cell r="I1022" t="str">
            <v>N/A</v>
          </cell>
          <cell r="J1022">
            <v>45475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291000</v>
          </cell>
          <cell r="AB1022">
            <v>0</v>
          </cell>
          <cell r="AC1022">
            <v>291000</v>
          </cell>
          <cell r="AD1022">
            <v>0</v>
          </cell>
          <cell r="AE1022">
            <v>0</v>
          </cell>
          <cell r="AF1022">
            <v>0</v>
          </cell>
          <cell r="AG1022" t="e">
            <v>#N/A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</row>
        <row r="1023">
          <cell r="A1023" t="str">
            <v>24-C1438</v>
          </cell>
          <cell r="B1023" t="str">
            <v xml:space="preserve">FOOD SUPPLIES </v>
          </cell>
          <cell r="C1023" t="str">
            <v>PGO</v>
          </cell>
          <cell r="D1023" t="str">
            <v>No</v>
          </cell>
          <cell r="E1023" t="str">
            <v>Competitive Bidding</v>
          </cell>
          <cell r="F1023">
            <v>45461</v>
          </cell>
          <cell r="G1023">
            <v>45467</v>
          </cell>
          <cell r="H1023">
            <v>0</v>
          </cell>
          <cell r="I1023">
            <v>45475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3047840</v>
          </cell>
          <cell r="AB1023">
            <v>0</v>
          </cell>
          <cell r="AC1023">
            <v>3047840</v>
          </cell>
          <cell r="AD1023">
            <v>0</v>
          </cell>
          <cell r="AE1023">
            <v>0</v>
          </cell>
          <cell r="AF1023">
            <v>0</v>
          </cell>
          <cell r="AG1023" t="e">
            <v>#N/A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</row>
        <row r="1024">
          <cell r="A1024" t="str">
            <v>24-2651</v>
          </cell>
          <cell r="B1024" t="str">
            <v xml:space="preserve">FOOD SUPPLIES </v>
          </cell>
          <cell r="C1024" t="str">
            <v>PSWDO</v>
          </cell>
          <cell r="D1024" t="str">
            <v>No</v>
          </cell>
          <cell r="E1024" t="str">
            <v>Competitive Bidding</v>
          </cell>
          <cell r="F1024">
            <v>45461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2903840</v>
          </cell>
          <cell r="AB1024">
            <v>0</v>
          </cell>
          <cell r="AC1024">
            <v>2903840</v>
          </cell>
          <cell r="AD1024">
            <v>0</v>
          </cell>
          <cell r="AE1024">
            <v>0</v>
          </cell>
          <cell r="AF1024">
            <v>0</v>
          </cell>
          <cell r="AG1024" t="e">
            <v>#N/A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</row>
        <row r="1025">
          <cell r="A1025" t="str">
            <v>24-3212</v>
          </cell>
          <cell r="B1025" t="str">
            <v>COMPUTER SET WITH COMPLETE ACCESSORIES  AND LAPTOP</v>
          </cell>
          <cell r="C1025" t="str">
            <v>PGO</v>
          </cell>
          <cell r="D1025" t="str">
            <v>No</v>
          </cell>
          <cell r="E1025" t="str">
            <v>Competitive Bidding</v>
          </cell>
          <cell r="F1025">
            <v>45461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123000</v>
          </cell>
          <cell r="AB1025">
            <v>0</v>
          </cell>
          <cell r="AC1025">
            <v>123000</v>
          </cell>
          <cell r="AD1025">
            <v>0</v>
          </cell>
          <cell r="AE1025">
            <v>0</v>
          </cell>
          <cell r="AF1025">
            <v>0</v>
          </cell>
          <cell r="AG1025" t="e">
            <v>#N/A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</row>
        <row r="1026">
          <cell r="A1026" t="str">
            <v>24-C1446</v>
          </cell>
          <cell r="B1026" t="str">
            <v>COMPUTER SET WITH COMPLETE ACCESSORIES  AND LAPTOP</v>
          </cell>
          <cell r="C1026" t="str">
            <v>PSWDO</v>
          </cell>
          <cell r="D1026" t="str">
            <v>No</v>
          </cell>
          <cell r="E1026" t="str">
            <v>Competitive Bidding</v>
          </cell>
          <cell r="F1026">
            <v>45461</v>
          </cell>
          <cell r="G1026">
            <v>45467</v>
          </cell>
          <cell r="H1026">
            <v>0</v>
          </cell>
          <cell r="I1026" t="str">
            <v>N/A</v>
          </cell>
          <cell r="J1026">
            <v>45475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162000</v>
          </cell>
          <cell r="AB1026">
            <v>0</v>
          </cell>
          <cell r="AC1026">
            <v>162000</v>
          </cell>
          <cell r="AD1026">
            <v>0</v>
          </cell>
          <cell r="AE1026">
            <v>0</v>
          </cell>
          <cell r="AF1026">
            <v>0</v>
          </cell>
          <cell r="AG1026" t="e">
            <v>#N/A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</row>
        <row r="1027">
          <cell r="A1027" t="str">
            <v>24-3282</v>
          </cell>
          <cell r="B1027" t="str">
            <v>LIVE AMMUNITIION FOR 9MM CALIBER</v>
          </cell>
          <cell r="C1027" t="str">
            <v>PGO-PS</v>
          </cell>
          <cell r="D1027" t="str">
            <v>No</v>
          </cell>
          <cell r="E1027" t="str">
            <v>Competitive Bidding</v>
          </cell>
          <cell r="F1027">
            <v>45461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340560</v>
          </cell>
          <cell r="AB1027">
            <v>0</v>
          </cell>
          <cell r="AC1027">
            <v>340560</v>
          </cell>
          <cell r="AD1027">
            <v>0</v>
          </cell>
          <cell r="AE1027">
            <v>0</v>
          </cell>
          <cell r="AF1027">
            <v>0</v>
          </cell>
          <cell r="AG1027" t="e">
            <v>#N/A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</row>
        <row r="1028">
          <cell r="A1028" t="str">
            <v>24-C1469</v>
          </cell>
          <cell r="B1028" t="str">
            <v>OFFICE EQUIPMENT</v>
          </cell>
          <cell r="C1028" t="str">
            <v>PAGRO</v>
          </cell>
          <cell r="D1028" t="str">
            <v>No</v>
          </cell>
          <cell r="E1028" t="str">
            <v>Competitive Bidding</v>
          </cell>
          <cell r="F1028">
            <v>45461</v>
          </cell>
          <cell r="G1028">
            <v>45467</v>
          </cell>
          <cell r="H1028">
            <v>0</v>
          </cell>
          <cell r="I1028" t="str">
            <v>N/A</v>
          </cell>
          <cell r="J1028">
            <v>45475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131600</v>
          </cell>
          <cell r="AB1028">
            <v>0</v>
          </cell>
          <cell r="AC1028">
            <v>131600</v>
          </cell>
          <cell r="AD1028">
            <v>0</v>
          </cell>
          <cell r="AE1028">
            <v>0</v>
          </cell>
          <cell r="AF1028">
            <v>0</v>
          </cell>
          <cell r="AG1028" t="e">
            <v>#N/A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</row>
        <row r="1029">
          <cell r="A1029" t="str">
            <v>24-3252</v>
          </cell>
          <cell r="B1029" t="str">
            <v>MOBILE KITCHEN FACILITY (BRAND NEW)</v>
          </cell>
          <cell r="C1029" t="str">
            <v>PDRRMO</v>
          </cell>
          <cell r="D1029" t="str">
            <v>No</v>
          </cell>
          <cell r="E1029" t="str">
            <v>Competitive Bidding</v>
          </cell>
          <cell r="F1029">
            <v>45461</v>
          </cell>
          <cell r="G1029">
            <v>45467</v>
          </cell>
          <cell r="H1029">
            <v>0</v>
          </cell>
          <cell r="I1029">
            <v>45475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4482023.84</v>
          </cell>
          <cell r="AB1029">
            <v>0</v>
          </cell>
          <cell r="AC1029">
            <v>4482023.84</v>
          </cell>
          <cell r="AD1029">
            <v>0</v>
          </cell>
          <cell r="AE1029">
            <v>0</v>
          </cell>
          <cell r="AF1029">
            <v>0</v>
          </cell>
          <cell r="AG1029" t="e">
            <v>#N/A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</row>
        <row r="1030">
          <cell r="A1030" t="str">
            <v>24-3220</v>
          </cell>
          <cell r="B1030" t="str">
            <v>MINI DUMPTRUCK</v>
          </cell>
          <cell r="C1030" t="str">
            <v>PDRRMO</v>
          </cell>
          <cell r="D1030" t="str">
            <v>No</v>
          </cell>
          <cell r="E1030" t="str">
            <v>Competitive Bidding</v>
          </cell>
          <cell r="F1030">
            <v>45461</v>
          </cell>
          <cell r="G1030">
            <v>45467</v>
          </cell>
          <cell r="H1030">
            <v>0</v>
          </cell>
          <cell r="I1030">
            <v>45475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2000000</v>
          </cell>
          <cell r="AB1030">
            <v>0</v>
          </cell>
          <cell r="AC1030">
            <v>2000000</v>
          </cell>
          <cell r="AD1030">
            <v>0</v>
          </cell>
          <cell r="AE1030">
            <v>0</v>
          </cell>
          <cell r="AF1030">
            <v>0</v>
          </cell>
          <cell r="AG1030" t="e">
            <v>#N/A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</row>
        <row r="1031">
          <cell r="A1031" t="str">
            <v>24-3219</v>
          </cell>
          <cell r="B1031" t="str">
            <v>LIVESTOCK VEHICLE
(DUMP TRUCK)</v>
          </cell>
          <cell r="C1031" t="str">
            <v>PDRRMO</v>
          </cell>
          <cell r="D1031" t="str">
            <v>No</v>
          </cell>
          <cell r="E1031" t="str">
            <v>Competitive Bidding</v>
          </cell>
          <cell r="F1031">
            <v>45461</v>
          </cell>
          <cell r="G1031">
            <v>45467</v>
          </cell>
          <cell r="H1031">
            <v>0</v>
          </cell>
          <cell r="I1031">
            <v>45475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3700000</v>
          </cell>
          <cell r="AB1031">
            <v>0</v>
          </cell>
          <cell r="AC1031">
            <v>3700000</v>
          </cell>
          <cell r="AD1031">
            <v>0</v>
          </cell>
          <cell r="AE1031">
            <v>0</v>
          </cell>
          <cell r="AF1031">
            <v>0</v>
          </cell>
          <cell r="AG1031" t="e">
            <v>#N/A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</row>
        <row r="1032">
          <cell r="A1032" t="str">
            <v>24-C1413</v>
          </cell>
          <cell r="B1032" t="str">
            <v>RICE (WELL MILLED) 50KG/SACK</v>
          </cell>
          <cell r="C1032" t="str">
            <v>PGO</v>
          </cell>
          <cell r="D1032" t="str">
            <v>No</v>
          </cell>
          <cell r="E1032" t="str">
            <v>Competitive Bidding</v>
          </cell>
          <cell r="F1032">
            <v>45461</v>
          </cell>
          <cell r="G1032">
            <v>45467</v>
          </cell>
          <cell r="H1032">
            <v>0</v>
          </cell>
          <cell r="I1032">
            <v>45475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3006000</v>
          </cell>
          <cell r="AB1032">
            <v>0</v>
          </cell>
          <cell r="AC1032">
            <v>3006000</v>
          </cell>
          <cell r="AD1032">
            <v>0</v>
          </cell>
          <cell r="AE1032">
            <v>0</v>
          </cell>
          <cell r="AF1032">
            <v>0</v>
          </cell>
          <cell r="AG1032" t="e">
            <v>#N/A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</row>
        <row r="1033">
          <cell r="A1033" t="str">
            <v>24-C1468</v>
          </cell>
          <cell r="B1033" t="str">
            <v>MEALS AND SNACKS WITH ACCOMMODATION</v>
          </cell>
          <cell r="C1033" t="str">
            <v>PHO</v>
          </cell>
          <cell r="D1033" t="str">
            <v>No</v>
          </cell>
          <cell r="E1033" t="str">
            <v>Competitive Bidding</v>
          </cell>
          <cell r="F1033">
            <v>45468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364800</v>
          </cell>
          <cell r="AB1033">
            <v>0</v>
          </cell>
          <cell r="AC1033">
            <v>364800</v>
          </cell>
          <cell r="AD1033">
            <v>0</v>
          </cell>
          <cell r="AE1033">
            <v>0</v>
          </cell>
          <cell r="AF1033">
            <v>0</v>
          </cell>
          <cell r="AG1033" t="e">
            <v>#N/A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</row>
        <row r="1034">
          <cell r="A1034" t="str">
            <v>24-C1473</v>
          </cell>
          <cell r="B1034" t="str">
            <v xml:space="preserve">SPAREPARTS (HEAVY EQUIPMENT) </v>
          </cell>
          <cell r="C1034" t="str">
            <v>PEO</v>
          </cell>
          <cell r="D1034" t="str">
            <v>No</v>
          </cell>
          <cell r="E1034" t="str">
            <v>Competitive Bidding</v>
          </cell>
          <cell r="F1034">
            <v>45468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3676700</v>
          </cell>
          <cell r="AB1034">
            <v>0</v>
          </cell>
          <cell r="AC1034">
            <v>3676700</v>
          </cell>
          <cell r="AD1034">
            <v>0</v>
          </cell>
          <cell r="AE1034">
            <v>0</v>
          </cell>
          <cell r="AF1034">
            <v>0</v>
          </cell>
          <cell r="AG1034" t="e">
            <v>#N/A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</row>
        <row r="1035">
          <cell r="A1035" t="str">
            <v>24-C1453</v>
          </cell>
          <cell r="B1035" t="str">
            <v>MEALS AND SNACKS WITH ACCOMMODATION</v>
          </cell>
          <cell r="C1035" t="str">
            <v>PGO</v>
          </cell>
          <cell r="D1035" t="str">
            <v>No</v>
          </cell>
          <cell r="E1035" t="str">
            <v>Competitive Bidding</v>
          </cell>
          <cell r="F1035">
            <v>45468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460000</v>
          </cell>
          <cell r="AB1035">
            <v>0</v>
          </cell>
          <cell r="AC1035">
            <v>460000</v>
          </cell>
          <cell r="AD1035">
            <v>0</v>
          </cell>
          <cell r="AE1035">
            <v>0</v>
          </cell>
          <cell r="AF1035">
            <v>0</v>
          </cell>
          <cell r="AG1035" t="e">
            <v>#N/A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</row>
        <row r="1036">
          <cell r="A1036" t="str">
            <v>24-C1487</v>
          </cell>
          <cell r="B1036" t="str">
            <v>LABORATORY SUPPLIES</v>
          </cell>
          <cell r="C1036" t="str">
            <v>PDRRMO</v>
          </cell>
          <cell r="D1036" t="str">
            <v>No</v>
          </cell>
          <cell r="E1036" t="str">
            <v>Competitive Bidding</v>
          </cell>
          <cell r="F1036">
            <v>45468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422941.6</v>
          </cell>
          <cell r="AB1036">
            <v>0</v>
          </cell>
          <cell r="AC1036">
            <v>422941.6</v>
          </cell>
          <cell r="AD1036">
            <v>0</v>
          </cell>
          <cell r="AE1036">
            <v>0</v>
          </cell>
          <cell r="AF1036">
            <v>0</v>
          </cell>
          <cell r="AG1036" t="e">
            <v>#N/A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</row>
        <row r="1037">
          <cell r="A1037" t="str">
            <v>24-3339</v>
          </cell>
          <cell r="B1037" t="str">
            <v>OFFICE EQUIPMENT</v>
          </cell>
          <cell r="C1037" t="str">
            <v>PPDO</v>
          </cell>
          <cell r="D1037" t="str">
            <v>No</v>
          </cell>
          <cell r="E1037" t="str">
            <v>Competitive Bidding</v>
          </cell>
          <cell r="F1037">
            <v>45468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215900</v>
          </cell>
          <cell r="AB1037">
            <v>0</v>
          </cell>
          <cell r="AC1037">
            <v>215900</v>
          </cell>
          <cell r="AD1037">
            <v>0</v>
          </cell>
          <cell r="AE1037">
            <v>0</v>
          </cell>
          <cell r="AF1037">
            <v>0</v>
          </cell>
          <cell r="AG1037" t="e">
            <v>#N/A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</row>
        <row r="1038">
          <cell r="A1038" t="str">
            <v>24-3789</v>
          </cell>
          <cell r="B1038" t="str">
            <v>RICE (WELL-MILLED) 50KG/SACK</v>
          </cell>
          <cell r="C1038" t="str">
            <v>PGO</v>
          </cell>
          <cell r="D1038" t="str">
            <v>No</v>
          </cell>
          <cell r="E1038" t="str">
            <v>Competitive Bidding</v>
          </cell>
          <cell r="F1038">
            <v>45468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462000</v>
          </cell>
          <cell r="AB1038">
            <v>0</v>
          </cell>
          <cell r="AC1038">
            <v>462000</v>
          </cell>
          <cell r="AD1038">
            <v>0</v>
          </cell>
          <cell r="AE1038">
            <v>0</v>
          </cell>
          <cell r="AF1038">
            <v>0</v>
          </cell>
          <cell r="AG1038" t="e">
            <v>#N/A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</row>
        <row r="1039">
          <cell r="A1039" t="str">
            <v>24-C1542</v>
          </cell>
          <cell r="B1039" t="str">
            <v>FUEL, OIL AND LUBRICANTS</v>
          </cell>
          <cell r="C1039" t="str">
            <v>PGSO</v>
          </cell>
          <cell r="D1039" t="str">
            <v>No</v>
          </cell>
          <cell r="E1039" t="str">
            <v>Competitive Bidding</v>
          </cell>
          <cell r="F1039">
            <v>45468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2788919.67</v>
          </cell>
          <cell r="AB1039">
            <v>0</v>
          </cell>
          <cell r="AC1039">
            <v>2788919.67</v>
          </cell>
          <cell r="AD1039">
            <v>0</v>
          </cell>
          <cell r="AE1039">
            <v>0</v>
          </cell>
          <cell r="AF1039">
            <v>0</v>
          </cell>
          <cell r="AG1039" t="e">
            <v>#N/A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</row>
        <row r="1040">
          <cell r="A1040" t="str">
            <v>24-1882</v>
          </cell>
          <cell r="B1040" t="str">
            <v>STAINLESS STEEL COFFEE BEAN SORTER</v>
          </cell>
          <cell r="C1040" t="str">
            <v>PAGRO</v>
          </cell>
          <cell r="D1040" t="str">
            <v>No</v>
          </cell>
          <cell r="E1040" t="str">
            <v>Competitive Bidding</v>
          </cell>
          <cell r="F1040">
            <v>45468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291500</v>
          </cell>
          <cell r="AB1040">
            <v>0</v>
          </cell>
          <cell r="AC1040">
            <v>291500</v>
          </cell>
          <cell r="AD1040">
            <v>0</v>
          </cell>
          <cell r="AE1040">
            <v>0</v>
          </cell>
          <cell r="AF1040">
            <v>0</v>
          </cell>
          <cell r="AG1040" t="e">
            <v>#N/A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</row>
        <row r="1041">
          <cell r="A1041" t="str">
            <v>24-3703</v>
          </cell>
          <cell r="B1041" t="str">
            <v>CU 5060I INCLINED CUTTER WITH 720 BAR WORKING PRESSURE, 205MM CUTIING OPENING, 1765KN CUTTING FORCE, 19.8 KG WEIGHT, 820 X 342 X 285 MM DIMENSIONS,  47MM ROUND BAR, EN13204</v>
          </cell>
          <cell r="C1041" t="str">
            <v>PDRRMO</v>
          </cell>
          <cell r="D1041" t="str">
            <v>No</v>
          </cell>
          <cell r="E1041" t="str">
            <v>Competitive Bidding</v>
          </cell>
          <cell r="F1041">
            <v>45468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1489000</v>
          </cell>
          <cell r="AB1041">
            <v>0</v>
          </cell>
          <cell r="AC1041">
            <v>1489000</v>
          </cell>
          <cell r="AD1041">
            <v>0</v>
          </cell>
          <cell r="AE1041">
            <v>0</v>
          </cell>
          <cell r="AF1041">
            <v>0</v>
          </cell>
          <cell r="AG1041" t="e">
            <v>#N/A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</row>
        <row r="1042">
          <cell r="A1042" t="str">
            <v>24-C1472</v>
          </cell>
          <cell r="B1042" t="str">
            <v>LUBRICANTS</v>
          </cell>
          <cell r="C1042" t="str">
            <v>PEO</v>
          </cell>
          <cell r="D1042" t="str">
            <v>No</v>
          </cell>
          <cell r="E1042" t="str">
            <v>Competitive Bidding</v>
          </cell>
          <cell r="F1042">
            <v>45468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2644808</v>
          </cell>
          <cell r="AB1042">
            <v>0</v>
          </cell>
          <cell r="AC1042">
            <v>2644808</v>
          </cell>
          <cell r="AD1042">
            <v>0</v>
          </cell>
          <cell r="AE1042">
            <v>0</v>
          </cell>
          <cell r="AF1042">
            <v>0</v>
          </cell>
          <cell r="AG1042" t="e">
            <v>#N/A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</row>
        <row r="1043">
          <cell r="A1043" t="str">
            <v>24-C1451</v>
          </cell>
          <cell r="B1043" t="str">
            <v>GROCERY SUPPLIES</v>
          </cell>
          <cell r="C1043" t="str">
            <v>PDRRMO</v>
          </cell>
          <cell r="D1043" t="str">
            <v>No</v>
          </cell>
          <cell r="E1043" t="str">
            <v>Competitive Bidding</v>
          </cell>
          <cell r="F1043">
            <v>45468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392436</v>
          </cell>
          <cell r="AB1043">
            <v>0</v>
          </cell>
          <cell r="AC1043">
            <v>392436</v>
          </cell>
          <cell r="AD1043">
            <v>0</v>
          </cell>
          <cell r="AE1043">
            <v>0</v>
          </cell>
          <cell r="AF1043">
            <v>0</v>
          </cell>
          <cell r="AG1043" t="e">
            <v>#N/A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</row>
        <row r="1044">
          <cell r="A1044" t="str">
            <v>24-2986</v>
          </cell>
          <cell r="B1044" t="str">
            <v>GEMELINA LUMBER OR EQUIVALENT</v>
          </cell>
          <cell r="C1044" t="str">
            <v>PEO</v>
          </cell>
          <cell r="D1044" t="str">
            <v>No</v>
          </cell>
          <cell r="E1044" t="str">
            <v>Competitive Bidding</v>
          </cell>
          <cell r="F1044">
            <v>45468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859222.98</v>
          </cell>
          <cell r="AB1044">
            <v>0</v>
          </cell>
          <cell r="AC1044">
            <v>859222.98</v>
          </cell>
          <cell r="AD1044">
            <v>0</v>
          </cell>
          <cell r="AE1044">
            <v>0</v>
          </cell>
          <cell r="AF1044">
            <v>0</v>
          </cell>
          <cell r="AG1044" t="e">
            <v>#N/A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</row>
        <row r="1045">
          <cell r="A1045" t="str">
            <v>24-C1422</v>
          </cell>
          <cell r="B1045" t="str">
            <v>FLUIDS</v>
          </cell>
          <cell r="C1045" t="str">
            <v>PEEMO</v>
          </cell>
          <cell r="D1045" t="str">
            <v>No</v>
          </cell>
          <cell r="E1045" t="str">
            <v>Competitive Bidding</v>
          </cell>
          <cell r="F1045" t="str">
            <v>N/A</v>
          </cell>
          <cell r="G1045">
            <v>45467</v>
          </cell>
          <cell r="H1045">
            <v>0</v>
          </cell>
          <cell r="I1045" t="str">
            <v>N/A</v>
          </cell>
          <cell r="J1045">
            <v>45475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425620</v>
          </cell>
          <cell r="AB1045">
            <v>0</v>
          </cell>
          <cell r="AC1045">
            <v>425620</v>
          </cell>
          <cell r="AD1045">
            <v>0</v>
          </cell>
          <cell r="AE1045">
            <v>0</v>
          </cell>
          <cell r="AF1045">
            <v>0</v>
          </cell>
          <cell r="AG1045" t="e">
            <v>#N/A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</row>
        <row r="1046">
          <cell r="A1046" t="str">
            <v>24-C1387</v>
          </cell>
          <cell r="B1046" t="str">
            <v>LABORATORY SUPPLIES</v>
          </cell>
          <cell r="C1046" t="str">
            <v>PEEMO</v>
          </cell>
          <cell r="D1046" t="str">
            <v>No</v>
          </cell>
          <cell r="E1046" t="str">
            <v>Competitive Bidding</v>
          </cell>
          <cell r="F1046" t="str">
            <v>N/A</v>
          </cell>
          <cell r="G1046">
            <v>45467</v>
          </cell>
          <cell r="H1046">
            <v>0</v>
          </cell>
          <cell r="I1046" t="str">
            <v>N/A</v>
          </cell>
          <cell r="J1046">
            <v>45475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976294</v>
          </cell>
          <cell r="AB1046">
            <v>0</v>
          </cell>
          <cell r="AC1046">
            <v>976294</v>
          </cell>
          <cell r="AD1046">
            <v>0</v>
          </cell>
          <cell r="AE1046">
            <v>0</v>
          </cell>
          <cell r="AF1046">
            <v>0</v>
          </cell>
          <cell r="AG1046" t="e">
            <v>#N/A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</row>
        <row r="1047">
          <cell r="A1047" t="str">
            <v>24-C1474</v>
          </cell>
          <cell r="B1047" t="str">
            <v>VEHICLE SPAREPARTS</v>
          </cell>
          <cell r="C1047" t="str">
            <v>PEO</v>
          </cell>
          <cell r="D1047" t="str">
            <v>No</v>
          </cell>
          <cell r="E1047" t="str">
            <v>Competitive Bidding</v>
          </cell>
          <cell r="F1047" t="str">
            <v>N/A</v>
          </cell>
          <cell r="G1047">
            <v>45467</v>
          </cell>
          <cell r="H1047">
            <v>0</v>
          </cell>
          <cell r="I1047" t="str">
            <v>N/A</v>
          </cell>
          <cell r="J1047">
            <v>45475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600600</v>
          </cell>
          <cell r="AB1047">
            <v>0</v>
          </cell>
          <cell r="AC1047">
            <v>600600</v>
          </cell>
          <cell r="AD1047">
            <v>0</v>
          </cell>
          <cell r="AE1047">
            <v>0</v>
          </cell>
          <cell r="AF1047">
            <v>0</v>
          </cell>
          <cell r="AG1047" t="e">
            <v>#N/A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</row>
        <row r="1048">
          <cell r="A1048" t="str">
            <v>24-C1530</v>
          </cell>
          <cell r="B1048" t="str">
            <v>SPAREPARTS (LIGHT VEHICLE)</v>
          </cell>
          <cell r="C1048" t="str">
            <v>PGSO</v>
          </cell>
          <cell r="D1048" t="str">
            <v>No</v>
          </cell>
          <cell r="E1048" t="str">
            <v>Competitive Bidding</v>
          </cell>
          <cell r="F1048" t="str">
            <v>N/A</v>
          </cell>
          <cell r="G1048">
            <v>45467</v>
          </cell>
          <cell r="H1048">
            <v>0</v>
          </cell>
          <cell r="I1048" t="str">
            <v>N/A</v>
          </cell>
          <cell r="J1048">
            <v>45475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920686</v>
          </cell>
          <cell r="AB1048">
            <v>0</v>
          </cell>
          <cell r="AC1048">
            <v>920686</v>
          </cell>
          <cell r="AD1048">
            <v>0</v>
          </cell>
          <cell r="AE1048">
            <v>0</v>
          </cell>
          <cell r="AF1048">
            <v>0</v>
          </cell>
          <cell r="AG1048" t="e">
            <v>#N/A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</row>
        <row r="1049">
          <cell r="A1049" t="str">
            <v>24-C1527</v>
          </cell>
          <cell r="B1049" t="str">
            <v>SPAREPARTS (HEAVY EQUIPMENT)</v>
          </cell>
          <cell r="C1049" t="str">
            <v>PGSO</v>
          </cell>
          <cell r="D1049" t="str">
            <v>No</v>
          </cell>
          <cell r="E1049" t="str">
            <v>Competitive Bidding</v>
          </cell>
          <cell r="F1049" t="str">
            <v>N/A</v>
          </cell>
          <cell r="G1049">
            <v>45467</v>
          </cell>
          <cell r="H1049">
            <v>0</v>
          </cell>
          <cell r="I1049" t="str">
            <v>N/A</v>
          </cell>
          <cell r="J1049">
            <v>45475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547615</v>
          </cell>
          <cell r="AB1049">
            <v>0</v>
          </cell>
          <cell r="AC1049">
            <v>547615</v>
          </cell>
          <cell r="AD1049">
            <v>0</v>
          </cell>
          <cell r="AE1049">
            <v>0</v>
          </cell>
          <cell r="AF1049">
            <v>0</v>
          </cell>
          <cell r="AG1049" t="e">
            <v>#N/A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</row>
        <row r="1050">
          <cell r="A1050" t="str">
            <v>24-C1510</v>
          </cell>
          <cell r="B1050" t="str">
            <v>SPAREPARTS (HEAVY EQUIPMENT)</v>
          </cell>
          <cell r="C1050" t="str">
            <v>PEO</v>
          </cell>
          <cell r="D1050" t="str">
            <v>No</v>
          </cell>
          <cell r="E1050" t="str">
            <v>Competitive Bidding</v>
          </cell>
          <cell r="F1050" t="str">
            <v>N/A</v>
          </cell>
          <cell r="G1050">
            <v>45467</v>
          </cell>
          <cell r="H1050">
            <v>0</v>
          </cell>
          <cell r="I1050" t="str">
            <v>N/A</v>
          </cell>
          <cell r="J1050">
            <v>45475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851481</v>
          </cell>
          <cell r="AB1050">
            <v>0</v>
          </cell>
          <cell r="AC1050">
            <v>851481</v>
          </cell>
          <cell r="AD1050">
            <v>0</v>
          </cell>
          <cell r="AE1050">
            <v>0</v>
          </cell>
          <cell r="AF1050">
            <v>0</v>
          </cell>
          <cell r="AG1050" t="e">
            <v>#N/A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</row>
        <row r="1051">
          <cell r="A1051" t="str">
            <v>24-C1492</v>
          </cell>
          <cell r="B1051" t="str">
            <v>DRUGS AND MEDICINES</v>
          </cell>
          <cell r="C1051" t="str">
            <v>PDRRMO</v>
          </cell>
          <cell r="D1051" t="str">
            <v>No</v>
          </cell>
          <cell r="E1051" t="str">
            <v>Competitive Bidding</v>
          </cell>
          <cell r="F1051" t="str">
            <v>N/A</v>
          </cell>
          <cell r="G1051">
            <v>45467</v>
          </cell>
          <cell r="H1051">
            <v>0</v>
          </cell>
          <cell r="I1051">
            <v>45475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1545471.8</v>
          </cell>
          <cell r="AB1051">
            <v>0</v>
          </cell>
          <cell r="AC1051">
            <v>1545471.8</v>
          </cell>
          <cell r="AD1051">
            <v>0</v>
          </cell>
          <cell r="AE1051">
            <v>0</v>
          </cell>
          <cell r="AF1051">
            <v>0</v>
          </cell>
          <cell r="AG1051" t="e">
            <v>#N/A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</row>
        <row r="1052">
          <cell r="A1052" t="str">
            <v>24-C1443</v>
          </cell>
          <cell r="B1052" t="str">
            <v>MEALS AND SNACKS WITH ACCOMMODATION</v>
          </cell>
          <cell r="C1052" t="str">
            <v>PSWDO</v>
          </cell>
          <cell r="D1052" t="str">
            <v>No</v>
          </cell>
          <cell r="E1052" t="str">
            <v>Competitive Bidding</v>
          </cell>
          <cell r="F1052" t="str">
            <v>N/A</v>
          </cell>
          <cell r="G1052">
            <v>45467</v>
          </cell>
          <cell r="H1052">
            <v>0</v>
          </cell>
          <cell r="I1052">
            <v>45475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1150000</v>
          </cell>
          <cell r="AB1052">
            <v>0</v>
          </cell>
          <cell r="AC1052">
            <v>1150000</v>
          </cell>
          <cell r="AD1052">
            <v>0</v>
          </cell>
          <cell r="AE1052">
            <v>0</v>
          </cell>
          <cell r="AF1052">
            <v>0</v>
          </cell>
          <cell r="AG1052" t="e">
            <v>#N/A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</row>
        <row r="1053">
          <cell r="A1053" t="str">
            <v>24-3207</v>
          </cell>
          <cell r="B1053" t="str">
            <v>MEALS AND SNACKS WITH ACCOMMODATION</v>
          </cell>
          <cell r="C1053" t="str">
            <v>PSWDO</v>
          </cell>
          <cell r="D1053" t="str">
            <v>No</v>
          </cell>
          <cell r="E1053" t="str">
            <v>Competitive Bidding</v>
          </cell>
          <cell r="F1053" t="str">
            <v>N/A</v>
          </cell>
          <cell r="G1053">
            <v>45467</v>
          </cell>
          <cell r="H1053">
            <v>0</v>
          </cell>
          <cell r="I1053">
            <v>45475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1472000</v>
          </cell>
          <cell r="AB1053">
            <v>0</v>
          </cell>
          <cell r="AC1053">
            <v>1472000</v>
          </cell>
          <cell r="AD1053">
            <v>0</v>
          </cell>
          <cell r="AE1053">
            <v>0</v>
          </cell>
          <cell r="AF1053">
            <v>0</v>
          </cell>
          <cell r="AG1053" t="e">
            <v>#N/A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</row>
        <row r="1054">
          <cell r="A1054" t="str">
            <v>24-2091</v>
          </cell>
          <cell r="B1054" t="str">
            <v>BRAND NEW DUMP TRUCK; IMPORTED COMPLETE BUILT-UP UNIT; FORWARD CONTROL, LEFT HAND DRIVE, 4X4, 6 WHEELER, AIR CONDITIONED</v>
          </cell>
          <cell r="C1054" t="str">
            <v>PEO</v>
          </cell>
          <cell r="D1054" t="str">
            <v>No</v>
          </cell>
          <cell r="E1054" t="str">
            <v>Competitive Bidding</v>
          </cell>
          <cell r="F1054">
            <v>45387</v>
          </cell>
          <cell r="G1054">
            <v>45404</v>
          </cell>
          <cell r="H1054">
            <v>0</v>
          </cell>
          <cell r="I1054">
            <v>45412</v>
          </cell>
          <cell r="J1054">
            <v>45426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14850000</v>
          </cell>
          <cell r="AB1054">
            <v>0</v>
          </cell>
          <cell r="AC1054">
            <v>14850000</v>
          </cell>
          <cell r="AD1054">
            <v>0</v>
          </cell>
          <cell r="AE1054">
            <v>0</v>
          </cell>
          <cell r="AF1054">
            <v>0</v>
          </cell>
          <cell r="AG1054" t="e">
            <v>#N/A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</row>
        <row r="1055">
          <cell r="A1055" t="str">
            <v>24-2133</v>
          </cell>
          <cell r="B1055" t="str">
            <v>LUMBER</v>
          </cell>
          <cell r="C1055" t="str">
            <v>PEO</v>
          </cell>
          <cell r="D1055" t="str">
            <v>No</v>
          </cell>
          <cell r="E1055" t="str">
            <v>NP-53.9 - Small Value Procurement</v>
          </cell>
          <cell r="F1055" t="str">
            <v>N/A</v>
          </cell>
          <cell r="G1055">
            <v>45461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77500</v>
          </cell>
          <cell r="AB1055">
            <v>0</v>
          </cell>
          <cell r="AC1055">
            <v>77500</v>
          </cell>
          <cell r="AD1055">
            <v>0</v>
          </cell>
          <cell r="AE1055">
            <v>0</v>
          </cell>
          <cell r="AF1055">
            <v>0</v>
          </cell>
          <cell r="AG1055" t="str">
            <v>C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</row>
        <row r="1056">
          <cell r="A1056" t="str">
            <v>24-2517</v>
          </cell>
          <cell r="B1056" t="str">
            <v>GUITAR AND MICROPHONE</v>
          </cell>
          <cell r="C1056" t="str">
            <v>PGO</v>
          </cell>
          <cell r="D1056" t="str">
            <v>No</v>
          </cell>
          <cell r="E1056" t="str">
            <v>NP-53.9 - Small Value Procurement</v>
          </cell>
          <cell r="F1056" t="str">
            <v>N/A</v>
          </cell>
          <cell r="G1056">
            <v>45422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13850</v>
          </cell>
          <cell r="AB1056">
            <v>0</v>
          </cell>
          <cell r="AC1056">
            <v>13850</v>
          </cell>
          <cell r="AD1056">
            <v>0</v>
          </cell>
          <cell r="AE1056">
            <v>0</v>
          </cell>
          <cell r="AF1056">
            <v>0</v>
          </cell>
          <cell r="AG1056" t="e">
            <v>#N/A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</row>
        <row r="1057">
          <cell r="A1057" t="str">
            <v>24-2231</v>
          </cell>
          <cell r="B1057" t="str">
            <v xml:space="preserve">GROUP INSURANCE </v>
          </cell>
          <cell r="C1057" t="str">
            <v>PDRRMO</v>
          </cell>
          <cell r="D1057" t="str">
            <v>No</v>
          </cell>
          <cell r="E1057" t="str">
            <v>NP-53.9 - Small Value Procurement</v>
          </cell>
          <cell r="F1057" t="str">
            <v>N/A</v>
          </cell>
          <cell r="G1057">
            <v>45422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108000</v>
          </cell>
          <cell r="AB1057">
            <v>0</v>
          </cell>
          <cell r="AC1057">
            <v>108000</v>
          </cell>
          <cell r="AD1057">
            <v>0</v>
          </cell>
          <cell r="AE1057">
            <v>0</v>
          </cell>
          <cell r="AF1057">
            <v>0</v>
          </cell>
          <cell r="AG1057" t="e">
            <v>#N/A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</row>
        <row r="1058">
          <cell r="A1058" t="str">
            <v>24-2410</v>
          </cell>
          <cell r="B1058" t="str">
            <v>Medical Kit</v>
          </cell>
          <cell r="C1058" t="str">
            <v>SEF</v>
          </cell>
          <cell r="D1058" t="str">
            <v>No</v>
          </cell>
          <cell r="E1058" t="str">
            <v>NP-53.9 - Small Value Procurement</v>
          </cell>
          <cell r="F1058">
            <v>45426</v>
          </cell>
          <cell r="G1058">
            <v>45429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1925</v>
          </cell>
          <cell r="AB1058">
            <v>0</v>
          </cell>
          <cell r="AC1058">
            <v>1925</v>
          </cell>
          <cell r="AD1058">
            <v>0</v>
          </cell>
          <cell r="AE1058">
            <v>0</v>
          </cell>
          <cell r="AF1058">
            <v>0</v>
          </cell>
          <cell r="AG1058" t="str">
            <v>C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</row>
        <row r="1059">
          <cell r="A1059" t="str">
            <v>24-2729</v>
          </cell>
          <cell r="B1059" t="str">
            <v>SPAREPARTS(MOTORCYLE)</v>
          </cell>
          <cell r="C1059" t="str">
            <v>PGSO</v>
          </cell>
          <cell r="D1059" t="str">
            <v>No</v>
          </cell>
          <cell r="E1059" t="str">
            <v>Shopping 52.1(a) - Unforeseen Contingency</v>
          </cell>
          <cell r="F1059">
            <v>45440</v>
          </cell>
          <cell r="G1059">
            <v>45442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14420</v>
          </cell>
          <cell r="AB1059">
            <v>0</v>
          </cell>
          <cell r="AC1059">
            <v>14420</v>
          </cell>
          <cell r="AD1059">
            <v>0</v>
          </cell>
          <cell r="AE1059">
            <v>0</v>
          </cell>
          <cell r="AF1059">
            <v>0</v>
          </cell>
          <cell r="AG1059" t="e">
            <v>#N/A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</row>
        <row r="1060">
          <cell r="A1060" t="str">
            <v>24-2516</v>
          </cell>
          <cell r="B1060" t="str">
            <v>GEMELINA LUMBER OR EQUIVALENT</v>
          </cell>
          <cell r="C1060" t="str">
            <v>SEF</v>
          </cell>
          <cell r="D1060" t="str">
            <v>No</v>
          </cell>
          <cell r="E1060" t="str">
            <v>NP-53.9 - Small Value Procurement</v>
          </cell>
          <cell r="F1060">
            <v>45440</v>
          </cell>
          <cell r="G1060">
            <v>45442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4136</v>
          </cell>
          <cell r="AB1060">
            <v>0</v>
          </cell>
          <cell r="AC1060">
            <v>4136</v>
          </cell>
          <cell r="AD1060">
            <v>0</v>
          </cell>
          <cell r="AE1060">
            <v>0</v>
          </cell>
          <cell r="AF1060">
            <v>0</v>
          </cell>
          <cell r="AG1060" t="e">
            <v>#N/A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</row>
        <row r="1061">
          <cell r="A1061" t="str">
            <v>24-2497</v>
          </cell>
          <cell r="B1061" t="str">
            <v>GEMELINA LUMBER OR EQUIVALENT</v>
          </cell>
          <cell r="C1061" t="str">
            <v>SEF</v>
          </cell>
          <cell r="D1061" t="str">
            <v>No</v>
          </cell>
          <cell r="E1061" t="str">
            <v>NP-53.9 - Small Value Procurement</v>
          </cell>
          <cell r="F1061">
            <v>45440</v>
          </cell>
          <cell r="G1061">
            <v>45442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33472.49</v>
          </cell>
          <cell r="AB1061">
            <v>0</v>
          </cell>
          <cell r="AC1061">
            <v>33472.49</v>
          </cell>
          <cell r="AD1061">
            <v>0</v>
          </cell>
          <cell r="AE1061">
            <v>0</v>
          </cell>
          <cell r="AF1061">
            <v>0</v>
          </cell>
          <cell r="AG1061" t="e">
            <v>#N/A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</row>
        <row r="1062">
          <cell r="A1062" t="str">
            <v>24-3018</v>
          </cell>
          <cell r="B1062" t="str">
            <v>GEMELINA LUMBER OR EQUIVALENT</v>
          </cell>
          <cell r="C1062" t="str">
            <v>PDRRMO</v>
          </cell>
          <cell r="D1062" t="str">
            <v>No</v>
          </cell>
          <cell r="E1062" t="str">
            <v>NP-53.9 - Small Value Procurement</v>
          </cell>
          <cell r="F1062">
            <v>45440</v>
          </cell>
          <cell r="G1062">
            <v>45442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135187.51</v>
          </cell>
          <cell r="AB1062">
            <v>0</v>
          </cell>
          <cell r="AC1062">
            <v>135187.51</v>
          </cell>
          <cell r="AD1062">
            <v>0</v>
          </cell>
          <cell r="AE1062">
            <v>0</v>
          </cell>
          <cell r="AF1062">
            <v>0</v>
          </cell>
          <cell r="AG1062" t="e">
            <v>#N/A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</row>
        <row r="1063">
          <cell r="A1063" t="str">
            <v>24-2999</v>
          </cell>
          <cell r="B1063" t="str">
            <v>GEMELINA LUMBER OR EQUIVALENT</v>
          </cell>
          <cell r="C1063" t="str">
            <v>PDRRMO</v>
          </cell>
          <cell r="D1063" t="str">
            <v>No</v>
          </cell>
          <cell r="E1063" t="str">
            <v>NP-53.9 - Small Value Procurement</v>
          </cell>
          <cell r="F1063">
            <v>45440</v>
          </cell>
          <cell r="G1063">
            <v>45442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31787.51</v>
          </cell>
          <cell r="AB1063">
            <v>0</v>
          </cell>
          <cell r="AC1063">
            <v>31787.51</v>
          </cell>
          <cell r="AD1063">
            <v>0</v>
          </cell>
          <cell r="AE1063">
            <v>0</v>
          </cell>
          <cell r="AF1063">
            <v>0</v>
          </cell>
          <cell r="AG1063" t="e">
            <v>#N/A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</row>
        <row r="1064">
          <cell r="A1064" t="str">
            <v>24-2990</v>
          </cell>
          <cell r="B1064" t="str">
            <v>GEMELINA LUMBER OR EQUIVALENT</v>
          </cell>
          <cell r="C1064" t="str">
            <v>PEO</v>
          </cell>
          <cell r="D1064" t="str">
            <v>No</v>
          </cell>
          <cell r="E1064" t="str">
            <v>NP-53.9 - Small Value Procurement</v>
          </cell>
          <cell r="F1064">
            <v>45440</v>
          </cell>
          <cell r="G1064">
            <v>45442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13222.98</v>
          </cell>
          <cell r="AB1064">
            <v>0</v>
          </cell>
          <cell r="AC1064">
            <v>13222.98</v>
          </cell>
          <cell r="AD1064">
            <v>0</v>
          </cell>
          <cell r="AE1064">
            <v>0</v>
          </cell>
          <cell r="AF1064">
            <v>0</v>
          </cell>
          <cell r="AG1064" t="e">
            <v>#N/A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</row>
        <row r="1065">
          <cell r="A1065" t="str">
            <v>24-2849</v>
          </cell>
          <cell r="B1065" t="str">
            <v>GEMELINA LUMBER OR EQUIVALENT</v>
          </cell>
          <cell r="C1065" t="str">
            <v>PEO</v>
          </cell>
          <cell r="D1065" t="str">
            <v>No</v>
          </cell>
          <cell r="E1065" t="str">
            <v>NP-53.9 - Small Value Procurement</v>
          </cell>
          <cell r="F1065">
            <v>45440</v>
          </cell>
          <cell r="G1065">
            <v>45442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135187.51</v>
          </cell>
          <cell r="AB1065">
            <v>0</v>
          </cell>
          <cell r="AC1065">
            <v>135187.51</v>
          </cell>
          <cell r="AD1065">
            <v>0</v>
          </cell>
          <cell r="AE1065">
            <v>0</v>
          </cell>
          <cell r="AF1065">
            <v>0</v>
          </cell>
          <cell r="AG1065" t="e">
            <v>#N/A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</row>
        <row r="1066">
          <cell r="A1066" t="str">
            <v>24-2140</v>
          </cell>
          <cell r="B1066" t="str">
            <v>OFFICE SUPPLIES</v>
          </cell>
          <cell r="C1066" t="str">
            <v>PEO</v>
          </cell>
          <cell r="D1066" t="str">
            <v>No</v>
          </cell>
          <cell r="E1066" t="str">
            <v>Shopping 52.1(b) - Regular Office Supplies and Equipment no available in PS</v>
          </cell>
          <cell r="F1066">
            <v>45440</v>
          </cell>
          <cell r="G1066">
            <v>45442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8885</v>
          </cell>
          <cell r="AB1066">
            <v>0</v>
          </cell>
          <cell r="AC1066">
            <v>8885</v>
          </cell>
          <cell r="AD1066">
            <v>0</v>
          </cell>
          <cell r="AE1066">
            <v>0</v>
          </cell>
          <cell r="AF1066">
            <v>0</v>
          </cell>
          <cell r="AG1066" t="e">
            <v>#N/A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</row>
        <row r="1067">
          <cell r="A1067" t="str">
            <v>24-2451</v>
          </cell>
          <cell r="B1067" t="str">
            <v>BLENDER (HEAVY DUTY)</v>
          </cell>
          <cell r="C1067" t="str">
            <v>PAGRO</v>
          </cell>
          <cell r="D1067" t="str">
            <v>No</v>
          </cell>
          <cell r="E1067" t="str">
            <v>NP-53.9 - Small Value Procurement</v>
          </cell>
          <cell r="F1067" t="str">
            <v>N/A</v>
          </cell>
          <cell r="G1067">
            <v>45442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15000</v>
          </cell>
          <cell r="AB1067">
            <v>0</v>
          </cell>
          <cell r="AC1067">
            <v>15000</v>
          </cell>
          <cell r="AD1067">
            <v>0</v>
          </cell>
          <cell r="AE1067">
            <v>0</v>
          </cell>
          <cell r="AF1067">
            <v>0</v>
          </cell>
          <cell r="AG1067" t="e">
            <v>#N/A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</row>
        <row r="1068">
          <cell r="A1068" t="str">
            <v>24-2731</v>
          </cell>
          <cell r="B1068" t="str">
            <v>UTILITY PLASTIC BOX (20 L)</v>
          </cell>
          <cell r="C1068" t="str">
            <v>PACCO</v>
          </cell>
          <cell r="D1068" t="str">
            <v>No</v>
          </cell>
          <cell r="E1068" t="str">
            <v>NP-53.9 - Small Value Procurement</v>
          </cell>
          <cell r="F1068" t="str">
            <v>N/A</v>
          </cell>
          <cell r="G1068">
            <v>45442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82500</v>
          </cell>
          <cell r="AB1068">
            <v>0</v>
          </cell>
          <cell r="AC1068">
            <v>82500</v>
          </cell>
          <cell r="AD1068">
            <v>0</v>
          </cell>
          <cell r="AE1068">
            <v>0</v>
          </cell>
          <cell r="AF1068">
            <v>0</v>
          </cell>
          <cell r="AG1068" t="e">
            <v>#N/A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</row>
        <row r="1069">
          <cell r="A1069" t="str">
            <v>24-2741</v>
          </cell>
          <cell r="B1069" t="str">
            <v>PRINTING</v>
          </cell>
          <cell r="C1069" t="str">
            <v>PAO-ADMIN</v>
          </cell>
          <cell r="D1069" t="str">
            <v>No</v>
          </cell>
          <cell r="E1069" t="str">
            <v>NP-53.9 - Small Value Procurement</v>
          </cell>
          <cell r="F1069" t="str">
            <v>N/A</v>
          </cell>
          <cell r="G1069">
            <v>45457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120000</v>
          </cell>
          <cell r="AB1069">
            <v>0</v>
          </cell>
          <cell r="AC1069">
            <v>120000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</row>
        <row r="1070">
          <cell r="A1070" t="str">
            <v>24-2859</v>
          </cell>
          <cell r="B1070" t="str">
            <v>WATER DISPENSER</v>
          </cell>
          <cell r="C1070" t="str">
            <v>PGSO</v>
          </cell>
          <cell r="D1070" t="str">
            <v>No</v>
          </cell>
          <cell r="E1070" t="str">
            <v>NP-53.9 - Small Value Procurement</v>
          </cell>
          <cell r="F1070" t="str">
            <v>N/A</v>
          </cell>
          <cell r="G1070">
            <v>45442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60000</v>
          </cell>
          <cell r="AB1070">
            <v>0</v>
          </cell>
          <cell r="AC1070">
            <v>60000</v>
          </cell>
          <cell r="AD1070">
            <v>0</v>
          </cell>
          <cell r="AE1070">
            <v>0</v>
          </cell>
          <cell r="AF1070">
            <v>0</v>
          </cell>
          <cell r="AG1070" t="e">
            <v>#N/A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</row>
        <row r="1071">
          <cell r="A1071" t="str">
            <v>24-2978</v>
          </cell>
          <cell r="B1071" t="str">
            <v>COMPUTER SUPPLIES/SPAREPARTS</v>
          </cell>
          <cell r="C1071" t="str">
            <v>PSWDO</v>
          </cell>
          <cell r="D1071" t="str">
            <v>No</v>
          </cell>
          <cell r="E1071" t="str">
            <v>NP-53.9 - Small Value Procurement</v>
          </cell>
          <cell r="F1071" t="str">
            <v>N/A</v>
          </cell>
          <cell r="G1071">
            <v>45442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5436</v>
          </cell>
          <cell r="AB1071">
            <v>0</v>
          </cell>
          <cell r="AC1071">
            <v>5436</v>
          </cell>
          <cell r="AD1071">
            <v>0</v>
          </cell>
          <cell r="AE1071">
            <v>0</v>
          </cell>
          <cell r="AF1071">
            <v>0</v>
          </cell>
          <cell r="AG1071" t="e">
            <v>#N/A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</row>
        <row r="1072">
          <cell r="A1072" t="str">
            <v>24-2630</v>
          </cell>
          <cell r="B1072" t="str">
            <v>LAPTOP (CLERICAL WORK)</v>
          </cell>
          <cell r="C1072" t="str">
            <v>PSWDO</v>
          </cell>
          <cell r="D1072" t="str">
            <v>No</v>
          </cell>
          <cell r="E1072" t="str">
            <v>NP-53.9 - Small Value Procurement</v>
          </cell>
          <cell r="F1072" t="str">
            <v>N/A</v>
          </cell>
          <cell r="G1072">
            <v>45457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39000</v>
          </cell>
          <cell r="AB1072">
            <v>0</v>
          </cell>
          <cell r="AC1072">
            <v>39000</v>
          </cell>
          <cell r="AD1072">
            <v>0</v>
          </cell>
          <cell r="AE1072">
            <v>0</v>
          </cell>
          <cell r="AF1072">
            <v>0</v>
          </cell>
          <cell r="AG1072" t="e">
            <v>#N/A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</row>
        <row r="1073">
          <cell r="A1073" t="str">
            <v>24-2963</v>
          </cell>
          <cell r="B1073" t="str">
            <v>MEALS AND SNACKS</v>
          </cell>
          <cell r="C1073" t="str">
            <v>VGO</v>
          </cell>
          <cell r="D1073" t="str">
            <v>No</v>
          </cell>
          <cell r="E1073" t="str">
            <v>NP-53.9 - Small Value Procurement</v>
          </cell>
          <cell r="F1073" t="str">
            <v>N/A</v>
          </cell>
          <cell r="G1073">
            <v>45448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99960</v>
          </cell>
          <cell r="AB1073">
            <v>0</v>
          </cell>
          <cell r="AC1073">
            <v>99960</v>
          </cell>
          <cell r="AD1073">
            <v>0</v>
          </cell>
          <cell r="AE1073">
            <v>0</v>
          </cell>
          <cell r="AF1073">
            <v>0</v>
          </cell>
          <cell r="AG1073" t="e">
            <v>#N/A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</row>
        <row r="1074">
          <cell r="A1074" t="str">
            <v>24-3076</v>
          </cell>
          <cell r="B1074" t="str">
            <v>GEMELINA LUMBER OR EQUIVALENT</v>
          </cell>
          <cell r="C1074" t="str">
            <v>PEO</v>
          </cell>
          <cell r="D1074" t="str">
            <v>No</v>
          </cell>
          <cell r="E1074" t="str">
            <v>NP-53.9 - Small Value Procurement</v>
          </cell>
          <cell r="F1074">
            <v>45454</v>
          </cell>
          <cell r="G1074">
            <v>45457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24972.98</v>
          </cell>
          <cell r="AB1074">
            <v>0</v>
          </cell>
          <cell r="AC1074">
            <v>24972.98</v>
          </cell>
          <cell r="AD1074">
            <v>0</v>
          </cell>
          <cell r="AE1074">
            <v>0</v>
          </cell>
          <cell r="AF1074">
            <v>0</v>
          </cell>
          <cell r="AG1074" t="e">
            <v>#N/A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</row>
        <row r="1075">
          <cell r="A1075" t="str">
            <v>24-3043</v>
          </cell>
          <cell r="B1075" t="str">
            <v>GEMELINA LUMBER OR EQUIVALENT</v>
          </cell>
          <cell r="C1075" t="str">
            <v>PEO</v>
          </cell>
          <cell r="D1075" t="str">
            <v>No</v>
          </cell>
          <cell r="E1075" t="str">
            <v>NP-53.9 - Small Value Procurement</v>
          </cell>
          <cell r="F1075">
            <v>45454</v>
          </cell>
          <cell r="G1075">
            <v>45457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55852</v>
          </cell>
          <cell r="AB1075">
            <v>0</v>
          </cell>
          <cell r="AC1075">
            <v>55852</v>
          </cell>
          <cell r="AD1075">
            <v>0</v>
          </cell>
          <cell r="AE1075">
            <v>0</v>
          </cell>
          <cell r="AF1075">
            <v>0</v>
          </cell>
          <cell r="AG1075" t="e">
            <v>#N/A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</row>
        <row r="1076">
          <cell r="A1076" t="str">
            <v>24-3672</v>
          </cell>
          <cell r="B1076" t="str">
            <v>MEDICAL KIT</v>
          </cell>
          <cell r="C1076" t="str">
            <v>PEO</v>
          </cell>
          <cell r="D1076" t="str">
            <v>No</v>
          </cell>
          <cell r="E1076" t="str">
            <v>NP-53.9 - Small Value Procurement</v>
          </cell>
          <cell r="F1076">
            <v>45454</v>
          </cell>
          <cell r="G1076">
            <v>45457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1925</v>
          </cell>
          <cell r="AB1076">
            <v>0</v>
          </cell>
          <cell r="AC1076">
            <v>1925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</row>
        <row r="1077">
          <cell r="A1077" t="str">
            <v>24-3077</v>
          </cell>
          <cell r="B1077" t="str">
            <v>MEDICAL KIT</v>
          </cell>
          <cell r="C1077" t="str">
            <v>PEO</v>
          </cell>
          <cell r="D1077" t="str">
            <v>No</v>
          </cell>
          <cell r="E1077" t="str">
            <v>NP-53.9 - Small Value Procurement</v>
          </cell>
          <cell r="F1077">
            <v>45454</v>
          </cell>
          <cell r="G1077">
            <v>45457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1925</v>
          </cell>
          <cell r="AB1077">
            <v>0</v>
          </cell>
          <cell r="AC1077">
            <v>1925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</row>
        <row r="1078">
          <cell r="A1078" t="str">
            <v>24-3046</v>
          </cell>
          <cell r="B1078" t="str">
            <v>MEDICAL KIT</v>
          </cell>
          <cell r="C1078" t="str">
            <v>PEO</v>
          </cell>
          <cell r="D1078" t="str">
            <v>No</v>
          </cell>
          <cell r="E1078" t="str">
            <v>NP-53.9 - Small Value Procurement</v>
          </cell>
          <cell r="F1078">
            <v>45454</v>
          </cell>
          <cell r="G1078">
            <v>45457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1925</v>
          </cell>
          <cell r="AB1078">
            <v>0</v>
          </cell>
          <cell r="AC1078">
            <v>1925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</row>
        <row r="1079">
          <cell r="A1079" t="str">
            <v>24-2880</v>
          </cell>
          <cell r="B1079" t="str">
            <v>OFFICE CHAIR</v>
          </cell>
          <cell r="C1079" t="str">
            <v>PICTO</v>
          </cell>
          <cell r="D1079" t="str">
            <v>No</v>
          </cell>
          <cell r="E1079" t="str">
            <v>NP-53.9 - Small Value Procurement</v>
          </cell>
          <cell r="F1079">
            <v>45454</v>
          </cell>
          <cell r="G1079">
            <v>45457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108800</v>
          </cell>
          <cell r="AB1079">
            <v>0</v>
          </cell>
          <cell r="AC1079">
            <v>108800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</row>
        <row r="1080">
          <cell r="A1080" t="str">
            <v>24-C1377</v>
          </cell>
          <cell r="B1080" t="str">
            <v>COMMUNICATION EQUIPMENT</v>
          </cell>
          <cell r="C1080" t="str">
            <v>PICTO</v>
          </cell>
          <cell r="D1080" t="str">
            <v>No</v>
          </cell>
          <cell r="E1080" t="str">
            <v>NP-53.9 - Small Value Procurement</v>
          </cell>
          <cell r="F1080">
            <v>45454</v>
          </cell>
          <cell r="G1080">
            <v>45457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191040</v>
          </cell>
          <cell r="AB1080">
            <v>0</v>
          </cell>
          <cell r="AC1080">
            <v>191040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</row>
        <row r="1081">
          <cell r="A1081" t="str">
            <v>24-C1381</v>
          </cell>
          <cell r="B1081" t="str">
            <v>COMPUTER SUPPLIES</v>
          </cell>
          <cell r="C1081" t="str">
            <v>PICTO</v>
          </cell>
          <cell r="D1081" t="str">
            <v>No</v>
          </cell>
          <cell r="E1081" t="str">
            <v>NP-53.9 - Small Value Procurement</v>
          </cell>
          <cell r="F1081">
            <v>45454</v>
          </cell>
          <cell r="G1081">
            <v>45457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81996</v>
          </cell>
          <cell r="AB1081">
            <v>0</v>
          </cell>
          <cell r="AC1081">
            <v>81996</v>
          </cell>
          <cell r="AD1081">
            <v>0</v>
          </cell>
          <cell r="AE1081">
            <v>0</v>
          </cell>
          <cell r="AF1081">
            <v>0</v>
          </cell>
          <cell r="AG1081" t="e">
            <v>#N/A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</row>
        <row r="1082">
          <cell r="A1082" t="str">
            <v>24-2557</v>
          </cell>
          <cell r="B1082" t="str">
            <v>CONSTRUCTION MATERIALS</v>
          </cell>
          <cell r="C1082" t="str">
            <v>PDRRMO</v>
          </cell>
          <cell r="D1082" t="str">
            <v>No</v>
          </cell>
          <cell r="E1082" t="str">
            <v>NP-53.9 - Small Value Procurement</v>
          </cell>
          <cell r="F1082">
            <v>45454</v>
          </cell>
          <cell r="G1082">
            <v>45457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1961</v>
          </cell>
          <cell r="AB1082">
            <v>0</v>
          </cell>
          <cell r="AC1082">
            <v>1961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</row>
        <row r="1083">
          <cell r="A1083" t="str">
            <v>24-2994</v>
          </cell>
          <cell r="B1083" t="str">
            <v>COCO LUMBER OR EQUIVALENT</v>
          </cell>
          <cell r="C1083" t="str">
            <v>PDRRMO</v>
          </cell>
          <cell r="D1083" t="str">
            <v>No</v>
          </cell>
          <cell r="E1083" t="str">
            <v>NP-53.9 - Small Value Procurement</v>
          </cell>
          <cell r="F1083">
            <v>45454</v>
          </cell>
          <cell r="G1083">
            <v>45457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1152</v>
          </cell>
          <cell r="AB1083">
            <v>0</v>
          </cell>
          <cell r="AC1083">
            <v>1152</v>
          </cell>
          <cell r="AD1083">
            <v>0</v>
          </cell>
          <cell r="AE1083">
            <v>0</v>
          </cell>
          <cell r="AF1083">
            <v>0</v>
          </cell>
          <cell r="AG1083" t="e">
            <v>#N/A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</row>
        <row r="1084">
          <cell r="A1084" t="str">
            <v>24-2563</v>
          </cell>
          <cell r="B1084" t="str">
            <v>AIRCON WINDOWS TYPE 2.0 hp</v>
          </cell>
          <cell r="C1084" t="str">
            <v>PENRO</v>
          </cell>
          <cell r="D1084" t="str">
            <v>No</v>
          </cell>
          <cell r="E1084" t="str">
            <v>NP-53.9 - Small Value Procurement</v>
          </cell>
          <cell r="F1084">
            <v>45454</v>
          </cell>
          <cell r="G1084">
            <v>45457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99000</v>
          </cell>
          <cell r="AB1084">
            <v>0</v>
          </cell>
          <cell r="AC1084">
            <v>99000</v>
          </cell>
          <cell r="AD1084">
            <v>0</v>
          </cell>
          <cell r="AE1084">
            <v>0</v>
          </cell>
          <cell r="AF1084">
            <v>0</v>
          </cell>
          <cell r="AG1084" t="str">
            <v>M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</row>
        <row r="1085">
          <cell r="A1085" t="str">
            <v>24-2863</v>
          </cell>
          <cell r="B1085" t="str">
            <v>OFFICE SUPPLIES</v>
          </cell>
          <cell r="C1085" t="str">
            <v>PTO</v>
          </cell>
          <cell r="D1085">
            <v>0</v>
          </cell>
          <cell r="E1085" t="str">
            <v>Shopping 52.1(b) - Regular Office Supplies and Equipment no available in PS</v>
          </cell>
          <cell r="F1085">
            <v>45454</v>
          </cell>
          <cell r="G1085">
            <v>45457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14090</v>
          </cell>
          <cell r="AB1085">
            <v>0</v>
          </cell>
          <cell r="AC1085">
            <v>14090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</row>
        <row r="1086">
          <cell r="A1086" t="str">
            <v>24-3065</v>
          </cell>
          <cell r="B1086" t="str">
            <v>CASING, SELF INKING STAMP</v>
          </cell>
          <cell r="C1086" t="str">
            <v>PAO-ADMIN</v>
          </cell>
          <cell r="D1086">
            <v>0</v>
          </cell>
          <cell r="E1086" t="str">
            <v>NP-53.9 - Small Value Procurement</v>
          </cell>
          <cell r="F1086">
            <v>45454</v>
          </cell>
          <cell r="G1086">
            <v>45457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682</v>
          </cell>
          <cell r="AB1086">
            <v>0</v>
          </cell>
          <cell r="AC1086">
            <v>682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</row>
        <row r="1087">
          <cell r="A1087" t="str">
            <v>24-2993</v>
          </cell>
          <cell r="B1087" t="str">
            <v>CONSTRUCTION MATERIALS</v>
          </cell>
          <cell r="C1087" t="str">
            <v>PEO</v>
          </cell>
          <cell r="D1087">
            <v>0</v>
          </cell>
          <cell r="E1087" t="str">
            <v>NP-53.9 - Small Value Procurement</v>
          </cell>
          <cell r="F1087">
            <v>45454</v>
          </cell>
          <cell r="G1087">
            <v>45457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1961</v>
          </cell>
          <cell r="AB1087">
            <v>0</v>
          </cell>
          <cell r="AC1087">
            <v>1961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</row>
        <row r="1088">
          <cell r="A1088" t="str">
            <v>24-3669</v>
          </cell>
          <cell r="B1088" t="str">
            <v>GEMELINA LUMBER OR EQUIVALENT</v>
          </cell>
          <cell r="C1088" t="str">
            <v>PEO</v>
          </cell>
          <cell r="D1088">
            <v>0</v>
          </cell>
          <cell r="E1088" t="str">
            <v>NP-53.9 - Small Value Procurement</v>
          </cell>
          <cell r="F1088">
            <v>45454</v>
          </cell>
          <cell r="G1088">
            <v>45457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2256</v>
          </cell>
          <cell r="AB1088">
            <v>0</v>
          </cell>
          <cell r="AC1088">
            <v>2256</v>
          </cell>
          <cell r="AD1088">
            <v>0</v>
          </cell>
          <cell r="AE1088">
            <v>0</v>
          </cell>
          <cell r="AF1088">
            <v>0</v>
          </cell>
          <cell r="AG1088" t="e">
            <v>#N/A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</row>
        <row r="1089">
          <cell r="A1089" t="str">
            <v>24-C1526</v>
          </cell>
          <cell r="B1089" t="str">
            <v>CONSTRUCTION MATERIALS</v>
          </cell>
          <cell r="C1089" t="str">
            <v>PEO</v>
          </cell>
          <cell r="D1089">
            <v>0</v>
          </cell>
          <cell r="E1089" t="str">
            <v>NP-53.9 - Small Value Procurement</v>
          </cell>
          <cell r="F1089">
            <v>45454</v>
          </cell>
          <cell r="G1089">
            <v>45457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147219</v>
          </cell>
          <cell r="AB1089">
            <v>0</v>
          </cell>
          <cell r="AC1089">
            <v>147219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</row>
        <row r="1090">
          <cell r="A1090" t="str">
            <v>24-3111</v>
          </cell>
          <cell r="B1090" t="str">
            <v>OIL AND LUBRICANTS</v>
          </cell>
          <cell r="C1090" t="str">
            <v>PEO</v>
          </cell>
          <cell r="D1090">
            <v>0</v>
          </cell>
          <cell r="E1090" t="str">
            <v>NP-53.9 - Small Value Procurement</v>
          </cell>
          <cell r="F1090">
            <v>45454</v>
          </cell>
          <cell r="G1090">
            <v>45457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38056</v>
          </cell>
          <cell r="AB1090">
            <v>0</v>
          </cell>
          <cell r="AC1090">
            <v>38056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</row>
        <row r="1091">
          <cell r="A1091" t="str">
            <v>24-3021</v>
          </cell>
          <cell r="B1091" t="str">
            <v>SPAREPARTS (LIGHT VEHICLE)</v>
          </cell>
          <cell r="C1091" t="str">
            <v>PGO</v>
          </cell>
          <cell r="D1091">
            <v>0</v>
          </cell>
          <cell r="E1091" t="str">
            <v>Shopping 52.1(a) - Unforeseen Contingency</v>
          </cell>
          <cell r="F1091">
            <v>45454</v>
          </cell>
          <cell r="G1091">
            <v>45471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66200</v>
          </cell>
          <cell r="AB1091">
            <v>0</v>
          </cell>
          <cell r="AC1091">
            <v>66200</v>
          </cell>
          <cell r="AD1091">
            <v>0</v>
          </cell>
          <cell r="AE1091">
            <v>0</v>
          </cell>
          <cell r="AF1091">
            <v>0</v>
          </cell>
          <cell r="AG1091" t="e">
            <v>#N/A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</row>
        <row r="1092">
          <cell r="A1092" t="str">
            <v>24-3371</v>
          </cell>
          <cell r="B1092" t="str">
            <v>MEALS AND SNACKS</v>
          </cell>
          <cell r="C1092" t="str">
            <v>PLO</v>
          </cell>
          <cell r="D1092">
            <v>0</v>
          </cell>
          <cell r="E1092" t="str">
            <v>NP-53.9 - Small Value Procurement</v>
          </cell>
          <cell r="F1092">
            <v>45457</v>
          </cell>
          <cell r="G1092">
            <v>45460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10200</v>
          </cell>
          <cell r="AB1092">
            <v>0</v>
          </cell>
          <cell r="AC1092">
            <v>10200</v>
          </cell>
          <cell r="AD1092">
            <v>0</v>
          </cell>
          <cell r="AE1092">
            <v>0</v>
          </cell>
          <cell r="AF1092">
            <v>0</v>
          </cell>
          <cell r="AG1092" t="e">
            <v>#N/A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</row>
        <row r="1093">
          <cell r="A1093" t="str">
            <v>24-C1392</v>
          </cell>
          <cell r="B1093" t="str">
            <v>HEMATOLOGY ANALYZER</v>
          </cell>
          <cell r="C1093" t="str">
            <v>PEEMO</v>
          </cell>
          <cell r="D1093">
            <v>0</v>
          </cell>
          <cell r="E1093" t="str">
            <v>Direct Contracting</v>
          </cell>
          <cell r="F1093" t="str">
            <v>N/A</v>
          </cell>
          <cell r="G1093">
            <v>45457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1976000</v>
          </cell>
          <cell r="AB1093">
            <v>0</v>
          </cell>
          <cell r="AC1093">
            <v>1976000</v>
          </cell>
          <cell r="AD1093">
            <v>0</v>
          </cell>
          <cell r="AE1093">
            <v>0</v>
          </cell>
          <cell r="AF1093">
            <v>0</v>
          </cell>
          <cell r="AG1093" t="str">
            <v>M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</row>
        <row r="1094">
          <cell r="A1094" t="str">
            <v>24-2977</v>
          </cell>
          <cell r="B1094" t="str">
            <v>MEALS AND SNACKS WITH ACCOMMODATION</v>
          </cell>
          <cell r="C1094" t="str">
            <v>PGO</v>
          </cell>
          <cell r="D1094">
            <v>0</v>
          </cell>
          <cell r="E1094" t="str">
            <v>NP-53.9 - Small Value Procurement</v>
          </cell>
          <cell r="F1094" t="str">
            <v>N/A</v>
          </cell>
          <cell r="G1094">
            <v>45457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299000</v>
          </cell>
          <cell r="AB1094">
            <v>0</v>
          </cell>
          <cell r="AC1094">
            <v>299000</v>
          </cell>
          <cell r="AD1094">
            <v>0</v>
          </cell>
          <cell r="AE1094">
            <v>0</v>
          </cell>
          <cell r="AF1094">
            <v>0</v>
          </cell>
          <cell r="AG1094" t="e">
            <v>#N/A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</row>
        <row r="1095">
          <cell r="A1095" t="str">
            <v>24-2742</v>
          </cell>
          <cell r="B1095" t="str">
            <v>MEALS AND SNACKS WITH ACCOMMODATION</v>
          </cell>
          <cell r="C1095" t="str">
            <v>PAO-ADMIN</v>
          </cell>
          <cell r="D1095">
            <v>0</v>
          </cell>
          <cell r="E1095" t="str">
            <v>NP-53.9 - Small Value Procurement</v>
          </cell>
          <cell r="F1095" t="str">
            <v>N/A</v>
          </cell>
          <cell r="G1095">
            <v>45457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43700</v>
          </cell>
          <cell r="AB1095">
            <v>0</v>
          </cell>
          <cell r="AC1095">
            <v>43700</v>
          </cell>
          <cell r="AD1095">
            <v>0</v>
          </cell>
          <cell r="AE1095">
            <v>0</v>
          </cell>
          <cell r="AF1095">
            <v>0</v>
          </cell>
          <cell r="AG1095" t="e">
            <v>#N/A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</row>
        <row r="1096">
          <cell r="A1096" t="str">
            <v>24-2960</v>
          </cell>
          <cell r="B1096" t="str">
            <v>MASSAGE THERAPHY KIT B</v>
          </cell>
          <cell r="C1096" t="str">
            <v>PAO-ADMIN</v>
          </cell>
          <cell r="D1096">
            <v>0</v>
          </cell>
          <cell r="E1096" t="str">
            <v>NP-53.9 - Small Value Procurement</v>
          </cell>
          <cell r="F1096" t="str">
            <v>N/A</v>
          </cell>
          <cell r="G1096">
            <v>45457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15000</v>
          </cell>
          <cell r="AB1096">
            <v>0</v>
          </cell>
          <cell r="AC1096">
            <v>15000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</row>
        <row r="1097">
          <cell r="A1097" t="str">
            <v>24-C1458</v>
          </cell>
          <cell r="B1097" t="str">
            <v>COMPLETE  14-14-14  FERTILIZER (50KG/BAG)</v>
          </cell>
          <cell r="C1097" t="str">
            <v>PENRO</v>
          </cell>
          <cell r="D1097">
            <v>0</v>
          </cell>
          <cell r="E1097" t="str">
            <v>NP-53.9 - Small Value Procurement</v>
          </cell>
          <cell r="F1097" t="str">
            <v>N/A</v>
          </cell>
          <cell r="G1097">
            <v>45457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20000</v>
          </cell>
          <cell r="AB1097">
            <v>0</v>
          </cell>
          <cell r="AC1097">
            <v>20000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</row>
        <row r="1098">
          <cell r="A1098" t="str">
            <v>24-C1460</v>
          </cell>
          <cell r="B1098" t="str">
            <v>AGRICULTURAL SUPPLIES</v>
          </cell>
          <cell r="C1098" t="str">
            <v>PENRO</v>
          </cell>
          <cell r="D1098">
            <v>0</v>
          </cell>
          <cell r="E1098" t="str">
            <v>NP-53.9 - Small Value Procurement</v>
          </cell>
          <cell r="F1098" t="str">
            <v>N/A</v>
          </cell>
          <cell r="G1098">
            <v>45457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434950</v>
          </cell>
          <cell r="AB1098">
            <v>0</v>
          </cell>
          <cell r="AC1098">
            <v>434950</v>
          </cell>
          <cell r="AD1098">
            <v>0</v>
          </cell>
          <cell r="AE1098">
            <v>0</v>
          </cell>
          <cell r="AF1098">
            <v>0</v>
          </cell>
          <cell r="AG1098" t="str">
            <v>C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</row>
        <row r="1099">
          <cell r="A1099" t="str">
            <v>24-2461</v>
          </cell>
          <cell r="B1099" t="str">
            <v>AQUARIUM (24x12x12 INCHES)</v>
          </cell>
          <cell r="C1099" t="str">
            <v>PAGRO</v>
          </cell>
          <cell r="D1099">
            <v>0</v>
          </cell>
          <cell r="E1099" t="str">
            <v>NP-53.9 - Small Value Procurement</v>
          </cell>
          <cell r="F1099" t="str">
            <v>N/A</v>
          </cell>
          <cell r="G1099">
            <v>45457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11550</v>
          </cell>
          <cell r="AB1099">
            <v>0</v>
          </cell>
          <cell r="AC1099">
            <v>11550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</row>
        <row r="1100">
          <cell r="A1100" t="str">
            <v>24-C1471</v>
          </cell>
          <cell r="B1100" t="str">
            <v>LABORATORY INSTRUMENT</v>
          </cell>
          <cell r="C1100" t="str">
            <v>PAGRO</v>
          </cell>
          <cell r="D1100">
            <v>0</v>
          </cell>
          <cell r="E1100" t="str">
            <v>NP-53.9 - Small Value Procurement</v>
          </cell>
          <cell r="F1100" t="str">
            <v>N/A</v>
          </cell>
          <cell r="G1100">
            <v>45457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40590</v>
          </cell>
          <cell r="AB1100">
            <v>0</v>
          </cell>
          <cell r="AC1100">
            <v>40590</v>
          </cell>
          <cell r="AD1100">
            <v>0</v>
          </cell>
          <cell r="AE1100">
            <v>0</v>
          </cell>
          <cell r="AF1100">
            <v>0</v>
          </cell>
          <cell r="AG1100" t="e">
            <v>#N/A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</row>
        <row r="1101">
          <cell r="A1101" t="str">
            <v>24-C1406</v>
          </cell>
          <cell r="B1101" t="str">
            <v>CONSTRUCTION SUPPLIES</v>
          </cell>
          <cell r="C1101" t="str">
            <v>PDRRMO</v>
          </cell>
          <cell r="D1101">
            <v>0</v>
          </cell>
          <cell r="E1101" t="str">
            <v>NP-53.9 - Small Value Procurement</v>
          </cell>
          <cell r="F1101" t="str">
            <v>N/A</v>
          </cell>
          <cell r="G1101">
            <v>45457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15070</v>
          </cell>
          <cell r="AB1101">
            <v>0</v>
          </cell>
          <cell r="AC1101">
            <v>15070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</row>
        <row r="1102">
          <cell r="A1102" t="str">
            <v>24-3638</v>
          </cell>
          <cell r="B1102" t="str">
            <v>DRAFTED DURIAN</v>
          </cell>
          <cell r="C1102" t="str">
            <v>PDRRMO</v>
          </cell>
          <cell r="D1102">
            <v>0</v>
          </cell>
          <cell r="E1102" t="str">
            <v>NP-53.9 - Small Value Procurement</v>
          </cell>
          <cell r="F1102" t="str">
            <v>N/A</v>
          </cell>
          <cell r="G1102">
            <v>45457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132000</v>
          </cell>
          <cell r="AB1102">
            <v>0</v>
          </cell>
          <cell r="AC1102">
            <v>132000</v>
          </cell>
          <cell r="AD1102">
            <v>0</v>
          </cell>
          <cell r="AE1102">
            <v>0</v>
          </cell>
          <cell r="AF1102">
            <v>0</v>
          </cell>
          <cell r="AG1102" t="str">
            <v>C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</row>
        <row r="1103">
          <cell r="A1103" t="str">
            <v>24-C1511</v>
          </cell>
          <cell r="B1103" t="str">
            <v>SPAREPARTS (FARM MACHINERIES)</v>
          </cell>
          <cell r="C1103" t="str">
            <v>PAGRO</v>
          </cell>
          <cell r="D1103">
            <v>0</v>
          </cell>
          <cell r="E1103" t="str">
            <v>NP-53.9 - Small Value Procurement</v>
          </cell>
          <cell r="F1103" t="str">
            <v>N/A</v>
          </cell>
          <cell r="G1103">
            <v>45457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32352</v>
          </cell>
          <cell r="AB1103">
            <v>0</v>
          </cell>
          <cell r="AC1103">
            <v>32352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</row>
        <row r="1104">
          <cell r="A1104" t="str">
            <v>24-C1370</v>
          </cell>
          <cell r="B1104" t="str">
            <v>MEALS AND SNACKS</v>
          </cell>
          <cell r="C1104" t="str">
            <v>PBO</v>
          </cell>
          <cell r="D1104">
            <v>0</v>
          </cell>
          <cell r="E1104" t="str">
            <v>NP-53.9 - Small Value Procurement</v>
          </cell>
          <cell r="F1104" t="str">
            <v>N/A</v>
          </cell>
          <cell r="G1104">
            <v>45457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53105</v>
          </cell>
          <cell r="AB1104">
            <v>0</v>
          </cell>
          <cell r="AC1104">
            <v>53105</v>
          </cell>
          <cell r="AD1104">
            <v>0</v>
          </cell>
          <cell r="AE1104">
            <v>0</v>
          </cell>
          <cell r="AF1104">
            <v>0</v>
          </cell>
          <cell r="AG1104" t="e">
            <v>#N/A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</row>
        <row r="1105">
          <cell r="A1105" t="str">
            <v>24-3156</v>
          </cell>
          <cell r="B1105" t="str">
            <v>CABINET MOBILE (BI-STEEL ) 3 DRAWERS</v>
          </cell>
          <cell r="C1105" t="str">
            <v>PAO-ADMIN</v>
          </cell>
          <cell r="D1105">
            <v>0</v>
          </cell>
          <cell r="E1105" t="str">
            <v>NP-53.9 - Small Value Procurement</v>
          </cell>
          <cell r="F1105" t="str">
            <v>N/A</v>
          </cell>
          <cell r="G1105">
            <v>45457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9900</v>
          </cell>
          <cell r="AB1105">
            <v>0</v>
          </cell>
          <cell r="AC1105">
            <v>9900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</row>
        <row r="1106">
          <cell r="A1106" t="str">
            <v>24-3445</v>
          </cell>
          <cell r="B1106" t="str">
            <v>MINERAL WATER (5 GAL.)</v>
          </cell>
          <cell r="C1106" t="str">
            <v>PAO-ADMIN</v>
          </cell>
          <cell r="D1106">
            <v>0</v>
          </cell>
          <cell r="E1106" t="str">
            <v>NP-53.9 - Small Value Procurement</v>
          </cell>
          <cell r="F1106" t="str">
            <v>N/A</v>
          </cell>
          <cell r="G1106">
            <v>45457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2665</v>
          </cell>
          <cell r="AB1106">
            <v>0</v>
          </cell>
          <cell r="AC1106">
            <v>2665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</row>
        <row r="1107">
          <cell r="A1107" t="str">
            <v>24-3358</v>
          </cell>
          <cell r="B1107" t="str">
            <v>MINERAL WATER (5 GAL.)</v>
          </cell>
          <cell r="C1107" t="str">
            <v>PDRRMO</v>
          </cell>
          <cell r="D1107">
            <v>0</v>
          </cell>
          <cell r="E1107" t="str">
            <v>NP-53.9 - Small Value Procurement</v>
          </cell>
          <cell r="F1107" t="str">
            <v>N/A</v>
          </cell>
          <cell r="G1107">
            <v>45457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36244</v>
          </cell>
          <cell r="AB1107">
            <v>0</v>
          </cell>
          <cell r="AC1107">
            <v>36244</v>
          </cell>
          <cell r="AD1107">
            <v>0</v>
          </cell>
          <cell r="AE1107">
            <v>0</v>
          </cell>
          <cell r="AF1107">
            <v>0</v>
          </cell>
          <cell r="AG1107" t="e">
            <v>#N/A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</row>
        <row r="1108">
          <cell r="A1108" t="str">
            <v>24-3094</v>
          </cell>
          <cell r="B1108" t="str">
            <v xml:space="preserve">FOOD SUPPLIES </v>
          </cell>
          <cell r="C1108" t="str">
            <v>VGO</v>
          </cell>
          <cell r="D1108">
            <v>0</v>
          </cell>
          <cell r="E1108" t="str">
            <v>NP-53.9 - Small Value Procurement</v>
          </cell>
          <cell r="F1108" t="str">
            <v>N/A</v>
          </cell>
          <cell r="G1108">
            <v>45457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50032</v>
          </cell>
          <cell r="AB1108">
            <v>0</v>
          </cell>
          <cell r="AC1108">
            <v>50032</v>
          </cell>
          <cell r="AD1108">
            <v>0</v>
          </cell>
          <cell r="AE1108">
            <v>0</v>
          </cell>
          <cell r="AF1108">
            <v>0</v>
          </cell>
          <cell r="AG1108" t="e">
            <v>#N/A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</row>
        <row r="1109">
          <cell r="A1109" t="str">
            <v>24-3134</v>
          </cell>
          <cell r="B1109" t="str">
            <v>FUJI DRUM  FOR S2520</v>
          </cell>
          <cell r="C1109" t="str">
            <v>PHRMDO</v>
          </cell>
          <cell r="D1109">
            <v>0</v>
          </cell>
          <cell r="E1109" t="str">
            <v>NP-53.9 - Small Value Procurement</v>
          </cell>
          <cell r="F1109" t="str">
            <v>N/A</v>
          </cell>
          <cell r="G1109">
            <v>45457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15000</v>
          </cell>
          <cell r="AB1109">
            <v>0</v>
          </cell>
          <cell r="AC1109">
            <v>15000</v>
          </cell>
          <cell r="AD1109">
            <v>0</v>
          </cell>
          <cell r="AE1109">
            <v>0</v>
          </cell>
          <cell r="AF1109">
            <v>0</v>
          </cell>
          <cell r="AG1109" t="e">
            <v>#N/A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</row>
        <row r="1110">
          <cell r="A1110" t="str">
            <v>24-3133</v>
          </cell>
          <cell r="B1110" t="str">
            <v>PRINTER HEAD FOR LQ 2190</v>
          </cell>
          <cell r="C1110" t="str">
            <v>PHRMDO</v>
          </cell>
          <cell r="D1110">
            <v>0</v>
          </cell>
          <cell r="E1110" t="str">
            <v>NP-53.9 - Small Value Procurement</v>
          </cell>
          <cell r="F1110" t="str">
            <v>N/A</v>
          </cell>
          <cell r="G1110">
            <v>45457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24000</v>
          </cell>
          <cell r="AB1110">
            <v>0</v>
          </cell>
          <cell r="AC1110">
            <v>24000</v>
          </cell>
          <cell r="AD1110">
            <v>0</v>
          </cell>
          <cell r="AE1110">
            <v>0</v>
          </cell>
          <cell r="AF1110">
            <v>0</v>
          </cell>
          <cell r="AG1110" t="e">
            <v>#N/A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</row>
        <row r="1111">
          <cell r="A1111" t="str">
            <v>24-3243</v>
          </cell>
          <cell r="B1111" t="str">
            <v>MINERAL WATER (5 GAL.)</v>
          </cell>
          <cell r="C1111" t="str">
            <v>PGO</v>
          </cell>
          <cell r="D1111">
            <v>0</v>
          </cell>
          <cell r="E1111" t="str">
            <v>NP-53.9 - Small Value Procurement</v>
          </cell>
          <cell r="F1111" t="str">
            <v>N/A</v>
          </cell>
          <cell r="G1111">
            <v>45457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13940</v>
          </cell>
          <cell r="AB1111">
            <v>0</v>
          </cell>
          <cell r="AC1111">
            <v>13940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</row>
        <row r="1112">
          <cell r="A1112" t="str">
            <v>24-3317</v>
          </cell>
          <cell r="B1112" t="str">
            <v>PAPER BAG 14X8</v>
          </cell>
          <cell r="C1112" t="str">
            <v>PGO</v>
          </cell>
          <cell r="D1112">
            <v>0</v>
          </cell>
          <cell r="E1112" t="str">
            <v>NP-53.9 - Small Value Procurement</v>
          </cell>
          <cell r="F1112" t="str">
            <v>N/A</v>
          </cell>
          <cell r="G1112">
            <v>45457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2625</v>
          </cell>
          <cell r="AB1112">
            <v>0</v>
          </cell>
          <cell r="AC1112">
            <v>2625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</row>
        <row r="1113">
          <cell r="A1113" t="str">
            <v>24-2647</v>
          </cell>
          <cell r="B1113" t="str">
            <v xml:space="preserve">JANITORIAL SUPPLIES/HOUSEKEEPING </v>
          </cell>
          <cell r="C1113" t="str">
            <v>PGO</v>
          </cell>
          <cell r="D1113">
            <v>0</v>
          </cell>
          <cell r="E1113" t="str">
            <v>NP-53.9 - Small Value Procurement</v>
          </cell>
          <cell r="F1113" t="str">
            <v>N/A</v>
          </cell>
          <cell r="G1113">
            <v>45457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25950</v>
          </cell>
          <cell r="AB1113">
            <v>0</v>
          </cell>
          <cell r="AC1113">
            <v>25950</v>
          </cell>
          <cell r="AD1113">
            <v>0</v>
          </cell>
          <cell r="AE1113">
            <v>0</v>
          </cell>
          <cell r="AF1113">
            <v>0</v>
          </cell>
          <cell r="AG1113" t="e">
            <v>#N/A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</row>
        <row r="1114">
          <cell r="A1114" t="str">
            <v>24-3456</v>
          </cell>
          <cell r="B1114" t="str">
            <v>GPS, COMPUTER</v>
          </cell>
          <cell r="C1114" t="str">
            <v>PENRO</v>
          </cell>
          <cell r="D1114">
            <v>0</v>
          </cell>
          <cell r="E1114" t="str">
            <v>NP-53.9 - Small Value Procurement</v>
          </cell>
          <cell r="F1114" t="str">
            <v>N/A</v>
          </cell>
          <cell r="G1114">
            <v>45457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40000</v>
          </cell>
          <cell r="AB1114">
            <v>0</v>
          </cell>
          <cell r="AC1114">
            <v>40000</v>
          </cell>
          <cell r="AD1114">
            <v>0</v>
          </cell>
          <cell r="AE1114">
            <v>0</v>
          </cell>
          <cell r="AF1114">
            <v>0</v>
          </cell>
          <cell r="AG1114" t="e">
            <v>#N/A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</row>
        <row r="1115">
          <cell r="A1115" t="str">
            <v>24-C1404</v>
          </cell>
          <cell r="B1115" t="str">
            <v>OFFICE EQUIPMENT</v>
          </cell>
          <cell r="C1115" t="str">
            <v>PDRRMO</v>
          </cell>
          <cell r="D1115">
            <v>0</v>
          </cell>
          <cell r="E1115" t="str">
            <v>NP-53.9 - Small Value Procurement</v>
          </cell>
          <cell r="F1115" t="str">
            <v>N/A</v>
          </cell>
          <cell r="G1115">
            <v>45457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67420</v>
          </cell>
          <cell r="AB1115">
            <v>0</v>
          </cell>
          <cell r="AC1115">
            <v>67420</v>
          </cell>
          <cell r="AD1115">
            <v>0</v>
          </cell>
          <cell r="AE1115">
            <v>0</v>
          </cell>
          <cell r="AF1115">
            <v>0</v>
          </cell>
          <cell r="AG1115" t="str">
            <v>C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</row>
        <row r="1116">
          <cell r="A1116" t="str">
            <v>24-3671</v>
          </cell>
          <cell r="B1116" t="str">
            <v>RICE WELL MILLED (50 KG/SACK)</v>
          </cell>
          <cell r="C1116" t="str">
            <v>PDRRMO</v>
          </cell>
          <cell r="D1116">
            <v>0</v>
          </cell>
          <cell r="E1116" t="str">
            <v>NP-53.9 - Small Value Procurement</v>
          </cell>
          <cell r="F1116" t="str">
            <v>N/A</v>
          </cell>
          <cell r="G1116">
            <v>45457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90000</v>
          </cell>
          <cell r="AB1116">
            <v>0</v>
          </cell>
          <cell r="AC1116">
            <v>90000</v>
          </cell>
          <cell r="AD1116">
            <v>0</v>
          </cell>
          <cell r="AE1116">
            <v>0</v>
          </cell>
          <cell r="AF1116">
            <v>0</v>
          </cell>
          <cell r="AG1116" t="str">
            <v>C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</row>
        <row r="1117">
          <cell r="A1117" t="str">
            <v>24-C1403</v>
          </cell>
          <cell r="B1117" t="str">
            <v>AGRICULTURAL SUPPLIES</v>
          </cell>
          <cell r="C1117" t="str">
            <v>PENRO</v>
          </cell>
          <cell r="D1117">
            <v>0</v>
          </cell>
          <cell r="E1117" t="str">
            <v>NP-53.9 - Small Value Procurement</v>
          </cell>
          <cell r="F1117" t="str">
            <v>N/A</v>
          </cell>
          <cell r="G1117">
            <v>45457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66580</v>
          </cell>
          <cell r="AB1117">
            <v>0</v>
          </cell>
          <cell r="AC1117">
            <v>66580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</row>
        <row r="1118">
          <cell r="A1118" t="str">
            <v>24-C1523</v>
          </cell>
          <cell r="B1118" t="str">
            <v>RUBBING ALCOHOL (70% ISOPROPHYL)</v>
          </cell>
          <cell r="C1118" t="str">
            <v>PENRO</v>
          </cell>
          <cell r="D1118">
            <v>0</v>
          </cell>
          <cell r="E1118" t="str">
            <v>NP-53.9 - Small Value Procurement</v>
          </cell>
          <cell r="F1118" t="str">
            <v>N/A</v>
          </cell>
          <cell r="G1118">
            <v>45457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2533</v>
          </cell>
          <cell r="AB1118">
            <v>0</v>
          </cell>
          <cell r="AC1118">
            <v>2533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</row>
        <row r="1119">
          <cell r="A1119" t="str">
            <v>24-3455</v>
          </cell>
          <cell r="B1119" t="str">
            <v>FULL FACED HELMET  (HEAVY DUTY</v>
          </cell>
          <cell r="C1119" t="str">
            <v>PENRO</v>
          </cell>
          <cell r="D1119">
            <v>0</v>
          </cell>
          <cell r="E1119" t="str">
            <v>NP-53.9 - Small Value Procurement</v>
          </cell>
          <cell r="F1119" t="str">
            <v>N/A</v>
          </cell>
          <cell r="G1119">
            <v>45457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22110</v>
          </cell>
          <cell r="AB1119">
            <v>0</v>
          </cell>
          <cell r="AC1119">
            <v>22110</v>
          </cell>
          <cell r="AD1119">
            <v>0</v>
          </cell>
          <cell r="AE1119">
            <v>0</v>
          </cell>
          <cell r="AF1119">
            <v>0</v>
          </cell>
          <cell r="AG1119" t="e">
            <v>#N/A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</row>
        <row r="1120">
          <cell r="A1120" t="str">
            <v>24-3308</v>
          </cell>
          <cell r="B1120" t="str">
            <v>FLASH DRIVE (32GB)</v>
          </cell>
          <cell r="C1120" t="str">
            <v>PIAO</v>
          </cell>
          <cell r="D1120">
            <v>0</v>
          </cell>
          <cell r="E1120" t="str">
            <v>NP-53.9 - Small Value Procurement</v>
          </cell>
          <cell r="F1120" t="str">
            <v>N/A</v>
          </cell>
          <cell r="G1120">
            <v>45457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3245</v>
          </cell>
          <cell r="AB1120">
            <v>0</v>
          </cell>
          <cell r="AC1120">
            <v>3245</v>
          </cell>
          <cell r="AD1120">
            <v>0</v>
          </cell>
          <cell r="AE1120">
            <v>0</v>
          </cell>
          <cell r="AF1120">
            <v>0</v>
          </cell>
          <cell r="AG1120" t="e">
            <v>#N/A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</row>
        <row r="1121">
          <cell r="A1121" t="str">
            <v>24-3310</v>
          </cell>
          <cell r="B1121" t="str">
            <v xml:space="preserve">JANITORIAL SUPPLIES/HOUSEKEEPING </v>
          </cell>
          <cell r="C1121" t="str">
            <v>PIAO</v>
          </cell>
          <cell r="D1121">
            <v>0</v>
          </cell>
          <cell r="E1121" t="str">
            <v>NP-53.9 - Small Value Procurement</v>
          </cell>
          <cell r="F1121" t="str">
            <v>N/A</v>
          </cell>
          <cell r="G1121">
            <v>45457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8988</v>
          </cell>
          <cell r="AB1121">
            <v>0</v>
          </cell>
          <cell r="AC1121">
            <v>8988</v>
          </cell>
          <cell r="AD1121">
            <v>0</v>
          </cell>
          <cell r="AE1121">
            <v>0</v>
          </cell>
          <cell r="AF1121">
            <v>0</v>
          </cell>
          <cell r="AG1121" t="e">
            <v>#N/A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</row>
        <row r="1122">
          <cell r="A1122" t="str">
            <v>24-3195</v>
          </cell>
          <cell r="B1122" t="str">
            <v>CALLING CARD (COLORED) AS PER SAMPLE</v>
          </cell>
          <cell r="C1122" t="str">
            <v>PAO-ADMIN</v>
          </cell>
          <cell r="D1122">
            <v>0</v>
          </cell>
          <cell r="E1122" t="str">
            <v>NP-53.9 - Small Value Procurement</v>
          </cell>
          <cell r="F1122" t="str">
            <v>N/A</v>
          </cell>
          <cell r="G1122">
            <v>45457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1400</v>
          </cell>
          <cell r="AB1122">
            <v>0</v>
          </cell>
          <cell r="AC1122">
            <v>1400</v>
          </cell>
          <cell r="AD1122">
            <v>0</v>
          </cell>
          <cell r="AE1122">
            <v>0</v>
          </cell>
          <cell r="AF1122">
            <v>0</v>
          </cell>
          <cell r="AG1122" t="str">
            <v>M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</row>
        <row r="1123">
          <cell r="A1123" t="str">
            <v>24-C1431</v>
          </cell>
          <cell r="B1123" t="str">
            <v>TARPAULIN-AS PER SAMPLE</v>
          </cell>
          <cell r="C1123" t="str">
            <v>PHRMDO</v>
          </cell>
          <cell r="D1123">
            <v>0</v>
          </cell>
          <cell r="E1123" t="str">
            <v>NP-53.9 - Small Value Procurement</v>
          </cell>
          <cell r="F1123" t="str">
            <v>N/A</v>
          </cell>
          <cell r="G1123">
            <v>45457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4256</v>
          </cell>
          <cell r="AB1123">
            <v>0</v>
          </cell>
          <cell r="AC1123">
            <v>4256</v>
          </cell>
          <cell r="AD1123">
            <v>0</v>
          </cell>
          <cell r="AE1123">
            <v>0</v>
          </cell>
          <cell r="AF1123">
            <v>0</v>
          </cell>
          <cell r="AG1123" t="str">
            <v>C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</row>
        <row r="1124">
          <cell r="A1124" t="str">
            <v>24-2976</v>
          </cell>
          <cell r="B1124" t="str">
            <v>PLAQUE/TROPHIES/MEDALS</v>
          </cell>
          <cell r="C1124" t="str">
            <v>PGO</v>
          </cell>
          <cell r="D1124">
            <v>0</v>
          </cell>
          <cell r="E1124" t="str">
            <v>NP-53.9 - Small Value Procurement</v>
          </cell>
          <cell r="F1124" t="str">
            <v>N/A</v>
          </cell>
          <cell r="G1124">
            <v>45457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72160</v>
          </cell>
          <cell r="AB1124">
            <v>0</v>
          </cell>
          <cell r="AC1124">
            <v>72160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</row>
        <row r="1125">
          <cell r="A1125" t="str">
            <v>24-2975</v>
          </cell>
          <cell r="B1125" t="str">
            <v>POLO SHIRT  (AS PER DESIGN)</v>
          </cell>
          <cell r="C1125" t="str">
            <v>PGO</v>
          </cell>
          <cell r="D1125">
            <v>0</v>
          </cell>
          <cell r="E1125" t="str">
            <v>NP-53.9 - Small Value Procurement</v>
          </cell>
          <cell r="F1125" t="str">
            <v>N/A</v>
          </cell>
          <cell r="G1125">
            <v>45457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25000</v>
          </cell>
          <cell r="AB1125">
            <v>0</v>
          </cell>
          <cell r="AC1125">
            <v>25000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</row>
        <row r="1126">
          <cell r="A1126" t="str">
            <v>24-C1497</v>
          </cell>
          <cell r="B1126" t="str">
            <v xml:space="preserve">JANITORIAL SUPPLIES/HOUSEKEEPING </v>
          </cell>
          <cell r="C1126" t="str">
            <v>PAGRO</v>
          </cell>
          <cell r="D1126">
            <v>0</v>
          </cell>
          <cell r="E1126" t="str">
            <v>NP-53.9 - Small Value Procurement</v>
          </cell>
          <cell r="F1126" t="str">
            <v>N/A</v>
          </cell>
          <cell r="G1126">
            <v>45457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54055</v>
          </cell>
          <cell r="AB1126">
            <v>0</v>
          </cell>
          <cell r="AC1126">
            <v>54055</v>
          </cell>
          <cell r="AD1126">
            <v>0</v>
          </cell>
          <cell r="AE1126">
            <v>0</v>
          </cell>
          <cell r="AF1126">
            <v>0</v>
          </cell>
          <cell r="AG1126" t="e">
            <v>#N/A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</row>
        <row r="1127">
          <cell r="A1127" t="str">
            <v>24-3556</v>
          </cell>
          <cell r="B1127" t="str">
            <v>FULL FACED HELMET  WITH BUILT-IN GOGGLES (HEAVY DUTY</v>
          </cell>
          <cell r="C1127" t="str">
            <v>PAGRO</v>
          </cell>
          <cell r="D1127">
            <v>0</v>
          </cell>
          <cell r="E1127" t="str">
            <v>NP-53.9 - Small Value Procurement</v>
          </cell>
          <cell r="F1127" t="str">
            <v>N/A</v>
          </cell>
          <cell r="G1127">
            <v>45457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11000</v>
          </cell>
          <cell r="AB1127">
            <v>0</v>
          </cell>
          <cell r="AC1127">
            <v>11000</v>
          </cell>
          <cell r="AD1127">
            <v>0</v>
          </cell>
          <cell r="AE1127">
            <v>0</v>
          </cell>
          <cell r="AF1127">
            <v>0</v>
          </cell>
          <cell r="AG1127" t="e">
            <v>#N/A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</row>
        <row r="1128">
          <cell r="A1128" t="str">
            <v>24-C1502</v>
          </cell>
          <cell r="B1128" t="str">
            <v>OFFICE EQUIPMENT</v>
          </cell>
          <cell r="C1128" t="str">
            <v>PAGRO</v>
          </cell>
          <cell r="D1128">
            <v>0</v>
          </cell>
          <cell r="E1128" t="str">
            <v>NP-53.9 - Small Value Procurement</v>
          </cell>
          <cell r="F1128" t="str">
            <v>N/A</v>
          </cell>
          <cell r="G1128">
            <v>45457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82550</v>
          </cell>
          <cell r="AB1128">
            <v>0</v>
          </cell>
          <cell r="AC1128">
            <v>82550</v>
          </cell>
          <cell r="AD1128">
            <v>0</v>
          </cell>
          <cell r="AE1128">
            <v>0</v>
          </cell>
          <cell r="AF1128">
            <v>0</v>
          </cell>
          <cell r="AG1128" t="e">
            <v>#N/A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</row>
        <row r="1129">
          <cell r="A1129" t="str">
            <v>24-C1496</v>
          </cell>
          <cell r="B1129" t="str">
            <v>OFFICE EQUIPMENT</v>
          </cell>
          <cell r="C1129" t="str">
            <v>PAGRO</v>
          </cell>
          <cell r="D1129">
            <v>0</v>
          </cell>
          <cell r="E1129" t="str">
            <v>NP-53.9 - Small Value Procurement</v>
          </cell>
          <cell r="F1129" t="str">
            <v>N/A</v>
          </cell>
          <cell r="G1129">
            <v>45457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26343</v>
          </cell>
          <cell r="AB1129">
            <v>0</v>
          </cell>
          <cell r="AC1129">
            <v>26343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</row>
        <row r="1130">
          <cell r="A1130" t="str">
            <v>24-2788</v>
          </cell>
          <cell r="B1130" t="str">
            <v>DIGITAL CAMERA-AS PER DESIGN</v>
          </cell>
          <cell r="C1130" t="str">
            <v>PAGRO</v>
          </cell>
          <cell r="D1130">
            <v>0</v>
          </cell>
          <cell r="E1130" t="str">
            <v>NP-53.9 - Small Value Procurement</v>
          </cell>
          <cell r="F1130" t="str">
            <v>N/A</v>
          </cell>
          <cell r="G1130">
            <v>45457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40000</v>
          </cell>
          <cell r="AB1130">
            <v>0</v>
          </cell>
          <cell r="AC1130">
            <v>40000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</row>
        <row r="1131">
          <cell r="A1131" t="str">
            <v>24-C1439</v>
          </cell>
          <cell r="B1131" t="str">
            <v>OFFICE EQUIPMENT</v>
          </cell>
          <cell r="C1131" t="str">
            <v>PAGRO</v>
          </cell>
          <cell r="D1131">
            <v>0</v>
          </cell>
          <cell r="E1131" t="str">
            <v>NP-53.9 - Small Value Procurement</v>
          </cell>
          <cell r="F1131" t="str">
            <v>N/A</v>
          </cell>
          <cell r="G1131">
            <v>45457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48146.7</v>
          </cell>
          <cell r="AB1131">
            <v>0</v>
          </cell>
          <cell r="AC1131">
            <v>48146.7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</row>
        <row r="1132">
          <cell r="A1132" t="str">
            <v>24-2688</v>
          </cell>
          <cell r="B1132" t="str">
            <v>MINERAL WATER , 5 GAL</v>
          </cell>
          <cell r="C1132" t="str">
            <v>PGO</v>
          </cell>
          <cell r="D1132">
            <v>0</v>
          </cell>
          <cell r="E1132" t="str">
            <v>NP-53.9 - Small Value Procurement</v>
          </cell>
          <cell r="F1132" t="str">
            <v>N/A</v>
          </cell>
          <cell r="G1132">
            <v>45457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1640</v>
          </cell>
          <cell r="AB1132">
            <v>0</v>
          </cell>
          <cell r="AC1132">
            <v>1640</v>
          </cell>
          <cell r="AD1132">
            <v>0</v>
          </cell>
          <cell r="AE1132">
            <v>0</v>
          </cell>
          <cell r="AF1132">
            <v>0</v>
          </cell>
          <cell r="AG1132" t="e">
            <v>#N/A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</row>
        <row r="1133">
          <cell r="A1133" t="str">
            <v>24-3186</v>
          </cell>
          <cell r="B1133" t="str">
            <v>COMPUTER SUPPLIES</v>
          </cell>
          <cell r="C1133" t="str">
            <v>PGO</v>
          </cell>
          <cell r="D1133">
            <v>0</v>
          </cell>
          <cell r="E1133" t="str">
            <v>NP-53.9 - Small Value Procurement</v>
          </cell>
          <cell r="F1133" t="str">
            <v>N/A</v>
          </cell>
          <cell r="G1133">
            <v>45457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15481</v>
          </cell>
          <cell r="AB1133">
            <v>0</v>
          </cell>
          <cell r="AC1133">
            <v>15481</v>
          </cell>
          <cell r="AD1133">
            <v>0</v>
          </cell>
          <cell r="AE1133">
            <v>0</v>
          </cell>
          <cell r="AF1133">
            <v>0</v>
          </cell>
          <cell r="AG1133" t="e">
            <v>#N/A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</row>
        <row r="1134">
          <cell r="A1134" t="str">
            <v>24-3281</v>
          </cell>
          <cell r="B1134" t="str">
            <v>DOGFOOD ADULT  20 KG/SACK</v>
          </cell>
          <cell r="C1134" t="str">
            <v>PGO</v>
          </cell>
          <cell r="D1134">
            <v>0</v>
          </cell>
          <cell r="E1134" t="str">
            <v>NP-53.9 - Small Value Procurement</v>
          </cell>
          <cell r="F1134" t="str">
            <v>N/A</v>
          </cell>
          <cell r="G1134">
            <v>45457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73260</v>
          </cell>
          <cell r="AB1134">
            <v>0</v>
          </cell>
          <cell r="AC1134">
            <v>73260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</row>
        <row r="1135">
          <cell r="A1135" t="str">
            <v>24-3280</v>
          </cell>
          <cell r="B1135" t="str">
            <v>FUEL, OIL, AND LUBRICANTS</v>
          </cell>
          <cell r="C1135" t="str">
            <v>PGO</v>
          </cell>
          <cell r="D1135">
            <v>0</v>
          </cell>
          <cell r="E1135" t="str">
            <v>NP-53.9 - Small Value Procurement</v>
          </cell>
          <cell r="F1135" t="str">
            <v>N/A</v>
          </cell>
          <cell r="G1135">
            <v>45457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37050</v>
          </cell>
          <cell r="AB1135">
            <v>0</v>
          </cell>
          <cell r="AC1135">
            <v>37050</v>
          </cell>
          <cell r="AD1135">
            <v>0</v>
          </cell>
          <cell r="AE1135">
            <v>0</v>
          </cell>
          <cell r="AF1135">
            <v>0</v>
          </cell>
          <cell r="AG1135" t="e">
            <v>#N/A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</row>
        <row r="1136">
          <cell r="A1136" t="str">
            <v>24-3078</v>
          </cell>
          <cell r="B1136" t="str">
            <v>TARPAULIN - AS PER DESIGN</v>
          </cell>
          <cell r="C1136" t="str">
            <v>PEO</v>
          </cell>
          <cell r="D1136">
            <v>0</v>
          </cell>
          <cell r="E1136" t="str">
            <v>NP-53.9 - Small Value Procurement</v>
          </cell>
          <cell r="F1136" t="str">
            <v>N/A</v>
          </cell>
          <cell r="G1136">
            <v>45457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1792</v>
          </cell>
          <cell r="AB1136">
            <v>0</v>
          </cell>
          <cell r="AC1136">
            <v>1792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</row>
        <row r="1137">
          <cell r="A1137" t="str">
            <v>24-3063</v>
          </cell>
          <cell r="B1137" t="str">
            <v>SPAREPARTS (MOTORCYCLE)</v>
          </cell>
          <cell r="C1137" t="str">
            <v>PGSO</v>
          </cell>
          <cell r="D1137">
            <v>0</v>
          </cell>
          <cell r="E1137" t="str">
            <v>Shopping 52.1(a) - Unforeseen Contingency</v>
          </cell>
          <cell r="F1137" t="str">
            <v>N/A</v>
          </cell>
          <cell r="G1137">
            <v>45457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8115</v>
          </cell>
          <cell r="AB1137">
            <v>0</v>
          </cell>
          <cell r="AC1137">
            <v>8115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</row>
        <row r="1138">
          <cell r="A1138" t="str">
            <v>24-2812</v>
          </cell>
          <cell r="B1138" t="str">
            <v>HANDLE BAR (HONDA XR 150)</v>
          </cell>
          <cell r="C1138" t="str">
            <v>PGSO</v>
          </cell>
          <cell r="D1138">
            <v>0</v>
          </cell>
          <cell r="E1138" t="str">
            <v>Shopping 52.1(a) - Unforeseen Contingency</v>
          </cell>
          <cell r="F1138" t="str">
            <v>N/A</v>
          </cell>
          <cell r="G1138">
            <v>45457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2800</v>
          </cell>
          <cell r="AB1138">
            <v>0</v>
          </cell>
          <cell r="AC1138">
            <v>2800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</row>
        <row r="1139">
          <cell r="A1139" t="str">
            <v>24-2844</v>
          </cell>
          <cell r="B1139" t="str">
            <v>SPAREPARTS (MOTORCYCLE)</v>
          </cell>
          <cell r="C1139" t="str">
            <v>PGSO</v>
          </cell>
          <cell r="D1139">
            <v>0</v>
          </cell>
          <cell r="E1139" t="str">
            <v>Shopping 52.1(a) - Unforeseen Contingency</v>
          </cell>
          <cell r="F1139" t="str">
            <v>N/A</v>
          </cell>
          <cell r="G1139">
            <v>45457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3605</v>
          </cell>
          <cell r="AB1139">
            <v>0</v>
          </cell>
          <cell r="AC1139">
            <v>3605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</row>
        <row r="1140">
          <cell r="A1140" t="str">
            <v>24-2810</v>
          </cell>
          <cell r="B1140" t="str">
            <v>SPAREPARTS (LIGHT VEHICLES)</v>
          </cell>
          <cell r="C1140" t="str">
            <v>PGSO</v>
          </cell>
          <cell r="D1140">
            <v>0</v>
          </cell>
          <cell r="E1140" t="str">
            <v>Shopping 52.1(a) - Unforeseen Contingency</v>
          </cell>
          <cell r="F1140" t="str">
            <v>N/A</v>
          </cell>
          <cell r="G1140">
            <v>45457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1150</v>
          </cell>
          <cell r="AB1140">
            <v>0</v>
          </cell>
          <cell r="AC1140">
            <v>1150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</row>
        <row r="1141">
          <cell r="A1141" t="str">
            <v>24-2792</v>
          </cell>
          <cell r="B1141" t="str">
            <v>SPAREPARTS (MOTORCYCLE)</v>
          </cell>
          <cell r="C1141" t="str">
            <v>PGSO</v>
          </cell>
          <cell r="D1141">
            <v>0</v>
          </cell>
          <cell r="E1141" t="str">
            <v>Shopping 52.1(a) - Unforeseen Contingency</v>
          </cell>
          <cell r="F1141" t="str">
            <v>N/A</v>
          </cell>
          <cell r="G1141">
            <v>45457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5860</v>
          </cell>
          <cell r="AB1141">
            <v>0</v>
          </cell>
          <cell r="AC1141">
            <v>5860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A1142" t="str">
            <v>24-2809</v>
          </cell>
          <cell r="B1142" t="str">
            <v>SPAREPARTS (MOTORCYCLE)</v>
          </cell>
          <cell r="C1142" t="str">
            <v>PGSO</v>
          </cell>
          <cell r="D1142">
            <v>0</v>
          </cell>
          <cell r="E1142" t="str">
            <v>Shopping 52.1(a) - Unforeseen Contingency</v>
          </cell>
          <cell r="F1142" t="str">
            <v>N/A</v>
          </cell>
          <cell r="G1142">
            <v>45457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19915</v>
          </cell>
          <cell r="AB1142">
            <v>0</v>
          </cell>
          <cell r="AC1142">
            <v>19915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</row>
        <row r="1143">
          <cell r="A1143" t="str">
            <v>24-2811</v>
          </cell>
          <cell r="B1143" t="str">
            <v>PLUMBING SUPPLIES</v>
          </cell>
          <cell r="C1143" t="str">
            <v>PGSO</v>
          </cell>
          <cell r="D1143">
            <v>0</v>
          </cell>
          <cell r="E1143" t="str">
            <v>Shopping 52.1(a) - Unforeseen Contingency</v>
          </cell>
          <cell r="F1143" t="str">
            <v>N/A</v>
          </cell>
          <cell r="G1143">
            <v>45457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16860</v>
          </cell>
          <cell r="AB1143">
            <v>0</v>
          </cell>
          <cell r="AC1143">
            <v>16860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</row>
        <row r="1144">
          <cell r="A1144" t="str">
            <v>24-2807</v>
          </cell>
          <cell r="B1144" t="str">
            <v>OFFICE SUPPLIES</v>
          </cell>
          <cell r="C1144" t="str">
            <v>PHRMDO</v>
          </cell>
          <cell r="D1144">
            <v>0</v>
          </cell>
          <cell r="E1144" t="str">
            <v>Shopping 52.1(b) - Regular Office Supplies and Equipment no available in PS</v>
          </cell>
          <cell r="F1144" t="str">
            <v>N/A</v>
          </cell>
          <cell r="G1144">
            <v>45457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7920</v>
          </cell>
          <cell r="AB1144">
            <v>0</v>
          </cell>
          <cell r="AC1144">
            <v>7920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</row>
        <row r="1145">
          <cell r="A1145" t="str">
            <v>24-C1485</v>
          </cell>
          <cell r="B1145" t="str">
            <v>OFFICE SUPPLIES</v>
          </cell>
          <cell r="C1145" t="str">
            <v>PDRRMO</v>
          </cell>
          <cell r="D1145">
            <v>0</v>
          </cell>
          <cell r="E1145" t="str">
            <v>Shopping 52.1(b) - Regular Office Supplies and Equipment no available in PS</v>
          </cell>
          <cell r="F1145" t="str">
            <v>N/A</v>
          </cell>
          <cell r="G1145">
            <v>45457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5080</v>
          </cell>
          <cell r="AB1145">
            <v>0</v>
          </cell>
          <cell r="AC1145">
            <v>5080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</row>
        <row r="1146">
          <cell r="A1146" t="str">
            <v>24-C1498</v>
          </cell>
          <cell r="B1146" t="str">
            <v>OFFICE SUPPLIES</v>
          </cell>
          <cell r="C1146" t="str">
            <v>PAGRO</v>
          </cell>
          <cell r="D1146">
            <v>0</v>
          </cell>
          <cell r="E1146" t="str">
            <v>Shopping 52.1(b) - Regular Office Supplies and Equipment no available in PS</v>
          </cell>
          <cell r="F1146" t="str">
            <v>N/A</v>
          </cell>
          <cell r="G1146">
            <v>45457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25000</v>
          </cell>
          <cell r="AB1146">
            <v>0</v>
          </cell>
          <cell r="AC1146">
            <v>25000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</row>
        <row r="1147">
          <cell r="A1147" t="str">
            <v>24-3184</v>
          </cell>
          <cell r="B1147" t="str">
            <v>OFFICE SUPPLIES</v>
          </cell>
          <cell r="C1147" t="str">
            <v>PGO</v>
          </cell>
          <cell r="D1147">
            <v>0</v>
          </cell>
          <cell r="E1147" t="str">
            <v>Shopping 52.1(b) - Regular Office Supplies and Equipment no available in PS</v>
          </cell>
          <cell r="F1147" t="str">
            <v>N/A</v>
          </cell>
          <cell r="G1147">
            <v>45457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39532</v>
          </cell>
          <cell r="AB1147">
            <v>0</v>
          </cell>
          <cell r="AC1147">
            <v>39532</v>
          </cell>
          <cell r="AD1147">
            <v>0</v>
          </cell>
          <cell r="AE1147">
            <v>0</v>
          </cell>
          <cell r="AF1147">
            <v>0</v>
          </cell>
          <cell r="AG1147" t="e">
            <v>#N/A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</row>
        <row r="1148">
          <cell r="A1148" t="str">
            <v>24-3330</v>
          </cell>
          <cell r="B1148" t="str">
            <v>OFFICE SUPPLIES</v>
          </cell>
          <cell r="C1148" t="str">
            <v>PGO</v>
          </cell>
          <cell r="D1148">
            <v>0</v>
          </cell>
          <cell r="E1148" t="str">
            <v>Shopping 52.1(b) - Regular Office Supplies and Equipment no available in PS</v>
          </cell>
          <cell r="F1148" t="str">
            <v>N/A</v>
          </cell>
          <cell r="G1148">
            <v>45457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3192</v>
          </cell>
          <cell r="AB1148">
            <v>0</v>
          </cell>
          <cell r="AC1148">
            <v>3192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</row>
        <row r="1149">
          <cell r="A1149" t="str">
            <v>24-3174</v>
          </cell>
          <cell r="B1149" t="str">
            <v>OFFICE SUPPLIES</v>
          </cell>
          <cell r="C1149" t="str">
            <v>PGO</v>
          </cell>
          <cell r="D1149">
            <v>0</v>
          </cell>
          <cell r="E1149" t="str">
            <v>Shopping 52.1(b) - Regular Office Supplies and Equipment no available in PS</v>
          </cell>
          <cell r="F1149" t="str">
            <v>N/A</v>
          </cell>
          <cell r="G1149">
            <v>45457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22600</v>
          </cell>
          <cell r="AB1149">
            <v>0</v>
          </cell>
          <cell r="AC1149">
            <v>22600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</row>
        <row r="1150">
          <cell r="A1150" t="str">
            <v>24-3327</v>
          </cell>
          <cell r="B1150" t="str">
            <v>OFFICE SUPPLIES</v>
          </cell>
          <cell r="C1150" t="str">
            <v>PGO</v>
          </cell>
          <cell r="D1150">
            <v>0</v>
          </cell>
          <cell r="E1150" t="str">
            <v>Shopping 52.1(b) - Regular Office Supplies and Equipment no available in PS</v>
          </cell>
          <cell r="F1150" t="str">
            <v>N/A</v>
          </cell>
          <cell r="G1150">
            <v>45457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23307</v>
          </cell>
          <cell r="AB1150">
            <v>0</v>
          </cell>
          <cell r="AC1150">
            <v>23307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</row>
        <row r="1151">
          <cell r="A1151" t="str">
            <v>24-2961</v>
          </cell>
          <cell r="B1151" t="str">
            <v>OFFICE SUPPLIES</v>
          </cell>
          <cell r="C1151" t="str">
            <v>VGO</v>
          </cell>
          <cell r="D1151">
            <v>0</v>
          </cell>
          <cell r="E1151" t="str">
            <v>Shopping 52.1(b) - Regular Office Supplies and Equipment no available in PS</v>
          </cell>
          <cell r="F1151" t="str">
            <v>N/A</v>
          </cell>
          <cell r="G1151">
            <v>45458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170005</v>
          </cell>
          <cell r="AB1151">
            <v>0</v>
          </cell>
          <cell r="AC1151">
            <v>170005</v>
          </cell>
          <cell r="AD1151">
            <v>0</v>
          </cell>
          <cell r="AE1151">
            <v>0</v>
          </cell>
          <cell r="AF1151">
            <v>0</v>
          </cell>
          <cell r="AG1151" t="e">
            <v>#N/A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</row>
        <row r="1152">
          <cell r="A1152" t="str">
            <v>24-3275</v>
          </cell>
          <cell r="B1152" t="str">
            <v>REPAIR AND MAINTENANCE - MACHINERY AND EQUIPMENT</v>
          </cell>
          <cell r="C1152" t="str">
            <v>DDOPH-PANTUKAN</v>
          </cell>
          <cell r="D1152">
            <v>0</v>
          </cell>
          <cell r="E1152" t="str">
            <v>Shopping 52.1(a) - Unforeseen Contingency</v>
          </cell>
          <cell r="F1152" t="str">
            <v>N/A</v>
          </cell>
          <cell r="G1152">
            <v>45461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50000</v>
          </cell>
          <cell r="AB1152">
            <v>0</v>
          </cell>
          <cell r="AC1152">
            <v>50000</v>
          </cell>
          <cell r="AD1152">
            <v>0</v>
          </cell>
          <cell r="AE1152">
            <v>0</v>
          </cell>
          <cell r="AF1152">
            <v>0</v>
          </cell>
          <cell r="AG1152" t="e">
            <v>#N/A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</row>
        <row r="1153">
          <cell r="A1153" t="str">
            <v>24-3277</v>
          </cell>
          <cell r="B1153" t="str">
            <v>REPAIR AND MAINTENANCE - BUILDING AND OTHER STRUCTURE</v>
          </cell>
          <cell r="C1153" t="str">
            <v>DDOPH-PANTUKAN</v>
          </cell>
          <cell r="D1153">
            <v>0</v>
          </cell>
          <cell r="E1153" t="str">
            <v>Shopping 52.1(a) - Unforeseen Contingency</v>
          </cell>
          <cell r="F1153" t="str">
            <v>N/A</v>
          </cell>
          <cell r="G1153">
            <v>45461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50000</v>
          </cell>
          <cell r="AB1153">
            <v>0</v>
          </cell>
          <cell r="AC1153">
            <v>50000</v>
          </cell>
          <cell r="AD1153">
            <v>0</v>
          </cell>
          <cell r="AE1153">
            <v>0</v>
          </cell>
          <cell r="AF1153">
            <v>0</v>
          </cell>
          <cell r="AG1153" t="e">
            <v>#N/A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</row>
        <row r="1154">
          <cell r="A1154" t="str">
            <v>24-3118</v>
          </cell>
          <cell r="B1154" t="str">
            <v>OFFICE SUPPLIES</v>
          </cell>
          <cell r="C1154" t="str">
            <v>PGO</v>
          </cell>
          <cell r="D1154">
            <v>0</v>
          </cell>
          <cell r="E1154" t="str">
            <v>Shopping 52.1(b) - Regular Office Supplies and Equipment no available in PS</v>
          </cell>
          <cell r="F1154" t="str">
            <v>N/A</v>
          </cell>
          <cell r="G1154">
            <v>45461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5327</v>
          </cell>
          <cell r="AB1154">
            <v>0</v>
          </cell>
          <cell r="AC1154">
            <v>5327</v>
          </cell>
          <cell r="AD1154">
            <v>0</v>
          </cell>
          <cell r="AE1154">
            <v>0</v>
          </cell>
          <cell r="AF1154">
            <v>0</v>
          </cell>
          <cell r="AG1154" t="e">
            <v>#N/A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</row>
        <row r="1155">
          <cell r="A1155" t="str">
            <v>24-C1429</v>
          </cell>
          <cell r="B1155" t="str">
            <v>OFFICE SUPPLIES</v>
          </cell>
          <cell r="C1155" t="str">
            <v>PHRMDO</v>
          </cell>
          <cell r="D1155">
            <v>0</v>
          </cell>
          <cell r="E1155" t="str">
            <v>Shopping 52.1(b) - Regular Office Supplies and Equipment no available in PS</v>
          </cell>
          <cell r="F1155" t="str">
            <v>N/A</v>
          </cell>
          <cell r="G1155">
            <v>45461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79995</v>
          </cell>
          <cell r="AB1155">
            <v>0</v>
          </cell>
          <cell r="AC1155">
            <v>79995</v>
          </cell>
          <cell r="AD1155">
            <v>0</v>
          </cell>
          <cell r="AE1155">
            <v>0</v>
          </cell>
          <cell r="AF1155">
            <v>0</v>
          </cell>
          <cell r="AG1155" t="e">
            <v>#N/A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</row>
        <row r="1156">
          <cell r="A1156" t="str">
            <v>24-C1424</v>
          </cell>
          <cell r="B1156" t="str">
            <v>OFFICE SUPPLIES</v>
          </cell>
          <cell r="C1156" t="str">
            <v>PAO-ADMIN</v>
          </cell>
          <cell r="D1156">
            <v>0</v>
          </cell>
          <cell r="E1156" t="str">
            <v>Shopping 52.1(b) - Regular Office Supplies and Equipment no available in PS</v>
          </cell>
          <cell r="F1156" t="str">
            <v>N/A</v>
          </cell>
          <cell r="G1156">
            <v>45461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166824.5</v>
          </cell>
          <cell r="AB1156">
            <v>0</v>
          </cell>
          <cell r="AC1156">
            <v>166824.5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</row>
        <row r="1157">
          <cell r="A1157" t="str">
            <v>24-C1354</v>
          </cell>
          <cell r="B1157" t="str">
            <v>SPAREPARTS (AIRCONDITION)</v>
          </cell>
          <cell r="C1157" t="str">
            <v>SPO</v>
          </cell>
          <cell r="D1157">
            <v>0</v>
          </cell>
          <cell r="E1157" t="str">
            <v>Direct Contracting</v>
          </cell>
          <cell r="F1157" t="str">
            <v>N/A</v>
          </cell>
          <cell r="G1157">
            <v>45461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141183.29999999999</v>
          </cell>
          <cell r="AB1157">
            <v>0</v>
          </cell>
          <cell r="AC1157">
            <v>141183.29999999999</v>
          </cell>
          <cell r="AD1157">
            <v>0</v>
          </cell>
          <cell r="AE1157">
            <v>0</v>
          </cell>
          <cell r="AF1157">
            <v>0</v>
          </cell>
          <cell r="AG1157" t="e">
            <v>#N/A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</row>
        <row r="1158">
          <cell r="A1158" t="str">
            <v>24-3294</v>
          </cell>
          <cell r="B1158" t="str">
            <v>MEALS AND SNACKS</v>
          </cell>
          <cell r="C1158" t="str">
            <v>PGO</v>
          </cell>
          <cell r="D1158">
            <v>0</v>
          </cell>
          <cell r="E1158" t="str">
            <v>NP-53.9 - Small Value Procurement</v>
          </cell>
          <cell r="F1158" t="str">
            <v>N/A</v>
          </cell>
          <cell r="G1158">
            <v>45461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170000</v>
          </cell>
          <cell r="AB1158">
            <v>0</v>
          </cell>
          <cell r="AC1158">
            <v>170000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</row>
        <row r="1159">
          <cell r="A1159" t="str">
            <v>24-3295</v>
          </cell>
          <cell r="B1159" t="str">
            <v>MEALS AND SNACKS</v>
          </cell>
          <cell r="C1159" t="str">
            <v>PGO</v>
          </cell>
          <cell r="D1159">
            <v>0</v>
          </cell>
          <cell r="E1159" t="str">
            <v>NP-53.9 - Small Value Procurement</v>
          </cell>
          <cell r="F1159" t="str">
            <v>N/A</v>
          </cell>
          <cell r="G1159">
            <v>45461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197500</v>
          </cell>
          <cell r="AB1159">
            <v>0</v>
          </cell>
          <cell r="AC1159">
            <v>197500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</row>
        <row r="1160">
          <cell r="A1160" t="str">
            <v>24-3213</v>
          </cell>
          <cell r="B1160" t="str">
            <v>MEALS AND SNACKS</v>
          </cell>
          <cell r="C1160" t="str">
            <v>PGO</v>
          </cell>
          <cell r="D1160">
            <v>0</v>
          </cell>
          <cell r="E1160" t="str">
            <v>NP-53.9 - Small Value Procurement</v>
          </cell>
          <cell r="F1160" t="str">
            <v>N/A</v>
          </cell>
          <cell r="G1160">
            <v>45461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95000</v>
          </cell>
          <cell r="AB1160">
            <v>0</v>
          </cell>
          <cell r="AC1160">
            <v>95000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</row>
        <row r="1161">
          <cell r="A1161" t="str">
            <v>24-3209</v>
          </cell>
          <cell r="B1161" t="str">
            <v>MEALS AND SNACKS</v>
          </cell>
          <cell r="C1161" t="str">
            <v>PGO</v>
          </cell>
          <cell r="D1161">
            <v>0</v>
          </cell>
          <cell r="E1161" t="str">
            <v>NP-53.9 - Small Value Procurement</v>
          </cell>
          <cell r="F1161" t="str">
            <v>N/A</v>
          </cell>
          <cell r="G1161">
            <v>45461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129000</v>
          </cell>
          <cell r="AB1161">
            <v>0</v>
          </cell>
          <cell r="AC1161">
            <v>129000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</row>
        <row r="1162">
          <cell r="A1162" t="str">
            <v>24-C1448</v>
          </cell>
          <cell r="B1162" t="str">
            <v>COMPUTER SUPPLIES</v>
          </cell>
          <cell r="C1162" t="str">
            <v>PSWDO</v>
          </cell>
          <cell r="D1162">
            <v>0</v>
          </cell>
          <cell r="E1162" t="str">
            <v>NP-53.9 - Small Value Procurement</v>
          </cell>
          <cell r="F1162" t="str">
            <v>N/A</v>
          </cell>
          <cell r="G1162">
            <v>45461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18340</v>
          </cell>
          <cell r="AB1162">
            <v>0</v>
          </cell>
          <cell r="AC1162">
            <v>18340</v>
          </cell>
          <cell r="AD1162">
            <v>0</v>
          </cell>
          <cell r="AE1162">
            <v>0</v>
          </cell>
          <cell r="AF1162">
            <v>0</v>
          </cell>
          <cell r="AG1162" t="e">
            <v>#N/A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</row>
        <row r="1163">
          <cell r="A1163" t="str">
            <v>24-2645</v>
          </cell>
          <cell r="B1163" t="str">
            <v>RICE (WELL-MILLED) 50KG/SACK</v>
          </cell>
          <cell r="C1163" t="str">
            <v>PGO</v>
          </cell>
          <cell r="D1163">
            <v>0</v>
          </cell>
          <cell r="E1163" t="str">
            <v>NP-53.9 - Small Value Procurement</v>
          </cell>
          <cell r="F1163" t="str">
            <v>N/A</v>
          </cell>
          <cell r="G1163">
            <v>45461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144000</v>
          </cell>
          <cell r="AB1163">
            <v>0</v>
          </cell>
          <cell r="AC1163">
            <v>144000</v>
          </cell>
          <cell r="AD1163">
            <v>0</v>
          </cell>
          <cell r="AE1163">
            <v>0</v>
          </cell>
          <cell r="AF1163">
            <v>0</v>
          </cell>
          <cell r="AG1163" t="e">
            <v>#N/A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</row>
        <row r="1164">
          <cell r="A1164" t="str">
            <v>24-3346</v>
          </cell>
          <cell r="B1164" t="str">
            <v>OFFICE EQUIPMENT</v>
          </cell>
          <cell r="C1164" t="str">
            <v>PGO</v>
          </cell>
          <cell r="D1164">
            <v>0</v>
          </cell>
          <cell r="E1164" t="str">
            <v>NP-53.9 - Small Value Procurement</v>
          </cell>
          <cell r="F1164" t="str">
            <v>N/A</v>
          </cell>
          <cell r="G1164">
            <v>45461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14500</v>
          </cell>
          <cell r="AB1164">
            <v>0</v>
          </cell>
          <cell r="AC1164">
            <v>14500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</row>
        <row r="1165">
          <cell r="A1165" t="str">
            <v>24-3597</v>
          </cell>
          <cell r="B1165" t="str">
            <v>ACK-UP DRONE BATTERY</v>
          </cell>
          <cell r="C1165" t="str">
            <v>PGO</v>
          </cell>
          <cell r="D1165">
            <v>0</v>
          </cell>
          <cell r="E1165" t="str">
            <v>NP-53.9 - Small Value Procurement</v>
          </cell>
          <cell r="F1165" t="str">
            <v>N/A</v>
          </cell>
          <cell r="G1165">
            <v>45461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16500</v>
          </cell>
          <cell r="AB1165">
            <v>0</v>
          </cell>
          <cell r="AC1165">
            <v>16500</v>
          </cell>
          <cell r="AD1165">
            <v>0</v>
          </cell>
          <cell r="AE1165">
            <v>0</v>
          </cell>
          <cell r="AF1165">
            <v>0</v>
          </cell>
          <cell r="AG1165" t="e">
            <v>#N/A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</row>
        <row r="1166">
          <cell r="A1166" t="str">
            <v>24-3117</v>
          </cell>
          <cell r="B1166" t="str">
            <v>RAIN COAT (PONCHO TYPE)</v>
          </cell>
          <cell r="C1166" t="str">
            <v>PGO</v>
          </cell>
          <cell r="D1166">
            <v>0</v>
          </cell>
          <cell r="E1166" t="str">
            <v>NP-53.9 - Small Value Procurement</v>
          </cell>
          <cell r="F1166" t="str">
            <v>N/A</v>
          </cell>
          <cell r="G1166">
            <v>45461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1200</v>
          </cell>
          <cell r="AB1166">
            <v>0</v>
          </cell>
          <cell r="AC1166">
            <v>1200</v>
          </cell>
          <cell r="AD1166">
            <v>0</v>
          </cell>
          <cell r="AE1166">
            <v>0</v>
          </cell>
          <cell r="AF1166">
            <v>0</v>
          </cell>
          <cell r="AG1166" t="e">
            <v>#N/A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</row>
        <row r="1167">
          <cell r="A1167" t="str">
            <v>24-C1504</v>
          </cell>
          <cell r="B1167" t="str">
            <v>COMPUTER SUPPLIES</v>
          </cell>
          <cell r="C1167" t="str">
            <v>PASSO</v>
          </cell>
          <cell r="D1167">
            <v>0</v>
          </cell>
          <cell r="E1167" t="str">
            <v>NP-53.9 - Small Value Procurement</v>
          </cell>
          <cell r="F1167" t="str">
            <v>N/A</v>
          </cell>
          <cell r="G1167">
            <v>45461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125382</v>
          </cell>
          <cell r="AB1167">
            <v>0</v>
          </cell>
          <cell r="AC1167">
            <v>125382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</row>
        <row r="1168">
          <cell r="A1168" t="str">
            <v>24-3328</v>
          </cell>
          <cell r="B1168" t="str">
            <v>PAPER SHREDDER 20 LITERS (HEAVY DUTY)</v>
          </cell>
          <cell r="C1168" t="str">
            <v>PGO</v>
          </cell>
          <cell r="D1168">
            <v>0</v>
          </cell>
          <cell r="E1168" t="str">
            <v>NP-53.9 - Small Value Procurement</v>
          </cell>
          <cell r="F1168" t="str">
            <v>N/A</v>
          </cell>
          <cell r="G1168">
            <v>45461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28000</v>
          </cell>
          <cell r="AB1168">
            <v>0</v>
          </cell>
          <cell r="AC1168">
            <v>28000</v>
          </cell>
          <cell r="AD1168">
            <v>0</v>
          </cell>
          <cell r="AE1168">
            <v>0</v>
          </cell>
          <cell r="AF1168">
            <v>0</v>
          </cell>
          <cell r="AG1168" t="e">
            <v>#N/A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</row>
        <row r="1169">
          <cell r="A1169" t="str">
            <v>24-C1515</v>
          </cell>
          <cell r="B1169" t="str">
            <v>MEALS AND SNACKS</v>
          </cell>
          <cell r="C1169" t="str">
            <v>PVO</v>
          </cell>
          <cell r="D1169">
            <v>0</v>
          </cell>
          <cell r="E1169" t="str">
            <v>NP-53.9 - Small Value Procurement</v>
          </cell>
          <cell r="F1169" t="str">
            <v>N/A</v>
          </cell>
          <cell r="G1169">
            <v>45461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46039</v>
          </cell>
          <cell r="AB1169">
            <v>0</v>
          </cell>
          <cell r="AC1169">
            <v>46039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</row>
        <row r="1170">
          <cell r="A1170" t="str">
            <v>24-C1490</v>
          </cell>
          <cell r="B1170" t="str">
            <v>PLUMBING SUPPLIES</v>
          </cell>
          <cell r="C1170" t="str">
            <v>PDRRMO</v>
          </cell>
          <cell r="D1170">
            <v>0</v>
          </cell>
          <cell r="E1170" t="str">
            <v>NP-53.9 - Small Value Procurement</v>
          </cell>
          <cell r="F1170" t="str">
            <v>N/A</v>
          </cell>
          <cell r="G1170">
            <v>45461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22305.599999999999</v>
          </cell>
          <cell r="AB1170">
            <v>0</v>
          </cell>
          <cell r="AC1170">
            <v>22305.599999999999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</row>
        <row r="1171">
          <cell r="A1171" t="str">
            <v>24-3115</v>
          </cell>
          <cell r="B1171" t="str">
            <v>ANIMAL FEEDS</v>
          </cell>
          <cell r="C1171" t="str">
            <v>PGO</v>
          </cell>
          <cell r="D1171">
            <v>0</v>
          </cell>
          <cell r="E1171" t="str">
            <v>NP-53.9 - Small Value Procurement</v>
          </cell>
          <cell r="F1171" t="str">
            <v>N/A</v>
          </cell>
          <cell r="G1171">
            <v>45461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89000</v>
          </cell>
          <cell r="AB1171">
            <v>0</v>
          </cell>
          <cell r="AC1171">
            <v>89000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</row>
        <row r="1172">
          <cell r="A1172" t="str">
            <v>24-C1459</v>
          </cell>
          <cell r="B1172" t="str">
            <v>MEALS AND SNACKS</v>
          </cell>
          <cell r="C1172" t="str">
            <v>PENRO</v>
          </cell>
          <cell r="D1172">
            <v>0</v>
          </cell>
          <cell r="E1172" t="str">
            <v>NP-53.9 - Small Value Procurement</v>
          </cell>
          <cell r="F1172" t="str">
            <v>N/A</v>
          </cell>
          <cell r="G1172">
            <v>45461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44550</v>
          </cell>
          <cell r="AB1172">
            <v>0</v>
          </cell>
          <cell r="AC1172">
            <v>44550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</row>
        <row r="1173">
          <cell r="A1173" t="str">
            <v>24-C1338</v>
          </cell>
          <cell r="B1173" t="str">
            <v>MEALS AND SNACKS</v>
          </cell>
          <cell r="C1173" t="str">
            <v>PGO</v>
          </cell>
          <cell r="D1173">
            <v>0</v>
          </cell>
          <cell r="E1173" t="str">
            <v>NP-53.9 - Small Value Procurement</v>
          </cell>
          <cell r="F1173" t="str">
            <v>N/A</v>
          </cell>
          <cell r="G1173">
            <v>45461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57031</v>
          </cell>
          <cell r="AB1173">
            <v>0</v>
          </cell>
          <cell r="AC1173">
            <v>57031</v>
          </cell>
          <cell r="AD1173">
            <v>0</v>
          </cell>
          <cell r="AE1173">
            <v>0</v>
          </cell>
          <cell r="AF1173">
            <v>0</v>
          </cell>
          <cell r="AG1173" t="e">
            <v>#N/A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A1174" t="str">
            <v>24-C1432</v>
          </cell>
          <cell r="B1174" t="str">
            <v>COMPUTER SUPPLIES</v>
          </cell>
          <cell r="C1174" t="str">
            <v>PDRRMO</v>
          </cell>
          <cell r="D1174">
            <v>0</v>
          </cell>
          <cell r="E1174" t="str">
            <v>NP-53.9 - Small Value Procurement</v>
          </cell>
          <cell r="F1174" t="str">
            <v>N/A</v>
          </cell>
          <cell r="G1174">
            <v>45461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61458</v>
          </cell>
          <cell r="AB1174">
            <v>0</v>
          </cell>
          <cell r="AC1174">
            <v>61458</v>
          </cell>
          <cell r="AD1174">
            <v>0</v>
          </cell>
          <cell r="AE1174">
            <v>0</v>
          </cell>
          <cell r="AF1174">
            <v>0</v>
          </cell>
          <cell r="AG1174" t="e">
            <v>#N/A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</row>
        <row r="1175">
          <cell r="A1175" t="str">
            <v>24-3630</v>
          </cell>
          <cell r="B1175" t="str">
            <v>MEALS AND SNACKS</v>
          </cell>
          <cell r="C1175" t="str">
            <v>PAO-ADMIN</v>
          </cell>
          <cell r="D1175">
            <v>0</v>
          </cell>
          <cell r="E1175" t="str">
            <v>NP-53.9 - Small Value Procurement</v>
          </cell>
          <cell r="F1175" t="str">
            <v>N/A</v>
          </cell>
          <cell r="G1175">
            <v>45461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51250</v>
          </cell>
          <cell r="AB1175">
            <v>0</v>
          </cell>
          <cell r="AC1175">
            <v>51250</v>
          </cell>
          <cell r="AD1175">
            <v>0</v>
          </cell>
          <cell r="AE1175">
            <v>0</v>
          </cell>
          <cell r="AF1175">
            <v>0</v>
          </cell>
          <cell r="AG1175" t="e">
            <v>#N/A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</row>
        <row r="1176">
          <cell r="A1176" t="str">
            <v>24-3639</v>
          </cell>
          <cell r="B1176" t="str">
            <v>OFFICE SUPPLIES</v>
          </cell>
          <cell r="C1176" t="str">
            <v>SPO</v>
          </cell>
          <cell r="D1176">
            <v>0</v>
          </cell>
          <cell r="E1176" t="str">
            <v>Shopping 52.1(b) - Regular Office Supplies and Equipment no available in PS</v>
          </cell>
          <cell r="F1176" t="str">
            <v>N/A</v>
          </cell>
          <cell r="G1176">
            <v>45463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6666</v>
          </cell>
          <cell r="AB1176">
            <v>0</v>
          </cell>
          <cell r="AC1176">
            <v>6666</v>
          </cell>
          <cell r="AD1176">
            <v>0</v>
          </cell>
          <cell r="AE1176">
            <v>0</v>
          </cell>
          <cell r="AF1176">
            <v>0</v>
          </cell>
          <cell r="AG1176" t="e">
            <v>#N/A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</row>
        <row r="1177">
          <cell r="A1177" t="str">
            <v>24-C1401</v>
          </cell>
          <cell r="B1177" t="str">
            <v>OFFICE SUPPLIES</v>
          </cell>
          <cell r="C1177" t="str">
            <v>PDRRMO</v>
          </cell>
          <cell r="D1177">
            <v>0</v>
          </cell>
          <cell r="E1177" t="str">
            <v>Shopping 52.1(b) - Regular Office Supplies and Equipment no available in PS</v>
          </cell>
          <cell r="F1177" t="str">
            <v>N/A</v>
          </cell>
          <cell r="G1177">
            <v>45463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12799</v>
          </cell>
          <cell r="AB1177">
            <v>0</v>
          </cell>
          <cell r="AC1177">
            <v>12799</v>
          </cell>
          <cell r="AD1177">
            <v>0</v>
          </cell>
          <cell r="AE1177">
            <v>0</v>
          </cell>
          <cell r="AF1177">
            <v>0</v>
          </cell>
          <cell r="AG1177" t="e">
            <v>#N/A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</row>
        <row r="1178">
          <cell r="A1178" t="str">
            <v>24-3536</v>
          </cell>
          <cell r="B1178" t="str">
            <v>OFFICE SUPPLIES</v>
          </cell>
          <cell r="C1178" t="str">
            <v>SEF</v>
          </cell>
          <cell r="D1178">
            <v>0</v>
          </cell>
          <cell r="E1178" t="str">
            <v>Shopping 52.1(b) - Regular Office Supplies and Equipment no available in PS</v>
          </cell>
          <cell r="F1178" t="str">
            <v>N/A</v>
          </cell>
          <cell r="G1178">
            <v>45463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49863.6</v>
          </cell>
          <cell r="AB1178">
            <v>0</v>
          </cell>
          <cell r="AC1178">
            <v>49863.6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</row>
        <row r="1179">
          <cell r="A1179" t="str">
            <v>24-C1388</v>
          </cell>
          <cell r="B1179" t="str">
            <v>MEDICAL SUPPLIES</v>
          </cell>
          <cell r="C1179" t="str">
            <v>PEEMO</v>
          </cell>
          <cell r="D1179">
            <v>0</v>
          </cell>
          <cell r="E1179" t="str">
            <v>Direct Contracting</v>
          </cell>
          <cell r="F1179" t="str">
            <v>N/A</v>
          </cell>
          <cell r="G1179">
            <v>45463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120960</v>
          </cell>
          <cell r="AB1179">
            <v>0</v>
          </cell>
          <cell r="AC1179">
            <v>120960</v>
          </cell>
          <cell r="AD1179">
            <v>0</v>
          </cell>
          <cell r="AE1179">
            <v>0</v>
          </cell>
          <cell r="AF1179">
            <v>0</v>
          </cell>
          <cell r="AG1179" t="e">
            <v>#N/A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</row>
        <row r="1180">
          <cell r="A1180" t="str">
            <v>24-C1389</v>
          </cell>
          <cell r="B1180" t="str">
            <v>ELECTROLYTES ANALYZER (SODIUM, POTASSIUM, CHLORIDE, CALCIUM)</v>
          </cell>
          <cell r="C1180" t="str">
            <v>PEEMO</v>
          </cell>
          <cell r="D1180">
            <v>0</v>
          </cell>
          <cell r="E1180" t="str">
            <v>Direct Contracting</v>
          </cell>
          <cell r="F1180" t="str">
            <v>N/A</v>
          </cell>
          <cell r="G1180">
            <v>45463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630375</v>
          </cell>
          <cell r="AB1180">
            <v>0</v>
          </cell>
          <cell r="AC1180">
            <v>630375</v>
          </cell>
          <cell r="AD1180">
            <v>0</v>
          </cell>
          <cell r="AE1180">
            <v>0</v>
          </cell>
          <cell r="AF1180">
            <v>0</v>
          </cell>
          <cell r="AG1180" t="e">
            <v>#N/A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</row>
        <row r="1181">
          <cell r="A1181" t="str">
            <v>24-C1415</v>
          </cell>
          <cell r="B1181" t="str">
            <v>LABORATORY SUPPLIES/REAGENT</v>
          </cell>
          <cell r="C1181" t="str">
            <v>PEEMO</v>
          </cell>
          <cell r="D1181">
            <v>0</v>
          </cell>
          <cell r="E1181" t="str">
            <v>Direct Contracting</v>
          </cell>
          <cell r="F1181" t="str">
            <v>N/A</v>
          </cell>
          <cell r="G1181">
            <v>45463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266000</v>
          </cell>
          <cell r="AB1181">
            <v>0</v>
          </cell>
          <cell r="AC1181">
            <v>266000</v>
          </cell>
          <cell r="AD1181">
            <v>0</v>
          </cell>
          <cell r="AE1181">
            <v>0</v>
          </cell>
          <cell r="AF1181">
            <v>0</v>
          </cell>
          <cell r="AG1181" t="e">
            <v>#N/A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</row>
        <row r="1182">
          <cell r="A1182" t="str">
            <v>24-C1394</v>
          </cell>
          <cell r="B1182" t="str">
            <v>LABORATORY SUPPLIES/REAGENT</v>
          </cell>
          <cell r="C1182" t="str">
            <v>PEEMO</v>
          </cell>
          <cell r="D1182">
            <v>0</v>
          </cell>
          <cell r="E1182" t="str">
            <v>Direct Contracting</v>
          </cell>
          <cell r="F1182" t="str">
            <v>N/A</v>
          </cell>
          <cell r="G1182">
            <v>45463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571850</v>
          </cell>
          <cell r="AB1182">
            <v>0</v>
          </cell>
          <cell r="AC1182">
            <v>571850</v>
          </cell>
          <cell r="AD1182">
            <v>0</v>
          </cell>
          <cell r="AE1182">
            <v>0</v>
          </cell>
          <cell r="AF1182">
            <v>0</v>
          </cell>
          <cell r="AG1182" t="e">
            <v>#N/A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</row>
        <row r="1183">
          <cell r="A1183" t="str">
            <v>24-3651</v>
          </cell>
          <cell r="B1183" t="str">
            <v>SPAREPARTS (HEAVY EQUIPMENT)</v>
          </cell>
          <cell r="C1183" t="str">
            <v>PEO</v>
          </cell>
          <cell r="D1183">
            <v>0</v>
          </cell>
          <cell r="E1183" t="str">
            <v>Direct Contracting</v>
          </cell>
          <cell r="F1183">
            <v>45461</v>
          </cell>
          <cell r="G1183">
            <v>45463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226948.3</v>
          </cell>
          <cell r="AB1183">
            <v>0</v>
          </cell>
          <cell r="AC1183">
            <v>226948.3</v>
          </cell>
          <cell r="AD1183">
            <v>0</v>
          </cell>
          <cell r="AE1183">
            <v>0</v>
          </cell>
          <cell r="AF1183">
            <v>0</v>
          </cell>
          <cell r="AG1183" t="str">
            <v>M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</row>
        <row r="1184">
          <cell r="A1184" t="str">
            <v>24-1631</v>
          </cell>
          <cell r="B1184" t="str">
            <v>OFFICE SUPPLIES</v>
          </cell>
          <cell r="C1184" t="str">
            <v>PGO</v>
          </cell>
          <cell r="D1184">
            <v>0</v>
          </cell>
          <cell r="E1184" t="str">
            <v>Direct Contracting</v>
          </cell>
          <cell r="F1184" t="str">
            <v>N/A</v>
          </cell>
          <cell r="G1184">
            <v>45468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9989</v>
          </cell>
          <cell r="AB1184">
            <v>0</v>
          </cell>
          <cell r="AC1184">
            <v>9989</v>
          </cell>
          <cell r="AD1184">
            <v>0</v>
          </cell>
          <cell r="AE1184">
            <v>0</v>
          </cell>
          <cell r="AF1184">
            <v>0</v>
          </cell>
          <cell r="AG1184" t="e">
            <v>#N/A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</row>
        <row r="1185">
          <cell r="A1185" t="str">
            <v>24-C1483</v>
          </cell>
          <cell r="B1185" t="str">
            <v>OFFICE SUPPLIES</v>
          </cell>
          <cell r="C1185" t="str">
            <v>PDRRMO</v>
          </cell>
          <cell r="D1185">
            <v>0</v>
          </cell>
          <cell r="E1185" t="str">
            <v>Shopping 52.1(b) - Regular Office Supplies and Equipment no available in PS</v>
          </cell>
          <cell r="F1185" t="str">
            <v>N/A</v>
          </cell>
          <cell r="G1185">
            <v>45468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97911</v>
          </cell>
          <cell r="AB1185">
            <v>0</v>
          </cell>
          <cell r="AC1185">
            <v>97911</v>
          </cell>
          <cell r="AD1185">
            <v>0</v>
          </cell>
          <cell r="AE1185">
            <v>0</v>
          </cell>
          <cell r="AF1185">
            <v>0</v>
          </cell>
          <cell r="AG1185" t="e">
            <v>#N/A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</row>
        <row r="1186">
          <cell r="A1186" t="str">
            <v>24-3044</v>
          </cell>
          <cell r="B1186" t="str">
            <v>OFFICE SUPPLIES</v>
          </cell>
          <cell r="C1186" t="str">
            <v>PPDO</v>
          </cell>
          <cell r="D1186">
            <v>0</v>
          </cell>
          <cell r="E1186" t="str">
            <v>Shopping 52.1(b) - Regular Office Supplies and Equipment no available in PS</v>
          </cell>
          <cell r="F1186" t="str">
            <v>N/A</v>
          </cell>
          <cell r="G1186">
            <v>45468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24346</v>
          </cell>
          <cell r="AB1186">
            <v>0</v>
          </cell>
          <cell r="AC1186">
            <v>24346</v>
          </cell>
          <cell r="AD1186">
            <v>0</v>
          </cell>
          <cell r="AE1186">
            <v>0</v>
          </cell>
          <cell r="AF1186">
            <v>0</v>
          </cell>
          <cell r="AG1186" t="e">
            <v>#N/A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</row>
        <row r="1187">
          <cell r="A1187" t="str">
            <v>24-C1457</v>
          </cell>
          <cell r="B1187" t="str">
            <v>OFFICE SUPPLIES</v>
          </cell>
          <cell r="C1187" t="str">
            <v>PPDO</v>
          </cell>
          <cell r="D1187">
            <v>0</v>
          </cell>
          <cell r="E1187" t="str">
            <v>Shopping 52.1(b) - Regular Office Supplies and Equipment no available in PS</v>
          </cell>
          <cell r="F1187" t="str">
            <v>N/A</v>
          </cell>
          <cell r="G1187">
            <v>45468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128144</v>
          </cell>
          <cell r="AB1187">
            <v>0</v>
          </cell>
          <cell r="AC1187">
            <v>128144</v>
          </cell>
          <cell r="AD1187">
            <v>0</v>
          </cell>
          <cell r="AE1187">
            <v>0</v>
          </cell>
          <cell r="AF1187">
            <v>0</v>
          </cell>
          <cell r="AG1187" t="e">
            <v>#N/A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</row>
        <row r="1188">
          <cell r="A1188" t="str">
            <v>24-3383</v>
          </cell>
          <cell r="B1188" t="str">
            <v>OFFICE SUPPLIES</v>
          </cell>
          <cell r="C1188" t="str">
            <v>PPDO</v>
          </cell>
          <cell r="D1188">
            <v>0</v>
          </cell>
          <cell r="E1188" t="str">
            <v>Shopping 52.1(b) - Regular Office Supplies and Equipment no available in PS</v>
          </cell>
          <cell r="F1188" t="str">
            <v>N/A</v>
          </cell>
          <cell r="G1188">
            <v>45468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15045</v>
          </cell>
          <cell r="AB1188">
            <v>0</v>
          </cell>
          <cell r="AC1188">
            <v>15045</v>
          </cell>
          <cell r="AD1188">
            <v>0</v>
          </cell>
          <cell r="AE1188">
            <v>0</v>
          </cell>
          <cell r="AF1188">
            <v>0</v>
          </cell>
          <cell r="AG1188" t="e">
            <v>#N/A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</row>
        <row r="1189">
          <cell r="A1189" t="str">
            <v>24-C1462</v>
          </cell>
          <cell r="B1189" t="str">
            <v>DRUGS AND MEDICINES</v>
          </cell>
          <cell r="C1189" t="str">
            <v>PHO</v>
          </cell>
          <cell r="D1189">
            <v>0</v>
          </cell>
          <cell r="E1189" t="str">
            <v>NP-53.9 - Small Value Procurement</v>
          </cell>
          <cell r="F1189" t="str">
            <v>N/A</v>
          </cell>
          <cell r="G1189">
            <v>45468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161853</v>
          </cell>
          <cell r="AB1189">
            <v>0</v>
          </cell>
          <cell r="AC1189">
            <v>161853</v>
          </cell>
          <cell r="AD1189">
            <v>0</v>
          </cell>
          <cell r="AE1189">
            <v>0</v>
          </cell>
          <cell r="AF1189">
            <v>0</v>
          </cell>
          <cell r="AG1189" t="e">
            <v>#N/A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</row>
        <row r="1190">
          <cell r="A1190" t="str">
            <v>24-3444</v>
          </cell>
          <cell r="B1190" t="str">
            <v>MEALS AND SNACKS</v>
          </cell>
          <cell r="C1190" t="str">
            <v>PAO-ADMIN</v>
          </cell>
          <cell r="D1190">
            <v>0</v>
          </cell>
          <cell r="E1190" t="str">
            <v>NP-53.9 - Small Value Procurement</v>
          </cell>
          <cell r="F1190" t="str">
            <v>N/A</v>
          </cell>
          <cell r="G1190">
            <v>45468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104500</v>
          </cell>
          <cell r="AB1190">
            <v>0</v>
          </cell>
          <cell r="AC1190">
            <v>104500</v>
          </cell>
          <cell r="AD1190">
            <v>0</v>
          </cell>
          <cell r="AE1190">
            <v>0</v>
          </cell>
          <cell r="AF1190">
            <v>0</v>
          </cell>
          <cell r="AG1190" t="e">
            <v>#N/A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</row>
        <row r="1191">
          <cell r="A1191" t="str">
            <v>24-3203</v>
          </cell>
          <cell r="B1191" t="str">
            <v>MEALS AND SNACKS</v>
          </cell>
          <cell r="C1191" t="str">
            <v>PHO</v>
          </cell>
          <cell r="D1191">
            <v>0</v>
          </cell>
          <cell r="E1191" t="str">
            <v>NP-53.9 - Small Value Procurement</v>
          </cell>
          <cell r="F1191" t="str">
            <v>N/A</v>
          </cell>
          <cell r="G1191">
            <v>45468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105000</v>
          </cell>
          <cell r="AB1191">
            <v>0</v>
          </cell>
          <cell r="AC1191">
            <v>105000</v>
          </cell>
          <cell r="AD1191">
            <v>0</v>
          </cell>
          <cell r="AE1191">
            <v>0</v>
          </cell>
          <cell r="AF1191">
            <v>0</v>
          </cell>
          <cell r="AG1191" t="e">
            <v>#N/A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</row>
        <row r="1192">
          <cell r="A1192" t="str">
            <v>24-3206</v>
          </cell>
          <cell r="B1192" t="str">
            <v>MEALS AND SNACKS WITH VENUE</v>
          </cell>
          <cell r="C1192" t="str">
            <v>PGO</v>
          </cell>
          <cell r="D1192">
            <v>0</v>
          </cell>
          <cell r="E1192" t="str">
            <v>NP-53.9 - Small Value Procurement</v>
          </cell>
          <cell r="F1192" t="str">
            <v>N/A</v>
          </cell>
          <cell r="G1192">
            <v>45468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76500</v>
          </cell>
          <cell r="AB1192">
            <v>0</v>
          </cell>
          <cell r="AC1192">
            <v>76500</v>
          </cell>
          <cell r="AD1192">
            <v>0</v>
          </cell>
          <cell r="AE1192">
            <v>0</v>
          </cell>
          <cell r="AF1192">
            <v>0</v>
          </cell>
          <cell r="AG1192" t="e">
            <v>#N/A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</row>
        <row r="1193">
          <cell r="A1193" t="str">
            <v>24-3412</v>
          </cell>
          <cell r="B1193" t="str">
            <v>TARPAULIN - AS PER DESIGN</v>
          </cell>
          <cell r="C1193" t="str">
            <v>PAGRO</v>
          </cell>
          <cell r="D1193">
            <v>0</v>
          </cell>
          <cell r="E1193" t="str">
            <v>NP-53.9 - Small Value Procurement</v>
          </cell>
          <cell r="F1193" t="str">
            <v>N/A</v>
          </cell>
          <cell r="G1193">
            <v>45468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4704</v>
          </cell>
          <cell r="AB1193">
            <v>0</v>
          </cell>
          <cell r="AC1193">
            <v>4704</v>
          </cell>
          <cell r="AD1193">
            <v>0</v>
          </cell>
          <cell r="AE1193">
            <v>0</v>
          </cell>
          <cell r="AF1193">
            <v>0</v>
          </cell>
          <cell r="AG1193" t="e">
            <v>#N/A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</row>
        <row r="1194">
          <cell r="A1194" t="str">
            <v>24-C1493</v>
          </cell>
          <cell r="B1194" t="str">
            <v>OFFICE DEVICES AND SUPPLIES</v>
          </cell>
          <cell r="C1194" t="str">
            <v>PGO</v>
          </cell>
          <cell r="D1194">
            <v>0</v>
          </cell>
          <cell r="E1194" t="str">
            <v>NP-53.9 - Small Value Procurement</v>
          </cell>
          <cell r="F1194" t="str">
            <v>N/A</v>
          </cell>
          <cell r="G1194">
            <v>45468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21460</v>
          </cell>
          <cell r="AB1194">
            <v>0</v>
          </cell>
          <cell r="AC1194">
            <v>21460</v>
          </cell>
          <cell r="AD1194">
            <v>0</v>
          </cell>
          <cell r="AE1194">
            <v>0</v>
          </cell>
          <cell r="AF1194">
            <v>0</v>
          </cell>
          <cell r="AG1194" t="e">
            <v>#N/A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</row>
        <row r="1195">
          <cell r="A1195" t="str">
            <v>24-3183</v>
          </cell>
          <cell r="B1195" t="str">
            <v>PAPER SHREDDER (HEAVY DUTY)</v>
          </cell>
          <cell r="C1195" t="str">
            <v>PGO</v>
          </cell>
          <cell r="D1195">
            <v>0</v>
          </cell>
          <cell r="E1195" t="str">
            <v>NP-53.9 - Small Value Procurement</v>
          </cell>
          <cell r="F1195" t="str">
            <v>N/A</v>
          </cell>
          <cell r="G1195">
            <v>45468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7000</v>
          </cell>
          <cell r="AB1195">
            <v>0</v>
          </cell>
          <cell r="AC1195">
            <v>7000</v>
          </cell>
          <cell r="AD1195">
            <v>0</v>
          </cell>
          <cell r="AE1195">
            <v>0</v>
          </cell>
          <cell r="AF1195">
            <v>0</v>
          </cell>
          <cell r="AG1195" t="e">
            <v>#N/A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</row>
        <row r="1196">
          <cell r="A1196" t="str">
            <v>24-3292</v>
          </cell>
          <cell r="B1196" t="str">
            <v>MOBILE TENT TRAPAL COVER</v>
          </cell>
          <cell r="C1196" t="str">
            <v>PGO</v>
          </cell>
          <cell r="D1196">
            <v>0</v>
          </cell>
          <cell r="E1196" t="str">
            <v>NP-53.9 - Small Value Procurement</v>
          </cell>
          <cell r="F1196" t="str">
            <v>N/A</v>
          </cell>
          <cell r="G1196">
            <v>45468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38000</v>
          </cell>
          <cell r="AB1196">
            <v>0</v>
          </cell>
          <cell r="AC1196">
            <v>38000</v>
          </cell>
          <cell r="AD1196">
            <v>0</v>
          </cell>
          <cell r="AE1196">
            <v>0</v>
          </cell>
          <cell r="AF1196">
            <v>0</v>
          </cell>
          <cell r="AG1196" t="e">
            <v>#N/A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</row>
        <row r="1197">
          <cell r="A1197" t="str">
            <v>24-C1522</v>
          </cell>
          <cell r="B1197" t="str">
            <v>OFFICE DEVICES</v>
          </cell>
          <cell r="C1197" t="str">
            <v>PENRO</v>
          </cell>
          <cell r="D1197">
            <v>0</v>
          </cell>
          <cell r="E1197" t="str">
            <v>NP-53.9 - Small Value Procurement</v>
          </cell>
          <cell r="F1197" t="str">
            <v>N/A</v>
          </cell>
          <cell r="G1197">
            <v>45468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41235</v>
          </cell>
          <cell r="AB1197">
            <v>0</v>
          </cell>
          <cell r="AC1197">
            <v>41235</v>
          </cell>
          <cell r="AD1197">
            <v>0</v>
          </cell>
          <cell r="AE1197">
            <v>0</v>
          </cell>
          <cell r="AF1197">
            <v>0</v>
          </cell>
          <cell r="AG1197" t="e">
            <v>#N/A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</row>
        <row r="1198">
          <cell r="A1198" t="str">
            <v>24-3781</v>
          </cell>
          <cell r="B1198" t="str">
            <v>JANITORIAL SUPPLIES</v>
          </cell>
          <cell r="C1198" t="str">
            <v>PGO</v>
          </cell>
          <cell r="D1198">
            <v>0</v>
          </cell>
          <cell r="E1198" t="str">
            <v>NP-53.9 - Small Value Procurement</v>
          </cell>
          <cell r="F1198" t="str">
            <v>N/A</v>
          </cell>
          <cell r="G1198">
            <v>45468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2121</v>
          </cell>
          <cell r="AB1198">
            <v>0</v>
          </cell>
          <cell r="AC1198">
            <v>2121</v>
          </cell>
          <cell r="AD1198">
            <v>0</v>
          </cell>
          <cell r="AE1198">
            <v>0</v>
          </cell>
          <cell r="AF1198">
            <v>0</v>
          </cell>
          <cell r="AG1198" t="e">
            <v>#N/A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</row>
        <row r="1199">
          <cell r="A1199" t="str">
            <v>24-3786</v>
          </cell>
          <cell r="B1199" t="str">
            <v>CORRUGATED G.I. SHEET</v>
          </cell>
          <cell r="C1199" t="str">
            <v>PGO</v>
          </cell>
          <cell r="D1199">
            <v>0</v>
          </cell>
          <cell r="E1199" t="str">
            <v>NP-53.9 - Small Value Procurement</v>
          </cell>
          <cell r="F1199" t="str">
            <v>N/A</v>
          </cell>
          <cell r="G1199">
            <v>45468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297000</v>
          </cell>
          <cell r="AB1199">
            <v>0</v>
          </cell>
          <cell r="AC1199">
            <v>297000</v>
          </cell>
          <cell r="AD1199">
            <v>0</v>
          </cell>
          <cell r="AE1199">
            <v>0</v>
          </cell>
          <cell r="AF1199">
            <v>0</v>
          </cell>
          <cell r="AG1199" t="e">
            <v>#N/A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</row>
        <row r="1200">
          <cell r="A1200" t="str">
            <v>24-3787</v>
          </cell>
          <cell r="B1200" t="str">
            <v>ENAMEL PAINT</v>
          </cell>
          <cell r="C1200" t="str">
            <v>PGO</v>
          </cell>
          <cell r="D1200">
            <v>0</v>
          </cell>
          <cell r="E1200" t="str">
            <v>NP-53.9 - Small Value Procurement</v>
          </cell>
          <cell r="F1200" t="str">
            <v>N/A</v>
          </cell>
          <cell r="G1200">
            <v>45468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219200</v>
          </cell>
          <cell r="AB1200">
            <v>0</v>
          </cell>
          <cell r="AC1200">
            <v>219200</v>
          </cell>
          <cell r="AD1200">
            <v>0</v>
          </cell>
          <cell r="AE1200">
            <v>0</v>
          </cell>
          <cell r="AF1200">
            <v>0</v>
          </cell>
          <cell r="AG1200" t="e">
            <v>#N/A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</row>
        <row r="1201">
          <cell r="A1201" t="str">
            <v>24-3785</v>
          </cell>
          <cell r="B1201" t="str">
            <v>HDPE PIPES</v>
          </cell>
          <cell r="C1201" t="str">
            <v>PGO</v>
          </cell>
          <cell r="D1201">
            <v>0</v>
          </cell>
          <cell r="E1201" t="str">
            <v>NP-53.9 - Small Value Procurement</v>
          </cell>
          <cell r="F1201" t="str">
            <v>N/A</v>
          </cell>
          <cell r="G1201">
            <v>45468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157120</v>
          </cell>
          <cell r="AB1201">
            <v>0</v>
          </cell>
          <cell r="AC1201">
            <v>157120</v>
          </cell>
          <cell r="AD1201">
            <v>0</v>
          </cell>
          <cell r="AE1201">
            <v>0</v>
          </cell>
          <cell r="AF1201">
            <v>0</v>
          </cell>
          <cell r="AG1201" t="e">
            <v>#N/A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</row>
        <row r="1202">
          <cell r="A1202" t="str">
            <v>24-C1507</v>
          </cell>
          <cell r="B1202" t="str">
            <v>OFFICE DEVICES</v>
          </cell>
          <cell r="C1202" t="str">
            <v>PAO-ADMIN</v>
          </cell>
          <cell r="D1202">
            <v>0</v>
          </cell>
          <cell r="E1202" t="str">
            <v>NP-53.9 - Small Value Procurement</v>
          </cell>
          <cell r="F1202" t="str">
            <v>N/A</v>
          </cell>
          <cell r="G1202">
            <v>45468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25192</v>
          </cell>
          <cell r="AB1202">
            <v>0</v>
          </cell>
          <cell r="AC1202">
            <v>25192</v>
          </cell>
          <cell r="AD1202">
            <v>0</v>
          </cell>
          <cell r="AE1202">
            <v>0</v>
          </cell>
          <cell r="AF1202">
            <v>0</v>
          </cell>
          <cell r="AG1202" t="e">
            <v>#N/A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</row>
        <row r="1203">
          <cell r="A1203" t="str">
            <v>24-3720</v>
          </cell>
          <cell r="B1203" t="str">
            <v>CANNED GOODS</v>
          </cell>
          <cell r="C1203" t="str">
            <v>PGO</v>
          </cell>
          <cell r="D1203">
            <v>0</v>
          </cell>
          <cell r="E1203" t="str">
            <v>NP-53.9 - Small Value Procurement</v>
          </cell>
          <cell r="F1203" t="str">
            <v>N/A</v>
          </cell>
          <cell r="G1203">
            <v>45468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9240</v>
          </cell>
          <cell r="AB1203">
            <v>0</v>
          </cell>
          <cell r="AC1203">
            <v>9240</v>
          </cell>
          <cell r="AD1203">
            <v>0</v>
          </cell>
          <cell r="AE1203">
            <v>0</v>
          </cell>
          <cell r="AF1203">
            <v>0</v>
          </cell>
          <cell r="AG1203" t="e">
            <v>#N/A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</row>
        <row r="1204">
          <cell r="A1204" t="str">
            <v>24-C1480</v>
          </cell>
          <cell r="B1204" t="str">
            <v>STORAGE BOXES AND TARPAULIN STAND</v>
          </cell>
          <cell r="C1204" t="str">
            <v>PHO</v>
          </cell>
          <cell r="D1204">
            <v>0</v>
          </cell>
          <cell r="E1204" t="str">
            <v>NP-53.9 - Small Value Procurement</v>
          </cell>
          <cell r="F1204" t="str">
            <v>N/A</v>
          </cell>
          <cell r="G1204">
            <v>45468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14800</v>
          </cell>
          <cell r="AB1204">
            <v>0</v>
          </cell>
          <cell r="AC1204">
            <v>14800</v>
          </cell>
          <cell r="AD1204">
            <v>0</v>
          </cell>
          <cell r="AE1204">
            <v>0</v>
          </cell>
          <cell r="AF1204">
            <v>0</v>
          </cell>
          <cell r="AG1204" t="e">
            <v>#N/A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</row>
        <row r="1205">
          <cell r="A1205" t="str">
            <v>24-3306</v>
          </cell>
          <cell r="B1205" t="str">
            <v>MEALS AND SNACKS</v>
          </cell>
          <cell r="C1205" t="str">
            <v>PIAO</v>
          </cell>
          <cell r="D1205">
            <v>0</v>
          </cell>
          <cell r="E1205" t="str">
            <v>NP-53.9 - Small Value Procurement</v>
          </cell>
          <cell r="F1205" t="str">
            <v>N/A</v>
          </cell>
          <cell r="G1205">
            <v>45468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20400</v>
          </cell>
          <cell r="AB1205">
            <v>0</v>
          </cell>
          <cell r="AC1205">
            <v>20400</v>
          </cell>
          <cell r="AD1205">
            <v>0</v>
          </cell>
          <cell r="AE1205">
            <v>0</v>
          </cell>
          <cell r="AF1205">
            <v>0</v>
          </cell>
          <cell r="AG1205" t="e">
            <v>#N/A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</row>
        <row r="1206">
          <cell r="A1206" t="str">
            <v>24-3744</v>
          </cell>
          <cell r="B1206" t="str">
            <v>NITROGEN TANK</v>
          </cell>
          <cell r="C1206" t="str">
            <v>PGSO</v>
          </cell>
          <cell r="D1206">
            <v>0</v>
          </cell>
          <cell r="E1206" t="str">
            <v>NP-53.9 - Small Value Procurement</v>
          </cell>
          <cell r="F1206" t="str">
            <v>N/A</v>
          </cell>
          <cell r="G1206">
            <v>45468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16000</v>
          </cell>
          <cell r="AB1206">
            <v>0</v>
          </cell>
          <cell r="AC1206">
            <v>16000</v>
          </cell>
          <cell r="AD1206">
            <v>0</v>
          </cell>
          <cell r="AE1206">
            <v>0</v>
          </cell>
          <cell r="AF1206">
            <v>0</v>
          </cell>
          <cell r="AG1206" t="e">
            <v>#N/A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</row>
        <row r="1207">
          <cell r="A1207" t="str">
            <v>24-3680</v>
          </cell>
          <cell r="B1207" t="str">
            <v>AIRCON MAINTENANCE SUPPLIES</v>
          </cell>
          <cell r="C1207" t="str">
            <v>PGSO</v>
          </cell>
          <cell r="D1207">
            <v>0</v>
          </cell>
          <cell r="E1207" t="str">
            <v>NP-53.9 - Small Value Procurement</v>
          </cell>
          <cell r="F1207" t="str">
            <v>N/A</v>
          </cell>
          <cell r="G1207">
            <v>45468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105096</v>
          </cell>
          <cell r="AB1207">
            <v>0</v>
          </cell>
          <cell r="AC1207">
            <v>105096</v>
          </cell>
          <cell r="AD1207">
            <v>0</v>
          </cell>
          <cell r="AE1207">
            <v>0</v>
          </cell>
          <cell r="AF1207">
            <v>0</v>
          </cell>
          <cell r="AG1207" t="e">
            <v>#N/A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</row>
        <row r="1208">
          <cell r="A1208" t="str">
            <v>24-3757</v>
          </cell>
          <cell r="B1208" t="str">
            <v>GARDENING TOOLS AND SUPPLIES</v>
          </cell>
          <cell r="C1208">
            <v>0</v>
          </cell>
          <cell r="D1208">
            <v>0</v>
          </cell>
          <cell r="E1208" t="str">
            <v>NP-53.9 - Small Value Procurement</v>
          </cell>
          <cell r="F1208" t="str">
            <v>N/A</v>
          </cell>
          <cell r="G1208">
            <v>45468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16056</v>
          </cell>
          <cell r="AB1208">
            <v>0</v>
          </cell>
          <cell r="AC1208">
            <v>16056</v>
          </cell>
          <cell r="AD1208">
            <v>0</v>
          </cell>
          <cell r="AE1208">
            <v>0</v>
          </cell>
          <cell r="AF1208">
            <v>0</v>
          </cell>
          <cell r="AG1208" t="e">
            <v>#N/A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</row>
        <row r="1209">
          <cell r="A1209" t="str">
            <v>24-3677</v>
          </cell>
          <cell r="B1209" t="str">
            <v>ELECTRICAL SUPPLIES</v>
          </cell>
          <cell r="C1209">
            <v>0</v>
          </cell>
          <cell r="D1209">
            <v>0</v>
          </cell>
          <cell r="E1209" t="str">
            <v>NP-53.9 - Small Value Procurement</v>
          </cell>
          <cell r="F1209" t="str">
            <v>N/A</v>
          </cell>
          <cell r="G1209">
            <v>45468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145905</v>
          </cell>
          <cell r="AB1209">
            <v>0</v>
          </cell>
          <cell r="AC1209">
            <v>145905</v>
          </cell>
          <cell r="AD1209">
            <v>0</v>
          </cell>
          <cell r="AE1209">
            <v>0</v>
          </cell>
          <cell r="AF1209">
            <v>0</v>
          </cell>
          <cell r="AG1209" t="e">
            <v>#N/A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</row>
        <row r="1210">
          <cell r="A1210" t="str">
            <v>24-3718</v>
          </cell>
          <cell r="B1210" t="str">
            <v>PORTABLE WELDING MACHINE</v>
          </cell>
          <cell r="C1210" t="str">
            <v>PGSO</v>
          </cell>
          <cell r="D1210">
            <v>0</v>
          </cell>
          <cell r="E1210" t="str">
            <v>NP-53.9 - Small Value Procurement</v>
          </cell>
          <cell r="F1210" t="str">
            <v>N/A</v>
          </cell>
          <cell r="G1210">
            <v>45468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13090</v>
          </cell>
          <cell r="AB1210">
            <v>0</v>
          </cell>
          <cell r="AC1210">
            <v>13090</v>
          </cell>
          <cell r="AD1210">
            <v>0</v>
          </cell>
          <cell r="AE1210">
            <v>0</v>
          </cell>
          <cell r="AF1210">
            <v>0</v>
          </cell>
          <cell r="AG1210" t="e">
            <v>#N/A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</row>
        <row r="1211">
          <cell r="A1211" t="str">
            <v>24-C1509</v>
          </cell>
          <cell r="B1211" t="str">
            <v>GAVEL AND PLAQUES</v>
          </cell>
          <cell r="C1211" t="str">
            <v>PAO-ADMIN</v>
          </cell>
          <cell r="D1211">
            <v>0</v>
          </cell>
          <cell r="E1211" t="str">
            <v>NP-53.9 - Small Value Procurement</v>
          </cell>
          <cell r="F1211" t="str">
            <v>N/A</v>
          </cell>
          <cell r="G1211">
            <v>45468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12000</v>
          </cell>
          <cell r="AB1211">
            <v>0</v>
          </cell>
          <cell r="AC1211">
            <v>12000</v>
          </cell>
          <cell r="AD1211">
            <v>0</v>
          </cell>
          <cell r="AE1211">
            <v>0</v>
          </cell>
          <cell r="AF1211">
            <v>0</v>
          </cell>
          <cell r="AG1211" t="e">
            <v>#N/A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</row>
        <row r="1212">
          <cell r="A1212" t="str">
            <v>24-3682</v>
          </cell>
          <cell r="B1212" t="str">
            <v>LAPTOP (CLERICAL WORK)</v>
          </cell>
          <cell r="C1212" t="str">
            <v>PGO</v>
          </cell>
          <cell r="D1212">
            <v>0</v>
          </cell>
          <cell r="E1212" t="str">
            <v>NP-53.9 - Small Value Procurement</v>
          </cell>
          <cell r="F1212" t="str">
            <v>N/A</v>
          </cell>
          <cell r="G1212">
            <v>45468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39000</v>
          </cell>
          <cell r="AB1212">
            <v>0</v>
          </cell>
          <cell r="AC1212">
            <v>39000</v>
          </cell>
          <cell r="AD1212">
            <v>0</v>
          </cell>
          <cell r="AE1212">
            <v>0</v>
          </cell>
          <cell r="AF1212">
            <v>0</v>
          </cell>
          <cell r="AG1212" t="e">
            <v>#N/A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</row>
        <row r="1213">
          <cell r="A1213" t="str">
            <v>24-C1539</v>
          </cell>
          <cell r="B1213" t="str">
            <v>JANITORIAL SUPPLIES</v>
          </cell>
          <cell r="C1213" t="str">
            <v>PGSO</v>
          </cell>
          <cell r="D1213">
            <v>0</v>
          </cell>
          <cell r="E1213" t="str">
            <v>NP-53.9 - Small Value Procurement</v>
          </cell>
          <cell r="F1213" t="str">
            <v>N/A</v>
          </cell>
          <cell r="G1213">
            <v>45468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93995</v>
          </cell>
          <cell r="AB1213">
            <v>0</v>
          </cell>
          <cell r="AC1213">
            <v>93995</v>
          </cell>
          <cell r="AD1213">
            <v>0</v>
          </cell>
          <cell r="AE1213">
            <v>0</v>
          </cell>
          <cell r="AF1213">
            <v>0</v>
          </cell>
          <cell r="AG1213" t="e">
            <v>#N/A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</row>
        <row r="1214">
          <cell r="A1214" t="str">
            <v>24-3755</v>
          </cell>
          <cell r="B1214" t="str">
            <v>GARDENING TOOLS AND SUPPLIES</v>
          </cell>
          <cell r="C1214" t="str">
            <v>PGSO</v>
          </cell>
          <cell r="D1214">
            <v>0</v>
          </cell>
          <cell r="E1214" t="str">
            <v>NP-53.9 - Small Value Procurement</v>
          </cell>
          <cell r="F1214" t="str">
            <v>N/A</v>
          </cell>
          <cell r="G1214">
            <v>45468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38149</v>
          </cell>
          <cell r="AB1214">
            <v>0</v>
          </cell>
          <cell r="AC1214">
            <v>38149</v>
          </cell>
          <cell r="AD1214">
            <v>0</v>
          </cell>
          <cell r="AE1214">
            <v>0</v>
          </cell>
          <cell r="AF1214">
            <v>0</v>
          </cell>
          <cell r="AG1214" t="e">
            <v>#N/A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</row>
        <row r="1215">
          <cell r="A1215" t="str">
            <v>24-3803</v>
          </cell>
          <cell r="B1215" t="str">
            <v>T-SHIRT JERSEY</v>
          </cell>
          <cell r="C1215" t="str">
            <v>PGO</v>
          </cell>
          <cell r="D1215">
            <v>0</v>
          </cell>
          <cell r="E1215" t="str">
            <v>NP-53.9 - Small Value Procurement</v>
          </cell>
          <cell r="F1215" t="str">
            <v>N/A</v>
          </cell>
          <cell r="G1215">
            <v>45468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134750</v>
          </cell>
          <cell r="AB1215">
            <v>0</v>
          </cell>
          <cell r="AC1215">
            <v>134750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</row>
        <row r="1216">
          <cell r="A1216" t="str">
            <v>24-3656</v>
          </cell>
          <cell r="B1216" t="str">
            <v>MINERAL WATER</v>
          </cell>
          <cell r="C1216" t="str">
            <v>PGSO</v>
          </cell>
          <cell r="D1216">
            <v>0</v>
          </cell>
          <cell r="E1216" t="str">
            <v>NP-53.9 - Small Value Procurement</v>
          </cell>
          <cell r="F1216" t="str">
            <v>N/A</v>
          </cell>
          <cell r="G1216">
            <v>45468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41000</v>
          </cell>
          <cell r="AB1216">
            <v>0</v>
          </cell>
          <cell r="AC1216">
            <v>41000</v>
          </cell>
          <cell r="AD1216">
            <v>0</v>
          </cell>
          <cell r="AE1216">
            <v>0</v>
          </cell>
          <cell r="AF1216">
            <v>0</v>
          </cell>
          <cell r="AG1216" t="e">
            <v>#N/A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</row>
        <row r="1217">
          <cell r="A1217" t="str">
            <v>24-2558</v>
          </cell>
          <cell r="B1217" t="str">
            <v>COCO LUMBER OR EQUIVALENT</v>
          </cell>
          <cell r="C1217" t="str">
            <v>PEO</v>
          </cell>
          <cell r="D1217">
            <v>0</v>
          </cell>
          <cell r="E1217" t="str">
            <v>NP-53.9 - Small Value Procurement</v>
          </cell>
          <cell r="F1217">
            <v>45468</v>
          </cell>
          <cell r="G1217">
            <v>45471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1152</v>
          </cell>
          <cell r="AB1217">
            <v>0</v>
          </cell>
          <cell r="AC1217">
            <v>1152</v>
          </cell>
          <cell r="AD1217">
            <v>0</v>
          </cell>
          <cell r="AE1217">
            <v>0</v>
          </cell>
          <cell r="AF1217">
            <v>0</v>
          </cell>
          <cell r="AG1217" t="e">
            <v>#N/A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</row>
        <row r="1218">
          <cell r="A1218" t="str">
            <v>24-C1395</v>
          </cell>
          <cell r="B1218" t="str">
            <v>GROCERY SUPPLIES</v>
          </cell>
          <cell r="C1218" t="str">
            <v>PEEMO</v>
          </cell>
          <cell r="D1218">
            <v>0</v>
          </cell>
          <cell r="E1218" t="str">
            <v>NP-53.9 - Small Value Procurement</v>
          </cell>
          <cell r="F1218">
            <v>45468</v>
          </cell>
          <cell r="G1218">
            <v>45471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23714</v>
          </cell>
          <cell r="AB1218">
            <v>0</v>
          </cell>
          <cell r="AC1218">
            <v>23714</v>
          </cell>
          <cell r="AD1218">
            <v>0</v>
          </cell>
          <cell r="AE1218">
            <v>0</v>
          </cell>
          <cell r="AF1218">
            <v>0</v>
          </cell>
          <cell r="AG1218" t="e">
            <v>#N/A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</row>
        <row r="1219">
          <cell r="A1219" t="str">
            <v>24-3141</v>
          </cell>
          <cell r="B1219" t="str">
            <v>ID SHEETS 10S/PACK</v>
          </cell>
          <cell r="C1219" t="str">
            <v>PHRMDO</v>
          </cell>
          <cell r="D1219">
            <v>0</v>
          </cell>
          <cell r="E1219" t="str">
            <v>NP-53.9 - Small Value Procurement</v>
          </cell>
          <cell r="F1219">
            <v>45468</v>
          </cell>
          <cell r="G1219">
            <v>45471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5250</v>
          </cell>
          <cell r="AB1219">
            <v>0</v>
          </cell>
          <cell r="AC1219">
            <v>5250</v>
          </cell>
          <cell r="AD1219">
            <v>0</v>
          </cell>
          <cell r="AE1219">
            <v>0</v>
          </cell>
          <cell r="AF1219">
            <v>0</v>
          </cell>
          <cell r="AG1219" t="e">
            <v>#N/A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</row>
        <row r="1220">
          <cell r="A1220" t="str">
            <v>24-3635</v>
          </cell>
          <cell r="B1220" t="str">
            <v>FOOD SUPPLIES</v>
          </cell>
          <cell r="C1220" t="str">
            <v>SPO</v>
          </cell>
          <cell r="D1220">
            <v>0</v>
          </cell>
          <cell r="E1220" t="str">
            <v>NP-53.9 - Small Value Procurement</v>
          </cell>
          <cell r="F1220">
            <v>45468</v>
          </cell>
          <cell r="G1220">
            <v>45471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33775</v>
          </cell>
          <cell r="AB1220">
            <v>0</v>
          </cell>
          <cell r="AC1220">
            <v>33775</v>
          </cell>
          <cell r="AD1220">
            <v>0</v>
          </cell>
          <cell r="AE1220">
            <v>0</v>
          </cell>
          <cell r="AF1220">
            <v>0</v>
          </cell>
          <cell r="AG1220" t="e">
            <v>#N/A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</row>
        <row r="1221">
          <cell r="A1221" t="str">
            <v>24-C1418</v>
          </cell>
          <cell r="B1221" t="str">
            <v>MEDICAL SUPPLIES</v>
          </cell>
          <cell r="C1221" t="str">
            <v>PEEMO</v>
          </cell>
          <cell r="D1221">
            <v>0</v>
          </cell>
          <cell r="E1221" t="str">
            <v>NP-53.9 - Small Value Procurement</v>
          </cell>
          <cell r="F1221">
            <v>45468</v>
          </cell>
          <cell r="G1221">
            <v>45471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189695</v>
          </cell>
          <cell r="AB1221">
            <v>0</v>
          </cell>
          <cell r="AC1221">
            <v>189695</v>
          </cell>
          <cell r="AD1221">
            <v>0</v>
          </cell>
          <cell r="AE1221">
            <v>0</v>
          </cell>
          <cell r="AF1221">
            <v>0</v>
          </cell>
          <cell r="AG1221" t="e">
            <v>#N/A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</row>
        <row r="1222">
          <cell r="A1222" t="str">
            <v>24-C1513</v>
          </cell>
          <cell r="B1222" t="str">
            <v>SPAREPARTS (HEAVY EQUIPMENT POWERKING</v>
          </cell>
          <cell r="C1222" t="str">
            <v>PEO</v>
          </cell>
          <cell r="D1222">
            <v>0</v>
          </cell>
          <cell r="E1222" t="str">
            <v>Direct Contracting</v>
          </cell>
          <cell r="F1222">
            <v>45468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1306204.54</v>
          </cell>
          <cell r="AB1222">
            <v>0</v>
          </cell>
          <cell r="AC1222">
            <v>1306204.54</v>
          </cell>
          <cell r="AD1222">
            <v>0</v>
          </cell>
          <cell r="AE1222">
            <v>0</v>
          </cell>
          <cell r="AF1222">
            <v>0</v>
          </cell>
          <cell r="AG1222" t="e">
            <v>#N/A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</row>
        <row r="1223">
          <cell r="A1223" t="str">
            <v>24-3809</v>
          </cell>
          <cell r="B1223" t="str">
            <v>SPAREPARTS (LIGHT VEHICLES)</v>
          </cell>
          <cell r="C1223" t="str">
            <v>PDRRMO</v>
          </cell>
          <cell r="D1223">
            <v>0</v>
          </cell>
          <cell r="E1223" t="str">
            <v>NP-53.9 - Small Value Procurement</v>
          </cell>
          <cell r="F1223">
            <v>45468</v>
          </cell>
          <cell r="G1223">
            <v>45471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6875</v>
          </cell>
          <cell r="AB1223">
            <v>0</v>
          </cell>
          <cell r="AC1223">
            <v>6875</v>
          </cell>
          <cell r="AD1223">
            <v>0</v>
          </cell>
          <cell r="AE1223">
            <v>0</v>
          </cell>
          <cell r="AF1223">
            <v>0</v>
          </cell>
          <cell r="AG1223" t="e">
            <v>#N/A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</row>
        <row r="1224">
          <cell r="A1224" t="str">
            <v>24-C1425</v>
          </cell>
          <cell r="B1224" t="str">
            <v>SPAREPARTS (LIGHT VEHICLES)</v>
          </cell>
          <cell r="C1224" t="str">
            <v>PEEMO</v>
          </cell>
          <cell r="D1224">
            <v>0</v>
          </cell>
          <cell r="E1224" t="str">
            <v>NP-53.9 - Small Value Procurement</v>
          </cell>
          <cell r="F1224">
            <v>45468</v>
          </cell>
          <cell r="G1224">
            <v>45471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251140</v>
          </cell>
          <cell r="AB1224">
            <v>0</v>
          </cell>
          <cell r="AC1224">
            <v>251140</v>
          </cell>
          <cell r="AD1224">
            <v>0</v>
          </cell>
          <cell r="AE1224">
            <v>0</v>
          </cell>
          <cell r="AF1224">
            <v>0</v>
          </cell>
          <cell r="AG1224" t="e">
            <v>#N/A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</row>
        <row r="1225">
          <cell r="A1225" t="str">
            <v>24-C1397</v>
          </cell>
          <cell r="B1225" t="str">
            <v>FUEL, OIL, AND LUBRICANTS</v>
          </cell>
          <cell r="C1225" t="str">
            <v>PEEMO</v>
          </cell>
          <cell r="D1225">
            <v>0</v>
          </cell>
          <cell r="E1225" t="str">
            <v>NP-53.9 - Small Value Procurement</v>
          </cell>
          <cell r="F1225">
            <v>45468</v>
          </cell>
          <cell r="G1225">
            <v>45471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103520</v>
          </cell>
          <cell r="AB1225">
            <v>0</v>
          </cell>
          <cell r="AC1225">
            <v>103520</v>
          </cell>
          <cell r="AD1225">
            <v>0</v>
          </cell>
          <cell r="AE1225">
            <v>0</v>
          </cell>
          <cell r="AF1225">
            <v>0</v>
          </cell>
          <cell r="AG1225" t="e">
            <v>#N/A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</row>
        <row r="1226">
          <cell r="A1226" t="str">
            <v>24-3631</v>
          </cell>
          <cell r="B1226" t="str">
            <v>MEALS AND SNACKS</v>
          </cell>
          <cell r="C1226" t="str">
            <v>SPO</v>
          </cell>
          <cell r="D1226">
            <v>0</v>
          </cell>
          <cell r="E1226" t="str">
            <v>NP-53.9 - Small Value Procurement</v>
          </cell>
          <cell r="F1226">
            <v>45468</v>
          </cell>
          <cell r="G1226">
            <v>45471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200000</v>
          </cell>
          <cell r="AB1226">
            <v>0</v>
          </cell>
          <cell r="AC1226">
            <v>200000</v>
          </cell>
          <cell r="AD1226">
            <v>0</v>
          </cell>
          <cell r="AE1226">
            <v>0</v>
          </cell>
          <cell r="AF1226">
            <v>0</v>
          </cell>
          <cell r="AG1226" t="e">
            <v>#N/A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</row>
        <row r="1227">
          <cell r="A1227" t="str">
            <v>24-C1461</v>
          </cell>
          <cell r="B1227" t="str">
            <v>OFFICE SUPPLIES</v>
          </cell>
          <cell r="C1227" t="str">
            <v>PPDO</v>
          </cell>
          <cell r="D1227">
            <v>0</v>
          </cell>
          <cell r="E1227" t="str">
            <v>Shopping 52.1(b) - Regular Office Supplies and Equipment no available in PS</v>
          </cell>
          <cell r="F1227">
            <v>45468</v>
          </cell>
          <cell r="G1227">
            <v>45471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9526</v>
          </cell>
          <cell r="AB1227">
            <v>0</v>
          </cell>
          <cell r="AC1227">
            <v>9526</v>
          </cell>
          <cell r="AD1227">
            <v>0</v>
          </cell>
          <cell r="AE1227">
            <v>0</v>
          </cell>
          <cell r="AF1227">
            <v>0</v>
          </cell>
          <cell r="AG1227" t="e">
            <v>#N/A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</row>
        <row r="1228">
          <cell r="A1228" t="str">
            <v>24-3493</v>
          </cell>
          <cell r="B1228" t="str">
            <v>OFFICE SUPPLIES</v>
          </cell>
          <cell r="C1228" t="str">
            <v>PHO</v>
          </cell>
          <cell r="D1228">
            <v>0</v>
          </cell>
          <cell r="E1228" t="str">
            <v>Shopping 52.1(b) - Regular Office Supplies and Equipment no available in PS</v>
          </cell>
          <cell r="F1228">
            <v>45468</v>
          </cell>
          <cell r="G1228">
            <v>45471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9560</v>
          </cell>
          <cell r="AB1228">
            <v>0</v>
          </cell>
          <cell r="AC1228">
            <v>9560</v>
          </cell>
          <cell r="AD1228">
            <v>0</v>
          </cell>
          <cell r="AE1228">
            <v>0</v>
          </cell>
          <cell r="AF1228">
            <v>0</v>
          </cell>
          <cell r="AG1228" t="e">
            <v>#N/A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</row>
        <row r="1229">
          <cell r="A1229" t="str">
            <v>24-C1506</v>
          </cell>
          <cell r="B1229" t="str">
            <v>JANITORIAL SUPPLIES/HOUSEKEEPING</v>
          </cell>
          <cell r="C1229" t="str">
            <v>PAO-ADMIN</v>
          </cell>
          <cell r="D1229">
            <v>0</v>
          </cell>
          <cell r="E1229" t="str">
            <v>NP-53.9 - Small Value Procurement</v>
          </cell>
          <cell r="F1229">
            <v>45468</v>
          </cell>
          <cell r="G1229">
            <v>45471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4513</v>
          </cell>
          <cell r="AB1229">
            <v>0</v>
          </cell>
          <cell r="AC1229">
            <v>4513</v>
          </cell>
          <cell r="AD1229">
            <v>0</v>
          </cell>
          <cell r="AE1229">
            <v>0</v>
          </cell>
          <cell r="AF1229">
            <v>0</v>
          </cell>
          <cell r="AG1229" t="e">
            <v>#N/A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</row>
        <row r="1230">
          <cell r="A1230" t="str">
            <v>24-C1518</v>
          </cell>
          <cell r="B1230" t="str">
            <v>OFFICE SUPPLIES</v>
          </cell>
          <cell r="C1230" t="str">
            <v>PICTO</v>
          </cell>
          <cell r="D1230">
            <v>0</v>
          </cell>
          <cell r="E1230" t="str">
            <v>Shopping 52.1(b) - Regular Office Supplies and Equipment no available in PS</v>
          </cell>
          <cell r="F1230">
            <v>45468</v>
          </cell>
          <cell r="G1230">
            <v>45471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12741</v>
          </cell>
          <cell r="AB1230">
            <v>0</v>
          </cell>
          <cell r="AC1230">
            <v>12741</v>
          </cell>
          <cell r="AD1230">
            <v>0</v>
          </cell>
          <cell r="AE1230">
            <v>0</v>
          </cell>
          <cell r="AF1230">
            <v>0</v>
          </cell>
          <cell r="AG1230" t="e">
            <v>#N/A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</row>
        <row r="1231">
          <cell r="A1231" t="str">
            <v>24-C1470</v>
          </cell>
          <cell r="B1231" t="str">
            <v>OFFICE SUPPLIES</v>
          </cell>
          <cell r="C1231" t="str">
            <v>PGO</v>
          </cell>
          <cell r="D1231">
            <v>0</v>
          </cell>
          <cell r="E1231" t="str">
            <v>Shopping 52.1(b) - Regular Office Supplies and Equipment no available in PS</v>
          </cell>
          <cell r="F1231">
            <v>45468</v>
          </cell>
          <cell r="G1231">
            <v>45471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29928</v>
          </cell>
          <cell r="AB1231">
            <v>0</v>
          </cell>
          <cell r="AC1231">
            <v>29928</v>
          </cell>
          <cell r="AD1231">
            <v>0</v>
          </cell>
          <cell r="AE1231">
            <v>0</v>
          </cell>
          <cell r="AF1231">
            <v>0</v>
          </cell>
          <cell r="AG1231" t="e">
            <v>#N/A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</row>
        <row r="1232">
          <cell r="A1232" t="str">
            <v>24-2460</v>
          </cell>
          <cell r="B1232" t="str">
            <v>CRAYFISH BREEDER (TRIO-2 FEMALE AND 1 MALE)</v>
          </cell>
          <cell r="C1232" t="str">
            <v>PAGRO</v>
          </cell>
          <cell r="D1232">
            <v>0</v>
          </cell>
          <cell r="E1232" t="str">
            <v>NP-53.9 - Small Value Procurement</v>
          </cell>
          <cell r="F1232">
            <v>45468</v>
          </cell>
          <cell r="G1232">
            <v>45471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8250</v>
          </cell>
          <cell r="AB1232">
            <v>0</v>
          </cell>
          <cell r="AC1232">
            <v>8250</v>
          </cell>
          <cell r="AD1232">
            <v>0</v>
          </cell>
          <cell r="AE1232">
            <v>0</v>
          </cell>
          <cell r="AF1232">
            <v>0</v>
          </cell>
          <cell r="AG1232" t="e">
            <v>#N/A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</row>
        <row r="1233">
          <cell r="A1233" t="str">
            <v>24-C1467</v>
          </cell>
          <cell r="B1233" t="str">
            <v>OFFICE SUPPLIES</v>
          </cell>
          <cell r="C1233" t="str">
            <v>PHO</v>
          </cell>
          <cell r="D1233">
            <v>0</v>
          </cell>
          <cell r="E1233" t="str">
            <v>Shopping 52.1(b) - Regular Office Supplies and Equipment no available in PS</v>
          </cell>
          <cell r="F1233" t="str">
            <v>N/A</v>
          </cell>
          <cell r="G1233">
            <v>45471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101637</v>
          </cell>
          <cell r="AB1233">
            <v>0</v>
          </cell>
          <cell r="AC1233">
            <v>101637</v>
          </cell>
          <cell r="AD1233">
            <v>0</v>
          </cell>
          <cell r="AE1233">
            <v>0</v>
          </cell>
          <cell r="AF1233">
            <v>0</v>
          </cell>
          <cell r="AG1233" t="e">
            <v>#N/A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</row>
        <row r="1234">
          <cell r="A1234" t="str">
            <v>24-2457</v>
          </cell>
          <cell r="B1234" t="str">
            <v>COCO COIR DUST</v>
          </cell>
          <cell r="C1234" t="str">
            <v>PAGRO</v>
          </cell>
          <cell r="D1234">
            <v>0</v>
          </cell>
          <cell r="E1234" t="str">
            <v>NP-53.9 - Small Value Procurement</v>
          </cell>
          <cell r="F1234" t="str">
            <v>N/A</v>
          </cell>
          <cell r="G1234">
            <v>45471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58350</v>
          </cell>
          <cell r="AB1234">
            <v>0</v>
          </cell>
          <cell r="AC1234">
            <v>58350</v>
          </cell>
          <cell r="AD1234">
            <v>0</v>
          </cell>
          <cell r="AE1234">
            <v>0</v>
          </cell>
          <cell r="AF1234">
            <v>0</v>
          </cell>
          <cell r="AG1234" t="e">
            <v>#N/A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 t="e">
            <v>#N/A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 t="e">
            <v>#N/A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 t="e">
            <v>#N/A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 t="e">
            <v>#N/A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 t="e">
            <v>#N/A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 t="e">
            <v>#N/A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 t="e">
            <v>#N/A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 t="e">
            <v>#N/A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 t="e">
            <v>#N/A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 t="e">
            <v>#N/A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 t="e">
            <v>#N/A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 t="e">
            <v>#N/A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 t="e">
            <v>#N/A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 t="e">
            <v>#N/A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 t="e">
            <v>#N/A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 t="e">
            <v>#N/A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 t="e">
            <v>#N/A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 t="e">
            <v>#N/A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 t="e">
            <v>#N/A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 t="e">
            <v>#N/A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 t="e">
            <v>#N/A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 t="e">
            <v>#N/A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 t="e">
            <v>#N/A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 t="e">
            <v>#N/A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 t="e">
            <v>#N/A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 t="e">
            <v>#N/A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 t="e">
            <v>#N/A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 t="e">
            <v>#N/A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 t="e">
            <v>#N/A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 t="e">
            <v>#N/A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 t="e">
            <v>#N/A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 t="e">
            <v>#N/A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 t="e">
            <v>#N/A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 t="e">
            <v>#N/A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 t="e">
            <v>#N/A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 t="e">
            <v>#N/A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 t="e">
            <v>#N/A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 t="e">
            <v>#N/A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 t="e">
            <v>#N/A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 t="e">
            <v>#N/A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 t="e">
            <v>#N/A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 t="e">
            <v>#N/A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 t="e">
            <v>#N/A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 t="e">
            <v>#N/A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 t="e">
            <v>#N/A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 t="e">
            <v>#N/A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 t="e">
            <v>#N/A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 t="e">
            <v>#N/A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 t="e">
            <v>#N/A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 t="e">
            <v>#N/A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 t="e">
            <v>#N/A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 t="e">
            <v>#N/A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 t="e">
            <v>#N/A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 t="e">
            <v>#N/A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 t="e">
            <v>#N/A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 t="e">
            <v>#N/A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 t="e">
            <v>#N/A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 t="e">
            <v>#N/A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 t="e">
            <v>#N/A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 t="e">
            <v>#N/A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 t="e">
            <v>#N/A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 t="e">
            <v>#N/A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 t="e">
            <v>#N/A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 t="e">
            <v>#N/A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 t="e">
            <v>#N/A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 t="e">
            <v>#N/A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 t="e">
            <v>#N/A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 t="e">
            <v>#N/A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 t="e">
            <v>#N/A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 t="e">
            <v>#N/A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id="12" name="Complete" displayName="Complete" ref="A5:AQ537" headerRowDxfId="253" dataDxfId="252" totalsRowDxfId="250" tableBorderDxfId="251" totalsRowBorderDxfId="249">
  <autoFilter ref="A5:AQ53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</autoFilter>
  <tableColumns count="43">
    <tableColumn id="1" name="Code_x000a_(PAP)" totalsRowLabel="Total" dataDxfId="248" totalsRowDxfId="247"/>
    <tableColumn id="2" name="Procurement Project" dataDxfId="246" totalsRowDxfId="245">
      <calculatedColumnFormula>VLOOKUP(Complete[[#This Row],[Code
(PAP)]],[1]Sheet1!$A:$AO,2,FALSE)</calculatedColumnFormula>
    </tableColumn>
    <tableColumn id="3" name="PMO/End-User" dataDxfId="244" totalsRowDxfId="243">
      <calculatedColumnFormula>VLOOKUP(Complete[[#This Row],[Code
(PAP)]],[1]Sheet1!$A:$AO,3,FALSE)</calculatedColumnFormula>
    </tableColumn>
    <tableColumn id="4" name="Is this an Early Procurement Activity?" dataDxfId="242" totalsRowDxfId="241"/>
    <tableColumn id="5" name="Mode of Procurement" dataDxfId="240" totalsRowDxfId="239">
      <calculatedColumnFormula>VLOOKUP(Complete[[#This Row],[Code
(PAP)]],[2]Sheet1!$A:$AO,5,FALSE)</calculatedColumnFormula>
    </tableColumn>
    <tableColumn id="6" name="Pre-Proc Conference" dataDxfId="238" totalsRowDxfId="237">
      <calculatedColumnFormula>VLOOKUP(Complete[[#This Row],[Code
(PAP)]],[1]Sheet1!$A:$AO,6,FALSE)</calculatedColumnFormula>
    </tableColumn>
    <tableColumn id="7" name="Ads/Post of IB" dataDxfId="236" totalsRowDxfId="235">
      <calculatedColumnFormula>VLOOKUP(Complete[[#This Row],[Code
(PAP)]],[1]Sheet1!$A:$AO,7,FALSE)</calculatedColumnFormula>
    </tableColumn>
    <tableColumn id="8" name="Ave. No. of Days to Commence Procurement _x000a_(Pre-Proc to Posting of IB) (i.3)" dataDxfId="234" totalsRowDxfId="233">
      <calculatedColumnFormula>IF(OR(Complete[[#This Row],[Pre-Proc Conference]]="",Complete[[#This Row],[Ads/Post of IB]]=""), "",IFERROR(Complete[[#This Row],[Ads/Post of IB]]-Complete[[#This Row],[Pre-Proc Conference]],""))</calculatedColumnFormula>
    </tableColumn>
    <tableColumn id="9" name="Pre-bid Conf" dataDxfId="232" totalsRowDxfId="231">
      <calculatedColumnFormula>VLOOKUP(Complete[[#This Row],[Code
(PAP)]],[1]Sheet1!$A:$AO,9,FALSE)</calculatedColumnFormula>
    </tableColumn>
    <tableColumn id="10" name="Eligibility Check" dataDxfId="230" totalsRowDxfId="229">
      <calculatedColumnFormula>VLOOKUP(Complete[[#This Row],[Code
(PAP)]],[1]Sheet1!$A:$AO,10,FALSE)</calculatedColumnFormula>
    </tableColumn>
    <tableColumn id="11" name="Sub/Open of Bids" dataDxfId="228" totalsRowDxfId="227">
      <calculatedColumnFormula>VLOOKUP(Complete[[#This Row],[Code
(PAP)]],[1]Sheet1!$A:$AO,11,FALSE)</calculatedColumnFormula>
    </tableColumn>
    <tableColumn id="12" name="Average No. of Days to open bid proposals _x000a_(Posting of IB to Opening of Bids) (i.4)" dataDxfId="226" totalsRowDxfId="225">
      <calculatedColumnFormula>IF(OR(Complete[[#This Row],[Ads/Post of IB]]="",Complete[[#This Row],[Sub/Open of Bids]]=""),"",IFERROR(Complete[[#This Row],[Sub/Open of Bids]]-Complete[[#This Row],[Ads/Post of IB]],""))</calculatedColumnFormula>
    </tableColumn>
    <tableColumn id="13" name="Bid Evaluation" dataDxfId="224" totalsRowDxfId="223">
      <calculatedColumnFormula>VLOOKUP(Complete[[#This Row],[Code
(PAP)]],[1]Sheet1!$A:$AO,13,FALSE)</calculatedColumnFormula>
    </tableColumn>
    <tableColumn id="14" name="Post Qual" dataDxfId="222" totalsRowDxfId="221">
      <calculatedColumnFormula>VLOOKUP(Complete[[#This Row],[Code
(PAP)]],[1]Sheet1!$A:$AO,14,FALSE)</calculatedColumnFormula>
    </tableColumn>
    <tableColumn id="15" name="Date of BAC Resolution Recommending Award" dataDxfId="220" totalsRowDxfId="219">
      <calculatedColumnFormula>VLOOKUP(Complete[[#This Row],[Code
(PAP)]],[1]Sheet1!$A:$AO,15,FALSE)</calculatedColumnFormula>
    </tableColumn>
    <tableColumn id="16" name="Accumulated Days in Evaluation of Bids _x000a_(Opening of Bids to Post Qua) " dataDxfId="218" totalsRowDxfId="217">
      <calculatedColumnFormula>IF(OR(Complete[[#This Row],[Post Qual]]="",Complete[[#This Row],[Sub/Open of Bids]]=""), "",IFERROR(Complete[[#This Row],[Post Qual]]-Complete[[#This Row],[Sub/Open of Bids]],""))</calculatedColumnFormula>
    </tableColumn>
    <tableColumn id="17" name="Average Number of Days to Recommend Award_x000a_(Opening of Bids to Recommend Award) (i.5)" dataDxfId="216" totalsRowDxfId="215">
      <calculatedColumnFormula>IF(OR(Complete[[#This Row],[Date of BAC Resolution Recommending Award]]="",Complete[[#This Row],[Sub/Open of Bids]]=""), "",IFERROR(Complete[[#This Row],[Date of BAC Resolution Recommending Award]]-Complete[[#This Row],[Sub/Open of Bids]],""))</calculatedColumnFormula>
    </tableColumn>
    <tableColumn id="18" name=" Average Number of Days to Conclude Procurement _x000a_ (IB to BAC Reso) (i.6)" dataDxfId="214" totalsRowDxfId="213">
      <calculatedColumnFormula>IF(OR(Complete[[#This Row],[Date of BAC Resolution Recommending Award]]="",Complete[[#This Row],[Ads/Post of IB]]=""),"",IFERROR(Complete[[#This Row],[Date of BAC Resolution Recommending Award]]-Complete[[#This Row],[Ads/Post of IB]],""))</calculatedColumnFormula>
    </tableColumn>
    <tableColumn id="19" name="Notice of Award" dataDxfId="212" totalsRowDxfId="211">
      <calculatedColumnFormula>VLOOKUP(Complete[[#This Row],[Code
(PAP)]],[1]Sheet1!$A:$AO,19,FALSE)</calculatedColumnFormula>
    </tableColumn>
    <tableColumn id="20" name="Contract Signing" dataDxfId="210" totalsRowDxfId="209">
      <calculatedColumnFormula>VLOOKUP(Complete[[#This Row],[Code
(PAP)]],[1]Sheet1!$A:$AO,20,FALSE)</calculatedColumnFormula>
    </tableColumn>
    <tableColumn id="21" name="Notice to Proceed" dataDxfId="208" totalsRowDxfId="207">
      <calculatedColumnFormula>VLOOKUP(Complete[[#This Row],[Code
(PAP)]],[1]Sheet1!$A:$AO,21,FALSE)</calculatedColumnFormula>
    </tableColumn>
    <tableColumn id="22" name="Average Number of Days to Issue Notice to Proceed_x000a_(NOA to NTP) (i.7)" dataDxfId="206" totalsRowDxfId="205">
      <calculatedColumnFormula>IF(OR(Complete[[#This Row],[Notice to Proceed]]="", Complete[[#This Row],[Notice of Award]]=""),"",IFERROR(Complete[[#This Row],[Notice to Proceed]]-Complete[[#This Row],[Notice of Award]],""))</calculatedColumnFormula>
    </tableColumn>
    <tableColumn id="23" name="Average_x000a_Days from (Posting of IB to NTP) (i.8)" dataDxfId="204" totalsRowDxfId="203">
      <calculatedColumnFormula>IF(OR(Complete[[#This Row],[Notice to Proceed]]="", Complete[[#This Row],[Ads/Post of IB]]=""),"",IFERROR(Complete[[#This Row],[Notice to Proceed]]-Complete[[#This Row],[Ads/Post of IB]],""))</calculatedColumnFormula>
    </tableColumn>
    <tableColumn id="24" name="Delivery/ Completion" dataDxfId="202" totalsRowDxfId="201">
      <calculatedColumnFormula>VLOOKUP(Complete[[#This Row],[Code
(PAP)]],[1]Sheet1!$A:$AO,24,FALSE)</calculatedColumnFormula>
    </tableColumn>
    <tableColumn id="25" name="Inspection &amp; Acceptance" dataDxfId="200" totalsRowDxfId="199">
      <calculatedColumnFormula>VLOOKUP(Complete[[#This Row],[Code
(PAP)]],[1]Sheet1!$A:$AO,25,FALSE)</calculatedColumnFormula>
    </tableColumn>
    <tableColumn id="26" name="Source of Funds" dataDxfId="198" totalsRowDxfId="197"/>
    <tableColumn id="27" name="Total " totalsRowFunction="sum" dataDxfId="196" totalsRowDxfId="195">
      <calculatedColumnFormula>Complete[[#This Row],[MOOE]]+Complete[[#This Row],[CO]]</calculatedColumnFormula>
    </tableColumn>
    <tableColumn id="28" name="MOOE" totalsRowFunction="sum" dataDxfId="194" totalsRowDxfId="193">
      <calculatedColumnFormula>VLOOKUP(Complete[[#This Row],[Code
(PAP)]],[1]Sheet1!$A:$AN,28,FALSE)</calculatedColumnFormula>
    </tableColumn>
    <tableColumn id="29" name="CO" totalsRowFunction="sum" dataDxfId="192" totalsRowDxfId="191">
      <calculatedColumnFormula>VLOOKUP(Complete[[#This Row],[Code
(PAP)]],[1]Sheet1!$A:$AO,29,FALSE)</calculatedColumnFormula>
    </tableColumn>
    <tableColumn id="30" name="Total2" totalsRowFunction="sum" dataDxfId="190" totalsRowDxfId="189">
      <calculatedColumnFormula>IF(Complete[[#This Row],[Procurement Project]]="","",SUM(Complete[[#This Row],[MOOE2]]+Complete[[#This Row],[CO3]]))</calculatedColumnFormula>
    </tableColumn>
    <tableColumn id="31" name="MOOE2" totalsRowFunction="sum" dataDxfId="188" totalsRowDxfId="187">
      <calculatedColumnFormula>VLOOKUP(Complete[[#This Row],[Code
(PAP)]],[1]Sheet1!$A:$AO,31,FALSE)</calculatedColumnFormula>
    </tableColumn>
    <tableColumn id="32" name="CO3" totalsRowFunction="sum" dataDxfId="186" totalsRowDxfId="185">
      <calculatedColumnFormula>VLOOKUP(Complete[[#This Row],[Code
(PAP)]],[1]Sheet1!$A:$AO,32,FALSE)</calculatedColumnFormula>
    </tableColumn>
    <tableColumn id="33" name="% Variance" dataDxfId="184" totalsRowDxfId="183">
      <calculatedColumnFormula>IF(OR(AA6=0,AD6=0,AA6="",AD6=""),"-",(AA6-AD6)/AA6)</calculatedColumnFormula>
    </tableColumn>
    <tableColumn id="34" name="List of Invited Observers" dataDxfId="182" totalsRowDxfId="181">
      <calculatedColumnFormula>VLOOKUP(Complete[[#This Row],[Code
(PAP)]],[1]Sheet1!$A:$AO,34,FALSE)</calculatedColumnFormula>
    </tableColumn>
    <tableColumn id="35" name="Pre-bid Conf4" dataDxfId="180" totalsRowDxfId="179">
      <calculatedColumnFormula>VLOOKUP(Complete[[#This Row],[Code
(PAP)]],[1]Sheet1!$A:$AO,35,FALSE)</calculatedColumnFormula>
    </tableColumn>
    <tableColumn id="36" name="Eligibility Check5" dataDxfId="178" totalsRowDxfId="177">
      <calculatedColumnFormula>VLOOKUP(Complete[[#This Row],[Code
(PAP)]],[1]Sheet1!$A:$AO,36,FALSE)</calculatedColumnFormula>
    </tableColumn>
    <tableColumn id="37" name="Sub/ Open of Bids6" dataDxfId="176" totalsRowDxfId="175">
      <calculatedColumnFormula>VLOOKUP(Complete[[#This Row],[Code
(PAP)]],[1]Sheet1!$A:$AO,37,FALSE)</calculatedColumnFormula>
    </tableColumn>
    <tableColumn id="38" name="Bid Evaluation7" dataDxfId="174" totalsRowDxfId="173">
      <calculatedColumnFormula>VLOOKUP(Complete[[#This Row],[Code
(PAP)]],[1]Sheet1!$A:$AO,38,FALSE)</calculatedColumnFormula>
    </tableColumn>
    <tableColumn id="39" name="Post Qual8" dataDxfId="172" totalsRowDxfId="171">
      <calculatedColumnFormula>VLOOKUP(Complete[[#This Row],[Code
(PAP)]],[1]Sheet1!$A:$AO,38,FALSE)</calculatedColumnFormula>
    </tableColumn>
    <tableColumn id="40" name="Delivery/_x000a_Completion/_x000a_Acceptance_x000a_(If applicable)" dataDxfId="170" totalsRowDxfId="169">
      <calculatedColumnFormula>VLOOKUP(Complete[[#This Row],[Code
(PAP)]],[1]Sheet1!$A:$AO,40,FALSE)</calculatedColumnFormula>
    </tableColumn>
    <tableColumn id="41" name="Remarks_x000a__x000a_(Explaining changes from the APP)" dataDxfId="168" totalsRowDxfId="167">
      <calculatedColumnFormula>VLOOKUP(Complete[[#This Row],[Code
(PAP)]],[1]Sheet1!$A:$AO,41,FALSE)</calculatedColumnFormula>
    </tableColumn>
    <tableColumn id="42" name="Column1" dataDxfId="166" totalsRowDxfId="165">
      <calculatedColumnFormula>IF(ISBLANK(E6),"",IF(AO6="Cancelled","Cancelled",IF(AND(G6="N/A",I6="N/A",J6="N/A",K6="N/A",M6="N/A",N6="N/A",O6="N/A",S6="N/A"),"Pre-Proc",IF(AND(I6="N/A",J6="N/A",K6="",M6="N/A",N6="N/A",O6="N/A",S6="N/A"),"Posting of IB",IF(AND(J6="N/A",K6="N/A",M6="N/A",N6="N/A",O6="N/A",S6="N/A"),"Pre-Bid",IF(AND(K6="N/A",M6="N/A",N6="N/A",O6="N/A",S6="N/A"),"Eligibility Check",IF(AND(M6="N/A",N6="N/A",O6="N/A",S6="N/A"),"Opening of Bids",IF(AND(N6="N/A",O6="N/A",S6="N/A"),"Bid Evaluation",IF(AND(O6="N/A",S6="N/A"),"Post Qualification",IF(AND(S6="N/A"),"BAC Reso",IF(AND(T6="N/A",U6="N/A"),"NOA")))))))))))</calculatedColumnFormula>
    </tableColumn>
    <tableColumn id="43" name="Column2" dataDxfId="164" totalsRowDxfId="163">
      <calculatedColumnFormula>IF(ISBLANK(E6),"",IF(OR(AP6="Post Qualification",AP6="Opening of Bids", AP6="Posting of IB",AP6="Bid Evaluation",AP6="Posting of IB", AP6="Pre-Bid",AP6="Eligibility Check",AP6="BAC Reso",AP6="Pre-Proc",AP6="NOA",AP6="Cancelled"),"Failed"))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3" name="Table13" displayName="Table13" ref="A543:AP1248" totalsRowCount="1" headerRowDxfId="162" dataDxfId="161" totalsRowDxfId="159" tableBorderDxfId="160" totalsRowBorderDxfId="158">
  <autoFilter ref="A543:AP1247"/>
  <tableColumns count="42">
    <tableColumn id="1" name="Column1" dataDxfId="157" totalsRowDxfId="156"/>
    <tableColumn id="2" name="Column2" dataDxfId="155" totalsRowDxfId="154"/>
    <tableColumn id="3" name="Column3" dataDxfId="153" totalsRowDxfId="152"/>
    <tableColumn id="4" name="Column4" dataDxfId="151" totalsRowDxfId="150"/>
    <tableColumn id="5" name="Column5" dataDxfId="149" totalsRowDxfId="148"/>
    <tableColumn id="6" name="Column6" dataDxfId="147" totalsRowDxfId="146"/>
    <tableColumn id="7" name="Column7" dataDxfId="145" totalsRowDxfId="144"/>
    <tableColumn id="8" name="Column8" totalsRowFunction="average" dataDxfId="143" totalsRowDxfId="142">
      <calculatedColumnFormula>IF(OR(Table13[[#This Row],[Column6]]="",Table13[[#This Row],[Column7]]=""), "",IFERROR(Table13[[#This Row],[Column7]]-Table13[[#This Row],[Column6]],""))</calculatedColumnFormula>
    </tableColumn>
    <tableColumn id="9" name="Column9" dataDxfId="141" totalsRowDxfId="140"/>
    <tableColumn id="10" name="Column10" dataDxfId="139" totalsRowDxfId="138"/>
    <tableColumn id="11" name="Column11" dataDxfId="137" totalsRowDxfId="136"/>
    <tableColumn id="12" name="Column12" dataDxfId="135" totalsRowDxfId="134">
      <calculatedColumnFormula>IF(OR(Table13[[#This Row],[Column7]]="",Table13[[#This Row],[Column11]]=""),"",IFERROR(Table13[[#This Row],[Column11]]-Table13[[#This Row],[Column7]],""))</calculatedColumnFormula>
    </tableColumn>
    <tableColumn id="13" name="Column13" dataDxfId="133" totalsRowDxfId="132"/>
    <tableColumn id="14" name="Column14" dataDxfId="131" totalsRowDxfId="130"/>
    <tableColumn id="15" name="Column15" dataDxfId="129" totalsRowDxfId="128"/>
    <tableColumn id="16" name="Column16" dataDxfId="127" totalsRowDxfId="126">
      <calculatedColumnFormula>IF(OR(Table13[[#This Row],[Column14]]="",Table13[[#This Row],[Column11]]=""), "",IFERROR(Table13[[#This Row],[Column14]]-Table13[[#This Row],[Column11]],""))</calculatedColumnFormula>
    </tableColumn>
    <tableColumn id="17" name="Column17" dataDxfId="125" totalsRowDxfId="124">
      <calculatedColumnFormula>IF(OR(Table13[[#This Row],[Column15]]="",Table13[[#This Row],[Column11]]=""), "",IFERROR(Table13[[#This Row],[Column15]]-Table13[[#This Row],[Column11]],""))</calculatedColumnFormula>
    </tableColumn>
    <tableColumn id="18" name="Column18" dataDxfId="123" totalsRowDxfId="122">
      <calculatedColumnFormula>IF(OR(Table13[[#This Row],[Column15]]="",Table13[[#This Row],[Column7]]=""),"",IFERROR(Table13[[#This Row],[Column15]]-Table13[[#This Row],[Column7]],""))</calculatedColumnFormula>
    </tableColumn>
    <tableColumn id="19" name="Column19" dataDxfId="121" totalsRowDxfId="120"/>
    <tableColumn id="20" name="Column20" dataDxfId="119" totalsRowDxfId="118"/>
    <tableColumn id="21" name="Column21" dataDxfId="117" totalsRowDxfId="116"/>
    <tableColumn id="22" name="Column22" dataDxfId="115" totalsRowDxfId="114">
      <calculatedColumnFormula>IF(OR(Table13[[#This Row],[Column21]]="", Table13[[#This Row],[Column19]]=""),"",IFERROR(Table13[[#This Row],[Column21]]-Table13[[#This Row],[Column19]],""))</calculatedColumnFormula>
    </tableColumn>
    <tableColumn id="23" name="Column23" dataDxfId="113" totalsRowDxfId="112">
      <calculatedColumnFormula>IF(OR(Table13[[#This Row],[Column21]]="", Table13[[#This Row],[Column7]]=""),"",IFERROR(Table13[[#This Row],[Column21]]-Table13[[#This Row],[Column7]],""))</calculatedColumnFormula>
    </tableColumn>
    <tableColumn id="24" name="Column24" dataDxfId="111" totalsRowDxfId="110"/>
    <tableColumn id="25" name="Column25" dataDxfId="109" totalsRowDxfId="108"/>
    <tableColumn id="26" name="Column26" totalsRowLabel="   Total Allotted Budget of On-going Procurement Activities" dataDxfId="107" totalsRowDxfId="106"/>
    <tableColumn id="27" name="Column27" totalsRowFunction="sum" dataDxfId="105" totalsRowDxfId="104">
      <calculatedColumnFormula>IF(Table13[[#This Row],[Column2]]="","",SUM(Table13[[#This Row],[Column28]]+Table13[[#This Row],[Column29]]))</calculatedColumnFormula>
    </tableColumn>
    <tableColumn id="28" name="Column28" totalsRowFunction="sum" dataDxfId="103" totalsRowDxfId="102"/>
    <tableColumn id="29" name="Column29" totalsRowFunction="sum" dataDxfId="101" totalsRowDxfId="100"/>
    <tableColumn id="30" name="Column30" totalsRowFunction="sum" dataDxfId="99" totalsRowDxfId="98">
      <calculatedColumnFormula>IF(Table13[[#This Row],[Column2]]="","",SUM(Table13[[#This Row],[Column31]]+Table13[[#This Row],[Column32]]))</calculatedColumnFormula>
    </tableColumn>
    <tableColumn id="31" name="Column31" totalsRowFunction="sum" dataDxfId="97" totalsRowDxfId="96"/>
    <tableColumn id="32" name="Column32" totalsRowFunction="sum" dataDxfId="95" totalsRowDxfId="94"/>
    <tableColumn id="33" name="Column33" totalsRowFunction="average" dataDxfId="93" totalsRowDxfId="92">
      <calculatedColumnFormula>IF(OR(AA544=0,AD544=0,AA544="",AD544=""),"-",(AA544-AD544)/AA544)</calculatedColumnFormula>
    </tableColumn>
    <tableColumn id="34" name="Column34" dataDxfId="91" totalsRowDxfId="90"/>
    <tableColumn id="35" name="Column35" dataDxfId="89" totalsRowDxfId="88"/>
    <tableColumn id="36" name="Column36" dataDxfId="87" totalsRowDxfId="86"/>
    <tableColumn id="37" name="Column37" dataDxfId="85" totalsRowDxfId="84"/>
    <tableColumn id="38" name="Column38" dataDxfId="83" totalsRowDxfId="82"/>
    <tableColumn id="39" name="Column39" dataDxfId="81" totalsRowDxfId="80"/>
    <tableColumn id="40" name="Column40" dataDxfId="79" totalsRowDxfId="78"/>
    <tableColumn id="41" name="Column41" dataDxfId="77" totalsRowDxfId="76"/>
    <tableColumn id="42" name="Column42" dataDxfId="75" totalsRowDxfId="74">
      <calculatedColumnFormula>IF(OR(Table13[[#This Row],[Column7]]=""),"",IF(Table13[[#This Row],[Column41]]="Ongoing Procurement Process",IFERROR($AP$541-Table13[[#This Row],[Column7]],""),0))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" name="Table_1" displayName="Table_1" ref="B92:I97" headerRowDxfId="64" totalsRowDxfId="61" headerRowBorderDxfId="63" tableBorderDxfId="62">
  <tableColumns count="8">
    <tableColumn id="1" name="Status" dataDxfId="60"/>
    <tableColumn id="2" name="No. of Procurement Activities" dataDxfId="59"/>
    <tableColumn id="3" name="% by No. of Procurement of Activities" dataDxfId="58"/>
    <tableColumn id="4" name="ABC Amount of Activities" dataDxfId="57"/>
    <tableColumn id="5" name="% by ABC" dataDxfId="56"/>
    <tableColumn id="6" name="Contract Cost" dataDxfId="55" totalsRowDxfId="54"/>
    <tableColumn id="7" name="Contract/ABC" dataDxfId="53" totalsRowDxfId="52" dataCellStyle="Percent">
      <calculatedColumnFormula>Table_1[[#This Row],[Contract Cost]]/$G$97</calculatedColumnFormula>
    </tableColumn>
    <tableColumn id="8" name="Variance" dataDxfId="51" totalsRowDxfId="50">
      <calculatedColumnFormula>(Table_1[[#This Row],[ABC Amount of Activities]]-Table_1[[#This Row],[Contract Cost]])/Table_1[[#This Row],[ABC Amount of Activities]]</calculatedColumnFormula>
    </tableColumn>
  </tableColumns>
  <tableStyleInfo name="Tool 1-Processing-style" showFirstColumn="1" showLastColumn="1" showRowStripes="1" showColumnStripes="0"/>
</table>
</file>

<file path=xl/tables/table4.xml><?xml version="1.0" encoding="utf-8"?>
<table xmlns="http://schemas.openxmlformats.org/spreadsheetml/2006/main" id="2" name="Table2" displayName="Table2" ref="B21:O45" totalsRowCount="1" tableBorderDxfId="49" totalsRowBorderDxfId="48">
  <autoFilter ref="B21:O44"/>
  <tableColumns count="14">
    <tableColumn id="1" name="Mode of Procurement" totalsRowLabel="Total" dataDxfId="47" totalsRowDxfId="46"/>
    <tableColumn id="2" name="Total No. of Activities under subject modality" totalsRowFunction="sum" dataDxfId="45" totalsRowDxfId="44">
      <calculatedColumnFormula>COUNTIF(PMR!$E$7:$E$551,B22)</calculatedColumnFormula>
    </tableColumn>
    <tableColumn id="3" name="Total No. of Days from PreProc to IB" totalsRowFunction="average" dataDxfId="43" totalsRowDxfId="42">
      <calculatedColumnFormula>SUMIFS(PMR!$H$7:$H$550,PMR!$E$7:$E$550,Table2[[#This Row],[Mode of Procurement]])</calculatedColumnFormula>
    </tableColumn>
    <tableColumn id="4" name="Average Days from Pre-Proc to Posting of IB" totalsRowFunction="average" dataDxfId="41" totalsRowDxfId="40">
      <calculatedColumnFormula>IF(Table2[[#This Row],[Total No. of Activities under subject modality]],Table2[[#This Row],[Total No. of Days from PreProc to IB]]/Table2[[#This Row],[Total No. of Activities under subject modality]],"")</calculatedColumnFormula>
    </tableColumn>
    <tableColumn id="5" name="Total No. of Days from IB  to Opening" totalsRowFunction="average" dataDxfId="39" totalsRowDxfId="38">
      <calculatedColumnFormula>SUMIFS(PMR!$L$7:$L$551,PMR!$E$7:$E$551,B22)</calculatedColumnFormula>
    </tableColumn>
    <tableColumn id="6" name="Average_x000a_Days from Posting of IB to Opening of Bids" totalsRowFunction="average" dataDxfId="37" totalsRowDxfId="36">
      <calculatedColumnFormula>IF(Table2[[#This Row],[Total No. of Activities under subject modality]],Table2[[#This Row],[Total No. of Days from PreProc to IB]]/Table2[[#This Row],[Total No. of Activities under subject modality]],"")</calculatedColumnFormula>
    </tableColumn>
    <tableColumn id="7" name="Total No. of Days Opening to Recommend Award)" totalsRowFunction="average" dataDxfId="35" totalsRowDxfId="34">
      <calculatedColumnFormula>SUMIFS(PMR!$Q$7:$Q$551,PMR!$E$7:$E$551,B22)</calculatedColumnFormula>
    </tableColumn>
    <tableColumn id="9" name="Average_x000a_Days from Opening of Bids to Recommend Award" totalsRowFunction="average" dataDxfId="33" totalsRowDxfId="32">
      <calculatedColumnFormula>IF(Table2[[#This Row],[Total No. of Activities under subject modality]],Table2[[#This Row],[Total No. of Days Opening to Recommend Award)]]/Table2[[#This Row],[Total No. of Activities under subject modality]],"")</calculatedColumnFormula>
    </tableColumn>
    <tableColumn id="10" name="Total No. of Days_x000a_from Posting of IB to Recommend Award" totalsRowFunction="average" dataDxfId="31" totalsRowDxfId="30">
      <calculatedColumnFormula>SUMIFS(PMR!$R$7:$R$551,PMR!$E$7:$E$551,B22)</calculatedColumnFormula>
    </tableColumn>
    <tableColumn id="12" name="Average_x000a_Days from Posting of IB to Recommend Award" totalsRowFunction="average" dataDxfId="29" totalsRowDxfId="28">
      <calculatedColumnFormula>IF(Table2[[#This Row],[Total No. of Activities under subject modality]],Table2[[#This Row],[Total No. of Days
from Posting of IB to Recommend Award]]/Table2[[#This Row],[Total No. of Activities under subject modality]],"")</calculatedColumnFormula>
    </tableColumn>
    <tableColumn id="13" name="Total No. of Days _x000a_from Issuance of NOA to Issue NTP" totalsRowFunction="average" dataDxfId="27" totalsRowDxfId="26">
      <calculatedColumnFormula>SUMIFS(PMR!$V$7:$V$551,PMR!$E$7:$E$551,B22)</calculatedColumnFormula>
    </tableColumn>
    <tableColumn id="15" name="Average_x000a_Days from NOA to NTP" totalsRowFunction="average" dataDxfId="25" totalsRowDxfId="24">
      <calculatedColumnFormula>IF(Table2[[#This Row],[Total No. of Activities under subject modality]],Table2[[#This Row],[Total No. of Days 
from Issuance of NOA to Issue NTP]]/Table2[[#This Row],[Total No. of Activities under subject modality]],"")</calculatedColumnFormula>
    </tableColumn>
    <tableColumn id="16" name="Total No. of Days _x000a_from Posting of IB to Issue NTP" totalsRowFunction="average" dataDxfId="23" totalsRowDxfId="22">
      <calculatedColumnFormula>SUMIFS(PMR!W7:W550,PMR!E7:E550,Table2[[#This Row],[Mode of Procurement]])</calculatedColumnFormula>
    </tableColumn>
    <tableColumn id="18" name="Average_x000a_Days from Posting of IB to NTP" totalsRowFunction="average" dataDxfId="21" totalsRowDxfId="20">
      <calculatedColumnFormula>IF(Table2[[#This Row],[Total No. of Activities under subject modality]],Table2[[#This Row],[Total No. of Days 
from Posting of IB to Issue NTP]]/Table2[[#This Row],[Total No. of Activities under subject modality]],"")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4" name="Table14" displayName="Table14" ref="B50:J74" totalsRowCount="1" headerRowDxfId="19" totalsRowDxfId="18">
  <autoFilter ref="B50:J73"/>
  <tableColumns count="9">
    <tableColumn id="1" name="Mode of Procurement" totalsRowLabel="Total" dataDxfId="17" totalsRowDxfId="16"/>
    <tableColumn id="2" name="Total No. of Activities " totalsRowFunction="sum" dataDxfId="15" totalsRowDxfId="14">
      <calculatedColumnFormula>SUM(COUNTIF(Complete[Mode of Procurement],Table14[[#This Row],[Mode of Procurement]]),COUNTIF(Table13[Column5],Table14[[#This Row],[Mode of Procurement]]))</calculatedColumnFormula>
    </tableColumn>
    <tableColumn id="3" name="Total Number of Awarded" totalsRowFunction="sum" dataDxfId="13" totalsRowDxfId="12">
      <calculatedColumnFormula>SUM(COUNTIFS(Complete[Mode of Procurement],Table14[[#This Row],[Mode of Procurement]],Complete[Notice of Award],"&gt;1"),COUNTIFS(Table13[Column5],Table14[[#This Row],[Mode of Procurement]],Table13[Column19],"&gt;1"))</calculatedColumnFormula>
    </tableColumn>
    <tableColumn id="4" name="Total ABC" totalsRowFunction="sum" dataDxfId="11" totalsRowDxfId="10" dataCellStyle="Comma">
      <calculatedColumnFormula>SUM(SUMIFS(Complete[[Total ]],Complete[Notice of Award],"&gt;1",Complete[Mode of Procurement],Table14[[#This Row],[Mode of Procurement]]),SUMIFS(Table13[Column27],Table13[Column19],"&gt;1",Table13[Column5],Table14[[#This Row],[Mode of Procurement]]))</calculatedColumnFormula>
    </tableColumn>
    <tableColumn id="5" name="Total Contract Cost" totalsRowFunction="custom" dataDxfId="9" totalsRowDxfId="8" dataCellStyle="Comma">
      <calculatedColumnFormula>SUM(SUMIFS(Complete[Total2],Complete[Notice of Award],"&gt;1",Complete[Mode of Procurement],Table14[[#This Row],[Mode of Procurement]]),SUMIFS(Table13[Column30],Table13[Column19],"&gt;1",Table13[Column5],Table14[[#This Row],[Mode of Procurement]]))</calculatedColumnFormula>
      <totalsRowFormula>SUBTOTAL(109,Table14[Total ABC])</totalsRowFormula>
    </tableColumn>
    <tableColumn id="6" name="%Vol of Awarded" totalsRowFunction="average" dataDxfId="7" totalsRowDxfId="6" dataCellStyle="Percent">
      <calculatedColumnFormula>IF(Table14[[#This Row],[Total No. of Activities ]],Table14[[#This Row],[Total Number of Awarded]]/Table14[[#This Row],[Total No. of Activities ]],"")</calculatedColumnFormula>
    </tableColumn>
    <tableColumn id="7" name="%ABC of Awarded" totalsRowFunction="average" dataDxfId="5" totalsRowDxfId="4" dataCellStyle="Percent">
      <calculatedColumnFormula>IF(Table14[[#This Row],[Total ABC]],Table14[[#This Row],[Total Contract Cost]]/Table14[[#This Row],[Total ABC]],"")</calculatedColumnFormula>
    </tableColumn>
    <tableColumn id="8" name="Total Number of Failed" totalsRowFunction="sum" dataDxfId="3" totalsRowDxfId="2">
      <calculatedColumnFormula>COUNTIFS(Complete[Mode of Procurement],Table14[[#This Row],[Mode of Procurement]],Complete[Column2],"Failed")</calculatedColumnFormula>
    </tableColumn>
    <tableColumn id="9" name="ABC of Failed" totalsRowFunction="sum" dataDxfId="1" totalsRowDxfId="0" dataCellStyle="Comma">
      <calculatedColumnFormula>SUMIFS(Complete[[Total ]],PMR!$AQ$6:$AQ$538,"Failed",PMR!$E$6:$E$538,'Tool 1-Processing'!B51)</calculatedColumnFormula>
    </tableColumn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2013"/>
  <sheetViews>
    <sheetView showGridLines="0" tabSelected="1" zoomScale="59" zoomScaleNormal="59" zoomScaleSheetLayoutView="50" workbookViewId="0">
      <pane xSplit="6" ySplit="6" topLeftCell="AI7" activePane="bottomRight" state="frozen"/>
      <selection pane="topRight" activeCell="G1" sqref="G1"/>
      <selection pane="bottomLeft" activeCell="A7" sqref="A7"/>
      <selection pane="bottomRight" sqref="A1:AO1048576"/>
    </sheetView>
  </sheetViews>
  <sheetFormatPr defaultColWidth="14.42578125" defaultRowHeight="15" customHeight="1" x14ac:dyDescent="0.35"/>
  <cols>
    <col min="1" max="1" width="19.28515625" customWidth="1"/>
    <col min="2" max="2" width="49.140625" style="632" customWidth="1"/>
    <col min="3" max="3" width="23.42578125" style="70" customWidth="1"/>
    <col min="4" max="4" width="17.7109375" style="70" customWidth="1"/>
    <col min="5" max="5" width="25.42578125" style="70" customWidth="1"/>
    <col min="6" max="7" width="17.28515625" style="70" customWidth="1"/>
    <col min="8" max="8" width="15.28515625" style="88" hidden="1" customWidth="1"/>
    <col min="9" max="11" width="17" style="70" customWidth="1"/>
    <col min="12" max="12" width="17" style="88" hidden="1" customWidth="1"/>
    <col min="13" max="14" width="16.85546875" style="70" customWidth="1"/>
    <col min="15" max="15" width="21.28515625" style="70" customWidth="1"/>
    <col min="16" max="17" width="18.85546875" style="340" hidden="1" customWidth="1"/>
    <col min="18" max="18" width="21.42578125" style="340" hidden="1" customWidth="1"/>
    <col min="19" max="21" width="13" style="588" customWidth="1"/>
    <col min="22" max="23" width="18.7109375" style="340" hidden="1" customWidth="1"/>
    <col min="24" max="24" width="15.28515625" style="70" customWidth="1"/>
    <col min="25" max="25" width="17" style="70" customWidth="1"/>
    <col min="26" max="26" width="23.28515625" style="70" customWidth="1"/>
    <col min="27" max="27" width="31.28515625" style="484" customWidth="1"/>
    <col min="28" max="28" width="22.140625" style="483" customWidth="1"/>
    <col min="29" max="29" width="22.7109375" style="527" customWidth="1"/>
    <col min="30" max="30" width="28.28515625" style="529" customWidth="1"/>
    <col min="31" max="31" width="20.85546875" style="527" customWidth="1"/>
    <col min="32" max="32" width="17" style="650" customWidth="1"/>
    <col min="33" max="33" width="17.28515625" style="69" hidden="1" customWidth="1"/>
    <col min="34" max="34" width="38.28515625" style="429" customWidth="1"/>
    <col min="35" max="37" width="13.28515625" style="588" customWidth="1"/>
    <col min="38" max="38" width="14.42578125" style="588" customWidth="1"/>
    <col min="39" max="39" width="12.28515625" style="588" customWidth="1"/>
    <col min="40" max="40" width="19.7109375" style="588" customWidth="1"/>
    <col min="41" max="41" width="45.7109375" style="70" customWidth="1"/>
    <col min="42" max="42" width="20.5703125" style="117" hidden="1" customWidth="1"/>
    <col min="43" max="43" width="14.42578125" style="117" hidden="1" customWidth="1"/>
    <col min="44" max="45" width="14.42578125" customWidth="1"/>
  </cols>
  <sheetData>
    <row r="1" spans="1:43" ht="42" customHeight="1" x14ac:dyDescent="0.35">
      <c r="A1" s="4"/>
      <c r="B1" s="614"/>
      <c r="C1" s="71"/>
      <c r="D1" s="71"/>
      <c r="E1" s="71"/>
      <c r="F1" s="71"/>
      <c r="G1" s="71"/>
      <c r="H1" s="87"/>
      <c r="I1" s="71"/>
      <c r="J1" s="71"/>
      <c r="K1" s="71"/>
      <c r="L1" s="87"/>
      <c r="M1" s="130"/>
      <c r="O1" s="71"/>
      <c r="P1" s="311"/>
      <c r="Q1" s="312"/>
      <c r="R1" s="312"/>
      <c r="S1" s="569"/>
      <c r="T1" s="569"/>
      <c r="U1" s="569"/>
      <c r="V1" s="341"/>
      <c r="W1" s="311"/>
      <c r="X1" s="71"/>
      <c r="Y1" s="71"/>
      <c r="Z1" s="71"/>
      <c r="AA1" s="456"/>
      <c r="AB1" s="104"/>
      <c r="AC1" s="485"/>
      <c r="AD1" s="486"/>
      <c r="AE1" s="485"/>
      <c r="AF1" s="634"/>
      <c r="AG1" s="97"/>
      <c r="AH1" s="223"/>
      <c r="AI1" s="569"/>
      <c r="AJ1" s="569"/>
      <c r="AK1" s="569"/>
      <c r="AL1" s="569"/>
      <c r="AM1" s="569"/>
      <c r="AN1" s="589"/>
      <c r="AO1" s="84"/>
      <c r="AP1" s="5"/>
    </row>
    <row r="2" spans="1:43" s="70" customFormat="1" ht="53.45" customHeight="1" thickBot="1" x14ac:dyDescent="0.4">
      <c r="A2" s="279" t="s">
        <v>716</v>
      </c>
      <c r="B2" s="615"/>
      <c r="C2" s="72"/>
      <c r="D2" s="72"/>
      <c r="E2" s="72"/>
      <c r="M2" s="225" t="s">
        <v>717</v>
      </c>
      <c r="P2" s="313"/>
      <c r="Q2" s="313"/>
      <c r="R2" s="313"/>
      <c r="S2" s="570"/>
      <c r="T2" s="570"/>
      <c r="U2" s="570"/>
      <c r="V2" s="362"/>
      <c r="W2" s="363"/>
      <c r="X2" s="77"/>
      <c r="Y2" s="77"/>
      <c r="Z2" s="77"/>
      <c r="AA2" s="456"/>
      <c r="AB2" s="456"/>
      <c r="AC2" s="488"/>
      <c r="AD2" s="488"/>
      <c r="AE2" s="488"/>
      <c r="AF2" s="635"/>
      <c r="AG2" s="82"/>
      <c r="AH2" s="420"/>
      <c r="AI2" s="570"/>
      <c r="AJ2" s="570"/>
      <c r="AK2" s="570"/>
      <c r="AL2" s="570"/>
      <c r="AM2" s="570"/>
      <c r="AN2" s="590"/>
      <c r="AO2" s="85"/>
      <c r="AP2" s="83"/>
      <c r="AQ2" s="254"/>
    </row>
    <row r="3" spans="1:43" ht="26.45" customHeight="1" thickBot="1" x14ac:dyDescent="0.4">
      <c r="A3" s="6"/>
      <c r="B3" s="616"/>
      <c r="C3" s="73"/>
      <c r="D3" s="73"/>
      <c r="E3" s="77"/>
      <c r="F3" s="77"/>
      <c r="G3" s="77"/>
      <c r="H3" s="89"/>
      <c r="I3" s="77"/>
      <c r="J3" s="77"/>
      <c r="K3" s="77"/>
      <c r="L3" s="89"/>
      <c r="M3" s="77"/>
      <c r="N3" s="77"/>
      <c r="O3" s="77"/>
      <c r="P3" s="314"/>
      <c r="Q3" s="315"/>
      <c r="R3" s="315"/>
      <c r="S3" s="570"/>
      <c r="T3" s="570"/>
      <c r="U3" s="570"/>
      <c r="V3" s="342"/>
      <c r="W3" s="314"/>
      <c r="X3" s="77"/>
      <c r="Y3" s="77"/>
      <c r="Z3" s="77"/>
      <c r="AA3" s="456"/>
      <c r="AB3" s="456"/>
      <c r="AC3" s="488"/>
      <c r="AD3" s="488"/>
      <c r="AE3" s="488"/>
      <c r="AF3" s="635"/>
      <c r="AG3" s="68"/>
      <c r="AH3" s="420"/>
      <c r="AI3" s="570"/>
      <c r="AJ3" s="570"/>
      <c r="AK3" s="570"/>
      <c r="AL3" s="570"/>
      <c r="AM3" s="570"/>
      <c r="AN3" s="590"/>
      <c r="AO3" s="85"/>
      <c r="AP3" s="127"/>
    </row>
    <row r="4" spans="1:43" s="135" customFormat="1" ht="37.9" customHeight="1" thickTop="1" thickBot="1" x14ac:dyDescent="0.35">
      <c r="A4" s="239"/>
      <c r="B4" s="617"/>
      <c r="C4" s="239"/>
      <c r="D4" s="239"/>
      <c r="E4" s="239"/>
      <c r="F4" s="240" t="s">
        <v>0</v>
      </c>
      <c r="G4" s="240"/>
      <c r="H4" s="240"/>
      <c r="I4" s="240"/>
      <c r="J4" s="240"/>
      <c r="K4" s="240"/>
      <c r="L4" s="240"/>
      <c r="M4" s="240"/>
      <c r="N4" s="240"/>
      <c r="O4" s="240"/>
      <c r="P4" s="316"/>
      <c r="Q4" s="316"/>
      <c r="R4" s="316"/>
      <c r="S4" s="571"/>
      <c r="T4" s="571"/>
      <c r="U4" s="571"/>
      <c r="V4" s="316"/>
      <c r="W4" s="316"/>
      <c r="X4" s="240"/>
      <c r="Y4" s="240"/>
      <c r="Z4" s="239"/>
      <c r="AA4" s="654" t="s">
        <v>1</v>
      </c>
      <c r="AB4" s="655"/>
      <c r="AC4" s="656"/>
      <c r="AD4" s="657" t="s">
        <v>2</v>
      </c>
      <c r="AE4" s="658"/>
      <c r="AF4" s="659"/>
      <c r="AG4" s="244"/>
      <c r="AH4" s="245"/>
      <c r="AI4" s="660" t="s">
        <v>3</v>
      </c>
      <c r="AJ4" s="661"/>
      <c r="AK4" s="661"/>
      <c r="AL4" s="661"/>
      <c r="AM4" s="661"/>
      <c r="AN4" s="661"/>
      <c r="AO4" s="246"/>
      <c r="AP4" s="219"/>
      <c r="AQ4" s="209"/>
    </row>
    <row r="5" spans="1:43" s="135" customFormat="1" ht="90.6" customHeight="1" thickBot="1" x14ac:dyDescent="0.25">
      <c r="A5" s="242" t="s">
        <v>4</v>
      </c>
      <c r="B5" s="618" t="s">
        <v>5</v>
      </c>
      <c r="C5" s="241" t="s">
        <v>6</v>
      </c>
      <c r="D5" s="242" t="s">
        <v>7</v>
      </c>
      <c r="E5" s="242" t="s">
        <v>8</v>
      </c>
      <c r="F5" s="242" t="s">
        <v>9</v>
      </c>
      <c r="G5" s="242" t="s">
        <v>10</v>
      </c>
      <c r="H5" s="289" t="s">
        <v>11</v>
      </c>
      <c r="I5" s="242" t="s">
        <v>12</v>
      </c>
      <c r="J5" s="243" t="s">
        <v>13</v>
      </c>
      <c r="K5" s="242" t="s">
        <v>14</v>
      </c>
      <c r="L5" s="290" t="s">
        <v>15</v>
      </c>
      <c r="M5" s="242" t="s">
        <v>16</v>
      </c>
      <c r="N5" s="242" t="s">
        <v>17</v>
      </c>
      <c r="O5" s="242" t="s">
        <v>18</v>
      </c>
      <c r="P5" s="290" t="s">
        <v>19</v>
      </c>
      <c r="Q5" s="290" t="s">
        <v>20</v>
      </c>
      <c r="R5" s="290" t="s">
        <v>21</v>
      </c>
      <c r="S5" s="572" t="s">
        <v>22</v>
      </c>
      <c r="T5" s="573" t="s">
        <v>23</v>
      </c>
      <c r="U5" s="572" t="s">
        <v>24</v>
      </c>
      <c r="V5" s="290" t="s">
        <v>25</v>
      </c>
      <c r="W5" s="290" t="s">
        <v>26</v>
      </c>
      <c r="X5" s="242" t="s">
        <v>27</v>
      </c>
      <c r="Y5" s="243" t="s">
        <v>28</v>
      </c>
      <c r="Z5" s="242" t="s">
        <v>29</v>
      </c>
      <c r="AA5" s="458" t="s">
        <v>30</v>
      </c>
      <c r="AB5" s="459" t="s">
        <v>31</v>
      </c>
      <c r="AC5" s="139" t="s">
        <v>32</v>
      </c>
      <c r="AD5" s="134" t="s">
        <v>33</v>
      </c>
      <c r="AE5" s="137" t="s">
        <v>34</v>
      </c>
      <c r="AF5" s="636" t="s">
        <v>1479</v>
      </c>
      <c r="AG5" s="132" t="s">
        <v>35</v>
      </c>
      <c r="AH5" s="133" t="s">
        <v>36</v>
      </c>
      <c r="AI5" s="591" t="s">
        <v>1472</v>
      </c>
      <c r="AJ5" s="592" t="s">
        <v>1473</v>
      </c>
      <c r="AK5" s="593" t="s">
        <v>1474</v>
      </c>
      <c r="AL5" s="593" t="s">
        <v>1475</v>
      </c>
      <c r="AM5" s="593" t="s">
        <v>1476</v>
      </c>
      <c r="AN5" s="594" t="s">
        <v>37</v>
      </c>
      <c r="AO5" s="247" t="s">
        <v>38</v>
      </c>
      <c r="AP5" s="138" t="s">
        <v>39</v>
      </c>
      <c r="AQ5" s="136" t="s">
        <v>40</v>
      </c>
    </row>
    <row r="6" spans="1:43" ht="32.450000000000003" customHeight="1" x14ac:dyDescent="0.25">
      <c r="A6" s="395" t="s">
        <v>41</v>
      </c>
      <c r="B6" s="619"/>
      <c r="C6" s="396"/>
      <c r="D6" s="396"/>
      <c r="E6" s="396"/>
      <c r="F6" s="397"/>
      <c r="G6" s="397"/>
      <c r="H6" s="294" t="str">
        <f>IF(OR(Complete[[#This Row],[Pre-Proc Conference]]="",Complete[[#This Row],[Ads/Post of IB]]=""), "",IFERROR(Complete[[#This Row],[Ads/Post of IB]]-Complete[[#This Row],[Pre-Proc Conference]],""))</f>
        <v/>
      </c>
      <c r="I6" s="397"/>
      <c r="J6" s="397"/>
      <c r="K6" s="397"/>
      <c r="L6" s="326" t="str">
        <f>IF(OR(Complete[[#This Row],[Ads/Post of IB]]="",Complete[[#This Row],[Sub/Open of Bids]]=""),"",IFERROR(Complete[[#This Row],[Sub/Open of Bids]]-Complete[[#This Row],[Ads/Post of IB]],""))</f>
        <v/>
      </c>
      <c r="M6" s="397"/>
      <c r="N6" s="397"/>
      <c r="O6" s="397"/>
      <c r="P6" s="326" t="str">
        <f>IF(OR(Complete[[#This Row],[Post Qual]]="",Complete[[#This Row],[Sub/Open of Bids]]=""), "",IFERROR(Complete[[#This Row],[Post Qual]]-Complete[[#This Row],[Sub/Open of Bids]],""))</f>
        <v/>
      </c>
      <c r="Q6" s="326" t="str">
        <f>IF(OR(Complete[[#This Row],[Date of BAC Resolution Recommending Award]]="",Complete[[#This Row],[Sub/Open of Bids]]=""), "",IFERROR(Complete[[#This Row],[Date of BAC Resolution Recommending Award]]-Complete[[#This Row],[Sub/Open of Bids]],""))</f>
        <v/>
      </c>
      <c r="R6" s="326" t="str">
        <f>IF(OR(Complete[[#This Row],[Date of BAC Resolution Recommending Award]]="",Complete[[#This Row],[Ads/Post of IB]]=""),"",IFERROR(Complete[[#This Row],[Date of BAC Resolution Recommending Award]]-Complete[[#This Row],[Ads/Post of IB]],""))</f>
        <v/>
      </c>
      <c r="S6" s="574"/>
      <c r="T6" s="574"/>
      <c r="U6" s="574"/>
      <c r="V6" s="326" t="str">
        <f>IF(OR(Complete[[#This Row],[Notice to Proceed]]="", Complete[[#This Row],[Notice of Award]]=""),"",IFERROR(Complete[[#This Row],[Notice to Proceed]]-Complete[[#This Row],[Notice of Award]],""))</f>
        <v/>
      </c>
      <c r="W6" s="326" t="str">
        <f>IF(OR(Complete[[#This Row],[Notice to Proceed]]="", Complete[[#This Row],[Ads/Post of IB]]=""),"",IFERROR(Complete[[#This Row],[Notice to Proceed]]-Complete[[#This Row],[Ads/Post of IB]],""))</f>
        <v/>
      </c>
      <c r="X6" s="397"/>
      <c r="Y6" s="397"/>
      <c r="Z6" s="396"/>
      <c r="AA6" s="398" t="str">
        <f>IF(Complete[[#This Row],[Procurement Project]]="","",SUM(Complete[[#This Row],[MOOE]]+Complete[[#This Row],[CO]]))</f>
        <v/>
      </c>
      <c r="AB6" s="399"/>
      <c r="AC6" s="492"/>
      <c r="AD6" s="493" t="str">
        <f>IF(Complete[[#This Row],[Procurement Project]]="","",SUM(Complete[[#This Row],[MOOE2]]+Complete[[#This Row],[CO3]]))</f>
        <v/>
      </c>
      <c r="AE6" s="492"/>
      <c r="AF6" s="637"/>
      <c r="AG6" s="295" t="str">
        <f t="shared" ref="AG6:AG23" si="0">IF(OR(AA6=0,AD6=0,AA6="",AD6=""),"-",(AA6-AD6)/AA6)</f>
        <v>-</v>
      </c>
      <c r="AH6" s="421"/>
      <c r="AI6" s="574"/>
      <c r="AJ6" s="574"/>
      <c r="AK6" s="574"/>
      <c r="AL6" s="574"/>
      <c r="AM6" s="574"/>
      <c r="AN6" s="574"/>
      <c r="AO6" s="396"/>
      <c r="AP6" s="379" t="str">
        <f t="shared" ref="AP6:AP23" si="1">IF(ISBLANK(E6),"",IF(AO6="Cancelled","Cancelled",IF(AND(G6="N/A",I6="N/A",J6="N/A",K6="N/A",M6="N/A",N6="N/A",O6="N/A",S6="N/A"),"Pre-Proc",IF(AND(I6="N/A",J6="N/A",K6="",M6="N/A",N6="N/A",O6="N/A",S6="N/A"),"Posting of IB",IF(AND(J6="N/A",K6="N/A",M6="N/A",N6="N/A",O6="N/A",S6="N/A"),"Pre-Bid",IF(AND(K6="N/A",M6="N/A",N6="N/A",O6="N/A",S6="N/A"),"Eligibility Check",IF(AND(M6="N/A",N6="N/A",O6="N/A",S6="N/A"),"Opening of Bids",IF(AND(N6="N/A",O6="N/A",S6="N/A"),"Bid Evaluation",IF(AND(O6="N/A",S6="N/A"),"Post Qualification",IF(AND(S6="N/A"),"BAC Reso",IF(AND(T6="N/A",U6="N/A"),"NOA")))))))))))</f>
        <v/>
      </c>
      <c r="AQ6" s="379" t="str">
        <f t="shared" ref="AQ6:AQ23" si="2">IF(ISBLANK(E6),"",IF(OR(AP6="Post Qualification",AP6="Opening of Bids", AP6="Posting of IB",AP6="Bid Evaluation",AP6="Posting of IB", AP6="Pre-Bid",AP6="Eligibility Check",AP6="BAC Reso",AP6="Pre-Proc",AP6="NOA",AP6="Cancelled"),"Failed"))</f>
        <v/>
      </c>
    </row>
    <row r="7" spans="1:43" s="223" customFormat="1" ht="75" customHeight="1" x14ac:dyDescent="0.25">
      <c r="A7" s="380" t="s">
        <v>188</v>
      </c>
      <c r="B7" s="406" t="str">
        <f>VLOOKUP(Complete[[#This Row],[Code
(PAP)]],[1]Sheet1!$A:$AO,2,FALSE)</f>
        <v>COMPUTER SUPPLIES</v>
      </c>
      <c r="C7" s="380" t="str">
        <f>VLOOKUP(Complete[[#This Row],[Code
(PAP)]],[1]Sheet1!$A:$AO,3,FALSE)</f>
        <v>PGSO</v>
      </c>
      <c r="D7" s="380" t="s">
        <v>712</v>
      </c>
      <c r="E7" s="303" t="str">
        <f>VLOOKUP(Complete[[#This Row],[Code
(PAP)]],[2]Sheet1!$A:$AO,5,FALSE)</f>
        <v>NP-53.1 Two Failed Biddings</v>
      </c>
      <c r="F7" s="392">
        <f>VLOOKUP(Complete[[#This Row],[Code
(PAP)]],[1]Sheet1!$A:$AO,6,FALSE)</f>
        <v>45237</v>
      </c>
      <c r="G7" s="392">
        <f>VLOOKUP(Complete[[#This Row],[Code
(PAP)]],[1]Sheet1!$A:$AO,7,FALSE)</f>
        <v>45281</v>
      </c>
      <c r="H7" s="381">
        <f>IF(OR(Complete[[#This Row],[Pre-Proc Conference]]="",Complete[[#This Row],[Ads/Post of IB]]=""), "",IFERROR(Complete[[#This Row],[Ads/Post of IB]]-Complete[[#This Row],[Pre-Proc Conference]],""))</f>
        <v>44</v>
      </c>
      <c r="I7" s="392" t="str">
        <f>VLOOKUP(Complete[[#This Row],[Code
(PAP)]],[1]Sheet1!$A:$AO,9,FALSE)</f>
        <v>N/A</v>
      </c>
      <c r="J7" s="392">
        <f>VLOOKUP(Complete[[#This Row],[Code
(PAP)]],[1]Sheet1!$A:$AO,10,FALSE)</f>
        <v>45314</v>
      </c>
      <c r="K7" s="392">
        <f>VLOOKUP(Complete[[#This Row],[Code
(PAP)]],[1]Sheet1!$A:$AO,11,FALSE)</f>
        <v>45314</v>
      </c>
      <c r="L7" s="382">
        <f>IF(OR(Complete[[#This Row],[Ads/Post of IB]]="",Complete[[#This Row],[Sub/Open of Bids]]=""),"",IFERROR(Complete[[#This Row],[Sub/Open of Bids]]-Complete[[#This Row],[Ads/Post of IB]],""))</f>
        <v>33</v>
      </c>
      <c r="M7" s="392" t="str">
        <f>VLOOKUP(Complete[[#This Row],[Code
(PAP)]],[1]Sheet1!$A:$AO,13,FALSE)</f>
        <v>N/A</v>
      </c>
      <c r="N7" s="392" t="str">
        <f>VLOOKUP(Complete[[#This Row],[Code
(PAP)]],[1]Sheet1!$A:$AO,14,FALSE)</f>
        <v>N/A</v>
      </c>
      <c r="O7" s="392">
        <f>VLOOKUP(Complete[[#This Row],[Code
(PAP)]],[1]Sheet1!$A:$AO,15,FALSE)</f>
        <v>45315</v>
      </c>
      <c r="P7" s="382" t="str">
        <f>IF(OR(Complete[[#This Row],[Post Qual]]="",Complete[[#This Row],[Sub/Open of Bids]]=""), "",IFERROR(Complete[[#This Row],[Post Qual]]-Complete[[#This Row],[Sub/Open of Bids]],""))</f>
        <v/>
      </c>
      <c r="Q7" s="382">
        <f>IF(OR(Complete[[#This Row],[Date of BAC Resolution Recommending Award]]="",Complete[[#This Row],[Sub/Open of Bids]]=""), "",IFERROR(Complete[[#This Row],[Date of BAC Resolution Recommending Award]]-Complete[[#This Row],[Sub/Open of Bids]],""))</f>
        <v>1</v>
      </c>
      <c r="R7" s="382">
        <f>IF(OR(Complete[[#This Row],[Date of BAC Resolution Recommending Award]]="",Complete[[#This Row],[Ads/Post of IB]]=""),"",IFERROR(Complete[[#This Row],[Date of BAC Resolution Recommending Award]]-Complete[[#This Row],[Ads/Post of IB]],""))</f>
        <v>34</v>
      </c>
      <c r="S7" s="575">
        <f>VLOOKUP(Complete[[#This Row],[Code
(PAP)]],[1]Sheet1!$A:$AO,19,FALSE)</f>
        <v>45316</v>
      </c>
      <c r="T7" s="575">
        <f>VLOOKUP(Complete[[#This Row],[Code
(PAP)]],[1]Sheet1!$A:$AO,20,FALSE)</f>
        <v>45329</v>
      </c>
      <c r="U7" s="612">
        <f>VLOOKUP(Complete[[#This Row],[Code
(PAP)]],[1]Sheet1!$A:$AO,21,FALSE)</f>
        <v>45348</v>
      </c>
      <c r="V7" s="382">
        <f>IF(OR(Complete[[#This Row],[Notice to Proceed]]="", Complete[[#This Row],[Notice of Award]]=""),"",IFERROR(Complete[[#This Row],[Notice to Proceed]]-Complete[[#This Row],[Notice of Award]],""))</f>
        <v>32</v>
      </c>
      <c r="W7" s="382">
        <f>IF(OR(Complete[[#This Row],[Notice to Proceed]]="", Complete[[#This Row],[Ads/Post of IB]]=""),"",IFERROR(Complete[[#This Row],[Notice to Proceed]]-Complete[[#This Row],[Ads/Post of IB]],""))</f>
        <v>67</v>
      </c>
      <c r="X7" s="392">
        <f>VLOOKUP(Complete[[#This Row],[Code
(PAP)]],[1]Sheet1!$A:$AO,24,FALSE)</f>
        <v>45432</v>
      </c>
      <c r="Y7" s="392">
        <f>Complete[[#This Row],[Delivery/ Completion]]</f>
        <v>45432</v>
      </c>
      <c r="Z7" s="610" t="s">
        <v>1478</v>
      </c>
      <c r="AA7" s="460">
        <f>Complete[[#This Row],[MOOE]]+Complete[[#This Row],[CO]]</f>
        <v>369476.76</v>
      </c>
      <c r="AB7" s="461"/>
      <c r="AC7" s="494">
        <v>369476.76</v>
      </c>
      <c r="AD7" s="495">
        <v>361670</v>
      </c>
      <c r="AE7" s="496"/>
      <c r="AF7" s="638">
        <v>361670</v>
      </c>
      <c r="AG7" s="383">
        <f t="shared" si="0"/>
        <v>2.1129231511069897E-2</v>
      </c>
      <c r="AH7" s="380" t="s">
        <v>1205</v>
      </c>
      <c r="AI7" s="575" t="str">
        <f>VLOOKUP(Complete[[#This Row],[Code
(PAP)]],[1]Sheet1!$A:$AO,35,FALSE)</f>
        <v>N/A</v>
      </c>
      <c r="AJ7" s="575" t="str">
        <f>VLOOKUP(Complete[[#This Row],[Code
(PAP)]],[1]Sheet1!$A:$AO,36,FALSE)</f>
        <v>N/A</v>
      </c>
      <c r="AK7" s="575" t="str">
        <f>VLOOKUP(Complete[[#This Row],[Code
(PAP)]],[1]Sheet1!$A:$AO,37,FALSE)</f>
        <v>N/A</v>
      </c>
      <c r="AL7" s="575" t="str">
        <f>VLOOKUP(Complete[[#This Row],[Code
(PAP)]],[1]Sheet1!$A:$AO,38,FALSE)</f>
        <v>N/A</v>
      </c>
      <c r="AM7" s="575" t="str">
        <f>VLOOKUP(Complete[[#This Row],[Code
(PAP)]],[1]Sheet1!$A:$AO,38,FALSE)</f>
        <v>N/A</v>
      </c>
      <c r="AN7" s="595" t="s">
        <v>713</v>
      </c>
      <c r="AO7" s="303" t="s">
        <v>139</v>
      </c>
      <c r="AP7" s="384" t="b">
        <f t="shared" si="1"/>
        <v>0</v>
      </c>
      <c r="AQ7" s="384" t="b">
        <f t="shared" si="2"/>
        <v>0</v>
      </c>
    </row>
    <row r="8" spans="1:43" s="223" customFormat="1" ht="75" customHeight="1" x14ac:dyDescent="0.25">
      <c r="A8" s="385" t="s">
        <v>189</v>
      </c>
      <c r="B8" s="406" t="str">
        <f>VLOOKUP(Complete[[#This Row],[Code
(PAP)]],[1]Sheet1!$A:$AO,2,FALSE)</f>
        <v>SPAREPARTS</v>
      </c>
      <c r="C8" s="386" t="str">
        <f>VLOOKUP(Complete[[#This Row],[Code
(PAP)]],[1]Sheet1!$A:$AO,3,FALSE)</f>
        <v>PDRRMO</v>
      </c>
      <c r="D8" s="380" t="s">
        <v>712</v>
      </c>
      <c r="E8" s="303" t="str">
        <f>VLOOKUP(Complete[[#This Row],[Code
(PAP)]],[2]Sheet1!$A:$AO,5,FALSE)</f>
        <v>Shopping 52.1(a) - Unforeseen Contingency</v>
      </c>
      <c r="F8" s="393">
        <f>VLOOKUP(Complete[[#This Row],[Code
(PAP)]],[1]Sheet1!$A:$AO,6,FALSE)</f>
        <v>45265</v>
      </c>
      <c r="G8" s="393">
        <f>VLOOKUP(Complete[[#This Row],[Code
(PAP)]],[1]Sheet1!$A:$AO,7,FALSE)</f>
        <v>45272</v>
      </c>
      <c r="H8" s="374"/>
      <c r="I8" s="392" t="str">
        <f>VLOOKUP(Complete[[#This Row],[Code
(PAP)]],[1]Sheet1!$A:$AO,9,FALSE)</f>
        <v>N/A</v>
      </c>
      <c r="J8" s="393">
        <f>VLOOKUP(Complete[[#This Row],[Code
(PAP)]],[1]Sheet1!$A:$AO,10,FALSE)</f>
        <v>45300</v>
      </c>
      <c r="K8" s="393">
        <f>VLOOKUP(Complete[[#This Row],[Code
(PAP)]],[1]Sheet1!$A:$AO,11,FALSE)</f>
        <v>45300</v>
      </c>
      <c r="L8" s="387"/>
      <c r="M8" s="393" t="str">
        <f>VLOOKUP(Complete[[#This Row],[Code
(PAP)]],[1]Sheet1!$A:$AO,13,FALSE)</f>
        <v>N/A</v>
      </c>
      <c r="N8" s="393" t="str">
        <f>VLOOKUP(Complete[[#This Row],[Code
(PAP)]],[1]Sheet1!$A:$AO,14,FALSE)</f>
        <v>N/A</v>
      </c>
      <c r="O8" s="393">
        <f>VLOOKUP(Complete[[#This Row],[Code
(PAP)]],[1]Sheet1!$A:$AO,15,FALSE)</f>
        <v>45302</v>
      </c>
      <c r="P8" s="387"/>
      <c r="Q8" s="387"/>
      <c r="R8" s="387"/>
      <c r="S8" s="576" t="str">
        <f>VLOOKUP(Complete[[#This Row],[Code
(PAP)]],[1]Sheet1!$A:$AO,19,FALSE)</f>
        <v>N/A</v>
      </c>
      <c r="T8" s="611">
        <f>VLOOKUP(Complete[[#This Row],[Code
(PAP)]],[1]Sheet1!$A:$AO,20,FALSE)</f>
        <v>45328</v>
      </c>
      <c r="U8" s="576">
        <f>VLOOKUP(Complete[[#This Row],[Code
(PAP)]],[1]Sheet1!$A:$AO,21,FALSE)</f>
        <v>45335</v>
      </c>
      <c r="V8" s="387"/>
      <c r="W8" s="387"/>
      <c r="X8" s="392">
        <f>VLOOKUP(Complete[[#This Row],[Code
(PAP)]],[1]Sheet1!$A:$AO,24,FALSE)</f>
        <v>45335</v>
      </c>
      <c r="Y8" s="392">
        <f>Complete[[#This Row],[Delivery/ Completion]]</f>
        <v>45335</v>
      </c>
      <c r="Z8" s="610" t="s">
        <v>1478</v>
      </c>
      <c r="AA8" s="462">
        <f>Complete[[#This Row],[MOOE]]+Complete[[#This Row],[CO]]</f>
        <v>38750</v>
      </c>
      <c r="AB8" s="463"/>
      <c r="AC8" s="497">
        <v>38750</v>
      </c>
      <c r="AD8" s="498">
        <f>IF(Complete[[#This Row],[Procurement Project]]="","",SUM(Complete[[#This Row],[MOOE2]]+Complete[[#This Row],[CO3]]))</f>
        <v>38750</v>
      </c>
      <c r="AE8" s="499"/>
      <c r="AF8" s="541">
        <v>38750</v>
      </c>
      <c r="AG8" s="388"/>
      <c r="AH8" s="380" t="s">
        <v>1205</v>
      </c>
      <c r="AI8" s="576" t="str">
        <f>VLOOKUP(Complete[[#This Row],[Code
(PAP)]],[1]Sheet1!$A:$AO,35,FALSE)</f>
        <v>N/A</v>
      </c>
      <c r="AJ8" s="576" t="str">
        <f>VLOOKUP(Complete[[#This Row],[Code
(PAP)]],[1]Sheet1!$A:$AO,36,FALSE)</f>
        <v>N/A</v>
      </c>
      <c r="AK8" s="576" t="str">
        <f>VLOOKUP(Complete[[#This Row],[Code
(PAP)]],[1]Sheet1!$A:$AO,37,FALSE)</f>
        <v>N/A</v>
      </c>
      <c r="AL8" s="576" t="str">
        <f>VLOOKUP(Complete[[#This Row],[Code
(PAP)]],[1]Sheet1!$A:$AO,38,FALSE)</f>
        <v>N/A</v>
      </c>
      <c r="AM8" s="576" t="str">
        <f>VLOOKUP(Complete[[#This Row],[Code
(PAP)]],[1]Sheet1!$A:$AO,38,FALSE)</f>
        <v>N/A</v>
      </c>
      <c r="AN8" s="595" t="s">
        <v>713</v>
      </c>
      <c r="AO8" s="303" t="s">
        <v>139</v>
      </c>
      <c r="AP8" s="389"/>
      <c r="AQ8" s="389"/>
    </row>
    <row r="9" spans="1:43" s="223" customFormat="1" ht="75" customHeight="1" x14ac:dyDescent="0.25">
      <c r="A9" s="385" t="s">
        <v>190</v>
      </c>
      <c r="B9" s="407" t="str">
        <f>VLOOKUP(Complete[[#This Row],[Code
(PAP)]],[1]Sheet1!$A:$AO,2,FALSE)</f>
        <v>1 LOT CONSTRUCTION OF CENTER ISLAND WITH SOLAR LIGHTS AT BRGY. POBLACION, COMPOSTELA (180 In.m. Center Island with 12 units of Solar light</v>
      </c>
      <c r="C9" s="386" t="str">
        <f>VLOOKUP(Complete[[#This Row],[Code
(PAP)]],[1]Sheet1!$A:$AO,3,FALSE)</f>
        <v>PEO</v>
      </c>
      <c r="D9" s="380" t="s">
        <v>712</v>
      </c>
      <c r="E9" s="303" t="str">
        <f>VLOOKUP(Complete[[#This Row],[Code
(PAP)]],[2]Sheet1!$A:$AO,5,FALSE)</f>
        <v>Competitive Bidding</v>
      </c>
      <c r="F9" s="392">
        <f>VLOOKUP(Complete[[#This Row],[Code
(PAP)]],[1]Sheet1!$A:$AO,6,FALSE)</f>
        <v>45188</v>
      </c>
      <c r="G9" s="393">
        <f>VLOOKUP(Complete[[#This Row],[Code
(PAP)]],[1]Sheet1!$A:$AO,7,FALSE)</f>
        <v>45215</v>
      </c>
      <c r="H9" s="374">
        <f>IF(OR(Complete[[#This Row],[Pre-Proc Conference]]="",Complete[[#This Row],[Ads/Post of IB]]=""), "",IFERROR(Complete[[#This Row],[Ads/Post of IB]]-Complete[[#This Row],[Pre-Proc Conference]],""))</f>
        <v>27</v>
      </c>
      <c r="I9" s="392">
        <f>VLOOKUP(Complete[[#This Row],[Code
(PAP)]],[1]Sheet1!$A:$AO,9,FALSE)</f>
        <v>45237</v>
      </c>
      <c r="J9" s="393">
        <f>VLOOKUP(Complete[[#This Row],[Code
(PAP)]],[1]Sheet1!$A:$AO,10,FALSE)</f>
        <v>45245</v>
      </c>
      <c r="K9" s="393">
        <f>VLOOKUP(Complete[[#This Row],[Code
(PAP)]],[1]Sheet1!$A:$AO,11,FALSE)</f>
        <v>45245</v>
      </c>
      <c r="L9" s="387">
        <f>IF(OR(Complete[[#This Row],[Ads/Post of IB]]="",Complete[[#This Row],[Sub/Open of Bids]]=""),"",IFERROR(Complete[[#This Row],[Sub/Open of Bids]]-Complete[[#This Row],[Ads/Post of IB]],""))</f>
        <v>30</v>
      </c>
      <c r="M9" s="393">
        <f>VLOOKUP(Complete[[#This Row],[Code
(PAP)]],[1]Sheet1!$A:$AO,13,FALSE)</f>
        <v>45245</v>
      </c>
      <c r="N9" s="393">
        <f>VLOOKUP(Complete[[#This Row],[Code
(PAP)]],[1]Sheet1!$A:$AO,14,FALSE)</f>
        <v>45295</v>
      </c>
      <c r="O9" s="393">
        <f>VLOOKUP(Complete[[#This Row],[Code
(PAP)]],[1]Sheet1!$A:$AO,15,FALSE)</f>
        <v>45302</v>
      </c>
      <c r="P9" s="387">
        <f>IF(OR(Complete[[#This Row],[Post Qual]]="",Complete[[#This Row],[Sub/Open of Bids]]=""), "",IFERROR(Complete[[#This Row],[Post Qual]]-Complete[[#This Row],[Sub/Open of Bids]],""))</f>
        <v>50</v>
      </c>
      <c r="Q9" s="387">
        <f>IF(OR(Complete[[#This Row],[Date of BAC Resolution Recommending Award]]="",Complete[[#This Row],[Sub/Open of Bids]]=""), "",IFERROR(Complete[[#This Row],[Date of BAC Resolution Recommending Award]]-Complete[[#This Row],[Sub/Open of Bids]],""))</f>
        <v>57</v>
      </c>
      <c r="R9" s="387">
        <f>IF(OR(Complete[[#This Row],[Date of BAC Resolution Recommending Award]]="",Complete[[#This Row],[Ads/Post of IB]]=""),"",IFERROR(Complete[[#This Row],[Date of BAC Resolution Recommending Award]]-Complete[[#This Row],[Ads/Post of IB]],""))</f>
        <v>87</v>
      </c>
      <c r="S9" s="576">
        <f>VLOOKUP(Complete[[#This Row],[Code
(PAP)]],[1]Sheet1!$A:$AO,19,FALSE)</f>
        <v>45306</v>
      </c>
      <c r="T9" s="576">
        <f>VLOOKUP(Complete[[#This Row],[Code
(PAP)]],[1]Sheet1!$A:$AO,20,FALSE)</f>
        <v>45309</v>
      </c>
      <c r="U9" s="576">
        <f>VLOOKUP(Complete[[#This Row],[Code
(PAP)]],[1]Sheet1!$A:$AO,21,FALSE)</f>
        <v>45310</v>
      </c>
      <c r="V9" s="387">
        <f>IF(OR(Complete[[#This Row],[Notice to Proceed]]="", Complete[[#This Row],[Notice of Award]]=""),"",IFERROR(Complete[[#This Row],[Notice to Proceed]]-Complete[[#This Row],[Notice of Award]],""))</f>
        <v>4</v>
      </c>
      <c r="W9" s="387">
        <f>IF(OR(Complete[[#This Row],[Notice to Proceed]]="", Complete[[#This Row],[Ads/Post of IB]]=""),"",IFERROR(Complete[[#This Row],[Notice to Proceed]]-Complete[[#This Row],[Ads/Post of IB]],""))</f>
        <v>95</v>
      </c>
      <c r="X9" s="392" t="str">
        <f>VLOOKUP(Complete[[#This Row],[Code
(PAP)]],[1]Sheet1!$A:$AO,24,FALSE)</f>
        <v>N/A</v>
      </c>
      <c r="Y9" s="392" t="str">
        <f>Complete[[#This Row],[Delivery/ Completion]]</f>
        <v>N/A</v>
      </c>
      <c r="Z9" s="610" t="s">
        <v>1478</v>
      </c>
      <c r="AA9" s="462">
        <f>Complete[[#This Row],[MOOE]]+Complete[[#This Row],[CO]]</f>
        <v>2876333.74</v>
      </c>
      <c r="AB9" s="463"/>
      <c r="AC9" s="497">
        <v>2876333.74</v>
      </c>
      <c r="AD9" s="498">
        <f>IF(Complete[[#This Row],[Procurement Project]]="","",SUM(Complete[[#This Row],[MOOE2]]+Complete[[#This Row],[CO3]]))</f>
        <v>2871777.81</v>
      </c>
      <c r="AE9" s="499"/>
      <c r="AF9" s="541">
        <v>2871777.81</v>
      </c>
      <c r="AG9" s="388">
        <f t="shared" si="0"/>
        <v>1.5839365010543482E-3</v>
      </c>
      <c r="AH9" s="380" t="s">
        <v>1205</v>
      </c>
      <c r="AI9" s="576">
        <f>VLOOKUP(Complete[[#This Row],[Code
(PAP)]],[1]Sheet1!$A:$AO,35,FALSE)</f>
        <v>45236</v>
      </c>
      <c r="AJ9" s="576">
        <f>VLOOKUP(Complete[[#This Row],[Code
(PAP)]],[1]Sheet1!$A:$AO,36,FALSE)</f>
        <v>45240</v>
      </c>
      <c r="AK9" s="576">
        <f>VLOOKUP(Complete[[#This Row],[Code
(PAP)]],[1]Sheet1!$A:$AO,37,FALSE)</f>
        <v>45240</v>
      </c>
      <c r="AL9" s="576">
        <f>VLOOKUP(Complete[[#This Row],[Code
(PAP)]],[1]Sheet1!$A:$AO,38,FALSE)</f>
        <v>45240</v>
      </c>
      <c r="AM9" s="576">
        <f>VLOOKUP(Complete[[#This Row],[Code
(PAP)]],[1]Sheet1!$A:$AO,38,FALSE)</f>
        <v>45240</v>
      </c>
      <c r="AN9" s="595" t="s">
        <v>713</v>
      </c>
      <c r="AO9" s="303" t="s">
        <v>139</v>
      </c>
      <c r="AP9" s="389" t="b">
        <f t="shared" si="1"/>
        <v>0</v>
      </c>
      <c r="AQ9" s="389" t="b">
        <f t="shared" si="2"/>
        <v>0</v>
      </c>
    </row>
    <row r="10" spans="1:43" s="223" customFormat="1" ht="75" customHeight="1" x14ac:dyDescent="0.25">
      <c r="A10" s="385" t="s">
        <v>191</v>
      </c>
      <c r="B10" s="407" t="str">
        <f>VLOOKUP(Complete[[#This Row],[Code
(PAP)]],[1]Sheet1!$A:$AO,2,FALSE)</f>
        <v>IMPROVEMENT OF DAVAO DE ORO PROVINCIAL HOSPITAL, PANTUKAN (Completion of Material Recovery Facility)</v>
      </c>
      <c r="C10" s="386" t="str">
        <f>VLOOKUP(Complete[[#This Row],[Code
(PAP)]],[1]Sheet1!$A:$AO,3,FALSE)</f>
        <v>PEO</v>
      </c>
      <c r="D10" s="380" t="s">
        <v>712</v>
      </c>
      <c r="E10" s="303" t="str">
        <f>VLOOKUP(Complete[[#This Row],[Code
(PAP)]],[2]Sheet1!$A:$AO,5,FALSE)</f>
        <v>Competitive Bidding</v>
      </c>
      <c r="F10" s="393">
        <f>VLOOKUP(Complete[[#This Row],[Code
(PAP)]],[1]Sheet1!$A:$AO,6,FALSE)</f>
        <v>45020</v>
      </c>
      <c r="G10" s="393">
        <f>VLOOKUP(Complete[[#This Row],[Code
(PAP)]],[1]Sheet1!$A:$AO,7,FALSE)</f>
        <v>45251</v>
      </c>
      <c r="H10" s="374">
        <f>IF(OR(Complete[[#This Row],[Pre-Proc Conference]]="",Complete[[#This Row],[Ads/Post of IB]]=""), "",IFERROR(Complete[[#This Row],[Ads/Post of IB]]-Complete[[#This Row],[Pre-Proc Conference]],""))</f>
        <v>231</v>
      </c>
      <c r="I10" s="392">
        <f>VLOOKUP(Complete[[#This Row],[Code
(PAP)]],[1]Sheet1!$A:$AO,9,FALSE)</f>
        <v>45259</v>
      </c>
      <c r="J10" s="393">
        <f>VLOOKUP(Complete[[#This Row],[Code
(PAP)]],[1]Sheet1!$A:$AO,10,FALSE)</f>
        <v>45272</v>
      </c>
      <c r="K10" s="393">
        <f>VLOOKUP(Complete[[#This Row],[Code
(PAP)]],[1]Sheet1!$A:$AO,11,FALSE)</f>
        <v>45272</v>
      </c>
      <c r="L10" s="387">
        <f>IF(OR(Complete[[#This Row],[Ads/Post of IB]]="",Complete[[#This Row],[Sub/Open of Bids]]=""),"",IFERROR(Complete[[#This Row],[Sub/Open of Bids]]-Complete[[#This Row],[Ads/Post of IB]],""))</f>
        <v>21</v>
      </c>
      <c r="M10" s="393">
        <f>VLOOKUP(Complete[[#This Row],[Code
(PAP)]],[1]Sheet1!$A:$AO,13,FALSE)</f>
        <v>45272</v>
      </c>
      <c r="N10" s="393">
        <f>VLOOKUP(Complete[[#This Row],[Code
(PAP)]],[1]Sheet1!$A:$AO,14,FALSE)</f>
        <v>45295</v>
      </c>
      <c r="O10" s="393">
        <f>VLOOKUP(Complete[[#This Row],[Code
(PAP)]],[1]Sheet1!$A:$AO,15,FALSE)</f>
        <v>45302</v>
      </c>
      <c r="P10" s="387">
        <f>IF(OR(Complete[[#This Row],[Post Qual]]="",Complete[[#This Row],[Sub/Open of Bids]]=""), "",IFERROR(Complete[[#This Row],[Post Qual]]-Complete[[#This Row],[Sub/Open of Bids]],""))</f>
        <v>23</v>
      </c>
      <c r="Q10" s="387">
        <f>IF(OR(Complete[[#This Row],[Date of BAC Resolution Recommending Award]]="",Complete[[#This Row],[Sub/Open of Bids]]=""), "",IFERROR(Complete[[#This Row],[Date of BAC Resolution Recommending Award]]-Complete[[#This Row],[Sub/Open of Bids]],""))</f>
        <v>30</v>
      </c>
      <c r="R10" s="387">
        <f>IF(OR(Complete[[#This Row],[Date of BAC Resolution Recommending Award]]="",Complete[[#This Row],[Ads/Post of IB]]=""),"",IFERROR(Complete[[#This Row],[Date of BAC Resolution Recommending Award]]-Complete[[#This Row],[Ads/Post of IB]],""))</f>
        <v>51</v>
      </c>
      <c r="S10" s="576">
        <f>VLOOKUP(Complete[[#This Row],[Code
(PAP)]],[1]Sheet1!$A:$AO,19,FALSE)</f>
        <v>45306</v>
      </c>
      <c r="T10" s="576">
        <f>VLOOKUP(Complete[[#This Row],[Code
(PAP)]],[1]Sheet1!$A:$AO,20,FALSE)</f>
        <v>45309</v>
      </c>
      <c r="U10" s="576">
        <f>VLOOKUP(Complete[[#This Row],[Code
(PAP)]],[1]Sheet1!$A:$AO,21,FALSE)</f>
        <v>45310</v>
      </c>
      <c r="V10" s="387">
        <f>IF(OR(Complete[[#This Row],[Notice to Proceed]]="", Complete[[#This Row],[Notice of Award]]=""),"",IFERROR(Complete[[#This Row],[Notice to Proceed]]-Complete[[#This Row],[Notice of Award]],""))</f>
        <v>4</v>
      </c>
      <c r="W10" s="387">
        <f>IF(OR(Complete[[#This Row],[Notice to Proceed]]="", Complete[[#This Row],[Ads/Post of IB]]=""),"",IFERROR(Complete[[#This Row],[Notice to Proceed]]-Complete[[#This Row],[Ads/Post of IB]],""))</f>
        <v>59</v>
      </c>
      <c r="X10" s="392" t="str">
        <f>VLOOKUP(Complete[[#This Row],[Code
(PAP)]],[1]Sheet1!$A:$AO,24,FALSE)</f>
        <v>N/A</v>
      </c>
      <c r="Y10" s="392" t="str">
        <f>Complete[[#This Row],[Delivery/ Completion]]</f>
        <v>N/A</v>
      </c>
      <c r="Z10" s="610" t="s">
        <v>1478</v>
      </c>
      <c r="AA10" s="464">
        <f>Complete[[#This Row],[MOOE]]+Complete[[#This Row],[CO]]</f>
        <v>2299236.0499999998</v>
      </c>
      <c r="AB10" s="465"/>
      <c r="AC10" s="500">
        <v>2299236.0499999998</v>
      </c>
      <c r="AD10" s="498">
        <f>IF(Complete[[#This Row],[Procurement Project]]="","",SUM(Complete[[#This Row],[MOOE2]]+Complete[[#This Row],[CO3]]))</f>
        <v>2278330.67</v>
      </c>
      <c r="AE10" s="499"/>
      <c r="AF10" s="541">
        <f>VLOOKUP(Complete[[#This Row],[Code
(PAP)]],[1]Sheet1!$A:$AO,32,FALSE)</f>
        <v>2278330.67</v>
      </c>
      <c r="AG10" s="388">
        <f t="shared" si="0"/>
        <v>9.0923156845944073E-3</v>
      </c>
      <c r="AH10" s="380" t="s">
        <v>1205</v>
      </c>
      <c r="AI10" s="576">
        <f>VLOOKUP(Complete[[#This Row],[Code
(PAP)]],[1]Sheet1!$A:$AO,35,FALSE)</f>
        <v>45250</v>
      </c>
      <c r="AJ10" s="576">
        <f>VLOOKUP(Complete[[#This Row],[Code
(PAP)]],[1]Sheet1!$A:$AO,36,FALSE)</f>
        <v>45637</v>
      </c>
      <c r="AK10" s="576">
        <f>VLOOKUP(Complete[[#This Row],[Code
(PAP)]],[1]Sheet1!$A:$AO,37,FALSE)</f>
        <v>45637</v>
      </c>
      <c r="AL10" s="576">
        <f>VLOOKUP(Complete[[#This Row],[Code
(PAP)]],[1]Sheet1!$A:$AO,38,FALSE)</f>
        <v>45637</v>
      </c>
      <c r="AM10" s="576">
        <f>VLOOKUP(Complete[[#This Row],[Code
(PAP)]],[1]Sheet1!$A:$AO,38,FALSE)</f>
        <v>45637</v>
      </c>
      <c r="AN10" s="595" t="s">
        <v>713</v>
      </c>
      <c r="AO10" s="303" t="s">
        <v>139</v>
      </c>
      <c r="AP10" s="389" t="b">
        <f t="shared" si="1"/>
        <v>0</v>
      </c>
      <c r="AQ10" s="389" t="b">
        <f t="shared" si="2"/>
        <v>0</v>
      </c>
    </row>
    <row r="11" spans="1:43" s="223" customFormat="1" ht="75" customHeight="1" x14ac:dyDescent="0.25">
      <c r="A11" s="385" t="s">
        <v>192</v>
      </c>
      <c r="B11" s="406" t="str">
        <f>VLOOKUP(Complete[[#This Row],[Code
(PAP)]],[1]Sheet1!$A:$AO,2,FALSE)</f>
        <v>OFFICE EQUIPMENT</v>
      </c>
      <c r="C11" s="386" t="str">
        <f>VLOOKUP(Complete[[#This Row],[Code
(PAP)]],[1]Sheet1!$A:$AO,3,FALSE)</f>
        <v>PACCO</v>
      </c>
      <c r="D11" s="380" t="s">
        <v>712</v>
      </c>
      <c r="E11" s="303" t="str">
        <f>VLOOKUP(Complete[[#This Row],[Code
(PAP)]],[2]Sheet1!$A:$AO,5,FALSE)</f>
        <v>NP-53.9 - Small Value Procurement</v>
      </c>
      <c r="F11" s="393" t="str">
        <f>VLOOKUP(Complete[[#This Row],[Code
(PAP)]],[1]Sheet1!$A:$AO,6,FALSE)</f>
        <v>N/A</v>
      </c>
      <c r="G11" s="393">
        <f>VLOOKUP(Complete[[#This Row],[Code
(PAP)]],[1]Sheet1!$A:$AO,7,FALSE)</f>
        <v>45318</v>
      </c>
      <c r="H11" s="374"/>
      <c r="I11" s="392" t="str">
        <f>VLOOKUP(Complete[[#This Row],[Code
(PAP)]],[1]Sheet1!$A:$AO,9,FALSE)</f>
        <v>N/A</v>
      </c>
      <c r="J11" s="393">
        <f>VLOOKUP(Complete[[#This Row],[Code
(PAP)]],[1]Sheet1!$A:$AO,10,FALSE)</f>
        <v>45322</v>
      </c>
      <c r="K11" s="393">
        <f>VLOOKUP(Complete[[#This Row],[Code
(PAP)]],[1]Sheet1!$A:$AO,11,FALSE)</f>
        <v>45322</v>
      </c>
      <c r="L11" s="387"/>
      <c r="M11" s="393" t="str">
        <f>VLOOKUP(Complete[[#This Row],[Code
(PAP)]],[1]Sheet1!$A:$AO,13,FALSE)</f>
        <v>N/A</v>
      </c>
      <c r="N11" s="393" t="s">
        <v>713</v>
      </c>
      <c r="O11" s="393">
        <f>VLOOKUP(Complete[[#This Row],[Code
(PAP)]],[1]Sheet1!$A:$AO,15,FALSE)</f>
        <v>45328</v>
      </c>
      <c r="P11" s="387"/>
      <c r="Q11" s="387"/>
      <c r="R11" s="387"/>
      <c r="S11" s="575">
        <v>45334</v>
      </c>
      <c r="T11" s="576">
        <f>VLOOKUP(Complete[[#This Row],[Code
(PAP)]],[1]Sheet1!$A:$AO,20,FALSE)</f>
        <v>45336</v>
      </c>
      <c r="U11" s="576">
        <f>VLOOKUP(Complete[[#This Row],[Code
(PAP)]],[1]Sheet1!$A:$AO,21,FALSE)</f>
        <v>45341</v>
      </c>
      <c r="V11" s="387"/>
      <c r="W11" s="387"/>
      <c r="X11" s="392">
        <f>VLOOKUP(Complete[[#This Row],[Code
(PAP)]],[1]Sheet1!$A:$AO,24,FALSE)</f>
        <v>45357</v>
      </c>
      <c r="Y11" s="392">
        <f>Complete[[#This Row],[Delivery/ Completion]]</f>
        <v>45357</v>
      </c>
      <c r="Z11" s="610" t="s">
        <v>1478</v>
      </c>
      <c r="AA11" s="462">
        <f>Complete[[#This Row],[MOOE]]+Complete[[#This Row],[CO]]</f>
        <v>7800</v>
      </c>
      <c r="AB11" s="463">
        <v>7800</v>
      </c>
      <c r="AC11" s="497"/>
      <c r="AD11" s="498">
        <f>IF(Complete[[#This Row],[Procurement Project]]="","",SUM(Complete[[#This Row],[MOOE2]]+Complete[[#This Row],[CO3]]))</f>
        <v>7800</v>
      </c>
      <c r="AE11" s="499">
        <v>7800</v>
      </c>
      <c r="AF11" s="541"/>
      <c r="AG11" s="388"/>
      <c r="AH11" s="380" t="s">
        <v>1205</v>
      </c>
      <c r="AI11" s="576" t="str">
        <f>VLOOKUP(Complete[[#This Row],[Code
(PAP)]],[1]Sheet1!$A:$AO,35,FALSE)</f>
        <v>N/A</v>
      </c>
      <c r="AJ11" s="576" t="str">
        <f>VLOOKUP(Complete[[#This Row],[Code
(PAP)]],[1]Sheet1!$A:$AO,36,FALSE)</f>
        <v>N/A</v>
      </c>
      <c r="AK11" s="576" t="str">
        <f>VLOOKUP(Complete[[#This Row],[Code
(PAP)]],[1]Sheet1!$A:$AO,37,FALSE)</f>
        <v>N/A</v>
      </c>
      <c r="AL11" s="576" t="str">
        <f>VLOOKUP(Complete[[#This Row],[Code
(PAP)]],[1]Sheet1!$A:$AO,38,FALSE)</f>
        <v>N/A</v>
      </c>
      <c r="AM11" s="576" t="str">
        <f>VLOOKUP(Complete[[#This Row],[Code
(PAP)]],[1]Sheet1!$A:$AO,38,FALSE)</f>
        <v>N/A</v>
      </c>
      <c r="AN11" s="595" t="s">
        <v>713</v>
      </c>
      <c r="AO11" s="303" t="s">
        <v>139</v>
      </c>
      <c r="AP11" s="389" t="b">
        <f t="shared" si="1"/>
        <v>0</v>
      </c>
      <c r="AQ11" s="389" t="b">
        <f t="shared" si="2"/>
        <v>0</v>
      </c>
    </row>
    <row r="12" spans="1:43" s="223" customFormat="1" ht="75" customHeight="1" x14ac:dyDescent="0.25">
      <c r="A12" s="385" t="s">
        <v>193</v>
      </c>
      <c r="B12" s="406" t="str">
        <f>VLOOKUP(Complete[[#This Row],[Code
(PAP)]],[1]Sheet1!$A:$AO,2,FALSE)</f>
        <v>FOOD/CATERING SERVICES</v>
      </c>
      <c r="C12" s="386" t="str">
        <f>VLOOKUP(Complete[[#This Row],[Code
(PAP)]],[1]Sheet1!$A:$AO,3,FALSE)</f>
        <v>PGO-BAC</v>
      </c>
      <c r="D12" s="380" t="s">
        <v>712</v>
      </c>
      <c r="E12" s="303" t="s">
        <v>101</v>
      </c>
      <c r="F12" s="393" t="str">
        <f>VLOOKUP(Complete[[#This Row],[Code
(PAP)]],[1]Sheet1!$A:$AO,6,FALSE)</f>
        <v>N/A</v>
      </c>
      <c r="G12" s="393">
        <f>VLOOKUP(Complete[[#This Row],[Code
(PAP)]],[1]Sheet1!$A:$AO,7,FALSE)</f>
        <v>45318</v>
      </c>
      <c r="H12" s="374" t="str">
        <f>IF(OR(Complete[[#This Row],[Pre-Proc Conference]]="",Complete[[#This Row],[Ads/Post of IB]]=""), "",IFERROR(Complete[[#This Row],[Ads/Post of IB]]-Complete[[#This Row],[Pre-Proc Conference]],""))</f>
        <v/>
      </c>
      <c r="I12" s="392" t="str">
        <f>VLOOKUP(Complete[[#This Row],[Code
(PAP)]],[1]Sheet1!$A:$AO,9,FALSE)</f>
        <v>N/A</v>
      </c>
      <c r="J12" s="393">
        <f>VLOOKUP(Complete[[#This Row],[Code
(PAP)]],[1]Sheet1!$A:$AO,10,FALSE)</f>
        <v>45322</v>
      </c>
      <c r="K12" s="393">
        <f>VLOOKUP(Complete[[#This Row],[Code
(PAP)]],[1]Sheet1!$A:$AO,11,FALSE)</f>
        <v>45322</v>
      </c>
      <c r="L12" s="387">
        <f>IF(OR(Complete[[#This Row],[Ads/Post of IB]]="",Complete[[#This Row],[Sub/Open of Bids]]=""),"",IFERROR(Complete[[#This Row],[Sub/Open of Bids]]-Complete[[#This Row],[Ads/Post of IB]],""))</f>
        <v>4</v>
      </c>
      <c r="M12" s="393" t="str">
        <f>VLOOKUP(Complete[[#This Row],[Code
(PAP)]],[1]Sheet1!$A:$AO,13,FALSE)</f>
        <v>N/A</v>
      </c>
      <c r="N12" s="393" t="str">
        <f>VLOOKUP(Complete[[#This Row],[Code
(PAP)]],[1]Sheet1!$A:$AO,14,FALSE)</f>
        <v>N/A</v>
      </c>
      <c r="O12" s="393">
        <f>VLOOKUP(Complete[[#This Row],[Code
(PAP)]],[1]Sheet1!$A:$AO,15,FALSE)</f>
        <v>45328</v>
      </c>
      <c r="P12" s="387" t="str">
        <f>IF(OR(Complete[[#This Row],[Post Qual]]="",Complete[[#This Row],[Sub/Open of Bids]]=""), "",IFERROR(Complete[[#This Row],[Post Qual]]-Complete[[#This Row],[Sub/Open of Bids]],""))</f>
        <v/>
      </c>
      <c r="Q12" s="387">
        <f>IF(OR(Complete[[#This Row],[Date of BAC Resolution Recommending Award]]="",Complete[[#This Row],[Sub/Open of Bids]]=""), "",IFERROR(Complete[[#This Row],[Date of BAC Resolution Recommending Award]]-Complete[[#This Row],[Sub/Open of Bids]],""))</f>
        <v>6</v>
      </c>
      <c r="R12" s="387">
        <f>IF(OR(Complete[[#This Row],[Date of BAC Resolution Recommending Award]]="",Complete[[#This Row],[Ads/Post of IB]]=""),"",IFERROR(Complete[[#This Row],[Date of BAC Resolution Recommending Award]]-Complete[[#This Row],[Ads/Post of IB]],""))</f>
        <v>10</v>
      </c>
      <c r="S12" s="576">
        <f>VLOOKUP(Complete[[#This Row],[Code
(PAP)]],[1]Sheet1!$A:$AO,19,FALSE)</f>
        <v>45334</v>
      </c>
      <c r="T12" s="576">
        <f>VLOOKUP(Complete[[#This Row],[Code
(PAP)]],[1]Sheet1!$A:$AO,20,FALSE)</f>
        <v>45335</v>
      </c>
      <c r="U12" s="576">
        <f>VLOOKUP(Complete[[#This Row],[Code
(PAP)]],[1]Sheet1!$A:$AO,21,FALSE)</f>
        <v>45341</v>
      </c>
      <c r="V12" s="387">
        <f>IF(OR(Complete[[#This Row],[Notice to Proceed]]="", Complete[[#This Row],[Notice of Award]]=""),"",IFERROR(Complete[[#This Row],[Notice to Proceed]]-Complete[[#This Row],[Notice of Award]],""))</f>
        <v>7</v>
      </c>
      <c r="W12" s="387">
        <f>IF(OR(Complete[[#This Row],[Notice to Proceed]]="", Complete[[#This Row],[Ads/Post of IB]]=""),"",IFERROR(Complete[[#This Row],[Notice to Proceed]]-Complete[[#This Row],[Ads/Post of IB]],""))</f>
        <v>23</v>
      </c>
      <c r="X12" s="392">
        <f>VLOOKUP(Complete[[#This Row],[Code
(PAP)]],[1]Sheet1!$A:$AO,24,FALSE)</f>
        <v>45426</v>
      </c>
      <c r="Y12" s="392">
        <f>Complete[[#This Row],[Delivery/ Completion]]</f>
        <v>45426</v>
      </c>
      <c r="Z12" s="610" t="s">
        <v>1478</v>
      </c>
      <c r="AA12" s="462">
        <f>Complete[[#This Row],[MOOE]]+Complete[[#This Row],[CO]]</f>
        <v>74520</v>
      </c>
      <c r="AB12" s="463">
        <v>74520</v>
      </c>
      <c r="AC12" s="497"/>
      <c r="AD12" s="498">
        <f>IF(Complete[[#This Row],[Procurement Project]]="","",SUM(Complete[[#This Row],[MOOE2]]+Complete[[#This Row],[CO3]]))</f>
        <v>72900</v>
      </c>
      <c r="AE12" s="499">
        <v>72900</v>
      </c>
      <c r="AF12" s="541"/>
      <c r="AG12" s="388">
        <f>IF(OR(AA12=0,AD12=0,AA12="",AD12=""),"-",(AA12-AD12)/AA12)</f>
        <v>2.1739130434782608E-2</v>
      </c>
      <c r="AH12" s="380" t="s">
        <v>1205</v>
      </c>
      <c r="AI12" s="576" t="str">
        <f>VLOOKUP(Complete[[#This Row],[Code
(PAP)]],[1]Sheet1!$A:$AO,35,FALSE)</f>
        <v>N/A</v>
      </c>
      <c r="AJ12" s="576" t="str">
        <f>VLOOKUP(Complete[[#This Row],[Code
(PAP)]],[1]Sheet1!$A:$AO,36,FALSE)</f>
        <v>N/A</v>
      </c>
      <c r="AK12" s="576" t="str">
        <f>VLOOKUP(Complete[[#This Row],[Code
(PAP)]],[1]Sheet1!$A:$AO,37,FALSE)</f>
        <v>N/A</v>
      </c>
      <c r="AL12" s="576" t="str">
        <f>VLOOKUP(Complete[[#This Row],[Code
(PAP)]],[1]Sheet1!$A:$AO,38,FALSE)</f>
        <v>N/A</v>
      </c>
      <c r="AM12" s="576" t="str">
        <f>VLOOKUP(Complete[[#This Row],[Code
(PAP)]],[1]Sheet1!$A:$AO,38,FALSE)</f>
        <v>N/A</v>
      </c>
      <c r="AN12" s="595" t="s">
        <v>713</v>
      </c>
      <c r="AO12" s="303" t="s">
        <v>139</v>
      </c>
      <c r="AP12" s="389" t="b">
        <f>IF(ISBLANK(E12),"",IF(AO12="Cancelled","Cancelled",IF(AND(G12="N/A",I12="N/A",J12="N/A",K12="N/A",M12="N/A",N12="N/A",O12="N/A",S12="N/A"),"Pre-Proc",IF(AND(I12="N/A",J12="N/A",K12="",M12="N/A",N12="N/A",O12="N/A",S12="N/A"),"Posting of IB",IF(AND(J12="N/A",K12="N/A",M12="N/A",N12="N/A",O12="N/A",S12="N/A"),"Pre-Bid",IF(AND(K12="N/A",M12="N/A",N12="N/A",O12="N/A",S12="N/A"),"Eligibility Check",IF(AND(M12="N/A",N12="N/A",O12="N/A",S12="N/A"),"Opening of Bids",IF(AND(N12="N/A",O12="N/A",S12="N/A"),"Bid Evaluation",IF(AND(O12="N/A",S12="N/A"),"Post Qualification",IF(AND(S12="N/A"),"BAC Reso",IF(AND(T12="N/A",U12="N/A"),"NOA")))))))))))</f>
        <v>0</v>
      </c>
      <c r="AQ12" s="389" t="b">
        <f>IF(ISBLANK(E12),"",IF(OR(AP12="Post Qualification",AP12="Opening of Bids", AP12="Posting of IB",AP12="Bid Evaluation",AP12="Posting of IB", AP12="Pre-Bid",AP12="Eligibility Check",AP12="BAC Reso",AP12="Pre-Proc",AP12="NOA",AP12="Cancelled"),"Failed"))</f>
        <v>0</v>
      </c>
    </row>
    <row r="13" spans="1:43" s="223" customFormat="1" ht="75" customHeight="1" x14ac:dyDescent="0.25">
      <c r="A13" s="385" t="s">
        <v>194</v>
      </c>
      <c r="B13" s="406" t="str">
        <f>VLOOKUP(Complete[[#This Row],[Code
(PAP)]],[1]Sheet1!$A:$AO,2,FALSE)</f>
        <v>OTHER SUPPLIES</v>
      </c>
      <c r="C13" s="386" t="str">
        <f>VLOOKUP(Complete[[#This Row],[Code
(PAP)]],[1]Sheet1!$A:$AO,3,FALSE)</f>
        <v>PGO</v>
      </c>
      <c r="D13" s="380" t="s">
        <v>712</v>
      </c>
      <c r="E13" s="303" t="str">
        <f>VLOOKUP(Complete[[#This Row],[Code
(PAP)]],[2]Sheet1!$A:$AO,5,FALSE)</f>
        <v>NP-53.9 - Small Value Procurement</v>
      </c>
      <c r="F13" s="393" t="str">
        <f>VLOOKUP(Complete[[#This Row],[Code
(PAP)]],[1]Sheet1!$A:$AO,6,FALSE)</f>
        <v>N/A</v>
      </c>
      <c r="G13" s="393">
        <f>VLOOKUP(Complete[[#This Row],[Code
(PAP)]],[1]Sheet1!$A:$AO,7,FALSE)</f>
        <v>45318</v>
      </c>
      <c r="H13" s="374" t="str">
        <f>IF(OR(Complete[[#This Row],[Pre-Proc Conference]]="",Complete[[#This Row],[Ads/Post of IB]]=""), "",IFERROR(Complete[[#This Row],[Ads/Post of IB]]-Complete[[#This Row],[Pre-Proc Conference]],""))</f>
        <v/>
      </c>
      <c r="I13" s="392" t="str">
        <f>VLOOKUP(Complete[[#This Row],[Code
(PAP)]],[1]Sheet1!$A:$AO,9,FALSE)</f>
        <v>N/A</v>
      </c>
      <c r="J13" s="393">
        <f>VLOOKUP(Complete[[#This Row],[Code
(PAP)]],[1]Sheet1!$A:$AO,10,FALSE)</f>
        <v>45322</v>
      </c>
      <c r="K13" s="393">
        <f>VLOOKUP(Complete[[#This Row],[Code
(PAP)]],[1]Sheet1!$A:$AO,11,FALSE)</f>
        <v>45322</v>
      </c>
      <c r="L13" s="387">
        <f>IF(OR(Complete[[#This Row],[Ads/Post of IB]]="",Complete[[#This Row],[Sub/Open of Bids]]=""),"",IFERROR(Complete[[#This Row],[Sub/Open of Bids]]-Complete[[#This Row],[Ads/Post of IB]],""))</f>
        <v>4</v>
      </c>
      <c r="M13" s="393" t="str">
        <f>VLOOKUP(Complete[[#This Row],[Code
(PAP)]],[1]Sheet1!$A:$AO,13,FALSE)</f>
        <v>N/A</v>
      </c>
      <c r="N13" s="393" t="str">
        <f>VLOOKUP(Complete[[#This Row],[Code
(PAP)]],[1]Sheet1!$A:$AO,14,FALSE)</f>
        <v>N/A</v>
      </c>
      <c r="O13" s="393">
        <f>VLOOKUP(Complete[[#This Row],[Code
(PAP)]],[1]Sheet1!$A:$AO,15,FALSE)</f>
        <v>45328</v>
      </c>
      <c r="P13" s="387" t="str">
        <f>IF(OR(Complete[[#This Row],[Post Qual]]="",Complete[[#This Row],[Sub/Open of Bids]]=""), "",IFERROR(Complete[[#This Row],[Post Qual]]-Complete[[#This Row],[Sub/Open of Bids]],""))</f>
        <v/>
      </c>
      <c r="Q13" s="387">
        <f>IF(OR(Complete[[#This Row],[Date of BAC Resolution Recommending Award]]="",Complete[[#This Row],[Sub/Open of Bids]]=""), "",IFERROR(Complete[[#This Row],[Date of BAC Resolution Recommending Award]]-Complete[[#This Row],[Sub/Open of Bids]],""))</f>
        <v>6</v>
      </c>
      <c r="R13" s="387">
        <f>IF(OR(Complete[[#This Row],[Date of BAC Resolution Recommending Award]]="",Complete[[#This Row],[Ads/Post of IB]]=""),"",IFERROR(Complete[[#This Row],[Date of BAC Resolution Recommending Award]]-Complete[[#This Row],[Ads/Post of IB]],""))</f>
        <v>10</v>
      </c>
      <c r="S13" s="576">
        <v>45334</v>
      </c>
      <c r="T13" s="576">
        <f>VLOOKUP(Complete[[#This Row],[Code
(PAP)]],[1]Sheet1!$A:$AO,20,FALSE)</f>
        <v>45335</v>
      </c>
      <c r="U13" s="576">
        <f>VLOOKUP(Complete[[#This Row],[Code
(PAP)]],[1]Sheet1!$A:$AO,21,FALSE)</f>
        <v>45341</v>
      </c>
      <c r="V13" s="387">
        <f>IF(OR(Complete[[#This Row],[Notice to Proceed]]="", Complete[[#This Row],[Notice of Award]]=""),"",IFERROR(Complete[[#This Row],[Notice to Proceed]]-Complete[[#This Row],[Notice of Award]],""))</f>
        <v>7</v>
      </c>
      <c r="W13" s="387">
        <f>IF(OR(Complete[[#This Row],[Notice to Proceed]]="", Complete[[#This Row],[Ads/Post of IB]]=""),"",IFERROR(Complete[[#This Row],[Notice to Proceed]]-Complete[[#This Row],[Ads/Post of IB]],""))</f>
        <v>23</v>
      </c>
      <c r="X13" s="392">
        <f>VLOOKUP(Complete[[#This Row],[Code
(PAP)]],[1]Sheet1!$A:$AO,24,FALSE)</f>
        <v>45354</v>
      </c>
      <c r="Y13" s="392">
        <f>Complete[[#This Row],[Delivery/ Completion]]</f>
        <v>45354</v>
      </c>
      <c r="Z13" s="610" t="s">
        <v>1478</v>
      </c>
      <c r="AA13" s="462">
        <f>Complete[[#This Row],[MOOE]]+Complete[[#This Row],[CO]]</f>
        <v>6600</v>
      </c>
      <c r="AB13" s="463">
        <v>6600</v>
      </c>
      <c r="AC13" s="497"/>
      <c r="AD13" s="498">
        <f>IF(Complete[[#This Row],[Procurement Project]]="","",SUM(Complete[[#This Row],[MOOE2]]+Complete[[#This Row],[CO3]]))</f>
        <v>6600</v>
      </c>
      <c r="AE13" s="499">
        <v>6600</v>
      </c>
      <c r="AF13" s="541"/>
      <c r="AG13" s="388">
        <f t="shared" si="0"/>
        <v>0</v>
      </c>
      <c r="AH13" s="380" t="s">
        <v>1205</v>
      </c>
      <c r="AI13" s="576" t="str">
        <f>VLOOKUP(Complete[[#This Row],[Code
(PAP)]],[1]Sheet1!$A:$AO,35,FALSE)</f>
        <v>N/A</v>
      </c>
      <c r="AJ13" s="576" t="str">
        <f>VLOOKUP(Complete[[#This Row],[Code
(PAP)]],[1]Sheet1!$A:$AO,36,FALSE)</f>
        <v>N/A</v>
      </c>
      <c r="AK13" s="576" t="str">
        <f>VLOOKUP(Complete[[#This Row],[Code
(PAP)]],[1]Sheet1!$A:$AO,37,FALSE)</f>
        <v>N/A</v>
      </c>
      <c r="AL13" s="576" t="str">
        <f>VLOOKUP(Complete[[#This Row],[Code
(PAP)]],[1]Sheet1!$A:$AO,38,FALSE)</f>
        <v>N/A</v>
      </c>
      <c r="AM13" s="576" t="str">
        <f>VLOOKUP(Complete[[#This Row],[Code
(PAP)]],[1]Sheet1!$A:$AO,38,FALSE)</f>
        <v>N/A</v>
      </c>
      <c r="AN13" s="595" t="s">
        <v>713</v>
      </c>
      <c r="AO13" s="303" t="s">
        <v>139</v>
      </c>
      <c r="AP13" s="389" t="b">
        <f t="shared" si="1"/>
        <v>0</v>
      </c>
      <c r="AQ13" s="389" t="b">
        <f t="shared" si="2"/>
        <v>0</v>
      </c>
    </row>
    <row r="14" spans="1:43" s="223" customFormat="1" ht="75" customHeight="1" x14ac:dyDescent="0.25">
      <c r="A14" s="385" t="s">
        <v>195</v>
      </c>
      <c r="B14" s="406" t="str">
        <f>VLOOKUP(Complete[[#This Row],[Code
(PAP)]],[1]Sheet1!$A:$AO,2,FALSE)</f>
        <v>OTHER SUPPLIES</v>
      </c>
      <c r="C14" s="386" t="str">
        <f>VLOOKUP(Complete[[#This Row],[Code
(PAP)]],[1]Sheet1!$A:$AO,3,FALSE)</f>
        <v>PACCO</v>
      </c>
      <c r="D14" s="380" t="s">
        <v>712</v>
      </c>
      <c r="E14" s="303" t="str">
        <f>VLOOKUP(Complete[[#This Row],[Code
(PAP)]],[2]Sheet1!$A:$AO,5,FALSE)</f>
        <v>NP-53.9 - Small Value Procurement</v>
      </c>
      <c r="F14" s="393" t="str">
        <f>VLOOKUP(Complete[[#This Row],[Code
(PAP)]],[1]Sheet1!$A:$AO,6,FALSE)</f>
        <v>N/A</v>
      </c>
      <c r="G14" s="393">
        <f>VLOOKUP(Complete[[#This Row],[Code
(PAP)]],[1]Sheet1!$A:$AO,7,FALSE)</f>
        <v>45318</v>
      </c>
      <c r="H14" s="374"/>
      <c r="I14" s="392" t="str">
        <f>VLOOKUP(Complete[[#This Row],[Code
(PAP)]],[1]Sheet1!$A:$AO,9,FALSE)</f>
        <v>N/A</v>
      </c>
      <c r="J14" s="393">
        <f>VLOOKUP(Complete[[#This Row],[Code
(PAP)]],[1]Sheet1!$A:$AO,10,FALSE)</f>
        <v>45322</v>
      </c>
      <c r="K14" s="393">
        <f>VLOOKUP(Complete[[#This Row],[Code
(PAP)]],[1]Sheet1!$A:$AO,11,FALSE)</f>
        <v>45322</v>
      </c>
      <c r="L14" s="387"/>
      <c r="M14" s="393" t="str">
        <f>VLOOKUP(Complete[[#This Row],[Code
(PAP)]],[1]Sheet1!$A:$AO,13,FALSE)</f>
        <v>N/A</v>
      </c>
      <c r="N14" s="393" t="str">
        <f>VLOOKUP(Complete[[#This Row],[Code
(PAP)]],[1]Sheet1!$A:$AO,14,FALSE)</f>
        <v>N/A</v>
      </c>
      <c r="O14" s="393">
        <f>VLOOKUP(Complete[[#This Row],[Code
(PAP)]],[1]Sheet1!$A:$AO,15,FALSE)</f>
        <v>45328</v>
      </c>
      <c r="P14" s="387"/>
      <c r="Q14" s="387"/>
      <c r="R14" s="387"/>
      <c r="S14" s="576">
        <f>VLOOKUP(Complete[[#This Row],[Code
(PAP)]],[1]Sheet1!$A:$AO,19,FALSE)</f>
        <v>45334</v>
      </c>
      <c r="T14" s="576">
        <f>VLOOKUP(Complete[[#This Row],[Code
(PAP)]],[1]Sheet1!$A:$AO,20,FALSE)</f>
        <v>45336</v>
      </c>
      <c r="U14" s="576">
        <f>VLOOKUP(Complete[[#This Row],[Code
(PAP)]],[1]Sheet1!$A:$AO,21,FALSE)</f>
        <v>45341</v>
      </c>
      <c r="V14" s="387"/>
      <c r="W14" s="387"/>
      <c r="X14" s="392">
        <f>VLOOKUP(Complete[[#This Row],[Code
(PAP)]],[1]Sheet1!$A:$AO,24,FALSE)</f>
        <v>45370</v>
      </c>
      <c r="Y14" s="392">
        <f>Complete[[#This Row],[Delivery/ Completion]]</f>
        <v>45370</v>
      </c>
      <c r="Z14" s="610" t="s">
        <v>1478</v>
      </c>
      <c r="AA14" s="462">
        <f>Complete[[#This Row],[MOOE]]+Complete[[#This Row],[CO]]</f>
        <v>109800</v>
      </c>
      <c r="AB14" s="466">
        <v>109800</v>
      </c>
      <c r="AC14" s="497"/>
      <c r="AD14" s="498">
        <f>IF(Complete[[#This Row],[Procurement Project]]="","",SUM(Complete[[#This Row],[MOOE2]]+Complete[[#This Row],[CO3]]))</f>
        <v>109800</v>
      </c>
      <c r="AE14" s="501">
        <v>109800</v>
      </c>
      <c r="AF14" s="541"/>
      <c r="AG14" s="400"/>
      <c r="AH14" s="380" t="s">
        <v>1205</v>
      </c>
      <c r="AI14" s="576" t="str">
        <f>VLOOKUP(Complete[[#This Row],[Code
(PAP)]],[1]Sheet1!$A:$AO,35,FALSE)</f>
        <v>N/A</v>
      </c>
      <c r="AJ14" s="576" t="str">
        <f>VLOOKUP(Complete[[#This Row],[Code
(PAP)]],[1]Sheet1!$A:$AO,36,FALSE)</f>
        <v>N/A</v>
      </c>
      <c r="AK14" s="576" t="str">
        <f>VLOOKUP(Complete[[#This Row],[Code
(PAP)]],[1]Sheet1!$A:$AO,37,FALSE)</f>
        <v>N/A</v>
      </c>
      <c r="AL14" s="576" t="str">
        <f>VLOOKUP(Complete[[#This Row],[Code
(PAP)]],[1]Sheet1!$A:$AO,38,FALSE)</f>
        <v>N/A</v>
      </c>
      <c r="AM14" s="576" t="str">
        <f>VLOOKUP(Complete[[#This Row],[Code
(PAP)]],[1]Sheet1!$A:$AO,38,FALSE)</f>
        <v>N/A</v>
      </c>
      <c r="AN14" s="595" t="s">
        <v>713</v>
      </c>
      <c r="AO14" s="303" t="s">
        <v>139</v>
      </c>
      <c r="AP14" s="389"/>
      <c r="AQ14" s="389"/>
    </row>
    <row r="15" spans="1:43" s="223" customFormat="1" ht="75" customHeight="1" x14ac:dyDescent="0.25">
      <c r="A15" s="385" t="s">
        <v>196</v>
      </c>
      <c r="B15" s="406" t="str">
        <f>VLOOKUP(Complete[[#This Row],[Code
(PAP)]],[1]Sheet1!$A:$AO,2,FALSE)</f>
        <v>FOOD SUPPLIES</v>
      </c>
      <c r="C15" s="386" t="str">
        <f>VLOOKUP(Complete[[#This Row],[Code
(PAP)]],[1]Sheet1!$A:$AO,3,FALSE)</f>
        <v>PGO</v>
      </c>
      <c r="D15" s="380" t="s">
        <v>712</v>
      </c>
      <c r="E15" s="303" t="str">
        <f>VLOOKUP(Complete[[#This Row],[Code
(PAP)]],[2]Sheet1!$A:$AO,5,FALSE)</f>
        <v>NP-53.9 - Small Value Procurement</v>
      </c>
      <c r="F15" s="393">
        <f>VLOOKUP(Complete[[#This Row],[Code
(PAP)]],[1]Sheet1!$A:$AO,6,FALSE)</f>
        <v>45314</v>
      </c>
      <c r="G15" s="393">
        <f>VLOOKUP(Complete[[#This Row],[Code
(PAP)]],[1]Sheet1!$A:$AO,7,FALSE)</f>
        <v>45316</v>
      </c>
      <c r="H15" s="374">
        <f>IF(OR(Complete[[#This Row],[Pre-Proc Conference]]="",Complete[[#This Row],[Ads/Post of IB]]=""), "",IFERROR(Complete[[#This Row],[Ads/Post of IB]]-Complete[[#This Row],[Pre-Proc Conference]],""))</f>
        <v>2</v>
      </c>
      <c r="I15" s="392" t="str">
        <f>VLOOKUP(Complete[[#This Row],[Code
(PAP)]],[1]Sheet1!$A:$AO,9,FALSE)</f>
        <v>N/A</v>
      </c>
      <c r="J15" s="393">
        <f>VLOOKUP(Complete[[#This Row],[Code
(PAP)]],[1]Sheet1!$A:$AO,10,FALSE)</f>
        <v>45322</v>
      </c>
      <c r="K15" s="393">
        <f>VLOOKUP(Complete[[#This Row],[Code
(PAP)]],[1]Sheet1!$A:$AO,11,FALSE)</f>
        <v>45322</v>
      </c>
      <c r="L15" s="387">
        <f>IF(OR(Complete[[#This Row],[Ads/Post of IB]]="",Complete[[#This Row],[Sub/Open of Bids]]=""),"",IFERROR(Complete[[#This Row],[Sub/Open of Bids]]-Complete[[#This Row],[Ads/Post of IB]],""))</f>
        <v>6</v>
      </c>
      <c r="M15" s="393" t="str">
        <f>VLOOKUP(Complete[[#This Row],[Code
(PAP)]],[1]Sheet1!$A:$AO,13,FALSE)</f>
        <v>N/A</v>
      </c>
      <c r="N15" s="393" t="str">
        <f>VLOOKUP(Complete[[#This Row],[Code
(PAP)]],[1]Sheet1!$A:$AO,14,FALSE)</f>
        <v>N/A</v>
      </c>
      <c r="O15" s="393">
        <f>VLOOKUP(Complete[[#This Row],[Code
(PAP)]],[1]Sheet1!$A:$AO,15,FALSE)</f>
        <v>45328</v>
      </c>
      <c r="P15" s="387" t="str">
        <f>IF(OR(Complete[[#This Row],[Post Qual]]="",Complete[[#This Row],[Sub/Open of Bids]]=""), "",IFERROR(Complete[[#This Row],[Post Qual]]-Complete[[#This Row],[Sub/Open of Bids]],""))</f>
        <v/>
      </c>
      <c r="Q15" s="387">
        <f>IF(OR(Complete[[#This Row],[Date of BAC Resolution Recommending Award]]="",Complete[[#This Row],[Sub/Open of Bids]]=""), "",IFERROR(Complete[[#This Row],[Date of BAC Resolution Recommending Award]]-Complete[[#This Row],[Sub/Open of Bids]],""))</f>
        <v>6</v>
      </c>
      <c r="R15" s="387">
        <f>IF(OR(Complete[[#This Row],[Date of BAC Resolution Recommending Award]]="",Complete[[#This Row],[Ads/Post of IB]]=""),"",IFERROR(Complete[[#This Row],[Date of BAC Resolution Recommending Award]]-Complete[[#This Row],[Ads/Post of IB]],""))</f>
        <v>12</v>
      </c>
      <c r="S15" s="576">
        <f>VLOOKUP(Complete[[#This Row],[Code
(PAP)]],[1]Sheet1!$A:$AO,19,FALSE)</f>
        <v>45334</v>
      </c>
      <c r="T15" s="576">
        <f>VLOOKUP(Complete[[#This Row],[Code
(PAP)]],[1]Sheet1!$A:$AO,20,FALSE)</f>
        <v>45334</v>
      </c>
      <c r="U15" s="576">
        <f>VLOOKUP(Complete[[#This Row],[Code
(PAP)]],[1]Sheet1!$A:$AO,21,FALSE)</f>
        <v>45337</v>
      </c>
      <c r="V15" s="387">
        <f>IF(OR(Complete[[#This Row],[Notice to Proceed]]="", Complete[[#This Row],[Notice of Award]]=""),"",IFERROR(Complete[[#This Row],[Notice to Proceed]]-Complete[[#This Row],[Notice of Award]],""))</f>
        <v>3</v>
      </c>
      <c r="W15" s="387">
        <f>IF(OR(Complete[[#This Row],[Notice to Proceed]]="", Complete[[#This Row],[Ads/Post of IB]]=""),"",IFERROR(Complete[[#This Row],[Notice to Proceed]]-Complete[[#This Row],[Ads/Post of IB]],""))</f>
        <v>21</v>
      </c>
      <c r="X15" s="392">
        <f>VLOOKUP(Complete[[#This Row],[Code
(PAP)]],[1]Sheet1!$A:$AO,24,FALSE)</f>
        <v>45338</v>
      </c>
      <c r="Y15" s="392">
        <f>Complete[[#This Row],[Delivery/ Completion]]</f>
        <v>45338</v>
      </c>
      <c r="Z15" s="610" t="s">
        <v>1478</v>
      </c>
      <c r="AA15" s="462">
        <f>Complete[[#This Row],[MOOE]]+Complete[[#This Row],[CO]]</f>
        <v>451825</v>
      </c>
      <c r="AB15" s="463"/>
      <c r="AC15" s="497">
        <v>451825</v>
      </c>
      <c r="AD15" s="498">
        <f>IF(Complete[[#This Row],[Procurement Project]]="","",SUM(Complete[[#This Row],[MOOE2]]+Complete[[#This Row],[CO3]]))</f>
        <v>418500</v>
      </c>
      <c r="AE15" s="499"/>
      <c r="AF15" s="541">
        <v>418500</v>
      </c>
      <c r="AG15" s="388">
        <f t="shared" si="0"/>
        <v>7.375643224699828E-2</v>
      </c>
      <c r="AH15" s="380" t="s">
        <v>1205</v>
      </c>
      <c r="AI15" s="576" t="str">
        <f>VLOOKUP(Complete[[#This Row],[Code
(PAP)]],[1]Sheet1!$A:$AO,35,FALSE)</f>
        <v>N/A</v>
      </c>
      <c r="AJ15" s="576" t="str">
        <f>VLOOKUP(Complete[[#This Row],[Code
(PAP)]],[1]Sheet1!$A:$AO,36,FALSE)</f>
        <v>N/A</v>
      </c>
      <c r="AK15" s="576" t="str">
        <f>VLOOKUP(Complete[[#This Row],[Code
(PAP)]],[1]Sheet1!$A:$AO,37,FALSE)</f>
        <v>N/A</v>
      </c>
      <c r="AL15" s="576" t="str">
        <f>VLOOKUP(Complete[[#This Row],[Code
(PAP)]],[1]Sheet1!$A:$AO,38,FALSE)</f>
        <v>N/A</v>
      </c>
      <c r="AM15" s="576" t="str">
        <f>VLOOKUP(Complete[[#This Row],[Code
(PAP)]],[1]Sheet1!$A:$AO,38,FALSE)</f>
        <v>N/A</v>
      </c>
      <c r="AN15" s="595" t="s">
        <v>713</v>
      </c>
      <c r="AO15" s="303" t="s">
        <v>139</v>
      </c>
      <c r="AP15" s="389" t="b">
        <f t="shared" si="1"/>
        <v>0</v>
      </c>
      <c r="AQ15" s="389" t="b">
        <f t="shared" si="2"/>
        <v>0</v>
      </c>
    </row>
    <row r="16" spans="1:43" s="223" customFormat="1" ht="75" customHeight="1" x14ac:dyDescent="0.25">
      <c r="A16" s="385" t="s">
        <v>197</v>
      </c>
      <c r="B16" s="406" t="str">
        <f>VLOOKUP(Complete[[#This Row],[Code
(PAP)]],[1]Sheet1!$A:$AO,2,FALSE)</f>
        <v>STRETCHER BED FOR THE USE OF DDOPH-MARAGUSAN</v>
      </c>
      <c r="C16" s="386" t="str">
        <f>VLOOKUP(Complete[[#This Row],[Code
(PAP)]],[1]Sheet1!$A:$AO,3,FALSE)</f>
        <v>PEEMO</v>
      </c>
      <c r="D16" s="380" t="s">
        <v>712</v>
      </c>
      <c r="E16" s="303" t="str">
        <f>VLOOKUP(Complete[[#This Row],[Code
(PAP)]],[2]Sheet1!$A:$AO,5,FALSE)</f>
        <v>Competitive Bidding</v>
      </c>
      <c r="F16" s="393" t="str">
        <f>VLOOKUP(Complete[[#This Row],[Code
(PAP)]],[1]Sheet1!$A:$AO,6,FALSE)</f>
        <v>N/A</v>
      </c>
      <c r="G16" s="393">
        <f>VLOOKUP(Complete[[#This Row],[Code
(PAP)]],[1]Sheet1!$A:$AO,7,FALSE)</f>
        <v>45299</v>
      </c>
      <c r="H16" s="374" t="str">
        <f>IF(OR(Complete[[#This Row],[Pre-Proc Conference]]="",Complete[[#This Row],[Ads/Post of IB]]=""), "",IFERROR(Complete[[#This Row],[Ads/Post of IB]]-Complete[[#This Row],[Pre-Proc Conference]],""))</f>
        <v/>
      </c>
      <c r="I16" s="392" t="str">
        <f>VLOOKUP(Complete[[#This Row],[Code
(PAP)]],[1]Sheet1!$A:$AO,9,FALSE)</f>
        <v>N/A</v>
      </c>
      <c r="J16" s="393">
        <f>VLOOKUP(Complete[[#This Row],[Code
(PAP)]],[1]Sheet1!$A:$AO,10,FALSE)</f>
        <v>45313</v>
      </c>
      <c r="K16" s="393">
        <f>VLOOKUP(Complete[[#This Row],[Code
(PAP)]],[1]Sheet1!$A:$AO,11,FALSE)</f>
        <v>45313</v>
      </c>
      <c r="L16" s="387">
        <f>IF(OR(Complete[[#This Row],[Ads/Post of IB]]="",Complete[[#This Row],[Sub/Open of Bids]]=""),"",IFERROR(Complete[[#This Row],[Sub/Open of Bids]]-Complete[[#This Row],[Ads/Post of IB]],""))</f>
        <v>14</v>
      </c>
      <c r="M16" s="393">
        <f>VLOOKUP(Complete[[#This Row],[Code
(PAP)]],[1]Sheet1!$A:$AO,13,FALSE)</f>
        <v>45313</v>
      </c>
      <c r="N16" s="393">
        <f>VLOOKUP(Complete[[#This Row],[Code
(PAP)]],[1]Sheet1!$A:$AO,14,FALSE)</f>
        <v>45315</v>
      </c>
      <c r="O16" s="393">
        <f>VLOOKUP(Complete[[#This Row],[Code
(PAP)]],[1]Sheet1!$A:$AO,15,FALSE)</f>
        <v>45328</v>
      </c>
      <c r="P16" s="387">
        <f>IF(OR(Complete[[#This Row],[Post Qual]]="",Complete[[#This Row],[Sub/Open of Bids]]=""), "",IFERROR(Complete[[#This Row],[Post Qual]]-Complete[[#This Row],[Sub/Open of Bids]],""))</f>
        <v>2</v>
      </c>
      <c r="Q16" s="387">
        <f>IF(OR(Complete[[#This Row],[Date of BAC Resolution Recommending Award]]="",Complete[[#This Row],[Sub/Open of Bids]]=""), "",IFERROR(Complete[[#This Row],[Date of BAC Resolution Recommending Award]]-Complete[[#This Row],[Sub/Open of Bids]],""))</f>
        <v>15</v>
      </c>
      <c r="R16" s="387">
        <f>IF(OR(Complete[[#This Row],[Date of BAC Resolution Recommending Award]]="",Complete[[#This Row],[Ads/Post of IB]]=""),"",IFERROR(Complete[[#This Row],[Date of BAC Resolution Recommending Award]]-Complete[[#This Row],[Ads/Post of IB]],""))</f>
        <v>29</v>
      </c>
      <c r="S16" s="576">
        <f>VLOOKUP(Complete[[#This Row],[Code
(PAP)]],[1]Sheet1!$A:$AO,19,FALSE)</f>
        <v>45330</v>
      </c>
      <c r="T16" s="576">
        <f>VLOOKUP(Complete[[#This Row],[Code
(PAP)]],[1]Sheet1!$A:$AO,20,FALSE)</f>
        <v>45343</v>
      </c>
      <c r="U16" s="576">
        <f>VLOOKUP(Complete[[#This Row],[Code
(PAP)]],[1]Sheet1!$A:$AO,21,FALSE)</f>
        <v>45365</v>
      </c>
      <c r="V16" s="387">
        <f>IF(OR(Complete[[#This Row],[Notice to Proceed]]="", Complete[[#This Row],[Notice of Award]]=""),"",IFERROR(Complete[[#This Row],[Notice to Proceed]]-Complete[[#This Row],[Notice of Award]],""))</f>
        <v>35</v>
      </c>
      <c r="W16" s="387">
        <f>IF(OR(Complete[[#This Row],[Notice to Proceed]]="", Complete[[#This Row],[Ads/Post of IB]]=""),"",IFERROR(Complete[[#This Row],[Notice to Proceed]]-Complete[[#This Row],[Ads/Post of IB]],""))</f>
        <v>66</v>
      </c>
      <c r="X16" s="392">
        <v>45369</v>
      </c>
      <c r="Y16" s="392">
        <f>Complete[[#This Row],[Delivery/ Completion]]</f>
        <v>45369</v>
      </c>
      <c r="Z16" s="610" t="s">
        <v>1478</v>
      </c>
      <c r="AA16" s="462">
        <f>Complete[[#This Row],[MOOE]]+Complete[[#This Row],[CO]]</f>
        <v>360000</v>
      </c>
      <c r="AB16" s="463"/>
      <c r="AC16" s="497">
        <v>360000</v>
      </c>
      <c r="AD16" s="498">
        <f>IF(Complete[[#This Row],[Procurement Project]]="","",SUM(Complete[[#This Row],[MOOE2]]+Complete[[#This Row],[CO3]]))</f>
        <v>244668</v>
      </c>
      <c r="AE16" s="499"/>
      <c r="AF16" s="541">
        <v>244668</v>
      </c>
      <c r="AG16" s="388">
        <f t="shared" si="0"/>
        <v>0.32036666666666669</v>
      </c>
      <c r="AH16" s="380" t="s">
        <v>1205</v>
      </c>
      <c r="AI16" s="576" t="str">
        <f>VLOOKUP(Complete[[#This Row],[Code
(PAP)]],[1]Sheet1!$A:$AO,35,FALSE)</f>
        <v>N/A</v>
      </c>
      <c r="AJ16" s="576">
        <f>VLOOKUP(Complete[[#This Row],[Code
(PAP)]],[1]Sheet1!$A:$AO,36,FALSE)</f>
        <v>45293</v>
      </c>
      <c r="AK16" s="576">
        <f>VLOOKUP(Complete[[#This Row],[Code
(PAP)]],[1]Sheet1!$A:$AO,37,FALSE)</f>
        <v>45293</v>
      </c>
      <c r="AL16" s="576">
        <f>VLOOKUP(Complete[[#This Row],[Code
(PAP)]],[1]Sheet1!$A:$AO,38,FALSE)</f>
        <v>45293</v>
      </c>
      <c r="AM16" s="576">
        <f>VLOOKUP(Complete[[#This Row],[Code
(PAP)]],[1]Sheet1!$A:$AO,38,FALSE)</f>
        <v>45293</v>
      </c>
      <c r="AN16" s="595" t="s">
        <v>713</v>
      </c>
      <c r="AO16" s="303" t="s">
        <v>139</v>
      </c>
      <c r="AP16" s="389" t="b">
        <f t="shared" si="1"/>
        <v>0</v>
      </c>
      <c r="AQ16" s="389" t="b">
        <f t="shared" si="2"/>
        <v>0</v>
      </c>
    </row>
    <row r="17" spans="1:43" s="223" customFormat="1" ht="75" customHeight="1" x14ac:dyDescent="0.25">
      <c r="A17" s="385" t="s">
        <v>718</v>
      </c>
      <c r="B17" s="406" t="str">
        <f>VLOOKUP(Complete[[#This Row],[Code
(PAP)]],[1]Sheet1!$A:$AO,2,FALSE)</f>
        <v>IMPROVEMENT OF DAVAO DE ORO PROVINCIAL HOSPITAL, MONTEVISTA (Construction of Emergency Room Extension &amp; Canopy</v>
      </c>
      <c r="C17" s="386" t="str">
        <f>VLOOKUP(Complete[[#This Row],[Code
(PAP)]],[1]Sheet1!$A:$AO,3,FALSE)</f>
        <v>PEO</v>
      </c>
      <c r="D17" s="380" t="s">
        <v>712</v>
      </c>
      <c r="E17" s="303" t="str">
        <f>VLOOKUP(Complete[[#This Row],[Code
(PAP)]],[2]Sheet1!$A:$AO,5,FALSE)</f>
        <v>Competitive Bidding</v>
      </c>
      <c r="F17" s="393">
        <f>VLOOKUP(Complete[[#This Row],[Code
(PAP)]],[1]Sheet1!$A:$AO,6,FALSE)</f>
        <v>45582</v>
      </c>
      <c r="G17" s="393">
        <f>VLOOKUP(Complete[[#This Row],[Code
(PAP)]],[1]Sheet1!$A:$AO,7,FALSE)</f>
        <v>45630</v>
      </c>
      <c r="H17" s="374">
        <f>IF(OR(Complete[[#This Row],[Pre-Proc Conference]]="",Complete[[#This Row],[Ads/Post of IB]]=""), "",IFERROR(Complete[[#This Row],[Ads/Post of IB]]-Complete[[#This Row],[Pre-Proc Conference]],""))</f>
        <v>48</v>
      </c>
      <c r="I17" s="392">
        <f>VLOOKUP(Complete[[#This Row],[Code
(PAP)]],[1]Sheet1!$A:$AO,9,FALSE)</f>
        <v>45272</v>
      </c>
      <c r="J17" s="393">
        <f>VLOOKUP(Complete[[#This Row],[Code
(PAP)]],[1]Sheet1!$A:$AO,10,FALSE)</f>
        <v>45300</v>
      </c>
      <c r="K17" s="393">
        <f>VLOOKUP(Complete[[#This Row],[Code
(PAP)]],[1]Sheet1!$A:$AO,11,FALSE)</f>
        <v>45300</v>
      </c>
      <c r="L17" s="387">
        <f>IF(OR(Complete[[#This Row],[Ads/Post of IB]]="",Complete[[#This Row],[Sub/Open of Bids]]=""),"",IFERROR(Complete[[#This Row],[Sub/Open of Bids]]-Complete[[#This Row],[Ads/Post of IB]],""))</f>
        <v>-330</v>
      </c>
      <c r="M17" s="393">
        <v>45300</v>
      </c>
      <c r="N17" s="393">
        <v>45317</v>
      </c>
      <c r="O17" s="393">
        <f>VLOOKUP(Complete[[#This Row],[Code
(PAP)]],[1]Sheet1!$A:$AO,15,FALSE)</f>
        <v>45330</v>
      </c>
      <c r="P17" s="387">
        <f>IF(OR(Complete[[#This Row],[Post Qual]]="",Complete[[#This Row],[Sub/Open of Bids]]=""), "",IFERROR(Complete[[#This Row],[Post Qual]]-Complete[[#This Row],[Sub/Open of Bids]],""))</f>
        <v>17</v>
      </c>
      <c r="Q17" s="387">
        <f>IF(OR(Complete[[#This Row],[Date of BAC Resolution Recommending Award]]="",Complete[[#This Row],[Sub/Open of Bids]]=""), "",IFERROR(Complete[[#This Row],[Date of BAC Resolution Recommending Award]]-Complete[[#This Row],[Sub/Open of Bids]],""))</f>
        <v>30</v>
      </c>
      <c r="R17" s="387">
        <f>IF(OR(Complete[[#This Row],[Date of BAC Resolution Recommending Award]]="",Complete[[#This Row],[Ads/Post of IB]]=""),"",IFERROR(Complete[[#This Row],[Date of BAC Resolution Recommending Award]]-Complete[[#This Row],[Ads/Post of IB]],""))</f>
        <v>-300</v>
      </c>
      <c r="S17" s="576">
        <v>45335</v>
      </c>
      <c r="T17" s="576">
        <f>VLOOKUP(Complete[[#This Row],[Code
(PAP)]],[1]Sheet1!$A:$AO,20,FALSE)</f>
        <v>45337</v>
      </c>
      <c r="U17" s="576">
        <f>VLOOKUP(Complete[[#This Row],[Code
(PAP)]],[1]Sheet1!$A:$AO,21,FALSE)</f>
        <v>45341</v>
      </c>
      <c r="V17" s="387">
        <f>IF(OR(Complete[[#This Row],[Notice to Proceed]]="", Complete[[#This Row],[Notice of Award]]=""),"",IFERROR(Complete[[#This Row],[Notice to Proceed]]-Complete[[#This Row],[Notice of Award]],""))</f>
        <v>6</v>
      </c>
      <c r="W17" s="387">
        <f>IF(OR(Complete[[#This Row],[Notice to Proceed]]="", Complete[[#This Row],[Ads/Post of IB]]=""),"",IFERROR(Complete[[#This Row],[Notice to Proceed]]-Complete[[#This Row],[Ads/Post of IB]],""))</f>
        <v>-289</v>
      </c>
      <c r="X17" s="392" t="str">
        <f>VLOOKUP(Complete[[#This Row],[Code
(PAP)]],[1]Sheet1!$A:$AO,24,FALSE)</f>
        <v>N/A</v>
      </c>
      <c r="Y17" s="392" t="str">
        <f>Complete[[#This Row],[Delivery/ Completion]]</f>
        <v>N/A</v>
      </c>
      <c r="Z17" s="610" t="s">
        <v>1478</v>
      </c>
      <c r="AA17" s="462">
        <f>Complete[[#This Row],[MOOE]]+Complete[[#This Row],[CO]]</f>
        <v>1400</v>
      </c>
      <c r="AB17" s="463"/>
      <c r="AC17" s="497">
        <v>1400</v>
      </c>
      <c r="AD17" s="498">
        <f>IF(Complete[[#This Row],[Procurement Project]]="","",SUM(Complete[[#This Row],[MOOE2]]+Complete[[#This Row],[CO3]]))</f>
        <v>1400</v>
      </c>
      <c r="AE17" s="499"/>
      <c r="AF17" s="541">
        <v>1400</v>
      </c>
      <c r="AG17" s="388">
        <f>IF(OR(AA17=0,AD17=0,AA17="",AD17=""),"-",(AA17-AD17)/AA17)</f>
        <v>0</v>
      </c>
      <c r="AH17" s="380" t="s">
        <v>1205</v>
      </c>
      <c r="AI17" s="576">
        <v>45271</v>
      </c>
      <c r="AJ17" s="576">
        <v>45293</v>
      </c>
      <c r="AK17" s="576">
        <v>45293</v>
      </c>
      <c r="AL17" s="576">
        <v>45293</v>
      </c>
      <c r="AM17" s="576" t="s">
        <v>713</v>
      </c>
      <c r="AN17" s="595" t="s">
        <v>713</v>
      </c>
      <c r="AO17" s="303" t="s">
        <v>139</v>
      </c>
      <c r="AP17" s="389" t="b">
        <f>IF(ISBLANK(E17),"",IF(AO17="Cancelled","Cancelled",IF(AND(G17="N/A",I17="N/A",J17="N/A",K17="N/A",M17="N/A",N17="N/A",O17="N/A",S17="N/A"),"Pre-Proc",IF(AND(I17="N/A",J17="N/A",K17="",M17="N/A",N17="N/A",O17="N/A",S17="N/A"),"Posting of IB",IF(AND(J17="N/A",K17="N/A",M17="N/A",N17="N/A",O17="N/A",S17="N/A"),"Pre-Bid",IF(AND(K17="N/A",M17="N/A",N17="N/A",O17="N/A",S17="N/A"),"Eligibility Check",IF(AND(M17="N/A",N17="N/A",O17="N/A",S17="N/A"),"Opening of Bids",IF(AND(N17="N/A",O17="N/A",S17="N/A"),"Bid Evaluation",IF(AND(O17="N/A",S17="N/A"),"Post Qualification",IF(AND(S17="N/A"),"BAC Reso",IF(AND(T17="N/A",U17="N/A"),"NOA")))))))))))</f>
        <v>0</v>
      </c>
      <c r="AQ17" s="389" t="b">
        <f>IF(ISBLANK(E17),"",IF(OR(AP17="Post Qualification",AP17="Opening of Bids", AP17="Posting of IB",AP17="Bid Evaluation",AP17="Posting of IB", AP17="Pre-Bid",AP17="Eligibility Check",AP17="BAC Reso",AP17="Pre-Proc",AP17="NOA",AP17="Cancelled"),"Failed"))</f>
        <v>0</v>
      </c>
    </row>
    <row r="18" spans="1:43" s="223" customFormat="1" ht="75" customHeight="1" x14ac:dyDescent="0.25">
      <c r="A18" s="385" t="s">
        <v>198</v>
      </c>
      <c r="B18" s="406" t="str">
        <f>VLOOKUP(Complete[[#This Row],[Code
(PAP)]],[1]Sheet1!$A:$AO,2,FALSE)</f>
        <v>COMPLETION OF MULTI-PURPOSE BUILDING (PGSO)</v>
      </c>
      <c r="C18" s="386" t="str">
        <f>VLOOKUP(Complete[[#This Row],[Code
(PAP)]],[1]Sheet1!$A:$AO,3,FALSE)</f>
        <v>PEO</v>
      </c>
      <c r="D18" s="380" t="s">
        <v>712</v>
      </c>
      <c r="E18" s="303" t="str">
        <f>VLOOKUP(Complete[[#This Row],[Code
(PAP)]],[2]Sheet1!$A:$AO,5,FALSE)</f>
        <v>Competitive Bidding</v>
      </c>
      <c r="F18" s="393">
        <f>VLOOKUP(Complete[[#This Row],[Code
(PAP)]],[1]Sheet1!$A:$AO,6,FALSE)</f>
        <v>45245</v>
      </c>
      <c r="G18" s="393">
        <f>VLOOKUP(Complete[[#This Row],[Code
(PAP)]],[1]Sheet1!$A:$AO,7,FALSE)</f>
        <v>45630</v>
      </c>
      <c r="H18" s="374">
        <f>IF(OR(Complete[[#This Row],[Pre-Proc Conference]]="",Complete[[#This Row],[Ads/Post of IB]]=""), "",IFERROR(Complete[[#This Row],[Ads/Post of IB]]-Complete[[#This Row],[Pre-Proc Conference]],""))</f>
        <v>385</v>
      </c>
      <c r="I18" s="392">
        <f>VLOOKUP(Complete[[#This Row],[Code
(PAP)]],[1]Sheet1!$A:$AO,9,FALSE)</f>
        <v>45272</v>
      </c>
      <c r="J18" s="393">
        <f>VLOOKUP(Complete[[#This Row],[Code
(PAP)]],[1]Sheet1!$A:$AO,10,FALSE)</f>
        <v>45300</v>
      </c>
      <c r="K18" s="393">
        <f>VLOOKUP(Complete[[#This Row],[Code
(PAP)]],[1]Sheet1!$A:$AO,11,FALSE)</f>
        <v>45300</v>
      </c>
      <c r="L18" s="387">
        <f>IF(OR(Complete[[#This Row],[Ads/Post of IB]]="",Complete[[#This Row],[Sub/Open of Bids]]=""),"",IFERROR(Complete[[#This Row],[Sub/Open of Bids]]-Complete[[#This Row],[Ads/Post of IB]],""))</f>
        <v>-330</v>
      </c>
      <c r="M18" s="393">
        <f>VLOOKUP(Complete[[#This Row],[Code
(PAP)]],[1]Sheet1!$A:$AO,13,FALSE)</f>
        <v>45300</v>
      </c>
      <c r="N18" s="393">
        <f>VLOOKUP(Complete[[#This Row],[Code
(PAP)]],[1]Sheet1!$A:$AO,14,FALSE)</f>
        <v>45317</v>
      </c>
      <c r="O18" s="393">
        <f>VLOOKUP(Complete[[#This Row],[Code
(PAP)]],[1]Sheet1!$A:$AO,15,FALSE)</f>
        <v>45330</v>
      </c>
      <c r="P18" s="387">
        <f>IF(OR(Complete[[#This Row],[Post Qual]]="",Complete[[#This Row],[Sub/Open of Bids]]=""), "",IFERROR(Complete[[#This Row],[Post Qual]]-Complete[[#This Row],[Sub/Open of Bids]],""))</f>
        <v>17</v>
      </c>
      <c r="Q18" s="387">
        <f>IF(OR(Complete[[#This Row],[Date of BAC Resolution Recommending Award]]="",Complete[[#This Row],[Sub/Open of Bids]]=""), "",IFERROR(Complete[[#This Row],[Date of BAC Resolution Recommending Award]]-Complete[[#This Row],[Sub/Open of Bids]],""))</f>
        <v>30</v>
      </c>
      <c r="R18" s="387">
        <f>IF(OR(Complete[[#This Row],[Date of BAC Resolution Recommending Award]]="",Complete[[#This Row],[Ads/Post of IB]]=""),"",IFERROR(Complete[[#This Row],[Date of BAC Resolution Recommending Award]]-Complete[[#This Row],[Ads/Post of IB]],""))</f>
        <v>-300</v>
      </c>
      <c r="S18" s="576">
        <f>VLOOKUP(Complete[[#This Row],[Code
(PAP)]],[1]Sheet1!$A:$AO,19,FALSE)</f>
        <v>45335</v>
      </c>
      <c r="T18" s="576">
        <f>VLOOKUP(Complete[[#This Row],[Code
(PAP)]],[1]Sheet1!$A:$AO,20,FALSE)</f>
        <v>45337</v>
      </c>
      <c r="U18" s="576">
        <f>VLOOKUP(Complete[[#This Row],[Code
(PAP)]],[1]Sheet1!$A:$AO,21,FALSE)</f>
        <v>45341</v>
      </c>
      <c r="V18" s="387">
        <f>IF(OR(Complete[[#This Row],[Notice to Proceed]]="", Complete[[#This Row],[Notice of Award]]=""),"",IFERROR(Complete[[#This Row],[Notice to Proceed]]-Complete[[#This Row],[Notice of Award]],""))</f>
        <v>6</v>
      </c>
      <c r="W18" s="387">
        <f>IF(OR(Complete[[#This Row],[Notice to Proceed]]="", Complete[[#This Row],[Ads/Post of IB]]=""),"",IFERROR(Complete[[#This Row],[Notice to Proceed]]-Complete[[#This Row],[Ads/Post of IB]],""))</f>
        <v>-289</v>
      </c>
      <c r="X18" s="392" t="str">
        <f>VLOOKUP(Complete[[#This Row],[Code
(PAP)]],[1]Sheet1!$A:$AO,24,FALSE)</f>
        <v>N/A</v>
      </c>
      <c r="Y18" s="392" t="str">
        <f>Complete[[#This Row],[Delivery/ Completion]]</f>
        <v>N/A</v>
      </c>
      <c r="Z18" s="610" t="s">
        <v>1478</v>
      </c>
      <c r="AA18" s="460">
        <f>Complete[[#This Row],[MOOE]]+Complete[[#This Row],[CO]]</f>
        <v>6428465.3899999997</v>
      </c>
      <c r="AB18" s="463"/>
      <c r="AC18" s="497">
        <v>6428465.3899999997</v>
      </c>
      <c r="AD18" s="495">
        <f>IF(Complete[[#This Row],[Procurement Project]]="","",SUM(Complete[[#This Row],[MOOE2]]+Complete[[#This Row],[CO3]]))</f>
        <v>6399080.0700000003</v>
      </c>
      <c r="AE18" s="499"/>
      <c r="AF18" s="541">
        <v>6399080.0700000003</v>
      </c>
      <c r="AG18" s="388">
        <f t="shared" si="0"/>
        <v>4.5711251779795873E-3</v>
      </c>
      <c r="AH18" s="380" t="s">
        <v>1205</v>
      </c>
      <c r="AI18" s="576">
        <f>VLOOKUP(Complete[[#This Row],[Code
(PAP)]],[1]Sheet1!$A:$AO,35,FALSE)</f>
        <v>45271</v>
      </c>
      <c r="AJ18" s="576">
        <f>VLOOKUP(Complete[[#This Row],[Code
(PAP)]],[1]Sheet1!$A:$AO,36,FALSE)</f>
        <v>45293</v>
      </c>
      <c r="AK18" s="576">
        <f>VLOOKUP(Complete[[#This Row],[Code
(PAP)]],[1]Sheet1!$A:$AO,37,FALSE)</f>
        <v>45293</v>
      </c>
      <c r="AL18" s="576">
        <f>VLOOKUP(Complete[[#This Row],[Code
(PAP)]],[1]Sheet1!$A:$AO,38,FALSE)</f>
        <v>45293</v>
      </c>
      <c r="AM18" s="576">
        <f>VLOOKUP(Complete[[#This Row],[Code
(PAP)]],[1]Sheet1!$A:$AO,38,FALSE)</f>
        <v>45293</v>
      </c>
      <c r="AN18" s="595" t="s">
        <v>713</v>
      </c>
      <c r="AO18" s="303" t="s">
        <v>139</v>
      </c>
      <c r="AP18" s="389" t="b">
        <f t="shared" si="1"/>
        <v>0</v>
      </c>
      <c r="AQ18" s="389" t="b">
        <f t="shared" si="2"/>
        <v>0</v>
      </c>
    </row>
    <row r="19" spans="1:43" s="223" customFormat="1" ht="75" customHeight="1" x14ac:dyDescent="0.25">
      <c r="A19" s="385" t="s">
        <v>199</v>
      </c>
      <c r="B19" s="406" t="str">
        <f>VLOOKUP(Complete[[#This Row],[Code
(PAP)]],[1]Sheet1!$A:$AO,2,FALSE)</f>
        <v>RICE (WELL MILLED - 50KG/SACK)</v>
      </c>
      <c r="C19" s="386" t="str">
        <f>VLOOKUP(Complete[[#This Row],[Code
(PAP)]],[1]Sheet1!$A:$AO,3,FALSE)</f>
        <v>PDRRMO</v>
      </c>
      <c r="D19" s="380" t="s">
        <v>712</v>
      </c>
      <c r="E19" s="303" t="str">
        <f>VLOOKUP(Complete[[#This Row],[Code
(PAP)]],[2]Sheet1!$A:$AO,5,FALSE)</f>
        <v>NP-53.2 Emergency Cases</v>
      </c>
      <c r="F19" s="393">
        <f>VLOOKUP(Complete[[#This Row],[Code
(PAP)]],[1]Sheet1!$A:$AO,6,FALSE)</f>
        <v>45322</v>
      </c>
      <c r="G19" s="393">
        <f>VLOOKUP(Complete[[#This Row],[Code
(PAP)]],[1]Sheet1!$A:$AO,7,FALSE)</f>
        <v>45324</v>
      </c>
      <c r="H19" s="374"/>
      <c r="I19" s="392" t="str">
        <f>VLOOKUP(Complete[[#This Row],[Code
(PAP)]],[1]Sheet1!$A:$AO,9,FALSE)</f>
        <v>N/A</v>
      </c>
      <c r="J19" s="393">
        <f>VLOOKUP(Complete[[#This Row],[Code
(PAP)]],[1]Sheet1!$A:$AO,10,FALSE)</f>
        <v>45328</v>
      </c>
      <c r="K19" s="393">
        <f>VLOOKUP(Complete[[#This Row],[Code
(PAP)]],[1]Sheet1!$A:$AO,11,FALSE)</f>
        <v>45328</v>
      </c>
      <c r="L19" s="387"/>
      <c r="M19" s="393" t="str">
        <f>VLOOKUP(Complete[[#This Row],[Code
(PAP)]],[1]Sheet1!$A:$AO,13,FALSE)</f>
        <v>N/A</v>
      </c>
      <c r="N19" s="393" t="str">
        <f>VLOOKUP(Complete[[#This Row],[Code
(PAP)]],[1]Sheet1!$A:$AO,14,FALSE)</f>
        <v>N/A</v>
      </c>
      <c r="O19" s="393">
        <f>VLOOKUP(Complete[[#This Row],[Code
(PAP)]],[1]Sheet1!$A:$AO,15,FALSE)</f>
        <v>45328</v>
      </c>
      <c r="P19" s="387"/>
      <c r="Q19" s="387"/>
      <c r="R19" s="387"/>
      <c r="S19" s="576">
        <f>VLOOKUP(Complete[[#This Row],[Code
(PAP)]],[1]Sheet1!$A:$AO,19,FALSE)</f>
        <v>45328</v>
      </c>
      <c r="T19" s="576">
        <f>VLOOKUP(Complete[[#This Row],[Code
(PAP)]],[1]Sheet1!$A:$AO,20,FALSE)</f>
        <v>45328</v>
      </c>
      <c r="U19" s="576">
        <f>VLOOKUP(Complete[[#This Row],[Code
(PAP)]],[1]Sheet1!$A:$AO,21,FALSE)</f>
        <v>45328</v>
      </c>
      <c r="V19" s="387"/>
      <c r="W19" s="387"/>
      <c r="X19" s="392">
        <f>VLOOKUP(Complete[[#This Row],[Code
(PAP)]],[1]Sheet1!$A:$AO,24,FALSE)</f>
        <v>45330</v>
      </c>
      <c r="Y19" s="392">
        <f>Complete[[#This Row],[Delivery/ Completion]]</f>
        <v>45330</v>
      </c>
      <c r="Z19" s="610" t="s">
        <v>1478</v>
      </c>
      <c r="AA19" s="462">
        <f>Complete[[#This Row],[MOOE]]+Complete[[#This Row],[CO]]</f>
        <v>5016000</v>
      </c>
      <c r="AB19" s="463"/>
      <c r="AC19" s="497">
        <v>5016000</v>
      </c>
      <c r="AD19" s="498">
        <f>IF(Complete[[#This Row],[Procurement Project]]="","",SUM(Complete[[#This Row],[MOOE2]]+Complete[[#This Row],[CO3]]))</f>
        <v>5016000</v>
      </c>
      <c r="AE19" s="499"/>
      <c r="AF19" s="541">
        <v>5016000</v>
      </c>
      <c r="AG19" s="388"/>
      <c r="AH19" s="380" t="s">
        <v>1205</v>
      </c>
      <c r="AI19" s="576" t="str">
        <f>VLOOKUP(Complete[[#This Row],[Code
(PAP)]],[1]Sheet1!$A:$AO,35,FALSE)</f>
        <v>N/A</v>
      </c>
      <c r="AJ19" s="576" t="str">
        <f>VLOOKUP(Complete[[#This Row],[Code
(PAP)]],[1]Sheet1!$A:$AO,36,FALSE)</f>
        <v>N/A</v>
      </c>
      <c r="AK19" s="576" t="str">
        <f>VLOOKUP(Complete[[#This Row],[Code
(PAP)]],[1]Sheet1!$A:$AO,37,FALSE)</f>
        <v>N/A</v>
      </c>
      <c r="AL19" s="576" t="str">
        <f>VLOOKUP(Complete[[#This Row],[Code
(PAP)]],[1]Sheet1!$A:$AO,38,FALSE)</f>
        <v>N/A</v>
      </c>
      <c r="AM19" s="576" t="str">
        <f>VLOOKUP(Complete[[#This Row],[Code
(PAP)]],[1]Sheet1!$A:$AO,38,FALSE)</f>
        <v>N/A</v>
      </c>
      <c r="AN19" s="595" t="s">
        <v>713</v>
      </c>
      <c r="AO19" s="303" t="s">
        <v>139</v>
      </c>
      <c r="AP19" s="389"/>
      <c r="AQ19" s="389"/>
    </row>
    <row r="20" spans="1:43" s="223" customFormat="1" ht="75" customHeight="1" x14ac:dyDescent="0.25">
      <c r="A20" s="385" t="s">
        <v>200</v>
      </c>
      <c r="B20" s="406" t="str">
        <f>VLOOKUP(Complete[[#This Row],[Code
(PAP)]],[1]Sheet1!$A:$AO,2,FALSE)</f>
        <v>RICE (WELL MILLED - 50KG/SACK)</v>
      </c>
      <c r="C20" s="386" t="str">
        <f>VLOOKUP(Complete[[#This Row],[Code
(PAP)]],[1]Sheet1!$A:$AO,3,FALSE)</f>
        <v>PDRRMO</v>
      </c>
      <c r="D20" s="380" t="s">
        <v>712</v>
      </c>
      <c r="E20" s="303" t="str">
        <f>VLOOKUP(Complete[[#This Row],[Code
(PAP)]],[2]Sheet1!$A:$AO,5,FALSE)</f>
        <v>NP-53.2 Emergency Cases</v>
      </c>
      <c r="F20" s="393" t="str">
        <f>VLOOKUP(Complete[[#This Row],[Code
(PAP)]],[1]Sheet1!$A:$AO,6,FALSE)</f>
        <v>N/A</v>
      </c>
      <c r="G20" s="393">
        <f>VLOOKUP(Complete[[#This Row],[Code
(PAP)]],[1]Sheet1!$A:$AO,7,FALSE)</f>
        <v>45322</v>
      </c>
      <c r="H20" s="374"/>
      <c r="I20" s="392" t="str">
        <f>VLOOKUP(Complete[[#This Row],[Code
(PAP)]],[1]Sheet1!$A:$AO,9,FALSE)</f>
        <v>N/A</v>
      </c>
      <c r="J20" s="393">
        <f>VLOOKUP(Complete[[#This Row],[Code
(PAP)]],[1]Sheet1!$A:$AO,10,FALSE)</f>
        <v>45322</v>
      </c>
      <c r="K20" s="393">
        <f>VLOOKUP(Complete[[#This Row],[Code
(PAP)]],[1]Sheet1!$A:$AO,11,FALSE)</f>
        <v>45322</v>
      </c>
      <c r="L20" s="387"/>
      <c r="M20" s="393" t="str">
        <f>VLOOKUP(Complete[[#This Row],[Code
(PAP)]],[1]Sheet1!$A:$AO,13,FALSE)</f>
        <v>N/A</v>
      </c>
      <c r="N20" s="393" t="str">
        <f>VLOOKUP(Complete[[#This Row],[Code
(PAP)]],[1]Sheet1!$A:$AO,14,FALSE)</f>
        <v>N/A</v>
      </c>
      <c r="O20" s="393">
        <f>VLOOKUP(Complete[[#This Row],[Code
(PAP)]],[1]Sheet1!$A:$AO,15,FALSE)</f>
        <v>45323</v>
      </c>
      <c r="P20" s="387"/>
      <c r="Q20" s="387"/>
      <c r="R20" s="387"/>
      <c r="S20" s="576">
        <f>VLOOKUP(Complete[[#This Row],[Code
(PAP)]],[1]Sheet1!$A:$AO,19,FALSE)</f>
        <v>45323</v>
      </c>
      <c r="T20" s="576">
        <f>VLOOKUP(Complete[[#This Row],[Code
(PAP)]],[1]Sheet1!$A:$AO,20,FALSE)</f>
        <v>45323</v>
      </c>
      <c r="U20" s="576">
        <f>VLOOKUP(Complete[[#This Row],[Code
(PAP)]],[1]Sheet1!$A:$AO,21,FALSE)</f>
        <v>45323</v>
      </c>
      <c r="V20" s="387"/>
      <c r="W20" s="387"/>
      <c r="X20" s="392">
        <f>VLOOKUP(Complete[[#This Row],[Code
(PAP)]],[1]Sheet1!$A:$AO,24,FALSE)</f>
        <v>45326</v>
      </c>
      <c r="Y20" s="392">
        <f>Complete[[#This Row],[Delivery/ Completion]]</f>
        <v>45326</v>
      </c>
      <c r="Z20" s="610" t="s">
        <v>1478</v>
      </c>
      <c r="AA20" s="462">
        <f>Complete[[#This Row],[MOOE]]+Complete[[#This Row],[CO]]</f>
        <v>1749000</v>
      </c>
      <c r="AB20" s="463"/>
      <c r="AC20" s="497">
        <v>1749000</v>
      </c>
      <c r="AD20" s="498">
        <f>IF(Complete[[#This Row],[Procurement Project]]="","",SUM(Complete[[#This Row],[MOOE2]]+Complete[[#This Row],[CO3]]))</f>
        <v>1749000</v>
      </c>
      <c r="AE20" s="499"/>
      <c r="AF20" s="541">
        <v>1749000</v>
      </c>
      <c r="AG20" s="388"/>
      <c r="AH20" s="380" t="s">
        <v>1205</v>
      </c>
      <c r="AI20" s="576" t="str">
        <f>VLOOKUP(Complete[[#This Row],[Code
(PAP)]],[1]Sheet1!$A:$AO,35,FALSE)</f>
        <v>N/A</v>
      </c>
      <c r="AJ20" s="576" t="str">
        <f>VLOOKUP(Complete[[#This Row],[Code
(PAP)]],[1]Sheet1!$A:$AO,36,FALSE)</f>
        <v>N/A</v>
      </c>
      <c r="AK20" s="576" t="str">
        <f>VLOOKUP(Complete[[#This Row],[Code
(PAP)]],[1]Sheet1!$A:$AO,37,FALSE)</f>
        <v>N/A</v>
      </c>
      <c r="AL20" s="576" t="str">
        <f>VLOOKUP(Complete[[#This Row],[Code
(PAP)]],[1]Sheet1!$A:$AO,38,FALSE)</f>
        <v>N/A</v>
      </c>
      <c r="AM20" s="576" t="str">
        <f>VLOOKUP(Complete[[#This Row],[Code
(PAP)]],[1]Sheet1!$A:$AO,38,FALSE)</f>
        <v>N/A</v>
      </c>
      <c r="AN20" s="595" t="s">
        <v>713</v>
      </c>
      <c r="AO20" s="303" t="s">
        <v>139</v>
      </c>
      <c r="AP20" s="389"/>
      <c r="AQ20" s="389"/>
    </row>
    <row r="21" spans="1:43" s="223" customFormat="1" ht="75" customHeight="1" x14ac:dyDescent="0.25">
      <c r="A21" s="385" t="s">
        <v>201</v>
      </c>
      <c r="B21" s="406" t="str">
        <f>VLOOKUP(Complete[[#This Row],[Code
(PAP)]],[1]Sheet1!$A:$AO,2,FALSE)</f>
        <v>JANITORIAL SUPPLIES/HOUSEKEEPING</v>
      </c>
      <c r="C21" s="386" t="str">
        <f>VLOOKUP(Complete[[#This Row],[Code
(PAP)]],[1]Sheet1!$A:$AO,3,FALSE)</f>
        <v>PACCO</v>
      </c>
      <c r="D21" s="380" t="s">
        <v>712</v>
      </c>
      <c r="E21" s="303" t="str">
        <f>VLOOKUP(Complete[[#This Row],[Code
(PAP)]],[2]Sheet1!$A:$AO,5,FALSE)</f>
        <v>NP-53.9 - Small Value Procurement</v>
      </c>
      <c r="F21" s="393" t="str">
        <f>VLOOKUP(Complete[[#This Row],[Code
(PAP)]],[1]Sheet1!$A:$AO,6,FALSE)</f>
        <v>N/A</v>
      </c>
      <c r="G21" s="393">
        <f>VLOOKUP(Complete[[#This Row],[Code
(PAP)]],[1]Sheet1!$A:$AO,7,FALSE)</f>
        <v>45318</v>
      </c>
      <c r="H21" s="374" t="str">
        <f>IF(OR(Complete[[#This Row],[Pre-Proc Conference]]="",Complete[[#This Row],[Ads/Post of IB]]=""), "",IFERROR(Complete[[#This Row],[Ads/Post of IB]]-Complete[[#This Row],[Pre-Proc Conference]],""))</f>
        <v/>
      </c>
      <c r="I21" s="392" t="str">
        <f>VLOOKUP(Complete[[#This Row],[Code
(PAP)]],[1]Sheet1!$A:$AO,9,FALSE)</f>
        <v>N/A</v>
      </c>
      <c r="J21" s="393">
        <f>VLOOKUP(Complete[[#This Row],[Code
(PAP)]],[1]Sheet1!$A:$AO,10,FALSE)</f>
        <v>45322</v>
      </c>
      <c r="K21" s="393">
        <f>VLOOKUP(Complete[[#This Row],[Code
(PAP)]],[1]Sheet1!$A:$AO,11,FALSE)</f>
        <v>45322</v>
      </c>
      <c r="L21" s="387">
        <f>IF(OR(Complete[[#This Row],[Ads/Post of IB]]="",Complete[[#This Row],[Sub/Open of Bids]]=""),"",IFERROR(Complete[[#This Row],[Sub/Open of Bids]]-Complete[[#This Row],[Ads/Post of IB]],""))</f>
        <v>4</v>
      </c>
      <c r="M21" s="393" t="str">
        <f>VLOOKUP(Complete[[#This Row],[Code
(PAP)]],[1]Sheet1!$A:$AO,13,FALSE)</f>
        <v>N/A</v>
      </c>
      <c r="N21" s="393" t="str">
        <f>VLOOKUP(Complete[[#This Row],[Code
(PAP)]],[1]Sheet1!$A:$AO,14,FALSE)</f>
        <v>N/A</v>
      </c>
      <c r="O21" s="393">
        <f>VLOOKUP(Complete[[#This Row],[Code
(PAP)]],[1]Sheet1!$A:$AO,15,FALSE)</f>
        <v>45328</v>
      </c>
      <c r="P21" s="387" t="str">
        <f>IF(OR(Complete[[#This Row],[Post Qual]]="",Complete[[#This Row],[Sub/Open of Bids]]=""), "",IFERROR(Complete[[#This Row],[Post Qual]]-Complete[[#This Row],[Sub/Open of Bids]],""))</f>
        <v/>
      </c>
      <c r="Q21" s="387">
        <f>IF(OR(Complete[[#This Row],[Date of BAC Resolution Recommending Award]]="",Complete[[#This Row],[Sub/Open of Bids]]=""), "",IFERROR(Complete[[#This Row],[Date of BAC Resolution Recommending Award]]-Complete[[#This Row],[Sub/Open of Bids]],""))</f>
        <v>6</v>
      </c>
      <c r="R21" s="387">
        <f>IF(OR(Complete[[#This Row],[Date of BAC Resolution Recommending Award]]="",Complete[[#This Row],[Ads/Post of IB]]=""),"",IFERROR(Complete[[#This Row],[Date of BAC Resolution Recommending Award]]-Complete[[#This Row],[Ads/Post of IB]],""))</f>
        <v>10</v>
      </c>
      <c r="S21" s="576">
        <v>45334</v>
      </c>
      <c r="T21" s="576">
        <f>VLOOKUP(Complete[[#This Row],[Code
(PAP)]],[1]Sheet1!$A:$AO,20,FALSE)</f>
        <v>45336</v>
      </c>
      <c r="U21" s="576">
        <f>VLOOKUP(Complete[[#This Row],[Code
(PAP)]],[1]Sheet1!$A:$AO,21,FALSE)</f>
        <v>45341</v>
      </c>
      <c r="V21" s="387">
        <f>IF(OR(Complete[[#This Row],[Notice to Proceed]]="", Complete[[#This Row],[Notice of Award]]=""),"",IFERROR(Complete[[#This Row],[Notice to Proceed]]-Complete[[#This Row],[Notice of Award]],""))</f>
        <v>7</v>
      </c>
      <c r="W21" s="387">
        <f>IF(OR(Complete[[#This Row],[Notice to Proceed]]="", Complete[[#This Row],[Ads/Post of IB]]=""),"",IFERROR(Complete[[#This Row],[Notice to Proceed]]-Complete[[#This Row],[Ads/Post of IB]],""))</f>
        <v>23</v>
      </c>
      <c r="X21" s="392">
        <f>VLOOKUP(Complete[[#This Row],[Code
(PAP)]],[1]Sheet1!$A:$AO,24,FALSE)</f>
        <v>45345</v>
      </c>
      <c r="Y21" s="392">
        <f>Complete[[#This Row],[Delivery/ Completion]]</f>
        <v>45345</v>
      </c>
      <c r="Z21" s="610" t="s">
        <v>1478</v>
      </c>
      <c r="AA21" s="462">
        <f>Complete[[#This Row],[MOOE]]+Complete[[#This Row],[CO]]</f>
        <v>16920</v>
      </c>
      <c r="AB21" s="463">
        <v>16920</v>
      </c>
      <c r="AC21" s="497"/>
      <c r="AD21" s="498">
        <f>IF(Complete[[#This Row],[Procurement Project]]="","",SUM(Complete[[#This Row],[MOOE2]]+Complete[[#This Row],[CO3]]))</f>
        <v>16450</v>
      </c>
      <c r="AE21" s="499">
        <v>16450</v>
      </c>
      <c r="AF21" s="541"/>
      <c r="AG21" s="388">
        <f>IF(OR(AA21=0,AD21=0,AA21="",AD21=""),"-",(AA21-AD21)/AA21)</f>
        <v>2.7777777777777776E-2</v>
      </c>
      <c r="AH21" s="380" t="s">
        <v>1205</v>
      </c>
      <c r="AI21" s="576" t="str">
        <f>VLOOKUP(Complete[[#This Row],[Code
(PAP)]],[1]Sheet1!$A:$AO,35,FALSE)</f>
        <v>N/A</v>
      </c>
      <c r="AJ21" s="576" t="str">
        <f>VLOOKUP(Complete[[#This Row],[Code
(PAP)]],[1]Sheet1!$A:$AO,36,FALSE)</f>
        <v>N/A</v>
      </c>
      <c r="AK21" s="576" t="str">
        <f>VLOOKUP(Complete[[#This Row],[Code
(PAP)]],[1]Sheet1!$A:$AO,37,FALSE)</f>
        <v>N/A</v>
      </c>
      <c r="AL21" s="576" t="str">
        <f>VLOOKUP(Complete[[#This Row],[Code
(PAP)]],[1]Sheet1!$A:$AO,38,FALSE)</f>
        <v>N/A</v>
      </c>
      <c r="AM21" s="576" t="str">
        <f>VLOOKUP(Complete[[#This Row],[Code
(PAP)]],[1]Sheet1!$A:$AO,38,FALSE)</f>
        <v>N/A</v>
      </c>
      <c r="AN21" s="595" t="s">
        <v>713</v>
      </c>
      <c r="AO21" s="303" t="s">
        <v>139</v>
      </c>
      <c r="AP21" s="389" t="b">
        <f>IF(ISBLANK(E21),"",IF(AO21="Cancelled","Cancelled",IF(AND(G21="N/A",I21="N/A",J21="N/A",K21="N/A",M21="N/A",N21="N/A",O21="N/A",S21="N/A"),"Pre-Proc",IF(AND(I21="N/A",J21="N/A",K21="",M21="N/A",N21="N/A",O21="N/A",S21="N/A"),"Posting of IB",IF(AND(J21="N/A",K21="N/A",M21="N/A",N21="N/A",O21="N/A",S21="N/A"),"Pre-Bid",IF(AND(K21="N/A",M21="N/A",N21="N/A",O21="N/A",S21="N/A"),"Eligibility Check",IF(AND(M21="N/A",N21="N/A",O21="N/A",S21="N/A"),"Opening of Bids",IF(AND(N21="N/A",O21="N/A",S21="N/A"),"Bid Evaluation",IF(AND(O21="N/A",S21="N/A"),"Post Qualification",IF(AND(S21="N/A"),"BAC Reso",IF(AND(T21="N/A",U21="N/A"),"NOA")))))))))))</f>
        <v>0</v>
      </c>
      <c r="AQ21" s="389" t="b">
        <f>IF(ISBLANK(E21),"",IF(OR(AP21="Post Qualification",AP21="Opening of Bids", AP21="Posting of IB",AP21="Bid Evaluation",AP21="Posting of IB", AP21="Pre-Bid",AP21="Eligibility Check",AP21="BAC Reso",AP21="Pre-Proc",AP21="NOA",AP21="Cancelled"),"Failed"))</f>
        <v>0</v>
      </c>
    </row>
    <row r="22" spans="1:43" s="223" customFormat="1" ht="75" customHeight="1" x14ac:dyDescent="0.25">
      <c r="A22" s="385" t="s">
        <v>202</v>
      </c>
      <c r="B22" s="406" t="str">
        <f>VLOOKUP(Complete[[#This Row],[Code
(PAP)]],[1]Sheet1!$A:$AO,2,FALSE)</f>
        <v>JANITORIAL SUPPLIES/HOUSEKEEPING</v>
      </c>
      <c r="C22" s="386" t="str">
        <f>VLOOKUP(Complete[[#This Row],[Code
(PAP)]],[1]Sheet1!$A:$AO,3,FALSE)</f>
        <v>PTO</v>
      </c>
      <c r="D22" s="380" t="s">
        <v>712</v>
      </c>
      <c r="E22" s="303" t="str">
        <f>VLOOKUP(Complete[[#This Row],[Code
(PAP)]],[2]Sheet1!$A:$AO,5,FALSE)</f>
        <v>NP-53.9 - Small Value Procurement</v>
      </c>
      <c r="F22" s="393" t="str">
        <f>VLOOKUP(Complete[[#This Row],[Code
(PAP)]],[1]Sheet1!$A:$AO,6,FALSE)</f>
        <v>N/A</v>
      </c>
      <c r="G22" s="393">
        <f>VLOOKUP(Complete[[#This Row],[Code
(PAP)]],[1]Sheet1!$A:$AO,7,FALSE)</f>
        <v>45318</v>
      </c>
      <c r="H22" s="374" t="str">
        <f>IF(OR(Complete[[#This Row],[Pre-Proc Conference]]="",Complete[[#This Row],[Ads/Post of IB]]=""), "",IFERROR(Complete[[#This Row],[Ads/Post of IB]]-Complete[[#This Row],[Pre-Proc Conference]],""))</f>
        <v/>
      </c>
      <c r="I22" s="392" t="str">
        <f>VLOOKUP(Complete[[#This Row],[Code
(PAP)]],[1]Sheet1!$A:$AO,9,FALSE)</f>
        <v>N/A</v>
      </c>
      <c r="J22" s="393">
        <f>VLOOKUP(Complete[[#This Row],[Code
(PAP)]],[1]Sheet1!$A:$AO,10,FALSE)</f>
        <v>45322</v>
      </c>
      <c r="K22" s="393">
        <f>VLOOKUP(Complete[[#This Row],[Code
(PAP)]],[1]Sheet1!$A:$AO,11,FALSE)</f>
        <v>45322</v>
      </c>
      <c r="L22" s="387">
        <f>IF(OR(Complete[[#This Row],[Ads/Post of IB]]="",Complete[[#This Row],[Sub/Open of Bids]]=""),"",IFERROR(Complete[[#This Row],[Sub/Open of Bids]]-Complete[[#This Row],[Ads/Post of IB]],""))</f>
        <v>4</v>
      </c>
      <c r="M22" s="393" t="str">
        <f>VLOOKUP(Complete[[#This Row],[Code
(PAP)]],[1]Sheet1!$A:$AO,13,FALSE)</f>
        <v>N/A</v>
      </c>
      <c r="N22" s="393" t="str">
        <f>VLOOKUP(Complete[[#This Row],[Code
(PAP)]],[1]Sheet1!$A:$AO,14,FALSE)</f>
        <v>N/A</v>
      </c>
      <c r="O22" s="393">
        <f>VLOOKUP(Complete[[#This Row],[Code
(PAP)]],[1]Sheet1!$A:$AO,15,FALSE)</f>
        <v>45328</v>
      </c>
      <c r="P22" s="387" t="str">
        <f>IF(OR(Complete[[#This Row],[Post Qual]]="",Complete[[#This Row],[Sub/Open of Bids]]=""), "",IFERROR(Complete[[#This Row],[Post Qual]]-Complete[[#This Row],[Sub/Open of Bids]],""))</f>
        <v/>
      </c>
      <c r="Q22" s="387">
        <f>IF(OR(Complete[[#This Row],[Date of BAC Resolution Recommending Award]]="",Complete[[#This Row],[Sub/Open of Bids]]=""), "",IFERROR(Complete[[#This Row],[Date of BAC Resolution Recommending Award]]-Complete[[#This Row],[Sub/Open of Bids]],""))</f>
        <v>6</v>
      </c>
      <c r="R22" s="387">
        <f>IF(OR(Complete[[#This Row],[Date of BAC Resolution Recommending Award]]="",Complete[[#This Row],[Ads/Post of IB]]=""),"",IFERROR(Complete[[#This Row],[Date of BAC Resolution Recommending Award]]-Complete[[#This Row],[Ads/Post of IB]],""))</f>
        <v>10</v>
      </c>
      <c r="S22" s="576">
        <v>45334</v>
      </c>
      <c r="T22" s="576">
        <f>VLOOKUP(Complete[[#This Row],[Code
(PAP)]],[1]Sheet1!$A:$AO,20,FALSE)</f>
        <v>45341</v>
      </c>
      <c r="U22" s="576">
        <f>VLOOKUP(Complete[[#This Row],[Code
(PAP)]],[1]Sheet1!$A:$AO,21,FALSE)</f>
        <v>45341</v>
      </c>
      <c r="V22" s="387">
        <f>IF(OR(Complete[[#This Row],[Notice to Proceed]]="", Complete[[#This Row],[Notice of Award]]=""),"",IFERROR(Complete[[#This Row],[Notice to Proceed]]-Complete[[#This Row],[Notice of Award]],""))</f>
        <v>7</v>
      </c>
      <c r="W22" s="387">
        <f>IF(OR(Complete[[#This Row],[Notice to Proceed]]="", Complete[[#This Row],[Ads/Post of IB]]=""),"",IFERROR(Complete[[#This Row],[Notice to Proceed]]-Complete[[#This Row],[Ads/Post of IB]],""))</f>
        <v>23</v>
      </c>
      <c r="X22" s="392">
        <f>VLOOKUP(Complete[[#This Row],[Code
(PAP)]],[1]Sheet1!$A:$AO,24,FALSE)</f>
        <v>45350</v>
      </c>
      <c r="Y22" s="392">
        <f>Complete[[#This Row],[Delivery/ Completion]]</f>
        <v>45350</v>
      </c>
      <c r="Z22" s="610" t="s">
        <v>1478</v>
      </c>
      <c r="AA22" s="462">
        <f>Complete[[#This Row],[MOOE]]+Complete[[#This Row],[CO]]</f>
        <v>27088</v>
      </c>
      <c r="AB22" s="463">
        <v>27088</v>
      </c>
      <c r="AC22" s="497"/>
      <c r="AD22" s="498">
        <f>IF(Complete[[#This Row],[Procurement Project]]="","",SUM(Complete[[#This Row],[MOOE2]]+Complete[[#This Row],[CO3]]))</f>
        <v>26508</v>
      </c>
      <c r="AE22" s="499">
        <v>26508</v>
      </c>
      <c r="AF22" s="541"/>
      <c r="AG22" s="400">
        <f>IF(OR(AA22=0,AD22=0,AA22="",AD22=""),"-",(AA22-AD22)/AA22)</f>
        <v>2.1411695215593621E-2</v>
      </c>
      <c r="AH22" s="380" t="s">
        <v>1205</v>
      </c>
      <c r="AI22" s="576" t="str">
        <f>VLOOKUP(Complete[[#This Row],[Code
(PAP)]],[1]Sheet1!$A:$AO,35,FALSE)</f>
        <v>N/A</v>
      </c>
      <c r="AJ22" s="576" t="str">
        <f>VLOOKUP(Complete[[#This Row],[Code
(PAP)]],[1]Sheet1!$A:$AO,36,FALSE)</f>
        <v>N/A</v>
      </c>
      <c r="AK22" s="576" t="str">
        <f>VLOOKUP(Complete[[#This Row],[Code
(PAP)]],[1]Sheet1!$A:$AO,37,FALSE)</f>
        <v>N/A</v>
      </c>
      <c r="AL22" s="576" t="str">
        <f>VLOOKUP(Complete[[#This Row],[Code
(PAP)]],[1]Sheet1!$A:$AO,38,FALSE)</f>
        <v>N/A</v>
      </c>
      <c r="AM22" s="576" t="str">
        <f>VLOOKUP(Complete[[#This Row],[Code
(PAP)]],[1]Sheet1!$A:$AO,38,FALSE)</f>
        <v>N/A</v>
      </c>
      <c r="AN22" s="595" t="s">
        <v>713</v>
      </c>
      <c r="AO22" s="303" t="s">
        <v>139</v>
      </c>
      <c r="AP22" s="389" t="b">
        <f>IF(ISBLANK(E22),"",IF(AO22="Cancelled","Cancelled",IF(AND(G22="N/A",I22="N/A",J22="N/A",K22="N/A",M22="N/A",N22="N/A",O22="N/A",S22="N/A"),"Pre-Proc",IF(AND(I22="N/A",J22="N/A",K22="",M22="N/A",N22="N/A",O22="N/A",S22="N/A"),"Posting of IB",IF(AND(J22="N/A",K22="N/A",M22="N/A",N22="N/A",O22="N/A",S22="N/A"),"Pre-Bid",IF(AND(K22="N/A",M22="N/A",N22="N/A",O22="N/A",S22="N/A"),"Eligibility Check",IF(AND(M22="N/A",N22="N/A",O22="N/A",S22="N/A"),"Opening of Bids",IF(AND(N22="N/A",O22="N/A",S22="N/A"),"Bid Evaluation",IF(AND(O22="N/A",S22="N/A"),"Post Qualification",IF(AND(S22="N/A"),"BAC Reso",IF(AND(T22="N/A",U22="N/A"),"NOA")))))))))))</f>
        <v>0</v>
      </c>
      <c r="AQ22" s="389" t="b">
        <f>IF(ISBLANK(E22),"",IF(OR(AP22="Post Qualification",AP22="Opening of Bids", AP22="Posting of IB",AP22="Bid Evaluation",AP22="Posting of IB", AP22="Pre-Bid",AP22="Eligibility Check",AP22="BAC Reso",AP22="Pre-Proc",AP22="NOA",AP22="Cancelled"),"Failed"))</f>
        <v>0</v>
      </c>
    </row>
    <row r="23" spans="1:43" s="224" customFormat="1" ht="75" customHeight="1" x14ac:dyDescent="0.25">
      <c r="A23" s="385" t="s">
        <v>203</v>
      </c>
      <c r="B23" s="406" t="str">
        <f>VLOOKUP(Complete[[#This Row],[Code
(PAP)]],[1]Sheet1!$A:$AO,2,FALSE)</f>
        <v>JANITORIAL SUPPLIES/HOUSEKEEPING</v>
      </c>
      <c r="C23" s="380" t="str">
        <f>VLOOKUP(Complete[[#This Row],[Code
(PAP)]],[1]Sheet1!$A:$AO,3,FALSE)</f>
        <v>PGO</v>
      </c>
      <c r="D23" s="380" t="s">
        <v>712</v>
      </c>
      <c r="E23" s="303" t="str">
        <f>VLOOKUP(Complete[[#This Row],[Code
(PAP)]],[2]Sheet1!$A:$AO,5,FALSE)</f>
        <v>NP-53.9 - Small Value Procurement</v>
      </c>
      <c r="F23" s="392" t="str">
        <f>VLOOKUP(Complete[[#This Row],[Code
(PAP)]],[1]Sheet1!$A:$AO,6,FALSE)</f>
        <v>N/A</v>
      </c>
      <c r="G23" s="392">
        <f>VLOOKUP(Complete[[#This Row],[Code
(PAP)]],[1]Sheet1!$A:$AO,7,FALSE)</f>
        <v>45318</v>
      </c>
      <c r="H23" s="381" t="str">
        <f>IF(OR(Complete[[#This Row],[Pre-Proc Conference]]="",Complete[[#This Row],[Ads/Post of IB]]=""), "",IFERROR(Complete[[#This Row],[Ads/Post of IB]]-Complete[[#This Row],[Pre-Proc Conference]],""))</f>
        <v/>
      </c>
      <c r="I23" s="394" t="str">
        <f>VLOOKUP(Complete[[#This Row],[Code
(PAP)]],[1]Sheet1!$A:$AO,9,FALSE)</f>
        <v>N/A</v>
      </c>
      <c r="J23" s="392">
        <f>VLOOKUP(Complete[[#This Row],[Code
(PAP)]],[1]Sheet1!$A:$AO,10,FALSE)</f>
        <v>45322</v>
      </c>
      <c r="K23" s="392">
        <f>VLOOKUP(Complete[[#This Row],[Code
(PAP)]],[1]Sheet1!$A:$AO,11,FALSE)</f>
        <v>45322</v>
      </c>
      <c r="L23" s="382">
        <f>IF(OR(Complete[[#This Row],[Ads/Post of IB]]="",Complete[[#This Row],[Sub/Open of Bids]]=""),"",IFERROR(Complete[[#This Row],[Sub/Open of Bids]]-Complete[[#This Row],[Ads/Post of IB]],""))</f>
        <v>4</v>
      </c>
      <c r="M23" s="392" t="str">
        <f>VLOOKUP(Complete[[#This Row],[Code
(PAP)]],[1]Sheet1!$A:$AO,13,FALSE)</f>
        <v>N/A</v>
      </c>
      <c r="N23" s="392" t="str">
        <f>VLOOKUP(Complete[[#This Row],[Code
(PAP)]],[1]Sheet1!$A:$AO,14,FALSE)</f>
        <v>N/A</v>
      </c>
      <c r="O23" s="392">
        <f>VLOOKUP(Complete[[#This Row],[Code
(PAP)]],[1]Sheet1!$A:$AO,15,FALSE)</f>
        <v>45328</v>
      </c>
      <c r="P23" s="382" t="str">
        <f>IF(OR(Complete[[#This Row],[Post Qual]]="",Complete[[#This Row],[Sub/Open of Bids]]=""), "",IFERROR(Complete[[#This Row],[Post Qual]]-Complete[[#This Row],[Sub/Open of Bids]],""))</f>
        <v/>
      </c>
      <c r="Q23" s="382">
        <f>IF(OR(Complete[[#This Row],[Date of BAC Resolution Recommending Award]]="",Complete[[#This Row],[Sub/Open of Bids]]=""), "",IFERROR(Complete[[#This Row],[Date of BAC Resolution Recommending Award]]-Complete[[#This Row],[Sub/Open of Bids]],""))</f>
        <v>6</v>
      </c>
      <c r="R23" s="382">
        <f>IF(OR(Complete[[#This Row],[Date of BAC Resolution Recommending Award]]="",Complete[[#This Row],[Ads/Post of IB]]=""),"",IFERROR(Complete[[#This Row],[Date of BAC Resolution Recommending Award]]-Complete[[#This Row],[Ads/Post of IB]],""))</f>
        <v>10</v>
      </c>
      <c r="S23" s="576">
        <v>45334</v>
      </c>
      <c r="T23" s="575">
        <f>VLOOKUP(Complete[[#This Row],[Code
(PAP)]],[1]Sheet1!$A:$AO,20,FALSE)</f>
        <v>45335</v>
      </c>
      <c r="U23" s="575">
        <f>VLOOKUP(Complete[[#This Row],[Code
(PAP)]],[1]Sheet1!$A:$AO,21,FALSE)</f>
        <v>45341</v>
      </c>
      <c r="V23" s="390">
        <f>IF(OR(Complete[[#This Row],[Notice to Proceed]]="", Complete[[#This Row],[Notice of Award]]=""),"",IFERROR(Complete[[#This Row],[Notice to Proceed]]-Complete[[#This Row],[Notice of Award]],""))</f>
        <v>7</v>
      </c>
      <c r="W23" s="390">
        <f>IF(OR(Complete[[#This Row],[Notice to Proceed]]="", Complete[[#This Row],[Ads/Post of IB]]=""),"",IFERROR(Complete[[#This Row],[Notice to Proceed]]-Complete[[#This Row],[Ads/Post of IB]],""))</f>
        <v>23</v>
      </c>
      <c r="X23" s="392">
        <f>VLOOKUP(Complete[[#This Row],[Code
(PAP)]],[1]Sheet1!$A:$AO,24,FALSE)</f>
        <v>45345</v>
      </c>
      <c r="Y23" s="392">
        <f>Complete[[#This Row],[Delivery/ Completion]]</f>
        <v>45345</v>
      </c>
      <c r="Z23" s="610" t="s">
        <v>1478</v>
      </c>
      <c r="AA23" s="460">
        <f>Complete[[#This Row],[MOOE]]+Complete[[#This Row],[CO]]</f>
        <v>3393</v>
      </c>
      <c r="AB23" s="461">
        <v>3393</v>
      </c>
      <c r="AC23" s="497"/>
      <c r="AD23" s="495">
        <f>IF(Complete[[#This Row],[Procurement Project]]="","",SUM(Complete[[#This Row],[MOOE2]]+Complete[[#This Row],[CO3]]))</f>
        <v>3291</v>
      </c>
      <c r="AE23" s="496">
        <f>VLOOKUP(Complete[[#This Row],[Code
(PAP)]],[1]Sheet1!$A:$AO,31,FALSE)</f>
        <v>3291</v>
      </c>
      <c r="AF23" s="638"/>
      <c r="AG23" s="383">
        <f t="shared" si="0"/>
        <v>3.0061892130857647E-2</v>
      </c>
      <c r="AH23" s="380" t="s">
        <v>1205</v>
      </c>
      <c r="AI23" s="575" t="str">
        <f>VLOOKUP(Complete[[#This Row],[Code
(PAP)]],[1]Sheet1!$A:$AO,35,FALSE)</f>
        <v>N/A</v>
      </c>
      <c r="AJ23" s="575" t="str">
        <f>VLOOKUP(Complete[[#This Row],[Code
(PAP)]],[1]Sheet1!$A:$AO,36,FALSE)</f>
        <v>N/A</v>
      </c>
      <c r="AK23" s="575" t="str">
        <f>VLOOKUP(Complete[[#This Row],[Code
(PAP)]],[1]Sheet1!$A:$AO,37,FALSE)</f>
        <v>N/A</v>
      </c>
      <c r="AL23" s="575" t="str">
        <f>VLOOKUP(Complete[[#This Row],[Code
(PAP)]],[1]Sheet1!$A:$AO,38,FALSE)</f>
        <v>N/A</v>
      </c>
      <c r="AM23" s="575" t="str">
        <f>VLOOKUP(Complete[[#This Row],[Code
(PAP)]],[1]Sheet1!$A:$AO,38,FALSE)</f>
        <v>N/A</v>
      </c>
      <c r="AN23" s="595" t="s">
        <v>713</v>
      </c>
      <c r="AO23" s="303" t="s">
        <v>139</v>
      </c>
      <c r="AP23" s="384" t="b">
        <f t="shared" si="1"/>
        <v>0</v>
      </c>
      <c r="AQ23" s="384" t="b">
        <f t="shared" si="2"/>
        <v>0</v>
      </c>
    </row>
    <row r="24" spans="1:43" s="224" customFormat="1" ht="75" customHeight="1" x14ac:dyDescent="0.25">
      <c r="A24" s="385" t="s">
        <v>204</v>
      </c>
      <c r="B24" s="406" t="str">
        <f>VLOOKUP(Complete[[#This Row],[Code
(PAP)]],[1]Sheet1!$A:$AO,2,FALSE)</f>
        <v>JANITORIAL SUPPLIES/HOUSEKEEPING</v>
      </c>
      <c r="C24" s="386" t="str">
        <f>VLOOKUP(Complete[[#This Row],[Code
(PAP)]],[1]Sheet1!$A:$AO,3,FALSE)</f>
        <v>COA</v>
      </c>
      <c r="D24" s="380" t="s">
        <v>712</v>
      </c>
      <c r="E24" s="303" t="str">
        <f>VLOOKUP(Complete[[#This Row],[Code
(PAP)]],[2]Sheet1!$A:$AO,5,FALSE)</f>
        <v>NP-53.9 - Small Value Procurement</v>
      </c>
      <c r="F24" s="393" t="str">
        <f>VLOOKUP(Complete[[#This Row],[Code
(PAP)]],[1]Sheet1!$A:$AO,6,FALSE)</f>
        <v>N/A</v>
      </c>
      <c r="G24" s="393">
        <f>VLOOKUP(Complete[[#This Row],[Code
(PAP)]],[1]Sheet1!$A:$AO,7,FALSE)</f>
        <v>45318</v>
      </c>
      <c r="H24" s="374" t="str">
        <f>IF(OR(Complete[[#This Row],[Pre-Proc Conference]]="",Complete[[#This Row],[Ads/Post of IB]]=""), "",IFERROR(Complete[[#This Row],[Ads/Post of IB]]-Complete[[#This Row],[Pre-Proc Conference]],""))</f>
        <v/>
      </c>
      <c r="I24" s="394" t="str">
        <f>VLOOKUP(Complete[[#This Row],[Code
(PAP)]],[1]Sheet1!$A:$AO,9,FALSE)</f>
        <v>N/A</v>
      </c>
      <c r="J24" s="393">
        <f>VLOOKUP(Complete[[#This Row],[Code
(PAP)]],[1]Sheet1!$A:$AO,10,FALSE)</f>
        <v>45322</v>
      </c>
      <c r="K24" s="393">
        <f>VLOOKUP(Complete[[#This Row],[Code
(PAP)]],[1]Sheet1!$A:$AO,11,FALSE)</f>
        <v>45322</v>
      </c>
      <c r="L24" s="387">
        <f>IF(OR(Complete[[#This Row],[Ads/Post of IB]]="",Complete[[#This Row],[Sub/Open of Bids]]=""),"",IFERROR(Complete[[#This Row],[Sub/Open of Bids]]-Complete[[#This Row],[Ads/Post of IB]],""))</f>
        <v>4</v>
      </c>
      <c r="M24" s="393" t="str">
        <f>VLOOKUP(Complete[[#This Row],[Code
(PAP)]],[1]Sheet1!$A:$AO,13,FALSE)</f>
        <v>N/A</v>
      </c>
      <c r="N24" s="393" t="str">
        <f>VLOOKUP(Complete[[#This Row],[Code
(PAP)]],[1]Sheet1!$A:$AO,14,FALSE)</f>
        <v>N/A</v>
      </c>
      <c r="O24" s="393">
        <f>VLOOKUP(Complete[[#This Row],[Code
(PAP)]],[1]Sheet1!$A:$AO,15,FALSE)</f>
        <v>45328</v>
      </c>
      <c r="P24" s="387" t="str">
        <f>IF(OR(Complete[[#This Row],[Post Qual]]="",Complete[[#This Row],[Sub/Open of Bids]]=""), "",IFERROR(Complete[[#This Row],[Post Qual]]-Complete[[#This Row],[Sub/Open of Bids]],""))</f>
        <v/>
      </c>
      <c r="Q24" s="387">
        <f>IF(OR(Complete[[#This Row],[Date of BAC Resolution Recommending Award]]="",Complete[[#This Row],[Sub/Open of Bids]]=""), "",IFERROR(Complete[[#This Row],[Date of BAC Resolution Recommending Award]]-Complete[[#This Row],[Sub/Open of Bids]],""))</f>
        <v>6</v>
      </c>
      <c r="R24" s="387">
        <f>IF(OR(Complete[[#This Row],[Date of BAC Resolution Recommending Award]]="",Complete[[#This Row],[Ads/Post of IB]]=""),"",IFERROR(Complete[[#This Row],[Date of BAC Resolution Recommending Award]]-Complete[[#This Row],[Ads/Post of IB]],""))</f>
        <v>10</v>
      </c>
      <c r="S24" s="576">
        <v>45334</v>
      </c>
      <c r="T24" s="576">
        <f>VLOOKUP(Complete[[#This Row],[Code
(PAP)]],[1]Sheet1!$A:$AO,20,FALSE)</f>
        <v>45336</v>
      </c>
      <c r="U24" s="576">
        <f>VLOOKUP(Complete[[#This Row],[Code
(PAP)]],[1]Sheet1!$A:$AO,21,FALSE)</f>
        <v>45341</v>
      </c>
      <c r="V24" s="387">
        <f>IF(OR(Complete[[#This Row],[Notice to Proceed]]="", Complete[[#This Row],[Notice of Award]]=""),"",IFERROR(Complete[[#This Row],[Notice to Proceed]]-Complete[[#This Row],[Notice of Award]],""))</f>
        <v>7</v>
      </c>
      <c r="W24" s="387">
        <f>IF(OR(Complete[[#This Row],[Notice to Proceed]]="", Complete[[#This Row],[Ads/Post of IB]]=""),"",IFERROR(Complete[[#This Row],[Notice to Proceed]]-Complete[[#This Row],[Ads/Post of IB]],""))</f>
        <v>23</v>
      </c>
      <c r="X24" s="392">
        <f>VLOOKUP(Complete[[#This Row],[Code
(PAP)]],[1]Sheet1!$A:$AO,24,FALSE)</f>
        <v>45350</v>
      </c>
      <c r="Y24" s="392">
        <f>Complete[[#This Row],[Delivery/ Completion]]</f>
        <v>45350</v>
      </c>
      <c r="Z24" s="610" t="s">
        <v>1478</v>
      </c>
      <c r="AA24" s="462">
        <f>Complete[[#This Row],[MOOE]]+Complete[[#This Row],[CO]]</f>
        <v>29538</v>
      </c>
      <c r="AB24" s="463">
        <v>29538</v>
      </c>
      <c r="AC24" s="497"/>
      <c r="AD24" s="498">
        <f>IF(Complete[[#This Row],[Procurement Project]]="","",SUM(Complete[[#This Row],[MOOE2]]+Complete[[#This Row],[CO3]]))</f>
        <v>29034</v>
      </c>
      <c r="AE24" s="499">
        <v>29034</v>
      </c>
      <c r="AF24" s="541"/>
      <c r="AG24" s="400">
        <f>IF(OR(AA24=0,AD24=0,AA24="",AD24=""),"-",(AA24-AD24)/AA24)</f>
        <v>1.7062766605728214E-2</v>
      </c>
      <c r="AH24" s="380" t="s">
        <v>1205</v>
      </c>
      <c r="AI24" s="576" t="str">
        <f>VLOOKUP(Complete[[#This Row],[Code
(PAP)]],[1]Sheet1!$A:$AO,35,FALSE)</f>
        <v>N/A</v>
      </c>
      <c r="AJ24" s="576" t="str">
        <f>VLOOKUP(Complete[[#This Row],[Code
(PAP)]],[1]Sheet1!$A:$AO,36,FALSE)</f>
        <v>N/A</v>
      </c>
      <c r="AK24" s="576" t="str">
        <f>VLOOKUP(Complete[[#This Row],[Code
(PAP)]],[1]Sheet1!$A:$AO,37,FALSE)</f>
        <v>N/A</v>
      </c>
      <c r="AL24" s="576" t="str">
        <f>VLOOKUP(Complete[[#This Row],[Code
(PAP)]],[1]Sheet1!$A:$AO,38,FALSE)</f>
        <v>N/A</v>
      </c>
      <c r="AM24" s="576" t="str">
        <f>VLOOKUP(Complete[[#This Row],[Code
(PAP)]],[1]Sheet1!$A:$AO,38,FALSE)</f>
        <v>N/A</v>
      </c>
      <c r="AN24" s="595" t="s">
        <v>713</v>
      </c>
      <c r="AO24" s="303" t="s">
        <v>139</v>
      </c>
      <c r="AP24" s="389" t="b">
        <f>IF(ISBLANK(E24),"",IF(AO24="Cancelled","Cancelled",IF(AND(G24="N/A",I24="N/A",J24="N/A",K24="N/A",M24="N/A",N24="N/A",O24="N/A",S24="N/A"),"Pre-Proc",IF(AND(I24="N/A",J24="N/A",K24="",M24="N/A",N24="N/A",O24="N/A",S24="N/A"),"Posting of IB",IF(AND(J24="N/A",K24="N/A",M24="N/A",N24="N/A",O24="N/A",S24="N/A"),"Pre-Bid",IF(AND(K24="N/A",M24="N/A",N24="N/A",O24="N/A",S24="N/A"),"Eligibility Check",IF(AND(M24="N/A",N24="N/A",O24="N/A",S24="N/A"),"Opening of Bids",IF(AND(N24="N/A",O24="N/A",S24="N/A"),"Bid Evaluation",IF(AND(O24="N/A",S24="N/A"),"Post Qualification",IF(AND(S24="N/A"),"BAC Reso",IF(AND(T24="N/A",U24="N/A"),"NOA")))))))))))</f>
        <v>0</v>
      </c>
      <c r="AQ24" s="389" t="b">
        <f>IF(ISBLANK(E24),"",IF(OR(AP24="Post Qualification",AP24="Opening of Bids", AP24="Posting of IB",AP24="Bid Evaluation",AP24="Posting of IB", AP24="Pre-Bid",AP24="Eligibility Check",AP24="BAC Reso",AP24="Pre-Proc",AP24="NOA",AP24="Cancelled"),"Failed"))</f>
        <v>0</v>
      </c>
    </row>
    <row r="25" spans="1:43" s="224" customFormat="1" ht="75" customHeight="1" x14ac:dyDescent="0.25">
      <c r="A25" s="385" t="s">
        <v>205</v>
      </c>
      <c r="B25" s="406" t="str">
        <f>VLOOKUP(Complete[[#This Row],[Code
(PAP)]],[1]Sheet1!$A:$AO,2,FALSE)</f>
        <v>VARIOUS CONSTRUCTION SUPPLY</v>
      </c>
      <c r="C25" s="408" t="str">
        <f>VLOOKUP(Complete[[#This Row],[Code
(PAP)]],[1]Sheet1!$A:$AO,3,FALSE)</f>
        <v>PGSO</v>
      </c>
      <c r="D25" s="380" t="s">
        <v>712</v>
      </c>
      <c r="E25" s="409" t="str">
        <f>VLOOKUP(Complete[[#This Row],[Code
(PAP)]],[2]Sheet1!$A:$AO,5,FALSE)</f>
        <v>Competitive Bidding</v>
      </c>
      <c r="F25" s="393" t="str">
        <f>VLOOKUP(Complete[[#This Row],[Code
(PAP)]],[1]Sheet1!$A:$AO,6,FALSE)</f>
        <v>N/A</v>
      </c>
      <c r="G25" s="393">
        <f>VLOOKUP(Complete[[#This Row],[Code
(PAP)]],[1]Sheet1!$A:$AO,7,FALSE)</f>
        <v>45271</v>
      </c>
      <c r="H25" s="374"/>
      <c r="I25" s="394">
        <f>VLOOKUP(Complete[[#This Row],[Code
(PAP)]],[1]Sheet1!$A:$AO,9,FALSE)</f>
        <v>45279</v>
      </c>
      <c r="J25" s="393">
        <f>VLOOKUP(Complete[[#This Row],[Code
(PAP)]],[1]Sheet1!$A:$AO,10,FALSE)</f>
        <v>45300</v>
      </c>
      <c r="K25" s="393">
        <f>VLOOKUP(Complete[[#This Row],[Code
(PAP)]],[1]Sheet1!$A:$AO,11,FALSE)</f>
        <v>45300</v>
      </c>
      <c r="L25" s="387"/>
      <c r="M25" s="393">
        <f>VLOOKUP(Complete[[#This Row],[Code
(PAP)]],[1]Sheet1!$A:$AO,13,FALSE)</f>
        <v>45300</v>
      </c>
      <c r="N25" s="393">
        <f>VLOOKUP(Complete[[#This Row],[Code
(PAP)]],[1]Sheet1!$A:$AO,14,FALSE)</f>
        <v>45310</v>
      </c>
      <c r="O25" s="393">
        <f>VLOOKUP(Complete[[#This Row],[Code
(PAP)]],[1]Sheet1!$A:$AO,15,FALSE)</f>
        <v>45328</v>
      </c>
      <c r="P25" s="387"/>
      <c r="Q25" s="387"/>
      <c r="R25" s="387"/>
      <c r="S25" s="576">
        <f>VLOOKUP(Complete[[#This Row],[Code
(PAP)]],[1]Sheet1!$A:$AO,19,FALSE)</f>
        <v>45336</v>
      </c>
      <c r="T25" s="576">
        <f>VLOOKUP(Complete[[#This Row],[Code
(PAP)]],[1]Sheet1!$A:$AO,20,FALSE)</f>
        <v>45336</v>
      </c>
      <c r="U25" s="576">
        <f>VLOOKUP(Complete[[#This Row],[Code
(PAP)]],[1]Sheet1!$A:$AO,21,FALSE)</f>
        <v>45345</v>
      </c>
      <c r="V25" s="387"/>
      <c r="W25" s="387"/>
      <c r="X25" s="392">
        <v>45469</v>
      </c>
      <c r="Y25" s="392">
        <f>Complete[[#This Row],[Delivery/ Completion]]</f>
        <v>45469</v>
      </c>
      <c r="Z25" s="610" t="s">
        <v>1478</v>
      </c>
      <c r="AA25" s="462">
        <f>Complete[[#This Row],[MOOE]]+Complete[[#This Row],[CO]]</f>
        <v>1606988.6</v>
      </c>
      <c r="AB25" s="466"/>
      <c r="AC25" s="497">
        <v>1606988.6</v>
      </c>
      <c r="AD25" s="498">
        <f>IF(Complete[[#This Row],[Procurement Project]]="","",SUM(Complete[[#This Row],[MOOE2]]+Complete[[#This Row],[CO3]]))</f>
        <v>1605527</v>
      </c>
      <c r="AE25" s="501"/>
      <c r="AF25" s="541">
        <v>1605527</v>
      </c>
      <c r="AG25" s="400"/>
      <c r="AH25" s="380" t="s">
        <v>1205</v>
      </c>
      <c r="AI25" s="576">
        <f>VLOOKUP(Complete[[#This Row],[Code
(PAP)]],[1]Sheet1!$A:$AO,35,FALSE)</f>
        <v>45278</v>
      </c>
      <c r="AJ25" s="576">
        <f>VLOOKUP(Complete[[#This Row],[Code
(PAP)]],[1]Sheet1!$A:$AO,36,FALSE)</f>
        <v>45293</v>
      </c>
      <c r="AK25" s="576">
        <f>VLOOKUP(Complete[[#This Row],[Code
(PAP)]],[1]Sheet1!$A:$AO,37,FALSE)</f>
        <v>45293</v>
      </c>
      <c r="AL25" s="576">
        <f>VLOOKUP(Complete[[#This Row],[Code
(PAP)]],[1]Sheet1!$A:$AO,38,FALSE)</f>
        <v>45293</v>
      </c>
      <c r="AM25" s="576">
        <f>VLOOKUP(Complete[[#This Row],[Code
(PAP)]],[1]Sheet1!$A:$AO,38,FALSE)</f>
        <v>45293</v>
      </c>
      <c r="AN25" s="595" t="s">
        <v>713</v>
      </c>
      <c r="AO25" s="303" t="s">
        <v>139</v>
      </c>
      <c r="AP25" s="389"/>
      <c r="AQ25" s="389"/>
    </row>
    <row r="26" spans="1:43" s="224" customFormat="1" ht="75" customHeight="1" x14ac:dyDescent="0.25">
      <c r="A26" s="385" t="s">
        <v>206</v>
      </c>
      <c r="B26" s="406" t="str">
        <f>VLOOKUP(Complete[[#This Row],[Code
(PAP)]],[1]Sheet1!$A:$AO,2,FALSE)</f>
        <v xml:space="preserve">JOB ORDER (LABOR &amp; MATERIALS) </v>
      </c>
      <c r="C26" s="408" t="str">
        <f>VLOOKUP(Complete[[#This Row],[Code
(PAP)]],[1]Sheet1!$A:$AO,3,FALSE)</f>
        <v>PDRRMO</v>
      </c>
      <c r="D26" s="380" t="s">
        <v>712</v>
      </c>
      <c r="E26" s="409" t="str">
        <f>VLOOKUP(Complete[[#This Row],[Code
(PAP)]],[2]Sheet1!$A:$AO,5,FALSE)</f>
        <v>NP-53.1 Two Failed Biddings</v>
      </c>
      <c r="F26" s="393" t="str">
        <f>VLOOKUP(Complete[[#This Row],[Code
(PAP)]],[1]Sheet1!$A:$AO,6,FALSE)</f>
        <v>N/A</v>
      </c>
      <c r="G26" s="393">
        <f>VLOOKUP(Complete[[#This Row],[Code
(PAP)]],[1]Sheet1!$A:$AO,7,FALSE)</f>
        <v>45316</v>
      </c>
      <c r="H26" s="374"/>
      <c r="I26" s="394" t="str">
        <f>VLOOKUP(Complete[[#This Row],[Code
(PAP)]],[1]Sheet1!$A:$AO,9,FALSE)</f>
        <v>N/A</v>
      </c>
      <c r="J26" s="393">
        <f>VLOOKUP(Complete[[#This Row],[Code
(PAP)]],[1]Sheet1!$A:$AO,10,FALSE)</f>
        <v>45330</v>
      </c>
      <c r="K26" s="393">
        <f>VLOOKUP(Complete[[#This Row],[Code
(PAP)]],[1]Sheet1!$A:$AO,11,FALSE)</f>
        <v>45330</v>
      </c>
      <c r="L26" s="387"/>
      <c r="M26" s="393" t="str">
        <f>VLOOKUP(Complete[[#This Row],[Code
(PAP)]],[1]Sheet1!$A:$AO,13,FALSE)</f>
        <v>N/A</v>
      </c>
      <c r="N26" s="393" t="str">
        <f>VLOOKUP(Complete[[#This Row],[Code
(PAP)]],[1]Sheet1!$A:$AO,14,FALSE)</f>
        <v>N/A</v>
      </c>
      <c r="O26" s="393">
        <f>VLOOKUP(Complete[[#This Row],[Code
(PAP)]],[1]Sheet1!$A:$AO,15,FALSE)</f>
        <v>45330</v>
      </c>
      <c r="P26" s="387"/>
      <c r="Q26" s="387"/>
      <c r="R26" s="387"/>
      <c r="S26" s="576">
        <f>VLOOKUP(Complete[[#This Row],[Code
(PAP)]],[1]Sheet1!$A:$AO,19,FALSE)</f>
        <v>45337</v>
      </c>
      <c r="T26" s="576">
        <f>VLOOKUP(Complete[[#This Row],[Code
(PAP)]],[1]Sheet1!$A:$AO,20,FALSE)</f>
        <v>45348</v>
      </c>
      <c r="U26" s="576">
        <f>VLOOKUP(Complete[[#This Row],[Code
(PAP)]],[1]Sheet1!$A:$AO,21,FALSE)</f>
        <v>45351</v>
      </c>
      <c r="V26" s="387"/>
      <c r="W26" s="387"/>
      <c r="X26" s="392">
        <v>45391</v>
      </c>
      <c r="Y26" s="392">
        <f>Complete[[#This Row],[Delivery/ Completion]]</f>
        <v>45391</v>
      </c>
      <c r="Z26" s="610" t="s">
        <v>1478</v>
      </c>
      <c r="AA26" s="462">
        <f>Complete[[#This Row],[MOOE]]+Complete[[#This Row],[CO]]</f>
        <v>217926.65</v>
      </c>
      <c r="AB26" s="466"/>
      <c r="AC26" s="497">
        <v>217926.65</v>
      </c>
      <c r="AD26" s="498">
        <f>IF(Complete[[#This Row],[Procurement Project]]="","",SUM(Complete[[#This Row],[MOOE2]]+Complete[[#This Row],[CO3]]))</f>
        <v>217925.5</v>
      </c>
      <c r="AE26" s="501"/>
      <c r="AF26" s="541">
        <v>217925.5</v>
      </c>
      <c r="AG26" s="400"/>
      <c r="AH26" s="380" t="s">
        <v>1205</v>
      </c>
      <c r="AI26" s="576" t="str">
        <f>VLOOKUP(Complete[[#This Row],[Code
(PAP)]],[1]Sheet1!$A:$AO,35,FALSE)</f>
        <v>N/A</v>
      </c>
      <c r="AJ26" s="576" t="str">
        <f>VLOOKUP(Complete[[#This Row],[Code
(PAP)]],[1]Sheet1!$A:$AO,36,FALSE)</f>
        <v>N/A</v>
      </c>
      <c r="AK26" s="576" t="str">
        <f>VLOOKUP(Complete[[#This Row],[Code
(PAP)]],[1]Sheet1!$A:$AO,37,FALSE)</f>
        <v>N/A</v>
      </c>
      <c r="AL26" s="576" t="str">
        <f>VLOOKUP(Complete[[#This Row],[Code
(PAP)]],[1]Sheet1!$A:$AO,38,FALSE)</f>
        <v>N/A</v>
      </c>
      <c r="AM26" s="576" t="str">
        <f>VLOOKUP(Complete[[#This Row],[Code
(PAP)]],[1]Sheet1!$A:$AO,38,FALSE)</f>
        <v>N/A</v>
      </c>
      <c r="AN26" s="595" t="s">
        <v>713</v>
      </c>
      <c r="AO26" s="303" t="s">
        <v>139</v>
      </c>
      <c r="AP26" s="389"/>
      <c r="AQ26" s="389"/>
    </row>
    <row r="27" spans="1:43" s="224" customFormat="1" ht="75" customHeight="1" x14ac:dyDescent="0.25">
      <c r="A27" s="385" t="s">
        <v>207</v>
      </c>
      <c r="B27" s="406" t="str">
        <f>VLOOKUP(Complete[[#This Row],[Code
(PAP)]],[1]Sheet1!$A:$AO,2,FALSE)</f>
        <v>HYGIENE KITS</v>
      </c>
      <c r="C27" s="408" t="str">
        <f>VLOOKUP(Complete[[#This Row],[Code
(PAP)]],[1]Sheet1!$A:$AO,3,FALSE)</f>
        <v>PDRRMO</v>
      </c>
      <c r="D27" s="380" t="s">
        <v>712</v>
      </c>
      <c r="E27" s="409" t="str">
        <f>VLOOKUP(Complete[[#This Row],[Code
(PAP)]],[2]Sheet1!$A:$AO,5,FALSE)</f>
        <v>NP-53.2 Emergency Cases</v>
      </c>
      <c r="F27" s="393">
        <f>VLOOKUP(Complete[[#This Row],[Code
(PAP)]],[1]Sheet1!$A:$AO,6,FALSE)</f>
        <v>45328</v>
      </c>
      <c r="G27" s="393">
        <f>VLOOKUP(Complete[[#This Row],[Code
(PAP)]],[1]Sheet1!$A:$AO,7,FALSE)</f>
        <v>45329</v>
      </c>
      <c r="H27" s="374"/>
      <c r="I27" s="394" t="str">
        <f>VLOOKUP(Complete[[#This Row],[Code
(PAP)]],[1]Sheet1!$A:$AO,9,FALSE)</f>
        <v>N/A</v>
      </c>
      <c r="J27" s="393">
        <f>VLOOKUP(Complete[[#This Row],[Code
(PAP)]],[1]Sheet1!$A:$AO,10,FALSE)</f>
        <v>45330</v>
      </c>
      <c r="K27" s="393">
        <f>VLOOKUP(Complete[[#This Row],[Code
(PAP)]],[1]Sheet1!$A:$AO,11,FALSE)</f>
        <v>45330</v>
      </c>
      <c r="L27" s="387"/>
      <c r="M27" s="393" t="str">
        <f>VLOOKUP(Complete[[#This Row],[Code
(PAP)]],[1]Sheet1!$A:$AO,13,FALSE)</f>
        <v>N/A</v>
      </c>
      <c r="N27" s="393" t="str">
        <f>VLOOKUP(Complete[[#This Row],[Code
(PAP)]],[1]Sheet1!$A:$AO,14,FALSE)</f>
        <v>N/A</v>
      </c>
      <c r="O27" s="393">
        <f>VLOOKUP(Complete[[#This Row],[Code
(PAP)]],[1]Sheet1!$A:$AO,15,FALSE)</f>
        <v>45330</v>
      </c>
      <c r="P27" s="387"/>
      <c r="Q27" s="387"/>
      <c r="R27" s="387"/>
      <c r="S27" s="576">
        <f>VLOOKUP(Complete[[#This Row],[Code
(PAP)]],[1]Sheet1!$A:$AO,19,FALSE)</f>
        <v>45330</v>
      </c>
      <c r="T27" s="576">
        <f>VLOOKUP(Complete[[#This Row],[Code
(PAP)]],[1]Sheet1!$A:$AO,20,FALSE)</f>
        <v>45330</v>
      </c>
      <c r="U27" s="576">
        <f>VLOOKUP(Complete[[#This Row],[Code
(PAP)]],[1]Sheet1!$A:$AO,21,FALSE)</f>
        <v>45330</v>
      </c>
      <c r="V27" s="387"/>
      <c r="W27" s="387"/>
      <c r="X27" s="392">
        <f>VLOOKUP(Complete[[#This Row],[Code
(PAP)]],[1]Sheet1!$A:$AO,24,FALSE)</f>
        <v>45332</v>
      </c>
      <c r="Y27" s="392">
        <f>Complete[[#This Row],[Delivery/ Completion]]</f>
        <v>45332</v>
      </c>
      <c r="Z27" s="610" t="s">
        <v>1478</v>
      </c>
      <c r="AA27" s="462">
        <f>Complete[[#This Row],[MOOE]]+Complete[[#This Row],[CO]]</f>
        <v>950625</v>
      </c>
      <c r="AB27" s="466"/>
      <c r="AC27" s="497">
        <v>950625</v>
      </c>
      <c r="AD27" s="498">
        <f>IF(Complete[[#This Row],[Procurement Project]]="","",SUM(Complete[[#This Row],[MOOE2]]+Complete[[#This Row],[CO3]]))</f>
        <v>929452.5</v>
      </c>
      <c r="AE27" s="501"/>
      <c r="AF27" s="541">
        <v>929452.5</v>
      </c>
      <c r="AG27" s="400"/>
      <c r="AH27" s="380" t="s">
        <v>1205</v>
      </c>
      <c r="AI27" s="576" t="str">
        <f>VLOOKUP(Complete[[#This Row],[Code
(PAP)]],[1]Sheet1!$A:$AO,35,FALSE)</f>
        <v>N/A</v>
      </c>
      <c r="AJ27" s="576" t="str">
        <f>VLOOKUP(Complete[[#This Row],[Code
(PAP)]],[1]Sheet1!$A:$AO,36,FALSE)</f>
        <v>N/A</v>
      </c>
      <c r="AK27" s="576" t="str">
        <f>VLOOKUP(Complete[[#This Row],[Code
(PAP)]],[1]Sheet1!$A:$AO,37,FALSE)</f>
        <v>N/A</v>
      </c>
      <c r="AL27" s="576" t="str">
        <f>VLOOKUP(Complete[[#This Row],[Code
(PAP)]],[1]Sheet1!$A:$AO,38,FALSE)</f>
        <v>N/A</v>
      </c>
      <c r="AM27" s="576" t="str">
        <f>VLOOKUP(Complete[[#This Row],[Code
(PAP)]],[1]Sheet1!$A:$AO,38,FALSE)</f>
        <v>N/A</v>
      </c>
      <c r="AN27" s="595" t="s">
        <v>713</v>
      </c>
      <c r="AO27" s="303" t="s">
        <v>139</v>
      </c>
      <c r="AP27" s="389"/>
      <c r="AQ27" s="389"/>
    </row>
    <row r="28" spans="1:43" s="224" customFormat="1" ht="75" customHeight="1" x14ac:dyDescent="0.25">
      <c r="A28" s="385" t="s">
        <v>208</v>
      </c>
      <c r="B28" s="406" t="str">
        <f>VLOOKUP(Complete[[#This Row],[Code
(PAP)]],[1]Sheet1!$A:$AO,2,FALSE)</f>
        <v>PACKED MEALS</v>
      </c>
      <c r="C28" s="408" t="str">
        <f>VLOOKUP(Complete[[#This Row],[Code
(PAP)]],[1]Sheet1!$A:$AO,3,FALSE)</f>
        <v>PDRRMO</v>
      </c>
      <c r="D28" s="380" t="s">
        <v>712</v>
      </c>
      <c r="E28" s="409" t="str">
        <f>VLOOKUP(Complete[[#This Row],[Code
(PAP)]],[2]Sheet1!$A:$AO,5,FALSE)</f>
        <v>NP-53.2 Emergency Cases</v>
      </c>
      <c r="F28" s="393" t="str">
        <f>VLOOKUP(Complete[[#This Row],[Code
(PAP)]],[1]Sheet1!$A:$AO,6,FALSE)</f>
        <v>N/A</v>
      </c>
      <c r="G28" s="393">
        <f>VLOOKUP(Complete[[#This Row],[Code
(PAP)]],[1]Sheet1!$A:$AO,7,FALSE)</f>
        <v>45322</v>
      </c>
      <c r="H28" s="374"/>
      <c r="I28" s="394" t="str">
        <f>VLOOKUP(Complete[[#This Row],[Code
(PAP)]],[1]Sheet1!$A:$AO,9,FALSE)</f>
        <v>N/A</v>
      </c>
      <c r="J28" s="393">
        <f>VLOOKUP(Complete[[#This Row],[Code
(PAP)]],[1]Sheet1!$A:$AO,10,FALSE)</f>
        <v>45322</v>
      </c>
      <c r="K28" s="393">
        <f>VLOOKUP(Complete[[#This Row],[Code
(PAP)]],[1]Sheet1!$A:$AO,11,FALSE)</f>
        <v>45322</v>
      </c>
      <c r="L28" s="387"/>
      <c r="M28" s="393" t="str">
        <f>VLOOKUP(Complete[[#This Row],[Code
(PAP)]],[1]Sheet1!$A:$AO,13,FALSE)</f>
        <v>N/A</v>
      </c>
      <c r="N28" s="393" t="str">
        <f>VLOOKUP(Complete[[#This Row],[Code
(PAP)]],[1]Sheet1!$A:$AO,14,FALSE)</f>
        <v>N/A</v>
      </c>
      <c r="O28" s="393">
        <f>VLOOKUP(Complete[[#This Row],[Code
(PAP)]],[1]Sheet1!$A:$AO,15,FALSE)</f>
        <v>45323</v>
      </c>
      <c r="P28" s="387"/>
      <c r="Q28" s="387"/>
      <c r="R28" s="387"/>
      <c r="S28" s="576">
        <f>VLOOKUP(Complete[[#This Row],[Code
(PAP)]],[1]Sheet1!$A:$AO,19,FALSE)</f>
        <v>45323</v>
      </c>
      <c r="T28" s="576">
        <f>VLOOKUP(Complete[[#This Row],[Code
(PAP)]],[1]Sheet1!$A:$AO,20,FALSE)</f>
        <v>45323</v>
      </c>
      <c r="U28" s="576">
        <f>VLOOKUP(Complete[[#This Row],[Code
(PAP)]],[1]Sheet1!$A:$AO,21,FALSE)</f>
        <v>45323</v>
      </c>
      <c r="V28" s="387"/>
      <c r="W28" s="387"/>
      <c r="X28" s="392">
        <f>VLOOKUP(Complete[[#This Row],[Code
(PAP)]],[1]Sheet1!$A:$AO,24,FALSE)</f>
        <v>45378</v>
      </c>
      <c r="Y28" s="392">
        <f>Complete[[#This Row],[Delivery/ Completion]]</f>
        <v>45378</v>
      </c>
      <c r="Z28" s="610" t="s">
        <v>1478</v>
      </c>
      <c r="AA28" s="462">
        <f>Complete[[#This Row],[MOOE]]+Complete[[#This Row],[CO]]</f>
        <v>595000</v>
      </c>
      <c r="AB28" s="466"/>
      <c r="AC28" s="497">
        <v>595000</v>
      </c>
      <c r="AD28" s="498">
        <f>IF(Complete[[#This Row],[Procurement Project]]="","",SUM(Complete[[#This Row],[MOOE2]]+Complete[[#This Row],[CO3]]))</f>
        <v>595000</v>
      </c>
      <c r="AE28" s="501"/>
      <c r="AF28" s="541">
        <v>595000</v>
      </c>
      <c r="AG28" s="400"/>
      <c r="AH28" s="380" t="s">
        <v>1205</v>
      </c>
      <c r="AI28" s="576" t="str">
        <f>VLOOKUP(Complete[[#This Row],[Code
(PAP)]],[1]Sheet1!$A:$AO,35,FALSE)</f>
        <v>N/A</v>
      </c>
      <c r="AJ28" s="576" t="str">
        <f>VLOOKUP(Complete[[#This Row],[Code
(PAP)]],[1]Sheet1!$A:$AO,36,FALSE)</f>
        <v>N/A</v>
      </c>
      <c r="AK28" s="576" t="str">
        <f>VLOOKUP(Complete[[#This Row],[Code
(PAP)]],[1]Sheet1!$A:$AO,37,FALSE)</f>
        <v>N/A</v>
      </c>
      <c r="AL28" s="576" t="str">
        <f>VLOOKUP(Complete[[#This Row],[Code
(PAP)]],[1]Sheet1!$A:$AO,38,FALSE)</f>
        <v>N/A</v>
      </c>
      <c r="AM28" s="576" t="str">
        <f>VLOOKUP(Complete[[#This Row],[Code
(PAP)]],[1]Sheet1!$A:$AO,38,FALSE)</f>
        <v>N/A</v>
      </c>
      <c r="AN28" s="595" t="s">
        <v>713</v>
      </c>
      <c r="AO28" s="303" t="s">
        <v>139</v>
      </c>
      <c r="AP28" s="389"/>
      <c r="AQ28" s="389"/>
    </row>
    <row r="29" spans="1:43" s="224" customFormat="1" ht="75" customHeight="1" x14ac:dyDescent="0.25">
      <c r="A29" s="385" t="s">
        <v>209</v>
      </c>
      <c r="B29" s="406" t="str">
        <f>VLOOKUP(Complete[[#This Row],[Code
(PAP)]],[1]Sheet1!$A:$AO,2,FALSE)</f>
        <v>FOOD SUPPLIES-DRY GOODS</v>
      </c>
      <c r="C29" s="408" t="str">
        <f>VLOOKUP(Complete[[#This Row],[Code
(PAP)]],[1]Sheet1!$A:$AO,3,FALSE)</f>
        <v>PDRRMO</v>
      </c>
      <c r="D29" s="380" t="s">
        <v>712</v>
      </c>
      <c r="E29" s="409" t="str">
        <f>VLOOKUP(Complete[[#This Row],[Code
(PAP)]],[2]Sheet1!$A:$AO,5,FALSE)</f>
        <v>NP-53.2 Emergency Cases</v>
      </c>
      <c r="F29" s="393" t="str">
        <f>VLOOKUP(Complete[[#This Row],[Code
(PAP)]],[1]Sheet1!$A:$AO,6,FALSE)</f>
        <v>N/A</v>
      </c>
      <c r="G29" s="393">
        <f>VLOOKUP(Complete[[#This Row],[Code
(PAP)]],[1]Sheet1!$A:$AO,7,FALSE)</f>
        <v>45322</v>
      </c>
      <c r="H29" s="374"/>
      <c r="I29" s="394" t="str">
        <f>VLOOKUP(Complete[[#This Row],[Code
(PAP)]],[1]Sheet1!$A:$AO,9,FALSE)</f>
        <v>N/A</v>
      </c>
      <c r="J29" s="393">
        <f>VLOOKUP(Complete[[#This Row],[Code
(PAP)]],[1]Sheet1!$A:$AO,10,FALSE)</f>
        <v>45322</v>
      </c>
      <c r="K29" s="393">
        <f>VLOOKUP(Complete[[#This Row],[Code
(PAP)]],[1]Sheet1!$A:$AO,11,FALSE)</f>
        <v>45322</v>
      </c>
      <c r="L29" s="387"/>
      <c r="M29" s="393" t="str">
        <f>VLOOKUP(Complete[[#This Row],[Code
(PAP)]],[1]Sheet1!$A:$AO,13,FALSE)</f>
        <v>N/A</v>
      </c>
      <c r="N29" s="393" t="str">
        <f>VLOOKUP(Complete[[#This Row],[Code
(PAP)]],[1]Sheet1!$A:$AO,14,FALSE)</f>
        <v>N/A</v>
      </c>
      <c r="O29" s="393">
        <f>VLOOKUP(Complete[[#This Row],[Code
(PAP)]],[1]Sheet1!$A:$AO,15,FALSE)</f>
        <v>45323</v>
      </c>
      <c r="P29" s="387"/>
      <c r="Q29" s="387"/>
      <c r="R29" s="387"/>
      <c r="S29" s="576">
        <f>VLOOKUP(Complete[[#This Row],[Code
(PAP)]],[1]Sheet1!$A:$AO,19,FALSE)</f>
        <v>45323</v>
      </c>
      <c r="T29" s="576">
        <f>VLOOKUP(Complete[[#This Row],[Code
(PAP)]],[1]Sheet1!$A:$AO,20,FALSE)</f>
        <v>45323</v>
      </c>
      <c r="U29" s="576">
        <f>VLOOKUP(Complete[[#This Row],[Code
(PAP)]],[1]Sheet1!$A:$AO,21,FALSE)</f>
        <v>45323</v>
      </c>
      <c r="V29" s="387"/>
      <c r="W29" s="387"/>
      <c r="X29" s="392">
        <f>VLOOKUP(Complete[[#This Row],[Code
(PAP)]],[1]Sheet1!$A:$AO,24,FALSE)</f>
        <v>45325</v>
      </c>
      <c r="Y29" s="392">
        <f>Complete[[#This Row],[Delivery/ Completion]]</f>
        <v>45325</v>
      </c>
      <c r="Z29" s="610" t="s">
        <v>1478</v>
      </c>
      <c r="AA29" s="462">
        <f>Complete[[#This Row],[MOOE]]+Complete[[#This Row],[CO]]</f>
        <v>3098368</v>
      </c>
      <c r="AB29" s="466"/>
      <c r="AC29" s="497">
        <v>3098368</v>
      </c>
      <c r="AD29" s="498">
        <f>IF(Complete[[#This Row],[Procurement Project]]="","",SUM(Complete[[#This Row],[MOOE2]]+Complete[[#This Row],[CO3]]))</f>
        <v>3070984</v>
      </c>
      <c r="AE29" s="501"/>
      <c r="AF29" s="541">
        <v>3070984</v>
      </c>
      <c r="AG29" s="400"/>
      <c r="AH29" s="380" t="s">
        <v>1205</v>
      </c>
      <c r="AI29" s="576" t="str">
        <f>VLOOKUP(Complete[[#This Row],[Code
(PAP)]],[1]Sheet1!$A:$AO,35,FALSE)</f>
        <v>N/A</v>
      </c>
      <c r="AJ29" s="576" t="str">
        <f>VLOOKUP(Complete[[#This Row],[Code
(PAP)]],[1]Sheet1!$A:$AO,36,FALSE)</f>
        <v>N/A</v>
      </c>
      <c r="AK29" s="576" t="str">
        <f>VLOOKUP(Complete[[#This Row],[Code
(PAP)]],[1]Sheet1!$A:$AO,37,FALSE)</f>
        <v>N/A</v>
      </c>
      <c r="AL29" s="576" t="str">
        <f>VLOOKUP(Complete[[#This Row],[Code
(PAP)]],[1]Sheet1!$A:$AO,38,FALSE)</f>
        <v>N/A</v>
      </c>
      <c r="AM29" s="576" t="str">
        <f>VLOOKUP(Complete[[#This Row],[Code
(PAP)]],[1]Sheet1!$A:$AO,38,FALSE)</f>
        <v>N/A</v>
      </c>
      <c r="AN29" s="595" t="s">
        <v>713</v>
      </c>
      <c r="AO29" s="303" t="s">
        <v>139</v>
      </c>
      <c r="AP29" s="389"/>
      <c r="AQ29" s="389"/>
    </row>
    <row r="30" spans="1:43" s="224" customFormat="1" ht="75" customHeight="1" x14ac:dyDescent="0.25">
      <c r="A30" s="385" t="s">
        <v>210</v>
      </c>
      <c r="B30" s="406" t="str">
        <f>VLOOKUP(Complete[[#This Row],[Code
(PAP)]],[1]Sheet1!$A:$AO,2,FALSE)</f>
        <v>FOOD SUPPLIES - DRY GOODS</v>
      </c>
      <c r="C30" s="408" t="str">
        <f>VLOOKUP(Complete[[#This Row],[Code
(PAP)]],[1]Sheet1!$A:$AO,3,FALSE)</f>
        <v>PDRRMO</v>
      </c>
      <c r="D30" s="380" t="s">
        <v>712</v>
      </c>
      <c r="E30" s="409" t="str">
        <f>VLOOKUP(Complete[[#This Row],[Code
(PAP)]],[2]Sheet1!$A:$AO,5,FALSE)</f>
        <v>NP-53.2 Emergency Cases</v>
      </c>
      <c r="F30" s="393" t="str">
        <f>VLOOKUP(Complete[[#This Row],[Code
(PAP)]],[1]Sheet1!$A:$AO,6,FALSE)</f>
        <v>N/A</v>
      </c>
      <c r="G30" s="393">
        <f>VLOOKUP(Complete[[#This Row],[Code
(PAP)]],[1]Sheet1!$A:$AO,7,FALSE)</f>
        <v>45322</v>
      </c>
      <c r="H30" s="374"/>
      <c r="I30" s="394" t="str">
        <f>VLOOKUP(Complete[[#This Row],[Code
(PAP)]],[1]Sheet1!$A:$AO,9,FALSE)</f>
        <v>N/A</v>
      </c>
      <c r="J30" s="393">
        <f>VLOOKUP(Complete[[#This Row],[Code
(PAP)]],[1]Sheet1!$A:$AO,10,FALSE)</f>
        <v>45323</v>
      </c>
      <c r="K30" s="393">
        <f>VLOOKUP(Complete[[#This Row],[Code
(PAP)]],[1]Sheet1!$A:$AO,11,FALSE)</f>
        <v>45323</v>
      </c>
      <c r="L30" s="387"/>
      <c r="M30" s="393" t="str">
        <f>VLOOKUP(Complete[[#This Row],[Code
(PAP)]],[1]Sheet1!$A:$AO,13,FALSE)</f>
        <v>N/A</v>
      </c>
      <c r="N30" s="393" t="str">
        <f>VLOOKUP(Complete[[#This Row],[Code
(PAP)]],[1]Sheet1!$A:$AO,14,FALSE)</f>
        <v>N/A</v>
      </c>
      <c r="O30" s="393">
        <f>VLOOKUP(Complete[[#This Row],[Code
(PAP)]],[1]Sheet1!$A:$AO,15,FALSE)</f>
        <v>45323</v>
      </c>
      <c r="P30" s="387"/>
      <c r="Q30" s="387"/>
      <c r="R30" s="387"/>
      <c r="S30" s="576">
        <f>VLOOKUP(Complete[[#This Row],[Code
(PAP)]],[1]Sheet1!$A:$AO,19,FALSE)</f>
        <v>45323</v>
      </c>
      <c r="T30" s="576">
        <f>VLOOKUP(Complete[[#This Row],[Code
(PAP)]],[1]Sheet1!$A:$AO,20,FALSE)</f>
        <v>45323</v>
      </c>
      <c r="U30" s="576">
        <f>VLOOKUP(Complete[[#This Row],[Code
(PAP)]],[1]Sheet1!$A:$AO,21,FALSE)</f>
        <v>45323</v>
      </c>
      <c r="V30" s="387"/>
      <c r="W30" s="387"/>
      <c r="X30" s="392">
        <f>VLOOKUP(Complete[[#This Row],[Code
(PAP)]],[1]Sheet1!$A:$AO,24,FALSE)</f>
        <v>45325</v>
      </c>
      <c r="Y30" s="392">
        <f>Complete[[#This Row],[Delivery/ Completion]]</f>
        <v>45325</v>
      </c>
      <c r="Z30" s="610" t="s">
        <v>1478</v>
      </c>
      <c r="AA30" s="462">
        <f>Complete[[#This Row],[MOOE]]+Complete[[#This Row],[CO]]</f>
        <v>1161888</v>
      </c>
      <c r="AB30" s="466"/>
      <c r="AC30" s="497">
        <v>1161888</v>
      </c>
      <c r="AD30" s="498">
        <f>IF(Complete[[#This Row],[Procurement Project]]="","",SUM(Complete[[#This Row],[MOOE2]]+Complete[[#This Row],[CO3]]))</f>
        <v>1151619</v>
      </c>
      <c r="AE30" s="501"/>
      <c r="AF30" s="541">
        <v>1151619</v>
      </c>
      <c r="AG30" s="400"/>
      <c r="AH30" s="380" t="s">
        <v>1205</v>
      </c>
      <c r="AI30" s="576" t="str">
        <f>VLOOKUP(Complete[[#This Row],[Code
(PAP)]],[1]Sheet1!$A:$AO,35,FALSE)</f>
        <v>N/A</v>
      </c>
      <c r="AJ30" s="576" t="str">
        <f>VLOOKUP(Complete[[#This Row],[Code
(PAP)]],[1]Sheet1!$A:$AO,36,FALSE)</f>
        <v>N/A</v>
      </c>
      <c r="AK30" s="576" t="str">
        <f>VLOOKUP(Complete[[#This Row],[Code
(PAP)]],[1]Sheet1!$A:$AO,37,FALSE)</f>
        <v>N/A</v>
      </c>
      <c r="AL30" s="576" t="str">
        <f>VLOOKUP(Complete[[#This Row],[Code
(PAP)]],[1]Sheet1!$A:$AO,38,FALSE)</f>
        <v>N/A</v>
      </c>
      <c r="AM30" s="576" t="str">
        <f>VLOOKUP(Complete[[#This Row],[Code
(PAP)]],[1]Sheet1!$A:$AO,38,FALSE)</f>
        <v>N/A</v>
      </c>
      <c r="AN30" s="595" t="s">
        <v>713</v>
      </c>
      <c r="AO30" s="303" t="s">
        <v>139</v>
      </c>
      <c r="AP30" s="389"/>
      <c r="AQ30" s="389"/>
    </row>
    <row r="31" spans="1:43" s="224" customFormat="1" ht="75" customHeight="1" x14ac:dyDescent="0.25">
      <c r="A31" s="385" t="s">
        <v>211</v>
      </c>
      <c r="B31" s="406" t="str">
        <f>VLOOKUP(Complete[[#This Row],[Code
(PAP)]],[1]Sheet1!$A:$AO,2,FALSE)</f>
        <v>FOOD SUPPLIES</v>
      </c>
      <c r="C31" s="408" t="str">
        <f>VLOOKUP(Complete[[#This Row],[Code
(PAP)]],[1]Sheet1!$A:$AO,3,FALSE)</f>
        <v>PDRRMO</v>
      </c>
      <c r="D31" s="380" t="s">
        <v>712</v>
      </c>
      <c r="E31" s="409" t="str">
        <f>VLOOKUP(Complete[[#This Row],[Code
(PAP)]],[2]Sheet1!$A:$AO,5,FALSE)</f>
        <v>NP-53.2 Emergency Cases</v>
      </c>
      <c r="F31" s="393">
        <f>VLOOKUP(Complete[[#This Row],[Code
(PAP)]],[1]Sheet1!$A:$AO,6,FALSE)</f>
        <v>45328</v>
      </c>
      <c r="G31" s="393">
        <f>VLOOKUP(Complete[[#This Row],[Code
(PAP)]],[1]Sheet1!$A:$AO,7,FALSE)</f>
        <v>45329</v>
      </c>
      <c r="H31" s="374"/>
      <c r="I31" s="394" t="str">
        <f>VLOOKUP(Complete[[#This Row],[Code
(PAP)]],[1]Sheet1!$A:$AO,9,FALSE)</f>
        <v>N/A</v>
      </c>
      <c r="J31" s="393">
        <f>VLOOKUP(Complete[[#This Row],[Code
(PAP)]],[1]Sheet1!$A:$AO,10,FALSE)</f>
        <v>45330</v>
      </c>
      <c r="K31" s="393">
        <f>VLOOKUP(Complete[[#This Row],[Code
(PAP)]],[1]Sheet1!$A:$AO,11,FALSE)</f>
        <v>45330</v>
      </c>
      <c r="L31" s="387"/>
      <c r="M31" s="393" t="str">
        <f>VLOOKUP(Complete[[#This Row],[Code
(PAP)]],[1]Sheet1!$A:$AO,13,FALSE)</f>
        <v>N/A</v>
      </c>
      <c r="N31" s="393" t="str">
        <f>VLOOKUP(Complete[[#This Row],[Code
(PAP)]],[1]Sheet1!$A:$AO,14,FALSE)</f>
        <v>N/A</v>
      </c>
      <c r="O31" s="393">
        <f>VLOOKUP(Complete[[#This Row],[Code
(PAP)]],[1]Sheet1!$A:$AO,15,FALSE)</f>
        <v>45330</v>
      </c>
      <c r="P31" s="387"/>
      <c r="Q31" s="387"/>
      <c r="R31" s="387"/>
      <c r="S31" s="576">
        <f>VLOOKUP(Complete[[#This Row],[Code
(PAP)]],[1]Sheet1!$A:$AO,19,FALSE)</f>
        <v>45331</v>
      </c>
      <c r="T31" s="576">
        <f>VLOOKUP(Complete[[#This Row],[Code
(PAP)]],[1]Sheet1!$A:$AO,20,FALSE)</f>
        <v>45334</v>
      </c>
      <c r="U31" s="576">
        <f>VLOOKUP(Complete[[#This Row],[Code
(PAP)]],[1]Sheet1!$A:$AO,21,FALSE)</f>
        <v>45334</v>
      </c>
      <c r="V31" s="387"/>
      <c r="W31" s="387"/>
      <c r="X31" s="392">
        <f>VLOOKUP(Complete[[#This Row],[Code
(PAP)]],[1]Sheet1!$A:$AO,24,FALSE)</f>
        <v>45335</v>
      </c>
      <c r="Y31" s="392">
        <f>Complete[[#This Row],[Delivery/ Completion]]</f>
        <v>45335</v>
      </c>
      <c r="Z31" s="610" t="s">
        <v>1478</v>
      </c>
      <c r="AA31" s="462">
        <f>Complete[[#This Row],[MOOE]]+Complete[[#This Row],[CO]]</f>
        <v>415690</v>
      </c>
      <c r="AB31" s="466"/>
      <c r="AC31" s="497">
        <v>415690</v>
      </c>
      <c r="AD31" s="498">
        <f>IF(Complete[[#This Row],[Procurement Project]]="","",SUM(Complete[[#This Row],[MOOE2]]+Complete[[#This Row],[CO3]]))</f>
        <v>413670</v>
      </c>
      <c r="AE31" s="501"/>
      <c r="AF31" s="541">
        <v>413670</v>
      </c>
      <c r="AG31" s="400"/>
      <c r="AH31" s="380" t="s">
        <v>1205</v>
      </c>
      <c r="AI31" s="576" t="str">
        <f>VLOOKUP(Complete[[#This Row],[Code
(PAP)]],[1]Sheet1!$A:$AO,35,FALSE)</f>
        <v>N/A</v>
      </c>
      <c r="AJ31" s="576" t="str">
        <f>VLOOKUP(Complete[[#This Row],[Code
(PAP)]],[1]Sheet1!$A:$AO,36,FALSE)</f>
        <v>N/A</v>
      </c>
      <c r="AK31" s="576" t="str">
        <f>VLOOKUP(Complete[[#This Row],[Code
(PAP)]],[1]Sheet1!$A:$AO,37,FALSE)</f>
        <v>N/A</v>
      </c>
      <c r="AL31" s="576" t="str">
        <f>VLOOKUP(Complete[[#This Row],[Code
(PAP)]],[1]Sheet1!$A:$AO,38,FALSE)</f>
        <v>N/A</v>
      </c>
      <c r="AM31" s="576" t="str">
        <f>VLOOKUP(Complete[[#This Row],[Code
(PAP)]],[1]Sheet1!$A:$AO,38,FALSE)</f>
        <v>N/A</v>
      </c>
      <c r="AN31" s="595" t="s">
        <v>713</v>
      </c>
      <c r="AO31" s="303" t="s">
        <v>139</v>
      </c>
      <c r="AP31" s="389"/>
      <c r="AQ31" s="389"/>
    </row>
    <row r="32" spans="1:43" s="224" customFormat="1" ht="75" customHeight="1" x14ac:dyDescent="0.25">
      <c r="A32" s="385" t="s">
        <v>212</v>
      </c>
      <c r="B32" s="406" t="str">
        <f>VLOOKUP(Complete[[#This Row],[Code
(PAP)]],[1]Sheet1!$A:$AO,2,FALSE)</f>
        <v>JANITORIAL SUPPLIES/HOUSEKEEPING</v>
      </c>
      <c r="C32" s="408" t="str">
        <f>VLOOKUP(Complete[[#This Row],[Code
(PAP)]],[1]Sheet1!$A:$AO,3,FALSE)</f>
        <v>PIAO</v>
      </c>
      <c r="D32" s="380" t="s">
        <v>712</v>
      </c>
      <c r="E32" s="409" t="str">
        <f>VLOOKUP(Complete[[#This Row],[Code
(PAP)]],[2]Sheet1!$A:$AO,5,FALSE)</f>
        <v>NP-53.9 - Small Value Procurement</v>
      </c>
      <c r="F32" s="393" t="str">
        <f>VLOOKUP(Complete[[#This Row],[Code
(PAP)]],[1]Sheet1!$A:$AO,6,FALSE)</f>
        <v>N/A</v>
      </c>
      <c r="G32" s="393">
        <f>VLOOKUP(Complete[[#This Row],[Code
(PAP)]],[1]Sheet1!$A:$AO,7,FALSE)</f>
        <v>45324</v>
      </c>
      <c r="H32" s="374"/>
      <c r="I32" s="394" t="str">
        <f>VLOOKUP(Complete[[#This Row],[Code
(PAP)]],[1]Sheet1!$A:$AO,9,FALSE)</f>
        <v>N/A</v>
      </c>
      <c r="J32" s="393">
        <f>VLOOKUP(Complete[[#This Row],[Code
(PAP)]],[1]Sheet1!$A:$AO,10,FALSE)</f>
        <v>45335</v>
      </c>
      <c r="K32" s="393">
        <f>VLOOKUP(Complete[[#This Row],[Code
(PAP)]],[1]Sheet1!$A:$AO,11,FALSE)</f>
        <v>45335</v>
      </c>
      <c r="L32" s="387"/>
      <c r="M32" s="393" t="str">
        <f>VLOOKUP(Complete[[#This Row],[Code
(PAP)]],[1]Sheet1!$A:$AO,13,FALSE)</f>
        <v>N/A</v>
      </c>
      <c r="N32" s="393" t="str">
        <f>VLOOKUP(Complete[[#This Row],[Code
(PAP)]],[1]Sheet1!$A:$AO,14,FALSE)</f>
        <v>N/A</v>
      </c>
      <c r="O32" s="393">
        <f>VLOOKUP(Complete[[#This Row],[Code
(PAP)]],[1]Sheet1!$A:$AO,15,FALSE)</f>
        <v>45336</v>
      </c>
      <c r="P32" s="387"/>
      <c r="Q32" s="387"/>
      <c r="R32" s="387"/>
      <c r="S32" s="576" t="str">
        <f>VLOOKUP(Complete[[#This Row],[Code
(PAP)]],[1]Sheet1!$A:$AO,19,FALSE)</f>
        <v>N/A</v>
      </c>
      <c r="T32" s="576">
        <f>VLOOKUP(Complete[[#This Row],[Code
(PAP)]],[1]Sheet1!$A:$AO,20,FALSE)</f>
        <v>45343</v>
      </c>
      <c r="U32" s="576">
        <f>VLOOKUP(Complete[[#This Row],[Code
(PAP)]],[1]Sheet1!$A:$AO,21,FALSE)</f>
        <v>45344</v>
      </c>
      <c r="V32" s="387"/>
      <c r="W32" s="387"/>
      <c r="X32" s="392">
        <f>VLOOKUP(Complete[[#This Row],[Code
(PAP)]],[1]Sheet1!$A:$AO,24,FALSE)</f>
        <v>45349</v>
      </c>
      <c r="Y32" s="392">
        <f>Complete[[#This Row],[Delivery/ Completion]]</f>
        <v>45349</v>
      </c>
      <c r="Z32" s="610" t="s">
        <v>1478</v>
      </c>
      <c r="AA32" s="462">
        <f>Complete[[#This Row],[MOOE]]+Complete[[#This Row],[CO]]</f>
        <v>8474</v>
      </c>
      <c r="AB32" s="466">
        <v>8474</v>
      </c>
      <c r="AC32" s="497"/>
      <c r="AD32" s="498">
        <f>IF(Complete[[#This Row],[Procurement Project]]="","",SUM(Complete[[#This Row],[MOOE2]]+Complete[[#This Row],[CO3]]))</f>
        <v>8368</v>
      </c>
      <c r="AE32" s="501">
        <v>8368</v>
      </c>
      <c r="AF32" s="541"/>
      <c r="AG32" s="400"/>
      <c r="AH32" s="380" t="s">
        <v>1205</v>
      </c>
      <c r="AI32" s="576" t="str">
        <f>VLOOKUP(Complete[[#This Row],[Code
(PAP)]],[1]Sheet1!$A:$AO,35,FALSE)</f>
        <v>N/A</v>
      </c>
      <c r="AJ32" s="576" t="str">
        <f>VLOOKUP(Complete[[#This Row],[Code
(PAP)]],[1]Sheet1!$A:$AO,36,FALSE)</f>
        <v>N/A</v>
      </c>
      <c r="AK32" s="576" t="str">
        <f>VLOOKUP(Complete[[#This Row],[Code
(PAP)]],[1]Sheet1!$A:$AO,37,FALSE)</f>
        <v>N/A</v>
      </c>
      <c r="AL32" s="576" t="str">
        <f>VLOOKUP(Complete[[#This Row],[Code
(PAP)]],[1]Sheet1!$A:$AO,38,FALSE)</f>
        <v>N/A</v>
      </c>
      <c r="AM32" s="576" t="str">
        <f>VLOOKUP(Complete[[#This Row],[Code
(PAP)]],[1]Sheet1!$A:$AO,38,FALSE)</f>
        <v>N/A</v>
      </c>
      <c r="AN32" s="595" t="s">
        <v>713</v>
      </c>
      <c r="AO32" s="303" t="s">
        <v>139</v>
      </c>
      <c r="AP32" s="389"/>
      <c r="AQ32" s="389"/>
    </row>
    <row r="33" spans="1:43" s="224" customFormat="1" ht="75" customHeight="1" x14ac:dyDescent="0.25">
      <c r="A33" s="385" t="s">
        <v>213</v>
      </c>
      <c r="B33" s="406" t="str">
        <f>VLOOKUP(Complete[[#This Row],[Code
(PAP)]],[1]Sheet1!$A:$AO,2,FALSE)</f>
        <v>SPAREPARTS (LIGHT VEHICLES)</v>
      </c>
      <c r="C33" s="408" t="str">
        <f>VLOOKUP(Complete[[#This Row],[Code
(PAP)]],[1]Sheet1!$A:$AO,3,FALSE)</f>
        <v>COA</v>
      </c>
      <c r="D33" s="380" t="s">
        <v>712</v>
      </c>
      <c r="E33" s="409" t="str">
        <f>VLOOKUP(Complete[[#This Row],[Code
(PAP)]],[2]Sheet1!$A:$AO,5,FALSE)</f>
        <v>NP-53.9 - Small Value Procurement</v>
      </c>
      <c r="F33" s="393" t="str">
        <f>VLOOKUP(Complete[[#This Row],[Code
(PAP)]],[1]Sheet1!$A:$AO,6,FALSE)</f>
        <v>N/A</v>
      </c>
      <c r="G33" s="393">
        <f>VLOOKUP(Complete[[#This Row],[Code
(PAP)]],[1]Sheet1!$A:$AO,7,FALSE)</f>
        <v>45318</v>
      </c>
      <c r="H33" s="374"/>
      <c r="I33" s="394" t="str">
        <f>VLOOKUP(Complete[[#This Row],[Code
(PAP)]],[1]Sheet1!$A:$AO,9,FALSE)</f>
        <v>N/A</v>
      </c>
      <c r="J33" s="393">
        <f>VLOOKUP(Complete[[#This Row],[Code
(PAP)]],[1]Sheet1!$A:$AO,10,FALSE)</f>
        <v>45335</v>
      </c>
      <c r="K33" s="393">
        <f>VLOOKUP(Complete[[#This Row],[Code
(PAP)]],[1]Sheet1!$A:$AO,11,FALSE)</f>
        <v>45335</v>
      </c>
      <c r="L33" s="387"/>
      <c r="M33" s="393" t="str">
        <f>VLOOKUP(Complete[[#This Row],[Code
(PAP)]],[1]Sheet1!$A:$AO,13,FALSE)</f>
        <v>N/A</v>
      </c>
      <c r="N33" s="393" t="str">
        <f>VLOOKUP(Complete[[#This Row],[Code
(PAP)]],[1]Sheet1!$A:$AO,14,FALSE)</f>
        <v>N/A</v>
      </c>
      <c r="O33" s="393">
        <f>VLOOKUP(Complete[[#This Row],[Code
(PAP)]],[1]Sheet1!$A:$AO,15,FALSE)</f>
        <v>45336</v>
      </c>
      <c r="P33" s="387"/>
      <c r="Q33" s="387"/>
      <c r="R33" s="387"/>
      <c r="S33" s="576">
        <f>VLOOKUP(Complete[[#This Row],[Code
(PAP)]],[1]Sheet1!$A:$AO,19,FALSE)</f>
        <v>45338</v>
      </c>
      <c r="T33" s="576">
        <f>VLOOKUP(Complete[[#This Row],[Code
(PAP)]],[1]Sheet1!$A:$AO,20,FALSE)</f>
        <v>45348</v>
      </c>
      <c r="U33" s="576">
        <f>VLOOKUP(Complete[[#This Row],[Code
(PAP)]],[1]Sheet1!$A:$AO,21,FALSE)</f>
        <v>45351</v>
      </c>
      <c r="V33" s="387"/>
      <c r="W33" s="387"/>
      <c r="X33" s="392">
        <f>VLOOKUP(Complete[[#This Row],[Code
(PAP)]],[1]Sheet1!$A:$AO,24,FALSE)</f>
        <v>45357</v>
      </c>
      <c r="Y33" s="392">
        <f>Complete[[#This Row],[Delivery/ Completion]]</f>
        <v>45357</v>
      </c>
      <c r="Z33" s="610" t="s">
        <v>1478</v>
      </c>
      <c r="AA33" s="462">
        <f>Complete[[#This Row],[MOOE]]+Complete[[#This Row],[CO]]</f>
        <v>53400</v>
      </c>
      <c r="AB33" s="466">
        <v>53400</v>
      </c>
      <c r="AC33" s="497"/>
      <c r="AD33" s="498">
        <f>IF(Complete[[#This Row],[Procurement Project]]="","",SUM(Complete[[#This Row],[MOOE2]]+Complete[[#This Row],[CO3]]))</f>
        <v>52000</v>
      </c>
      <c r="AE33" s="501">
        <v>52000</v>
      </c>
      <c r="AF33" s="541"/>
      <c r="AG33" s="400"/>
      <c r="AH33" s="380" t="s">
        <v>1205</v>
      </c>
      <c r="AI33" s="576" t="str">
        <f>VLOOKUP(Complete[[#This Row],[Code
(PAP)]],[1]Sheet1!$A:$AO,35,FALSE)</f>
        <v>N/A</v>
      </c>
      <c r="AJ33" s="576" t="str">
        <f>VLOOKUP(Complete[[#This Row],[Code
(PAP)]],[1]Sheet1!$A:$AO,36,FALSE)</f>
        <v>N/A</v>
      </c>
      <c r="AK33" s="576" t="str">
        <f>VLOOKUP(Complete[[#This Row],[Code
(PAP)]],[1]Sheet1!$A:$AO,37,FALSE)</f>
        <v>N/A</v>
      </c>
      <c r="AL33" s="576" t="str">
        <f>VLOOKUP(Complete[[#This Row],[Code
(PAP)]],[1]Sheet1!$A:$AO,38,FALSE)</f>
        <v>N/A</v>
      </c>
      <c r="AM33" s="576" t="str">
        <f>VLOOKUP(Complete[[#This Row],[Code
(PAP)]],[1]Sheet1!$A:$AO,38,FALSE)</f>
        <v>N/A</v>
      </c>
      <c r="AN33" s="595" t="s">
        <v>713</v>
      </c>
      <c r="AO33" s="303" t="s">
        <v>139</v>
      </c>
      <c r="AP33" s="389"/>
      <c r="AQ33" s="389"/>
    </row>
    <row r="34" spans="1:43" s="224" customFormat="1" ht="75" customHeight="1" x14ac:dyDescent="0.25">
      <c r="A34" s="385" t="s">
        <v>214</v>
      </c>
      <c r="B34" s="406" t="str">
        <f>VLOOKUP(Complete[[#This Row],[Code
(PAP)]],[1]Sheet1!$A:$AO,2,FALSE)</f>
        <v>COMPUTER SUPPLIES/SPAREPARTS</v>
      </c>
      <c r="C34" s="408" t="str">
        <f>VLOOKUP(Complete[[#This Row],[Code
(PAP)]],[1]Sheet1!$A:$AO,3,FALSE)</f>
        <v>PACCO</v>
      </c>
      <c r="D34" s="380" t="s">
        <v>712</v>
      </c>
      <c r="E34" s="409" t="str">
        <f>VLOOKUP(Complete[[#This Row],[Code
(PAP)]],[2]Sheet1!$A:$AO,5,FALSE)</f>
        <v>NP-53.9 - Small Value Procurement</v>
      </c>
      <c r="F34" s="393" t="str">
        <f>VLOOKUP(Complete[[#This Row],[Code
(PAP)]],[1]Sheet1!$A:$AO,6,FALSE)</f>
        <v>N/A</v>
      </c>
      <c r="G34" s="393">
        <f>VLOOKUP(Complete[[#This Row],[Code
(PAP)]],[1]Sheet1!$A:$AO,7,FALSE)</f>
        <v>45324</v>
      </c>
      <c r="H34" s="374"/>
      <c r="I34" s="394" t="str">
        <f>VLOOKUP(Complete[[#This Row],[Code
(PAP)]],[1]Sheet1!$A:$AO,9,FALSE)</f>
        <v>N/A</v>
      </c>
      <c r="J34" s="393">
        <f>VLOOKUP(Complete[[#This Row],[Code
(PAP)]],[1]Sheet1!$A:$AO,10,FALSE)</f>
        <v>45335</v>
      </c>
      <c r="K34" s="393">
        <f>VLOOKUP(Complete[[#This Row],[Code
(PAP)]],[1]Sheet1!$A:$AO,11,FALSE)</f>
        <v>45335</v>
      </c>
      <c r="L34" s="387"/>
      <c r="M34" s="393" t="str">
        <f>VLOOKUP(Complete[[#This Row],[Code
(PAP)]],[1]Sheet1!$A:$AO,13,FALSE)</f>
        <v>N/A</v>
      </c>
      <c r="N34" s="393" t="str">
        <f>VLOOKUP(Complete[[#This Row],[Code
(PAP)]],[1]Sheet1!$A:$AO,14,FALSE)</f>
        <v>N/A</v>
      </c>
      <c r="O34" s="393">
        <f>VLOOKUP(Complete[[#This Row],[Code
(PAP)]],[1]Sheet1!$A:$AO,15,FALSE)</f>
        <v>45336</v>
      </c>
      <c r="P34" s="387"/>
      <c r="Q34" s="387"/>
      <c r="R34" s="387"/>
      <c r="S34" s="576">
        <f>VLOOKUP(Complete[[#This Row],[Code
(PAP)]],[1]Sheet1!$A:$AO,19,FALSE)</f>
        <v>45336</v>
      </c>
      <c r="T34" s="576">
        <f>VLOOKUP(Complete[[#This Row],[Code
(PAP)]],[1]Sheet1!$A:$AO,20,FALSE)</f>
        <v>45343</v>
      </c>
      <c r="U34" s="576">
        <f>VLOOKUP(Complete[[#This Row],[Code
(PAP)]],[1]Sheet1!$A:$AO,21,FALSE)</f>
        <v>45344</v>
      </c>
      <c r="V34" s="387"/>
      <c r="W34" s="387"/>
      <c r="X34" s="392">
        <f>VLOOKUP(Complete[[#This Row],[Code
(PAP)]],[1]Sheet1!$A:$AO,24,FALSE)</f>
        <v>45422</v>
      </c>
      <c r="Y34" s="392">
        <f>Complete[[#This Row],[Delivery/ Completion]]</f>
        <v>45422</v>
      </c>
      <c r="Z34" s="610" t="s">
        <v>1478</v>
      </c>
      <c r="AA34" s="462">
        <f>Complete[[#This Row],[MOOE]]+Complete[[#This Row],[CO]]</f>
        <v>81446</v>
      </c>
      <c r="AB34" s="466">
        <v>81446</v>
      </c>
      <c r="AC34" s="497"/>
      <c r="AD34" s="498">
        <f>IF(Complete[[#This Row],[Procurement Project]]="","",SUM(Complete[[#This Row],[MOOE2]]+Complete[[#This Row],[CO3]]))</f>
        <v>81134</v>
      </c>
      <c r="AE34" s="501">
        <v>81134</v>
      </c>
      <c r="AF34" s="541"/>
      <c r="AG34" s="400"/>
      <c r="AH34" s="380" t="s">
        <v>1205</v>
      </c>
      <c r="AI34" s="576" t="str">
        <f>VLOOKUP(Complete[[#This Row],[Code
(PAP)]],[1]Sheet1!$A:$AO,35,FALSE)</f>
        <v>N/A</v>
      </c>
      <c r="AJ34" s="576" t="str">
        <f>VLOOKUP(Complete[[#This Row],[Code
(PAP)]],[1]Sheet1!$A:$AO,36,FALSE)</f>
        <v>N/A</v>
      </c>
      <c r="AK34" s="576" t="str">
        <f>VLOOKUP(Complete[[#This Row],[Code
(PAP)]],[1]Sheet1!$A:$AO,37,FALSE)</f>
        <v>N/A</v>
      </c>
      <c r="AL34" s="576" t="str">
        <f>VLOOKUP(Complete[[#This Row],[Code
(PAP)]],[1]Sheet1!$A:$AO,38,FALSE)</f>
        <v>N/A</v>
      </c>
      <c r="AM34" s="576" t="str">
        <f>VLOOKUP(Complete[[#This Row],[Code
(PAP)]],[1]Sheet1!$A:$AO,38,FALSE)</f>
        <v>N/A</v>
      </c>
      <c r="AN34" s="595" t="s">
        <v>713</v>
      </c>
      <c r="AO34" s="303" t="s">
        <v>139</v>
      </c>
      <c r="AP34" s="389"/>
      <c r="AQ34" s="389"/>
    </row>
    <row r="35" spans="1:43" s="224" customFormat="1" ht="75" customHeight="1" x14ac:dyDescent="0.25">
      <c r="A35" s="385" t="s">
        <v>215</v>
      </c>
      <c r="B35" s="406" t="str">
        <f>VLOOKUP(Complete[[#This Row],[Code
(PAP)]],[1]Sheet1!$A:$AO,2,FALSE)</f>
        <v>CONSTRUCTION SUPPLIES</v>
      </c>
      <c r="C35" s="408" t="str">
        <f>VLOOKUP(Complete[[#This Row],[Code
(PAP)]],[1]Sheet1!$A:$AO,3,FALSE)</f>
        <v>PEO-GA</v>
      </c>
      <c r="D35" s="380" t="s">
        <v>712</v>
      </c>
      <c r="E35" s="409" t="str">
        <f>VLOOKUP(Complete[[#This Row],[Code
(PAP)]],[2]Sheet1!$A:$AO,5,FALSE)</f>
        <v>NP-53.9 - Small Value Procurement</v>
      </c>
      <c r="F35" s="393" t="str">
        <f>VLOOKUP(Complete[[#This Row],[Code
(PAP)]],[1]Sheet1!$A:$AO,6,FALSE)</f>
        <v>N/A</v>
      </c>
      <c r="G35" s="393">
        <f>VLOOKUP(Complete[[#This Row],[Code
(PAP)]],[1]Sheet1!$A:$AO,7,FALSE)</f>
        <v>45324</v>
      </c>
      <c r="H35" s="374"/>
      <c r="I35" s="394" t="str">
        <f>VLOOKUP(Complete[[#This Row],[Code
(PAP)]],[1]Sheet1!$A:$AO,9,FALSE)</f>
        <v>N/A</v>
      </c>
      <c r="J35" s="393">
        <f>VLOOKUP(Complete[[#This Row],[Code
(PAP)]],[1]Sheet1!$A:$AO,10,FALSE)</f>
        <v>45335</v>
      </c>
      <c r="K35" s="393">
        <f>VLOOKUP(Complete[[#This Row],[Code
(PAP)]],[1]Sheet1!$A:$AO,11,FALSE)</f>
        <v>45335</v>
      </c>
      <c r="L35" s="387"/>
      <c r="M35" s="393" t="str">
        <f>VLOOKUP(Complete[[#This Row],[Code
(PAP)]],[1]Sheet1!$A:$AO,13,FALSE)</f>
        <v>N/A</v>
      </c>
      <c r="N35" s="393" t="str">
        <f>VLOOKUP(Complete[[#This Row],[Code
(PAP)]],[1]Sheet1!$A:$AO,14,FALSE)</f>
        <v>N/A</v>
      </c>
      <c r="O35" s="393">
        <f>VLOOKUP(Complete[[#This Row],[Code
(PAP)]],[1]Sheet1!$A:$AO,15,FALSE)</f>
        <v>45336</v>
      </c>
      <c r="P35" s="387"/>
      <c r="Q35" s="387"/>
      <c r="R35" s="387"/>
      <c r="S35" s="576">
        <f>VLOOKUP(Complete[[#This Row],[Code
(PAP)]],[1]Sheet1!$A:$AO,19,FALSE)</f>
        <v>45338</v>
      </c>
      <c r="T35" s="576">
        <f>VLOOKUP(Complete[[#This Row],[Code
(PAP)]],[1]Sheet1!$A:$AO,20,FALSE)</f>
        <v>45344</v>
      </c>
      <c r="U35" s="576">
        <f>VLOOKUP(Complete[[#This Row],[Code
(PAP)]],[1]Sheet1!$A:$AO,21,FALSE)</f>
        <v>45348</v>
      </c>
      <c r="V35" s="387"/>
      <c r="W35" s="387"/>
      <c r="X35" s="392">
        <f>VLOOKUP(Complete[[#This Row],[Code
(PAP)]],[1]Sheet1!$A:$AO,24,FALSE)</f>
        <v>45351</v>
      </c>
      <c r="Y35" s="392">
        <f>Complete[[#This Row],[Delivery/ Completion]]</f>
        <v>45351</v>
      </c>
      <c r="Z35" s="610" t="s">
        <v>1478</v>
      </c>
      <c r="AA35" s="462">
        <f>Complete[[#This Row],[MOOE]]+Complete[[#This Row],[CO]]</f>
        <v>107319</v>
      </c>
      <c r="AB35" s="466">
        <v>107319</v>
      </c>
      <c r="AC35" s="497"/>
      <c r="AD35" s="498">
        <f>IF(Complete[[#This Row],[Procurement Project]]="","",SUM(Complete[[#This Row],[MOOE2]]+Complete[[#This Row],[CO3]]))</f>
        <v>107319</v>
      </c>
      <c r="AE35" s="501">
        <v>107319</v>
      </c>
      <c r="AF35" s="541"/>
      <c r="AG35" s="400"/>
      <c r="AH35" s="380" t="s">
        <v>1205</v>
      </c>
      <c r="AI35" s="576" t="str">
        <f>VLOOKUP(Complete[[#This Row],[Code
(PAP)]],[1]Sheet1!$A:$AO,35,FALSE)</f>
        <v>N/A</v>
      </c>
      <c r="AJ35" s="576" t="str">
        <f>VLOOKUP(Complete[[#This Row],[Code
(PAP)]],[1]Sheet1!$A:$AO,36,FALSE)</f>
        <v>N/A</v>
      </c>
      <c r="AK35" s="576" t="str">
        <f>VLOOKUP(Complete[[#This Row],[Code
(PAP)]],[1]Sheet1!$A:$AO,37,FALSE)</f>
        <v>N/A</v>
      </c>
      <c r="AL35" s="576" t="str">
        <f>VLOOKUP(Complete[[#This Row],[Code
(PAP)]],[1]Sheet1!$A:$AO,38,FALSE)</f>
        <v>N/A</v>
      </c>
      <c r="AM35" s="576" t="str">
        <f>VLOOKUP(Complete[[#This Row],[Code
(PAP)]],[1]Sheet1!$A:$AO,38,FALSE)</f>
        <v>N/A</v>
      </c>
      <c r="AN35" s="595" t="s">
        <v>713</v>
      </c>
      <c r="AO35" s="303" t="s">
        <v>139</v>
      </c>
      <c r="AP35" s="389"/>
      <c r="AQ35" s="389"/>
    </row>
    <row r="36" spans="1:43" s="224" customFormat="1" ht="75" customHeight="1" x14ac:dyDescent="0.25">
      <c r="A36" s="385" t="s">
        <v>216</v>
      </c>
      <c r="B36" s="406" t="str">
        <f>VLOOKUP(Complete[[#This Row],[Code
(PAP)]],[1]Sheet1!$A:$AO,2,FALSE)</f>
        <v>JANITORIAL SUPPLIES/HOUSEKEEPING</v>
      </c>
      <c r="C36" s="408" t="str">
        <f>VLOOKUP(Complete[[#This Row],[Code
(PAP)]],[1]Sheet1!$A:$AO,3,FALSE)</f>
        <v>PBO</v>
      </c>
      <c r="D36" s="380" t="s">
        <v>712</v>
      </c>
      <c r="E36" s="409" t="str">
        <f>VLOOKUP(Complete[[#This Row],[Code
(PAP)]],[2]Sheet1!$A:$AO,5,FALSE)</f>
        <v>NP-53.9 - Small Value Procurement</v>
      </c>
      <c r="F36" s="393" t="str">
        <f>VLOOKUP(Complete[[#This Row],[Code
(PAP)]],[1]Sheet1!$A:$AO,6,FALSE)</f>
        <v>N/A</v>
      </c>
      <c r="G36" s="393">
        <f>VLOOKUP(Complete[[#This Row],[Code
(PAP)]],[1]Sheet1!$A:$AO,7,FALSE)</f>
        <v>45324</v>
      </c>
      <c r="H36" s="374"/>
      <c r="I36" s="394" t="str">
        <f>VLOOKUP(Complete[[#This Row],[Code
(PAP)]],[1]Sheet1!$A:$AO,9,FALSE)</f>
        <v>N/A</v>
      </c>
      <c r="J36" s="393">
        <f>VLOOKUP(Complete[[#This Row],[Code
(PAP)]],[1]Sheet1!$A:$AO,10,FALSE)</f>
        <v>45335</v>
      </c>
      <c r="K36" s="393">
        <f>VLOOKUP(Complete[[#This Row],[Code
(PAP)]],[1]Sheet1!$A:$AO,11,FALSE)</f>
        <v>45335</v>
      </c>
      <c r="L36" s="387"/>
      <c r="M36" s="393" t="str">
        <f>VLOOKUP(Complete[[#This Row],[Code
(PAP)]],[1]Sheet1!$A:$AO,13,FALSE)</f>
        <v>N/A</v>
      </c>
      <c r="N36" s="393" t="str">
        <f>VLOOKUP(Complete[[#This Row],[Code
(PAP)]],[1]Sheet1!$A:$AO,14,FALSE)</f>
        <v>N/A</v>
      </c>
      <c r="O36" s="393">
        <f>VLOOKUP(Complete[[#This Row],[Code
(PAP)]],[1]Sheet1!$A:$AO,15,FALSE)</f>
        <v>45336</v>
      </c>
      <c r="P36" s="387"/>
      <c r="Q36" s="387"/>
      <c r="R36" s="387"/>
      <c r="S36" s="576" t="str">
        <f>VLOOKUP(Complete[[#This Row],[Code
(PAP)]],[1]Sheet1!$A:$AO,19,FALSE)</f>
        <v>N/A</v>
      </c>
      <c r="T36" s="576">
        <f>VLOOKUP(Complete[[#This Row],[Code
(PAP)]],[1]Sheet1!$A:$AO,20,FALSE)</f>
        <v>45343</v>
      </c>
      <c r="U36" s="576">
        <f>VLOOKUP(Complete[[#This Row],[Code
(PAP)]],[1]Sheet1!$A:$AO,21,FALSE)</f>
        <v>45344</v>
      </c>
      <c r="V36" s="387"/>
      <c r="W36" s="387"/>
      <c r="X36" s="392">
        <f>VLOOKUP(Complete[[#This Row],[Code
(PAP)]],[1]Sheet1!$A:$AO,24,FALSE)</f>
        <v>45345</v>
      </c>
      <c r="Y36" s="392">
        <f>Complete[[#This Row],[Delivery/ Completion]]</f>
        <v>45345</v>
      </c>
      <c r="Z36" s="610" t="s">
        <v>1478</v>
      </c>
      <c r="AA36" s="462">
        <f>Complete[[#This Row],[MOOE]]+Complete[[#This Row],[CO]]</f>
        <v>5209</v>
      </c>
      <c r="AB36" s="466">
        <v>5209</v>
      </c>
      <c r="AC36" s="497"/>
      <c r="AD36" s="498">
        <f>IF(Complete[[#This Row],[Procurement Project]]="","",SUM(Complete[[#This Row],[MOOE2]]+Complete[[#This Row],[CO3]]))</f>
        <v>5050</v>
      </c>
      <c r="AE36" s="501">
        <v>5050</v>
      </c>
      <c r="AF36" s="541"/>
      <c r="AG36" s="400"/>
      <c r="AH36" s="380" t="s">
        <v>1205</v>
      </c>
      <c r="AI36" s="576" t="str">
        <f>VLOOKUP(Complete[[#This Row],[Code
(PAP)]],[1]Sheet1!$A:$AO,35,FALSE)</f>
        <v>N/A</v>
      </c>
      <c r="AJ36" s="576" t="str">
        <f>VLOOKUP(Complete[[#This Row],[Code
(PAP)]],[1]Sheet1!$A:$AO,36,FALSE)</f>
        <v>N/A</v>
      </c>
      <c r="AK36" s="576" t="str">
        <f>VLOOKUP(Complete[[#This Row],[Code
(PAP)]],[1]Sheet1!$A:$AO,37,FALSE)</f>
        <v>N/A</v>
      </c>
      <c r="AL36" s="576" t="str">
        <f>VLOOKUP(Complete[[#This Row],[Code
(PAP)]],[1]Sheet1!$A:$AO,38,FALSE)</f>
        <v>N/A</v>
      </c>
      <c r="AM36" s="576" t="str">
        <f>VLOOKUP(Complete[[#This Row],[Code
(PAP)]],[1]Sheet1!$A:$AO,38,FALSE)</f>
        <v>N/A</v>
      </c>
      <c r="AN36" s="595" t="s">
        <v>713</v>
      </c>
      <c r="AO36" s="303" t="s">
        <v>139</v>
      </c>
      <c r="AP36" s="389"/>
      <c r="AQ36" s="389"/>
    </row>
    <row r="37" spans="1:43" s="224" customFormat="1" ht="75" customHeight="1" x14ac:dyDescent="0.25">
      <c r="A37" s="385" t="s">
        <v>217</v>
      </c>
      <c r="B37" s="406" t="str">
        <f>VLOOKUP(Complete[[#This Row],[Code
(PAP)]],[1]Sheet1!$A:$AO,2,FALSE)</f>
        <v>JANITORIAL SUPPLIES/HOUSEKEEPING</v>
      </c>
      <c r="C37" s="408" t="str">
        <f>VLOOKUP(Complete[[#This Row],[Code
(PAP)]],[1]Sheet1!$A:$AO,3,FALSE)</f>
        <v>PEO-GA</v>
      </c>
      <c r="D37" s="380" t="s">
        <v>712</v>
      </c>
      <c r="E37" s="409" t="str">
        <f>VLOOKUP(Complete[[#This Row],[Code
(PAP)]],[2]Sheet1!$A:$AO,5,FALSE)</f>
        <v>NP-53.9 - Small Value Procurement</v>
      </c>
      <c r="F37" s="393" t="str">
        <f>VLOOKUP(Complete[[#This Row],[Code
(PAP)]],[1]Sheet1!$A:$AO,6,FALSE)</f>
        <v>N/A</v>
      </c>
      <c r="G37" s="393">
        <f>VLOOKUP(Complete[[#This Row],[Code
(PAP)]],[1]Sheet1!$A:$AO,7,FALSE)</f>
        <v>45324</v>
      </c>
      <c r="H37" s="374"/>
      <c r="I37" s="394" t="str">
        <f>VLOOKUP(Complete[[#This Row],[Code
(PAP)]],[1]Sheet1!$A:$AO,9,FALSE)</f>
        <v>N/A</v>
      </c>
      <c r="J37" s="393">
        <f>VLOOKUP(Complete[[#This Row],[Code
(PAP)]],[1]Sheet1!$A:$AO,10,FALSE)</f>
        <v>45335</v>
      </c>
      <c r="K37" s="393">
        <f>VLOOKUP(Complete[[#This Row],[Code
(PAP)]],[1]Sheet1!$A:$AO,11,FALSE)</f>
        <v>45335</v>
      </c>
      <c r="L37" s="387"/>
      <c r="M37" s="393" t="str">
        <f>VLOOKUP(Complete[[#This Row],[Code
(PAP)]],[1]Sheet1!$A:$AO,13,FALSE)</f>
        <v>N/A</v>
      </c>
      <c r="N37" s="393" t="str">
        <f>VLOOKUP(Complete[[#This Row],[Code
(PAP)]],[1]Sheet1!$A:$AO,14,FALSE)</f>
        <v>N/A</v>
      </c>
      <c r="O37" s="393">
        <f>VLOOKUP(Complete[[#This Row],[Code
(PAP)]],[1]Sheet1!$A:$AO,15,FALSE)</f>
        <v>45336</v>
      </c>
      <c r="P37" s="387"/>
      <c r="Q37" s="387"/>
      <c r="R37" s="387"/>
      <c r="S37" s="576" t="str">
        <f>VLOOKUP(Complete[[#This Row],[Code
(PAP)]],[1]Sheet1!$A:$AO,19,FALSE)</f>
        <v>N/A</v>
      </c>
      <c r="T37" s="576">
        <f>VLOOKUP(Complete[[#This Row],[Code
(PAP)]],[1]Sheet1!$A:$AO,20,FALSE)</f>
        <v>45344</v>
      </c>
      <c r="U37" s="576">
        <f>VLOOKUP(Complete[[#This Row],[Code
(PAP)]],[1]Sheet1!$A:$AO,21,FALSE)</f>
        <v>45351</v>
      </c>
      <c r="V37" s="387"/>
      <c r="W37" s="387"/>
      <c r="X37" s="392">
        <f>VLOOKUP(Complete[[#This Row],[Code
(PAP)]],[1]Sheet1!$A:$AO,24,FALSE)</f>
        <v>45362</v>
      </c>
      <c r="Y37" s="392">
        <f>Complete[[#This Row],[Delivery/ Completion]]</f>
        <v>45362</v>
      </c>
      <c r="Z37" s="610" t="s">
        <v>1478</v>
      </c>
      <c r="AA37" s="462">
        <f>Complete[[#This Row],[MOOE]]+Complete[[#This Row],[CO]]</f>
        <v>33458</v>
      </c>
      <c r="AB37" s="466">
        <v>33458</v>
      </c>
      <c r="AC37" s="497"/>
      <c r="AD37" s="498">
        <f>IF(Complete[[#This Row],[Procurement Project]]="","",SUM(Complete[[#This Row],[MOOE2]]+Complete[[#This Row],[CO3]]))</f>
        <v>32542</v>
      </c>
      <c r="AE37" s="501">
        <v>32542</v>
      </c>
      <c r="AF37" s="541"/>
      <c r="AG37" s="400"/>
      <c r="AH37" s="380" t="s">
        <v>1205</v>
      </c>
      <c r="AI37" s="576" t="str">
        <f>VLOOKUP(Complete[[#This Row],[Code
(PAP)]],[1]Sheet1!$A:$AO,35,FALSE)</f>
        <v>N/A</v>
      </c>
      <c r="AJ37" s="576" t="str">
        <f>VLOOKUP(Complete[[#This Row],[Code
(PAP)]],[1]Sheet1!$A:$AO,36,FALSE)</f>
        <v>N/A</v>
      </c>
      <c r="AK37" s="576" t="str">
        <f>VLOOKUP(Complete[[#This Row],[Code
(PAP)]],[1]Sheet1!$A:$AO,37,FALSE)</f>
        <v>N/A</v>
      </c>
      <c r="AL37" s="576" t="str">
        <f>VLOOKUP(Complete[[#This Row],[Code
(PAP)]],[1]Sheet1!$A:$AO,38,FALSE)</f>
        <v>N/A</v>
      </c>
      <c r="AM37" s="576" t="str">
        <f>VLOOKUP(Complete[[#This Row],[Code
(PAP)]],[1]Sheet1!$A:$AO,38,FALSE)</f>
        <v>N/A</v>
      </c>
      <c r="AN37" s="595" t="s">
        <v>713</v>
      </c>
      <c r="AO37" s="303" t="s">
        <v>139</v>
      </c>
      <c r="AP37" s="389"/>
      <c r="AQ37" s="389"/>
    </row>
    <row r="38" spans="1:43" s="224" customFormat="1" ht="75" customHeight="1" x14ac:dyDescent="0.25">
      <c r="A38" s="385" t="s">
        <v>218</v>
      </c>
      <c r="B38" s="406" t="str">
        <f>VLOOKUP(Complete[[#This Row],[Code
(PAP)]],[1]Sheet1!$A:$AO,2,FALSE)</f>
        <v>FUEL, OIL, AND LUBRICANTS</v>
      </c>
      <c r="C38" s="408" t="str">
        <f>VLOOKUP(Complete[[#This Row],[Code
(PAP)]],[1]Sheet1!$A:$AO,3,FALSE)</f>
        <v>COA</v>
      </c>
      <c r="D38" s="380" t="s">
        <v>712</v>
      </c>
      <c r="E38" s="409" t="str">
        <f>VLOOKUP(Complete[[#This Row],[Code
(PAP)]],[2]Sheet1!$A:$AO,5,FALSE)</f>
        <v>NP-53.9 - Small Value Procurement</v>
      </c>
      <c r="F38" s="393" t="str">
        <f>VLOOKUP(Complete[[#This Row],[Code
(PAP)]],[1]Sheet1!$A:$AO,6,FALSE)</f>
        <v>N/A</v>
      </c>
      <c r="G38" s="393">
        <f>VLOOKUP(Complete[[#This Row],[Code
(PAP)]],[1]Sheet1!$A:$AO,7,FALSE)</f>
        <v>45318</v>
      </c>
      <c r="H38" s="374"/>
      <c r="I38" s="394" t="str">
        <f>VLOOKUP(Complete[[#This Row],[Code
(PAP)]],[1]Sheet1!$A:$AO,9,FALSE)</f>
        <v>N/A</v>
      </c>
      <c r="J38" s="393">
        <f>VLOOKUP(Complete[[#This Row],[Code
(PAP)]],[1]Sheet1!$A:$AO,10,FALSE)</f>
        <v>45335</v>
      </c>
      <c r="K38" s="393">
        <f>VLOOKUP(Complete[[#This Row],[Code
(PAP)]],[1]Sheet1!$A:$AO,11,FALSE)</f>
        <v>45335</v>
      </c>
      <c r="L38" s="387"/>
      <c r="M38" s="393" t="str">
        <f>VLOOKUP(Complete[[#This Row],[Code
(PAP)]],[1]Sheet1!$A:$AO,13,FALSE)</f>
        <v>N/A</v>
      </c>
      <c r="N38" s="393" t="str">
        <f>VLOOKUP(Complete[[#This Row],[Code
(PAP)]],[1]Sheet1!$A:$AO,14,FALSE)</f>
        <v>N/A</v>
      </c>
      <c r="O38" s="393">
        <f>VLOOKUP(Complete[[#This Row],[Code
(PAP)]],[1]Sheet1!$A:$AO,15,FALSE)</f>
        <v>45336</v>
      </c>
      <c r="P38" s="387"/>
      <c r="Q38" s="387"/>
      <c r="R38" s="387"/>
      <c r="S38" s="576" t="str">
        <f>VLOOKUP(Complete[[#This Row],[Code
(PAP)]],[1]Sheet1!$A:$AO,19,FALSE)</f>
        <v>N/A</v>
      </c>
      <c r="T38" s="576">
        <f>VLOOKUP(Complete[[#This Row],[Code
(PAP)]],[1]Sheet1!$A:$AO,20,FALSE)</f>
        <v>45348</v>
      </c>
      <c r="U38" s="576">
        <f>VLOOKUP(Complete[[#This Row],[Code
(PAP)]],[1]Sheet1!$A:$AO,21,FALSE)</f>
        <v>45348</v>
      </c>
      <c r="V38" s="387"/>
      <c r="W38" s="387"/>
      <c r="X38" s="392">
        <f>VLOOKUP(Complete[[#This Row],[Code
(PAP)]],[1]Sheet1!$A:$AO,24,FALSE)</f>
        <v>45362</v>
      </c>
      <c r="Y38" s="392">
        <f>Complete[[#This Row],[Delivery/ Completion]]</f>
        <v>45362</v>
      </c>
      <c r="Z38" s="610" t="s">
        <v>1478</v>
      </c>
      <c r="AA38" s="462">
        <f>Complete[[#This Row],[MOOE]]+Complete[[#This Row],[CO]]</f>
        <v>29976</v>
      </c>
      <c r="AB38" s="466">
        <v>29976</v>
      </c>
      <c r="AC38" s="497"/>
      <c r="AD38" s="498">
        <f>IF(Complete[[#This Row],[Procurement Project]]="","",SUM(Complete[[#This Row],[MOOE2]]+Complete[[#This Row],[CO3]]))</f>
        <v>29880</v>
      </c>
      <c r="AE38" s="501">
        <v>29880</v>
      </c>
      <c r="AF38" s="541"/>
      <c r="AG38" s="400"/>
      <c r="AH38" s="380" t="s">
        <v>1205</v>
      </c>
      <c r="AI38" s="576" t="str">
        <f>VLOOKUP(Complete[[#This Row],[Code
(PAP)]],[1]Sheet1!$A:$AO,35,FALSE)</f>
        <v>N/A</v>
      </c>
      <c r="AJ38" s="576" t="str">
        <f>VLOOKUP(Complete[[#This Row],[Code
(PAP)]],[1]Sheet1!$A:$AO,36,FALSE)</f>
        <v>N/A</v>
      </c>
      <c r="AK38" s="576" t="str">
        <f>VLOOKUP(Complete[[#This Row],[Code
(PAP)]],[1]Sheet1!$A:$AO,37,FALSE)</f>
        <v>N/A</v>
      </c>
      <c r="AL38" s="576" t="str">
        <f>VLOOKUP(Complete[[#This Row],[Code
(PAP)]],[1]Sheet1!$A:$AO,38,FALSE)</f>
        <v>N/A</v>
      </c>
      <c r="AM38" s="576" t="str">
        <f>VLOOKUP(Complete[[#This Row],[Code
(PAP)]],[1]Sheet1!$A:$AO,38,FALSE)</f>
        <v>N/A</v>
      </c>
      <c r="AN38" s="595" t="s">
        <v>713</v>
      </c>
      <c r="AO38" s="303" t="s">
        <v>139</v>
      </c>
      <c r="AP38" s="389"/>
      <c r="AQ38" s="389"/>
    </row>
    <row r="39" spans="1:43" s="224" customFormat="1" ht="75" customHeight="1" x14ac:dyDescent="0.25">
      <c r="A39" s="385" t="s">
        <v>219</v>
      </c>
      <c r="B39" s="406" t="str">
        <f>VLOOKUP(Complete[[#This Row],[Code
(PAP)]],[1]Sheet1!$A:$AO,2,FALSE)</f>
        <v>SPAREPARTS (LIGHT VEHICLES)</v>
      </c>
      <c r="C39" s="408" t="str">
        <f>VLOOKUP(Complete[[#This Row],[Code
(PAP)]],[1]Sheet1!$A:$AO,3,FALSE)</f>
        <v>COA</v>
      </c>
      <c r="D39" s="380" t="s">
        <v>712</v>
      </c>
      <c r="E39" s="409" t="str">
        <f>VLOOKUP(Complete[[#This Row],[Code
(PAP)]],[2]Sheet1!$A:$AO,5,FALSE)</f>
        <v>NP-53.9 - Small Value Procurement</v>
      </c>
      <c r="F39" s="393" t="str">
        <f>VLOOKUP(Complete[[#This Row],[Code
(PAP)]],[1]Sheet1!$A:$AO,6,FALSE)</f>
        <v>N/A</v>
      </c>
      <c r="G39" s="393">
        <f>VLOOKUP(Complete[[#This Row],[Code
(PAP)]],[1]Sheet1!$A:$AO,7,FALSE)</f>
        <v>45318</v>
      </c>
      <c r="H39" s="374"/>
      <c r="I39" s="394" t="str">
        <f>VLOOKUP(Complete[[#This Row],[Code
(PAP)]],[1]Sheet1!$A:$AO,9,FALSE)</f>
        <v>N/A</v>
      </c>
      <c r="J39" s="393">
        <f>VLOOKUP(Complete[[#This Row],[Code
(PAP)]],[1]Sheet1!$A:$AO,10,FALSE)</f>
        <v>45335</v>
      </c>
      <c r="K39" s="393">
        <f>VLOOKUP(Complete[[#This Row],[Code
(PAP)]],[1]Sheet1!$A:$AO,11,FALSE)</f>
        <v>45335</v>
      </c>
      <c r="L39" s="387"/>
      <c r="M39" s="393" t="str">
        <f>VLOOKUP(Complete[[#This Row],[Code
(PAP)]],[1]Sheet1!$A:$AO,13,FALSE)</f>
        <v>N/A</v>
      </c>
      <c r="N39" s="393" t="str">
        <f>VLOOKUP(Complete[[#This Row],[Code
(PAP)]],[1]Sheet1!$A:$AO,14,FALSE)</f>
        <v>N/A</v>
      </c>
      <c r="O39" s="393">
        <f>VLOOKUP(Complete[[#This Row],[Code
(PAP)]],[1]Sheet1!$A:$AO,15,FALSE)</f>
        <v>45336</v>
      </c>
      <c r="P39" s="387"/>
      <c r="Q39" s="387"/>
      <c r="R39" s="387"/>
      <c r="S39" s="576">
        <f>VLOOKUP(Complete[[#This Row],[Code
(PAP)]],[1]Sheet1!$A:$AO,19,FALSE)</f>
        <v>45337</v>
      </c>
      <c r="T39" s="576">
        <f>VLOOKUP(Complete[[#This Row],[Code
(PAP)]],[1]Sheet1!$A:$AO,20,FALSE)</f>
        <v>45343</v>
      </c>
      <c r="U39" s="576">
        <f>VLOOKUP(Complete[[#This Row],[Code
(PAP)]],[1]Sheet1!$A:$AO,21,FALSE)</f>
        <v>45344</v>
      </c>
      <c r="V39" s="387"/>
      <c r="W39" s="387"/>
      <c r="X39" s="392">
        <f>VLOOKUP(Complete[[#This Row],[Code
(PAP)]],[1]Sheet1!$A:$AO,24,FALSE)</f>
        <v>45348</v>
      </c>
      <c r="Y39" s="392">
        <f>Complete[[#This Row],[Delivery/ Completion]]</f>
        <v>45348</v>
      </c>
      <c r="Z39" s="610" t="s">
        <v>1478</v>
      </c>
      <c r="AA39" s="462">
        <f>Complete[[#This Row],[MOOE]]+Complete[[#This Row],[CO]]</f>
        <v>57216</v>
      </c>
      <c r="AB39" s="466">
        <f>VLOOKUP(Complete[[#This Row],[Code
(PAP)]],[1]Sheet1!$A:$AN,28,FALSE)</f>
        <v>57216</v>
      </c>
      <c r="AC39" s="497"/>
      <c r="AD39" s="498">
        <f>IF(Complete[[#This Row],[Procurement Project]]="","",SUM(Complete[[#This Row],[MOOE2]]+Complete[[#This Row],[CO3]]))</f>
        <v>57216</v>
      </c>
      <c r="AE39" s="501">
        <f>VLOOKUP(Complete[[#This Row],[Code
(PAP)]],[1]Sheet1!$A:$AO,31,FALSE)</f>
        <v>57216</v>
      </c>
      <c r="AF39" s="541"/>
      <c r="AG39" s="400"/>
      <c r="AH39" s="380" t="s">
        <v>1205</v>
      </c>
      <c r="AI39" s="576" t="str">
        <f>VLOOKUP(Complete[[#This Row],[Code
(PAP)]],[1]Sheet1!$A:$AO,35,FALSE)</f>
        <v>N/A</v>
      </c>
      <c r="AJ39" s="576" t="str">
        <f>VLOOKUP(Complete[[#This Row],[Code
(PAP)]],[1]Sheet1!$A:$AO,36,FALSE)</f>
        <v>N/A</v>
      </c>
      <c r="AK39" s="576" t="str">
        <f>VLOOKUP(Complete[[#This Row],[Code
(PAP)]],[1]Sheet1!$A:$AO,37,FALSE)</f>
        <v>N/A</v>
      </c>
      <c r="AL39" s="576" t="str">
        <f>VLOOKUP(Complete[[#This Row],[Code
(PAP)]],[1]Sheet1!$A:$AO,38,FALSE)</f>
        <v>N/A</v>
      </c>
      <c r="AM39" s="576" t="str">
        <f>VLOOKUP(Complete[[#This Row],[Code
(PAP)]],[1]Sheet1!$A:$AO,38,FALSE)</f>
        <v>N/A</v>
      </c>
      <c r="AN39" s="595" t="s">
        <v>713</v>
      </c>
      <c r="AO39" s="303" t="s">
        <v>139</v>
      </c>
      <c r="AP39" s="389"/>
      <c r="AQ39" s="389"/>
    </row>
    <row r="40" spans="1:43" s="224" customFormat="1" ht="75" customHeight="1" x14ac:dyDescent="0.25">
      <c r="A40" s="385" t="s">
        <v>220</v>
      </c>
      <c r="B40" s="406" t="str">
        <f>VLOOKUP(Complete[[#This Row],[Code
(PAP)]],[1]Sheet1!$A:$AO,2,FALSE)</f>
        <v>SPAREPARTS (HEAVY EQUIPMENT)</v>
      </c>
      <c r="C40" s="408" t="str">
        <f>VLOOKUP(Complete[[#This Row],[Code
(PAP)]],[1]Sheet1!$A:$AO,3,FALSE)</f>
        <v>COA</v>
      </c>
      <c r="D40" s="380" t="s">
        <v>712</v>
      </c>
      <c r="E40" s="409" t="str">
        <f>VLOOKUP(Complete[[#This Row],[Code
(PAP)]],[2]Sheet1!$A:$AO,5,FALSE)</f>
        <v>NP-53.9 - Small Value Procurement</v>
      </c>
      <c r="F40" s="393" t="str">
        <f>VLOOKUP(Complete[[#This Row],[Code
(PAP)]],[1]Sheet1!$A:$AO,6,FALSE)</f>
        <v>N/A</v>
      </c>
      <c r="G40" s="393">
        <f>VLOOKUP(Complete[[#This Row],[Code
(PAP)]],[1]Sheet1!$A:$AO,7,FALSE)</f>
        <v>45318</v>
      </c>
      <c r="H40" s="374"/>
      <c r="I40" s="394" t="str">
        <f>VLOOKUP(Complete[[#This Row],[Code
(PAP)]],[1]Sheet1!$A:$AO,9,FALSE)</f>
        <v>N/A</v>
      </c>
      <c r="J40" s="393">
        <f>VLOOKUP(Complete[[#This Row],[Code
(PAP)]],[1]Sheet1!$A:$AO,10,FALSE)</f>
        <v>45335</v>
      </c>
      <c r="K40" s="393">
        <f>VLOOKUP(Complete[[#This Row],[Code
(PAP)]],[1]Sheet1!$A:$AO,11,FALSE)</f>
        <v>45335</v>
      </c>
      <c r="L40" s="387"/>
      <c r="M40" s="393" t="str">
        <f>VLOOKUP(Complete[[#This Row],[Code
(PAP)]],[1]Sheet1!$A:$AO,13,FALSE)</f>
        <v>N/A</v>
      </c>
      <c r="N40" s="393" t="str">
        <f>VLOOKUP(Complete[[#This Row],[Code
(PAP)]],[1]Sheet1!$A:$AO,14,FALSE)</f>
        <v>N/A</v>
      </c>
      <c r="O40" s="393">
        <f>VLOOKUP(Complete[[#This Row],[Code
(PAP)]],[1]Sheet1!$A:$AO,15,FALSE)</f>
        <v>45336</v>
      </c>
      <c r="P40" s="387"/>
      <c r="Q40" s="387"/>
      <c r="R40" s="387"/>
      <c r="S40" s="576" t="str">
        <f>VLOOKUP(Complete[[#This Row],[Code
(PAP)]],[1]Sheet1!$A:$AO,19,FALSE)</f>
        <v>N/A</v>
      </c>
      <c r="T40" s="576">
        <f>VLOOKUP(Complete[[#This Row],[Code
(PAP)]],[1]Sheet1!$A:$AO,20,FALSE)</f>
        <v>45342</v>
      </c>
      <c r="U40" s="576">
        <f>VLOOKUP(Complete[[#This Row],[Code
(PAP)]],[1]Sheet1!$A:$AO,21,FALSE)</f>
        <v>45344</v>
      </c>
      <c r="V40" s="387"/>
      <c r="W40" s="387"/>
      <c r="X40" s="392">
        <f>VLOOKUP(Complete[[#This Row],[Code
(PAP)]],[1]Sheet1!$A:$AO,24,FALSE)</f>
        <v>45348</v>
      </c>
      <c r="Y40" s="392">
        <f>Complete[[#This Row],[Delivery/ Completion]]</f>
        <v>45348</v>
      </c>
      <c r="Z40" s="610" t="s">
        <v>1478</v>
      </c>
      <c r="AA40" s="462">
        <f>Complete[[#This Row],[MOOE]]+Complete[[#This Row],[CO]]</f>
        <v>27225</v>
      </c>
      <c r="AB40" s="466">
        <v>27225</v>
      </c>
      <c r="AC40" s="497"/>
      <c r="AD40" s="498">
        <f>IF(Complete[[#This Row],[Procurement Project]]="","",SUM(Complete[[#This Row],[MOOE2]]+Complete[[#This Row],[CO3]]))</f>
        <v>26910</v>
      </c>
      <c r="AE40" s="501">
        <v>26910</v>
      </c>
      <c r="AF40" s="541"/>
      <c r="AG40" s="400"/>
      <c r="AH40" s="380" t="s">
        <v>1205</v>
      </c>
      <c r="AI40" s="576" t="str">
        <f>VLOOKUP(Complete[[#This Row],[Code
(PAP)]],[1]Sheet1!$A:$AO,35,FALSE)</f>
        <v>N/A</v>
      </c>
      <c r="AJ40" s="576" t="str">
        <f>VLOOKUP(Complete[[#This Row],[Code
(PAP)]],[1]Sheet1!$A:$AO,36,FALSE)</f>
        <v>N/A</v>
      </c>
      <c r="AK40" s="576" t="str">
        <f>VLOOKUP(Complete[[#This Row],[Code
(PAP)]],[1]Sheet1!$A:$AO,37,FALSE)</f>
        <v>N/A</v>
      </c>
      <c r="AL40" s="576" t="str">
        <f>VLOOKUP(Complete[[#This Row],[Code
(PAP)]],[1]Sheet1!$A:$AO,38,FALSE)</f>
        <v>N/A</v>
      </c>
      <c r="AM40" s="576" t="str">
        <f>VLOOKUP(Complete[[#This Row],[Code
(PAP)]],[1]Sheet1!$A:$AO,38,FALSE)</f>
        <v>N/A</v>
      </c>
      <c r="AN40" s="595" t="s">
        <v>713</v>
      </c>
      <c r="AO40" s="303" t="s">
        <v>139</v>
      </c>
      <c r="AP40" s="389"/>
      <c r="AQ40" s="389"/>
    </row>
    <row r="41" spans="1:43" s="224" customFormat="1" ht="75" customHeight="1" x14ac:dyDescent="0.25">
      <c r="A41" s="410" t="s">
        <v>714</v>
      </c>
      <c r="B41" s="406" t="str">
        <f>VLOOKUP(Complete[[#This Row],[Code
(PAP)]],[1]Sheet1!$A:$AO,2,FALSE)</f>
        <v>PRINTERS</v>
      </c>
      <c r="C41" s="411" t="str">
        <f>VLOOKUP(Complete[[#This Row],[Code
(PAP)]],[1]Sheet1!$A:$AO,3,FALSE)</f>
        <v>PHO</v>
      </c>
      <c r="D41" s="412"/>
      <c r="E41" s="413" t="str">
        <f>VLOOKUP(Complete[[#This Row],[Code
(PAP)]],[2]Sheet1!$A:$AO,5,FALSE)</f>
        <v>NP-53.9 - Small Value Procurement</v>
      </c>
      <c r="F41" s="414" t="str">
        <f>VLOOKUP(Complete[[#This Row],[Code
(PAP)]],[1]Sheet1!$A:$AO,6,FALSE)</f>
        <v>N/A</v>
      </c>
      <c r="G41" s="414">
        <f>VLOOKUP(Complete[[#This Row],[Code
(PAP)]],[1]Sheet1!$A:$AO,7,FALSE)</f>
        <v>45318</v>
      </c>
      <c r="H41" s="415"/>
      <c r="I41" s="394" t="str">
        <f>VLOOKUP(Complete[[#This Row],[Code
(PAP)]],[1]Sheet1!$A:$AO,9,FALSE)</f>
        <v>N/A</v>
      </c>
      <c r="J41" s="414">
        <f>VLOOKUP(Complete[[#This Row],[Code
(PAP)]],[1]Sheet1!$A:$AO,10,FALSE)</f>
        <v>45335</v>
      </c>
      <c r="K41" s="414">
        <f>VLOOKUP(Complete[[#This Row],[Code
(PAP)]],[1]Sheet1!$A:$AO,11,FALSE)</f>
        <v>45335</v>
      </c>
      <c r="L41" s="416"/>
      <c r="M41" s="414" t="str">
        <f>VLOOKUP(Complete[[#This Row],[Code
(PAP)]],[1]Sheet1!$A:$AO,13,FALSE)</f>
        <v>N/A</v>
      </c>
      <c r="N41" s="414" t="str">
        <f>VLOOKUP(Complete[[#This Row],[Code
(PAP)]],[1]Sheet1!$A:$AO,14,FALSE)</f>
        <v>N/A</v>
      </c>
      <c r="O41" s="414">
        <f>VLOOKUP(Complete[[#This Row],[Code
(PAP)]],[1]Sheet1!$A:$AO,15,FALSE)</f>
        <v>45336</v>
      </c>
      <c r="P41" s="416"/>
      <c r="Q41" s="416"/>
      <c r="R41" s="416"/>
      <c r="S41" s="576">
        <f>VLOOKUP(Complete[[#This Row],[Code
(PAP)]],[1]Sheet1!$A:$AO,19,FALSE)</f>
        <v>45338</v>
      </c>
      <c r="T41" s="576">
        <f>VLOOKUP(Complete[[#This Row],[Code
(PAP)]],[1]Sheet1!$A:$AO,20,FALSE)</f>
        <v>45344</v>
      </c>
      <c r="U41" s="576">
        <f>VLOOKUP(Complete[[#This Row],[Code
(PAP)]],[1]Sheet1!$A:$AO,21,FALSE)</f>
        <v>45348</v>
      </c>
      <c r="V41" s="416"/>
      <c r="W41" s="416"/>
      <c r="X41" s="392">
        <f>VLOOKUP(Complete[[#This Row],[Code
(PAP)]],[1]Sheet1!$A:$AO,24,FALSE)</f>
        <v>45398</v>
      </c>
      <c r="Y41" s="392">
        <f>Complete[[#This Row],[Delivery/ Completion]]</f>
        <v>45398</v>
      </c>
      <c r="Z41" s="610" t="s">
        <v>1478</v>
      </c>
      <c r="AA41" s="462">
        <f>Complete[[#This Row],[MOOE]]+Complete[[#This Row],[CO]]</f>
        <v>58000</v>
      </c>
      <c r="AB41" s="466"/>
      <c r="AC41" s="502">
        <v>58000</v>
      </c>
      <c r="AD41" s="498">
        <f>IF(Complete[[#This Row],[Procurement Project]]="","",SUM(Complete[[#This Row],[MOOE2]]+Complete[[#This Row],[CO3]]))</f>
        <v>58000</v>
      </c>
      <c r="AE41" s="501"/>
      <c r="AF41" s="541">
        <v>58000</v>
      </c>
      <c r="AG41" s="417"/>
      <c r="AH41" s="380" t="s">
        <v>1205</v>
      </c>
      <c r="AI41" s="576" t="str">
        <f>VLOOKUP(Complete[[#This Row],[Code
(PAP)]],[1]Sheet1!$A:$AO,35,FALSE)</f>
        <v>N/A</v>
      </c>
      <c r="AJ41" s="576" t="str">
        <f>VLOOKUP(Complete[[#This Row],[Code
(PAP)]],[1]Sheet1!$A:$AO,36,FALSE)</f>
        <v>N/A</v>
      </c>
      <c r="AK41" s="576" t="str">
        <f>VLOOKUP(Complete[[#This Row],[Code
(PAP)]],[1]Sheet1!$A:$AO,37,FALSE)</f>
        <v>N/A</v>
      </c>
      <c r="AL41" s="576" t="str">
        <f>VLOOKUP(Complete[[#This Row],[Code
(PAP)]],[1]Sheet1!$A:$AO,38,FALSE)</f>
        <v>N/A</v>
      </c>
      <c r="AM41" s="576" t="str">
        <f>VLOOKUP(Complete[[#This Row],[Code
(PAP)]],[1]Sheet1!$A:$AO,38,FALSE)</f>
        <v>N/A</v>
      </c>
      <c r="AN41" s="595" t="s">
        <v>713</v>
      </c>
      <c r="AO41" s="413" t="str">
        <f>VLOOKUP(Complete[[#This Row],[Code
(PAP)]],[1]Sheet1!$A:$AO,41,FALSE)</f>
        <v>COMPLETED</v>
      </c>
      <c r="AP41" s="418"/>
      <c r="AQ41" s="418"/>
    </row>
    <row r="42" spans="1:43" s="224" customFormat="1" ht="75" customHeight="1" x14ac:dyDescent="0.25">
      <c r="A42" s="410" t="s">
        <v>715</v>
      </c>
      <c r="B42" s="406" t="str">
        <f>VLOOKUP(Complete[[#This Row],[Code
(PAP)]],[1]Sheet1!$A:$AO,2,FALSE)</f>
        <v>FOOD/CATERING SERVICES</v>
      </c>
      <c r="C42" s="411" t="str">
        <f>VLOOKUP(Complete[[#This Row],[Code
(PAP)]],[1]Sheet1!$A:$AO,3,FALSE)</f>
        <v>PAO-ADMIN</v>
      </c>
      <c r="D42" s="412"/>
      <c r="E42" s="413" t="str">
        <f>VLOOKUP(Complete[[#This Row],[Code
(PAP)]],[2]Sheet1!$A:$AO,5,FALSE)</f>
        <v>NP-53.9 - Small Value Procurement</v>
      </c>
      <c r="F42" s="414">
        <f>VLOOKUP(Complete[[#This Row],[Code
(PAP)]],[1]Sheet1!$A:$AO,6,FALSE)</f>
        <v>45314</v>
      </c>
      <c r="G42" s="414">
        <f>VLOOKUP(Complete[[#This Row],[Code
(PAP)]],[1]Sheet1!$A:$AO,7,FALSE)</f>
        <v>45318</v>
      </c>
      <c r="H42" s="415"/>
      <c r="I42" s="394" t="str">
        <f>VLOOKUP(Complete[[#This Row],[Code
(PAP)]],[1]Sheet1!$A:$AO,9,FALSE)</f>
        <v>N/A</v>
      </c>
      <c r="J42" s="414">
        <f>VLOOKUP(Complete[[#This Row],[Code
(PAP)]],[1]Sheet1!$A:$AO,10,FALSE)</f>
        <v>45335</v>
      </c>
      <c r="K42" s="414">
        <f>VLOOKUP(Complete[[#This Row],[Code
(PAP)]],[1]Sheet1!$A:$AO,11,FALSE)</f>
        <v>45335</v>
      </c>
      <c r="L42" s="416"/>
      <c r="M42" s="414" t="str">
        <f>VLOOKUP(Complete[[#This Row],[Code
(PAP)]],[1]Sheet1!$A:$AO,13,FALSE)</f>
        <v>N/A</v>
      </c>
      <c r="N42" s="414" t="str">
        <f>VLOOKUP(Complete[[#This Row],[Code
(PAP)]],[1]Sheet1!$A:$AO,14,FALSE)</f>
        <v>N/A</v>
      </c>
      <c r="O42" s="414">
        <f>VLOOKUP(Complete[[#This Row],[Code
(PAP)]],[1]Sheet1!$A:$AO,15,FALSE)</f>
        <v>45336</v>
      </c>
      <c r="P42" s="416"/>
      <c r="Q42" s="416"/>
      <c r="R42" s="416"/>
      <c r="S42" s="576">
        <f>VLOOKUP(Complete[[#This Row],[Code
(PAP)]],[1]Sheet1!$A:$AO,19,FALSE)</f>
        <v>45338</v>
      </c>
      <c r="T42" s="576">
        <f>VLOOKUP(Complete[[#This Row],[Code
(PAP)]],[1]Sheet1!$A:$AO,20,FALSE)</f>
        <v>45341</v>
      </c>
      <c r="U42" s="576">
        <f>VLOOKUP(Complete[[#This Row],[Code
(PAP)]],[1]Sheet1!$A:$AO,21,FALSE)</f>
        <v>45344</v>
      </c>
      <c r="V42" s="416"/>
      <c r="W42" s="416"/>
      <c r="X42" s="392">
        <v>45376</v>
      </c>
      <c r="Y42" s="392">
        <f>Complete[[#This Row],[Delivery/ Completion]]</f>
        <v>45376</v>
      </c>
      <c r="Z42" s="610" t="s">
        <v>1478</v>
      </c>
      <c r="AA42" s="462">
        <f>Complete[[#This Row],[MOOE]]+Complete[[#This Row],[CO]]</f>
        <v>70000</v>
      </c>
      <c r="AB42" s="466">
        <v>70000</v>
      </c>
      <c r="AC42" s="502"/>
      <c r="AD42" s="498">
        <f>IF(Complete[[#This Row],[Procurement Project]]="","",SUM(Complete[[#This Row],[MOOE2]]+Complete[[#This Row],[CO3]]))</f>
        <v>68000</v>
      </c>
      <c r="AE42" s="501">
        <v>68000</v>
      </c>
      <c r="AF42" s="541"/>
      <c r="AG42" s="417"/>
      <c r="AH42" s="380" t="s">
        <v>1205</v>
      </c>
      <c r="AI42" s="576" t="str">
        <f>VLOOKUP(Complete[[#This Row],[Code
(PAP)]],[1]Sheet1!$A:$AO,35,FALSE)</f>
        <v>N/A</v>
      </c>
      <c r="AJ42" s="576" t="str">
        <f>VLOOKUP(Complete[[#This Row],[Code
(PAP)]],[1]Sheet1!$A:$AO,36,FALSE)</f>
        <v>N/A</v>
      </c>
      <c r="AK42" s="576" t="str">
        <f>VLOOKUP(Complete[[#This Row],[Code
(PAP)]],[1]Sheet1!$A:$AO,37,FALSE)</f>
        <v>N/A</v>
      </c>
      <c r="AL42" s="576" t="str">
        <f>VLOOKUP(Complete[[#This Row],[Code
(PAP)]],[1]Sheet1!$A:$AO,38,FALSE)</f>
        <v>N/A</v>
      </c>
      <c r="AM42" s="576" t="str">
        <f>VLOOKUP(Complete[[#This Row],[Code
(PAP)]],[1]Sheet1!$A:$AO,38,FALSE)</f>
        <v>N/A</v>
      </c>
      <c r="AN42" s="595" t="s">
        <v>713</v>
      </c>
      <c r="AO42" s="413" t="str">
        <f>VLOOKUP(Complete[[#This Row],[Code
(PAP)]],[1]Sheet1!$A:$AO,41,FALSE)</f>
        <v>COMPLETED</v>
      </c>
      <c r="AP42" s="418"/>
      <c r="AQ42" s="418"/>
    </row>
    <row r="43" spans="1:43" s="224" customFormat="1" ht="75" customHeight="1" x14ac:dyDescent="0.25">
      <c r="A43" s="385" t="s">
        <v>221</v>
      </c>
      <c r="B43" s="406" t="str">
        <f>VLOOKUP(Complete[[#This Row],[Code
(PAP)]],[1]Sheet1!$A:$AO,2,FALSE)</f>
        <v>SPAREPARTS (LIGHT VEHICLES)</v>
      </c>
      <c r="C43" s="408" t="str">
        <f>VLOOKUP(Complete[[#This Row],[Code
(PAP)]],[1]Sheet1!$A:$AO,3,FALSE)</f>
        <v>PDRRMO</v>
      </c>
      <c r="D43" s="380" t="s">
        <v>712</v>
      </c>
      <c r="E43" s="409" t="str">
        <f>VLOOKUP(Complete[[#This Row],[Code
(PAP)]],[2]Sheet1!$A:$AO,5,FALSE)</f>
        <v>Shopping 52.1(a) - Unforeseen Contingency</v>
      </c>
      <c r="F43" s="393">
        <f>VLOOKUP(Complete[[#This Row],[Code
(PAP)]],[1]Sheet1!$A:$AO,6,FALSE)</f>
        <v>45322</v>
      </c>
      <c r="G43" s="393">
        <f>VLOOKUP(Complete[[#This Row],[Code
(PAP)]],[1]Sheet1!$A:$AO,7,FALSE)</f>
        <v>45324</v>
      </c>
      <c r="H43" s="374"/>
      <c r="I43" s="394" t="str">
        <f>VLOOKUP(Complete[[#This Row],[Code
(PAP)]],[1]Sheet1!$A:$AO,9,FALSE)</f>
        <v>N/A</v>
      </c>
      <c r="J43" s="393">
        <f>VLOOKUP(Complete[[#This Row],[Code
(PAP)]],[1]Sheet1!$A:$AO,10,FALSE)</f>
        <v>45335</v>
      </c>
      <c r="K43" s="393">
        <f>VLOOKUP(Complete[[#This Row],[Code
(PAP)]],[1]Sheet1!$A:$AO,11,FALSE)</f>
        <v>45335</v>
      </c>
      <c r="L43" s="387"/>
      <c r="M43" s="393" t="str">
        <f>VLOOKUP(Complete[[#This Row],[Code
(PAP)]],[1]Sheet1!$A:$AO,13,FALSE)</f>
        <v>N/A</v>
      </c>
      <c r="N43" s="393" t="str">
        <f>VLOOKUP(Complete[[#This Row],[Code
(PAP)]],[1]Sheet1!$A:$AO,14,FALSE)</f>
        <v>N/A</v>
      </c>
      <c r="O43" s="393">
        <f>VLOOKUP(Complete[[#This Row],[Code
(PAP)]],[1]Sheet1!$A:$AO,15,FALSE)</f>
        <v>45336</v>
      </c>
      <c r="P43" s="387"/>
      <c r="Q43" s="387"/>
      <c r="R43" s="387"/>
      <c r="S43" s="576" t="str">
        <f>VLOOKUP(Complete[[#This Row],[Code
(PAP)]],[1]Sheet1!$A:$AO,19,FALSE)</f>
        <v>N/A</v>
      </c>
      <c r="T43" s="576">
        <f>VLOOKUP(Complete[[#This Row],[Code
(PAP)]],[1]Sheet1!$A:$AO,20,FALSE)</f>
        <v>45343</v>
      </c>
      <c r="U43" s="576">
        <f>VLOOKUP(Complete[[#This Row],[Code
(PAP)]],[1]Sheet1!$A:$AO,21,FALSE)</f>
        <v>45344</v>
      </c>
      <c r="V43" s="387"/>
      <c r="W43" s="387"/>
      <c r="X43" s="392">
        <f>VLOOKUP(Complete[[#This Row],[Code
(PAP)]],[1]Sheet1!$A:$AO,24,FALSE)</f>
        <v>45344</v>
      </c>
      <c r="Y43" s="392">
        <f>Complete[[#This Row],[Delivery/ Completion]]</f>
        <v>45344</v>
      </c>
      <c r="Z43" s="610" t="s">
        <v>1478</v>
      </c>
      <c r="AA43" s="462">
        <f>Complete[[#This Row],[MOOE]]+Complete[[#This Row],[CO]]</f>
        <v>52000</v>
      </c>
      <c r="AB43" s="466"/>
      <c r="AC43" s="497">
        <v>52000</v>
      </c>
      <c r="AD43" s="498">
        <f>IF(Complete[[#This Row],[Procurement Project]]="","",SUM(Complete[[#This Row],[MOOE2]]+Complete[[#This Row],[CO3]]))</f>
        <v>52000</v>
      </c>
      <c r="AE43" s="501"/>
      <c r="AF43" s="541">
        <v>52000</v>
      </c>
      <c r="AG43" s="400"/>
      <c r="AH43" s="380" t="s">
        <v>1205</v>
      </c>
      <c r="AI43" s="576" t="str">
        <f>VLOOKUP(Complete[[#This Row],[Code
(PAP)]],[1]Sheet1!$A:$AO,35,FALSE)</f>
        <v>N/A</v>
      </c>
      <c r="AJ43" s="576" t="str">
        <f>VLOOKUP(Complete[[#This Row],[Code
(PAP)]],[1]Sheet1!$A:$AO,36,FALSE)</f>
        <v>N/A</v>
      </c>
      <c r="AK43" s="576" t="str">
        <f>VLOOKUP(Complete[[#This Row],[Code
(PAP)]],[1]Sheet1!$A:$AO,37,FALSE)</f>
        <v>N/A</v>
      </c>
      <c r="AL43" s="576" t="str">
        <f>VLOOKUP(Complete[[#This Row],[Code
(PAP)]],[1]Sheet1!$A:$AO,38,FALSE)</f>
        <v>N/A</v>
      </c>
      <c r="AM43" s="576" t="str">
        <f>VLOOKUP(Complete[[#This Row],[Code
(PAP)]],[1]Sheet1!$A:$AO,38,FALSE)</f>
        <v>N/A</v>
      </c>
      <c r="AN43" s="595" t="s">
        <v>713</v>
      </c>
      <c r="AO43" s="303" t="s">
        <v>139</v>
      </c>
      <c r="AP43" s="389"/>
      <c r="AQ43" s="389"/>
    </row>
    <row r="44" spans="1:43" s="224" customFormat="1" ht="75" customHeight="1" x14ac:dyDescent="0.25">
      <c r="A44" s="385" t="s">
        <v>222</v>
      </c>
      <c r="B44" s="406" t="str">
        <f>VLOOKUP(Complete[[#This Row],[Code
(PAP)]],[1]Sheet1!$A:$AO,2,FALSE)</f>
        <v xml:space="preserve"> CONSTRUCTION MATERIALS</v>
      </c>
      <c r="C44" s="408" t="str">
        <f>VLOOKUP(Complete[[#This Row],[Code
(PAP)]],[1]Sheet1!$A:$AO,3,FALSE)</f>
        <v>PEO</v>
      </c>
      <c r="D44" s="380" t="s">
        <v>712</v>
      </c>
      <c r="E44" s="409" t="str">
        <f>VLOOKUP(Complete[[#This Row],[Code
(PAP)]],[2]Sheet1!$A:$AO,5,FALSE)</f>
        <v>Competitive Bidding</v>
      </c>
      <c r="F44" s="393" t="str">
        <f>VLOOKUP(Complete[[#This Row],[Code
(PAP)]],[1]Sheet1!$A:$AO,6,FALSE)</f>
        <v>N/A</v>
      </c>
      <c r="G44" s="393">
        <f>VLOOKUP(Complete[[#This Row],[Code
(PAP)]],[1]Sheet1!$A:$AO,7,FALSE)</f>
        <v>45320</v>
      </c>
      <c r="H44" s="374"/>
      <c r="I44" s="394" t="str">
        <f>VLOOKUP(Complete[[#This Row],[Code
(PAP)]],[1]Sheet1!$A:$AO,9,FALSE)</f>
        <v>N/A</v>
      </c>
      <c r="J44" s="393">
        <f>VLOOKUP(Complete[[#This Row],[Code
(PAP)]],[1]Sheet1!$A:$AO,10,FALSE)</f>
        <v>45328</v>
      </c>
      <c r="K44" s="393">
        <f>VLOOKUP(Complete[[#This Row],[Code
(PAP)]],[1]Sheet1!$A:$AO,11,FALSE)</f>
        <v>45328</v>
      </c>
      <c r="L44" s="387"/>
      <c r="M44" s="393">
        <f>VLOOKUP(Complete[[#This Row],[Code
(PAP)]],[1]Sheet1!$A:$AO,13,FALSE)</f>
        <v>45328</v>
      </c>
      <c r="N44" s="393">
        <f>VLOOKUP(Complete[[#This Row],[Code
(PAP)]],[1]Sheet1!$A:$AO,14,FALSE)</f>
        <v>45334</v>
      </c>
      <c r="O44" s="393">
        <f>VLOOKUP(Complete[[#This Row],[Code
(PAP)]],[1]Sheet1!$A:$AO,15,FALSE)</f>
        <v>45336</v>
      </c>
      <c r="P44" s="387"/>
      <c r="Q44" s="387"/>
      <c r="R44" s="387"/>
      <c r="S44" s="576">
        <f>VLOOKUP(Complete[[#This Row],[Code
(PAP)]],[1]Sheet1!$A:$AO,19,FALSE)</f>
        <v>45337</v>
      </c>
      <c r="T44" s="576">
        <f>VLOOKUP(Complete[[#This Row],[Code
(PAP)]],[1]Sheet1!$A:$AO,20,FALSE)</f>
        <v>45369</v>
      </c>
      <c r="U44" s="576">
        <f>VLOOKUP(Complete[[#This Row],[Code
(PAP)]],[1]Sheet1!$A:$AO,21,FALSE)</f>
        <v>45372</v>
      </c>
      <c r="V44" s="387"/>
      <c r="W44" s="387"/>
      <c r="X44" s="392">
        <f>VLOOKUP(Complete[[#This Row],[Code
(PAP)]],[1]Sheet1!$A:$AO,24,FALSE)</f>
        <v>45393</v>
      </c>
      <c r="Y44" s="392">
        <f>Complete[[#This Row],[Delivery/ Completion]]</f>
        <v>45393</v>
      </c>
      <c r="Z44" s="610" t="s">
        <v>1478</v>
      </c>
      <c r="AA44" s="462">
        <f>Complete[[#This Row],[MOOE]]+Complete[[#This Row],[CO]]</f>
        <v>638625.04</v>
      </c>
      <c r="AB44" s="466"/>
      <c r="AC44" s="497">
        <v>638625.04</v>
      </c>
      <c r="AD44" s="498">
        <f>IF(Complete[[#This Row],[Procurement Project]]="","",SUM(Complete[[#This Row],[MOOE2]]+Complete[[#This Row],[CO3]]))</f>
        <v>635746.1</v>
      </c>
      <c r="AE44" s="501"/>
      <c r="AF44" s="541">
        <f>VLOOKUP(Complete[[#This Row],[Code
(PAP)]],[1]Sheet1!$A:$AO,32,FALSE)</f>
        <v>635746.1</v>
      </c>
      <c r="AG44" s="400"/>
      <c r="AH44" s="380" t="s">
        <v>1205</v>
      </c>
      <c r="AI44" s="576" t="str">
        <f>VLOOKUP(Complete[[#This Row],[Code
(PAP)]],[1]Sheet1!$A:$AO,35,FALSE)</f>
        <v>N/A</v>
      </c>
      <c r="AJ44" s="576">
        <f>VLOOKUP(Complete[[#This Row],[Code
(PAP)]],[1]Sheet1!$A:$AO,36,FALSE)</f>
        <v>45324</v>
      </c>
      <c r="AK44" s="576">
        <f>VLOOKUP(Complete[[#This Row],[Code
(PAP)]],[1]Sheet1!$A:$AO,37,FALSE)</f>
        <v>45324</v>
      </c>
      <c r="AL44" s="576">
        <f>VLOOKUP(Complete[[#This Row],[Code
(PAP)]],[1]Sheet1!$A:$AO,38,FALSE)</f>
        <v>45324</v>
      </c>
      <c r="AM44" s="576">
        <f>VLOOKUP(Complete[[#This Row],[Code
(PAP)]],[1]Sheet1!$A:$AO,38,FALSE)</f>
        <v>45324</v>
      </c>
      <c r="AN44" s="595" t="s">
        <v>713</v>
      </c>
      <c r="AO44" s="303" t="s">
        <v>139</v>
      </c>
      <c r="AP44" s="389"/>
      <c r="AQ44" s="389"/>
    </row>
    <row r="45" spans="1:43" s="224" customFormat="1" ht="75" customHeight="1" x14ac:dyDescent="0.25">
      <c r="A45" s="385" t="s">
        <v>711</v>
      </c>
      <c r="B45" s="406" t="str">
        <f>VLOOKUP(Complete[[#This Row],[Code
(PAP)]],[1]Sheet1!$A:$AO,2,FALSE)</f>
        <v>MEDICAL SUPPLIES</v>
      </c>
      <c r="C45" s="408" t="str">
        <f>VLOOKUP(Complete[[#This Row],[Code
(PAP)]],[1]Sheet1!$A:$AO,3,FALSE)</f>
        <v>PEEMO</v>
      </c>
      <c r="D45" s="380" t="s">
        <v>712</v>
      </c>
      <c r="E45" s="409" t="str">
        <f>VLOOKUP(Complete[[#This Row],[Code
(PAP)]],[2]Sheet1!$A:$AO,5,FALSE)</f>
        <v>NP-53.9 - Small Value Procurement</v>
      </c>
      <c r="F45" s="393">
        <f>VLOOKUP(Complete[[#This Row],[Code
(PAP)]],[1]Sheet1!$A:$AO,6,FALSE)</f>
        <v>45384</v>
      </c>
      <c r="G45" s="393">
        <f>VLOOKUP(Complete[[#This Row],[Code
(PAP)]],[1]Sheet1!$A:$AO,7,FALSE)</f>
        <v>45390</v>
      </c>
      <c r="H45" s="374"/>
      <c r="I45" s="394" t="str">
        <f>VLOOKUP(Complete[[#This Row],[Code
(PAP)]],[1]Sheet1!$A:$AO,9,FALSE)</f>
        <v>N/A</v>
      </c>
      <c r="J45" s="393">
        <f>VLOOKUP(Complete[[#This Row],[Code
(PAP)]],[1]Sheet1!$A:$AO,10,FALSE)</f>
        <v>45440</v>
      </c>
      <c r="K45" s="393">
        <f>VLOOKUP(Complete[[#This Row],[Code
(PAP)]],[1]Sheet1!$A:$AO,11,FALSE)</f>
        <v>45440</v>
      </c>
      <c r="L45" s="387"/>
      <c r="M45" s="393" t="str">
        <f>VLOOKUP(Complete[[#This Row],[Code
(PAP)]],[1]Sheet1!$A:$AO,13,FALSE)</f>
        <v>N/A</v>
      </c>
      <c r="N45" s="393" t="str">
        <f>VLOOKUP(Complete[[#This Row],[Code
(PAP)]],[1]Sheet1!$A:$AO,14,FALSE)</f>
        <v>N/A</v>
      </c>
      <c r="O45" s="393">
        <f>VLOOKUP(Complete[[#This Row],[Code
(PAP)]],[1]Sheet1!$A:$AO,15,FALSE)</f>
        <v>45441</v>
      </c>
      <c r="P45" s="387"/>
      <c r="Q45" s="387"/>
      <c r="R45" s="387"/>
      <c r="S45" s="576">
        <v>45441</v>
      </c>
      <c r="T45" s="576">
        <f>VLOOKUP(Complete[[#This Row],[Code
(PAP)]],[1]Sheet1!$A:$AO,20,FALSE)</f>
        <v>45453</v>
      </c>
      <c r="U45" s="576">
        <f>VLOOKUP(Complete[[#This Row],[Code
(PAP)]],[1]Sheet1!$A:$AO,21,FALSE)</f>
        <v>45467</v>
      </c>
      <c r="V45" s="387"/>
      <c r="W45" s="387"/>
      <c r="X45" s="392">
        <f>VLOOKUP(Complete[[#This Row],[Code
(PAP)]],[1]Sheet1!$A:$AO,24,FALSE)</f>
        <v>45468</v>
      </c>
      <c r="Y45" s="392">
        <f>Complete[[#This Row],[Delivery/ Completion]]</f>
        <v>45468</v>
      </c>
      <c r="Z45" s="610" t="s">
        <v>1478</v>
      </c>
      <c r="AA45" s="462">
        <f>Complete[[#This Row],[MOOE]]+Complete[[#This Row],[CO]]</f>
        <v>289643</v>
      </c>
      <c r="AB45" s="466">
        <v>289643</v>
      </c>
      <c r="AC45" s="497"/>
      <c r="AD45" s="498">
        <f>IF(Complete[[#This Row],[Procurement Project]]="","",SUM(Complete[[#This Row],[MOOE2]]+Complete[[#This Row],[CO3]]))</f>
        <v>289049</v>
      </c>
      <c r="AE45" s="501">
        <v>289049</v>
      </c>
      <c r="AF45" s="541"/>
      <c r="AG45" s="400"/>
      <c r="AH45" s="380" t="s">
        <v>1205</v>
      </c>
      <c r="AI45" s="576" t="str">
        <f>VLOOKUP(Complete[[#This Row],[Code
(PAP)]],[1]Sheet1!$A:$AO,35,FALSE)</f>
        <v>N/A</v>
      </c>
      <c r="AJ45" s="576" t="str">
        <f>VLOOKUP(Complete[[#This Row],[Code
(PAP)]],[1]Sheet1!$A:$AO,36,FALSE)</f>
        <v>N/A</v>
      </c>
      <c r="AK45" s="576" t="str">
        <f>VLOOKUP(Complete[[#This Row],[Code
(PAP)]],[1]Sheet1!$A:$AO,37,FALSE)</f>
        <v>N/A</v>
      </c>
      <c r="AL45" s="576" t="str">
        <f>VLOOKUP(Complete[[#This Row],[Code
(PAP)]],[1]Sheet1!$A:$AO,38,FALSE)</f>
        <v>N/A</v>
      </c>
      <c r="AM45" s="576" t="str">
        <f>VLOOKUP(Complete[[#This Row],[Code
(PAP)]],[1]Sheet1!$A:$AO,38,FALSE)</f>
        <v>N/A</v>
      </c>
      <c r="AN45" s="595" t="s">
        <v>713</v>
      </c>
      <c r="AO45" s="303" t="s">
        <v>139</v>
      </c>
      <c r="AP45" s="389"/>
      <c r="AQ45" s="389"/>
    </row>
    <row r="46" spans="1:43" s="224" customFormat="1" ht="75" customHeight="1" x14ac:dyDescent="0.25">
      <c r="A46" s="385" t="s">
        <v>223</v>
      </c>
      <c r="B46" s="406" t="str">
        <f>VLOOKUP(Complete[[#This Row],[Code
(PAP)]],[1]Sheet1!$A:$AO,2,FALSE)</f>
        <v>OFFICE SUPPLIES</v>
      </c>
      <c r="C46" s="408" t="str">
        <f>VLOOKUP(Complete[[#This Row],[Code
(PAP)]],[1]Sheet1!$A:$AO,3,FALSE)</f>
        <v>PIAO</v>
      </c>
      <c r="D46" s="380" t="s">
        <v>712</v>
      </c>
      <c r="E46" s="409" t="str">
        <f>VLOOKUP(Complete[[#This Row],[Code
(PAP)]],[2]Sheet1!$A:$AO,5,FALSE)</f>
        <v>Shopping 52.1(b) - Regular Office Supplies and Equipment no available in PS</v>
      </c>
      <c r="F46" s="393" t="str">
        <f>VLOOKUP(Complete[[#This Row],[Code
(PAP)]],[1]Sheet1!$A:$AO,6,FALSE)</f>
        <v>N/A</v>
      </c>
      <c r="G46" s="393">
        <f>VLOOKUP(Complete[[#This Row],[Code
(PAP)]],[1]Sheet1!$A:$AO,7,FALSE)</f>
        <v>45324</v>
      </c>
      <c r="H46" s="374"/>
      <c r="I46" s="394" t="str">
        <f>VLOOKUP(Complete[[#This Row],[Code
(PAP)]],[1]Sheet1!$A:$AO,9,FALSE)</f>
        <v>N/A</v>
      </c>
      <c r="J46" s="393">
        <f>VLOOKUP(Complete[[#This Row],[Code
(PAP)]],[1]Sheet1!$A:$AO,10,FALSE)</f>
        <v>45335</v>
      </c>
      <c r="K46" s="393">
        <f>VLOOKUP(Complete[[#This Row],[Code
(PAP)]],[1]Sheet1!$A:$AO,11,FALSE)</f>
        <v>45335</v>
      </c>
      <c r="L46" s="387"/>
      <c r="M46" s="393" t="str">
        <f>VLOOKUP(Complete[[#This Row],[Code
(PAP)]],[1]Sheet1!$A:$AO,13,FALSE)</f>
        <v>N/A</v>
      </c>
      <c r="N46" s="393" t="str">
        <f>VLOOKUP(Complete[[#This Row],[Code
(PAP)]],[1]Sheet1!$A:$AO,14,FALSE)</f>
        <v>N/A</v>
      </c>
      <c r="O46" s="393">
        <f>VLOOKUP(Complete[[#This Row],[Code
(PAP)]],[1]Sheet1!$A:$AO,15,FALSE)</f>
        <v>45336</v>
      </c>
      <c r="P46" s="387"/>
      <c r="Q46" s="387"/>
      <c r="R46" s="387"/>
      <c r="S46" s="576" t="str">
        <f>VLOOKUP(Complete[[#This Row],[Code
(PAP)]],[1]Sheet1!$A:$AO,19,FALSE)</f>
        <v>N/A</v>
      </c>
      <c r="T46" s="576">
        <f>VLOOKUP(Complete[[#This Row],[Code
(PAP)]],[1]Sheet1!$A:$AO,20,FALSE)</f>
        <v>45343</v>
      </c>
      <c r="U46" s="576">
        <f>VLOOKUP(Complete[[#This Row],[Code
(PAP)]],[1]Sheet1!$A:$AO,21,FALSE)</f>
        <v>45344</v>
      </c>
      <c r="V46" s="387"/>
      <c r="W46" s="387"/>
      <c r="X46" s="392">
        <f>VLOOKUP(Complete[[#This Row],[Code
(PAP)]],[1]Sheet1!$A:$AO,24,FALSE)</f>
        <v>45358</v>
      </c>
      <c r="Y46" s="392">
        <f>Complete[[#This Row],[Delivery/ Completion]]</f>
        <v>45358</v>
      </c>
      <c r="Z46" s="610" t="s">
        <v>1478</v>
      </c>
      <c r="AA46" s="462">
        <f>Complete[[#This Row],[MOOE]]+Complete[[#This Row],[CO]]</f>
        <v>18122</v>
      </c>
      <c r="AB46" s="466">
        <v>18122</v>
      </c>
      <c r="AC46" s="497"/>
      <c r="AD46" s="498">
        <f>IF(Complete[[#This Row],[Procurement Project]]="","",SUM(Complete[[#This Row],[MOOE2]]+Complete[[#This Row],[CO3]]))</f>
        <v>17857</v>
      </c>
      <c r="AE46" s="501">
        <v>17857</v>
      </c>
      <c r="AF46" s="541"/>
      <c r="AG46" s="400"/>
      <c r="AH46" s="380" t="s">
        <v>1205</v>
      </c>
      <c r="AI46" s="576" t="str">
        <f>VLOOKUP(Complete[[#This Row],[Code
(PAP)]],[1]Sheet1!$A:$AO,35,FALSE)</f>
        <v>N/A</v>
      </c>
      <c r="AJ46" s="576" t="str">
        <f>VLOOKUP(Complete[[#This Row],[Code
(PAP)]],[1]Sheet1!$A:$AO,36,FALSE)</f>
        <v>N/A</v>
      </c>
      <c r="AK46" s="576" t="str">
        <f>VLOOKUP(Complete[[#This Row],[Code
(PAP)]],[1]Sheet1!$A:$AO,37,FALSE)</f>
        <v>N/A</v>
      </c>
      <c r="AL46" s="576" t="str">
        <f>VLOOKUP(Complete[[#This Row],[Code
(PAP)]],[1]Sheet1!$A:$AO,38,FALSE)</f>
        <v>N/A</v>
      </c>
      <c r="AM46" s="576" t="str">
        <f>VLOOKUP(Complete[[#This Row],[Code
(PAP)]],[1]Sheet1!$A:$AO,38,FALSE)</f>
        <v>N/A</v>
      </c>
      <c r="AN46" s="595" t="s">
        <v>713</v>
      </c>
      <c r="AO46" s="303" t="s">
        <v>139</v>
      </c>
      <c r="AP46" s="389"/>
      <c r="AQ46" s="389"/>
    </row>
    <row r="47" spans="1:43" s="224" customFormat="1" ht="75" customHeight="1" x14ac:dyDescent="0.25">
      <c r="A47" s="385" t="s">
        <v>224</v>
      </c>
      <c r="B47" s="406" t="str">
        <f>VLOOKUP(Complete[[#This Row],[Code
(PAP)]],[1]Sheet1!$A:$AO,2,FALSE)</f>
        <v>OFFICE SUPPLIES</v>
      </c>
      <c r="C47" s="408" t="str">
        <f>VLOOKUP(Complete[[#This Row],[Code
(PAP)]],[1]Sheet1!$A:$AO,3,FALSE)</f>
        <v>PACCO</v>
      </c>
      <c r="D47" s="380" t="s">
        <v>712</v>
      </c>
      <c r="E47" s="409" t="str">
        <f>VLOOKUP(Complete[[#This Row],[Code
(PAP)]],[2]Sheet1!$A:$AO,5,FALSE)</f>
        <v>Shopping 52.1(b) - Regular Office Supplies and Equipment no available in PS</v>
      </c>
      <c r="F47" s="393" t="str">
        <f>VLOOKUP(Complete[[#This Row],[Code
(PAP)]],[1]Sheet1!$A:$AO,6,FALSE)</f>
        <v>N/A</v>
      </c>
      <c r="G47" s="393">
        <f>VLOOKUP(Complete[[#This Row],[Code
(PAP)]],[1]Sheet1!$A:$AO,7,FALSE)</f>
        <v>45324</v>
      </c>
      <c r="H47" s="374"/>
      <c r="I47" s="394" t="str">
        <f>VLOOKUP(Complete[[#This Row],[Code
(PAP)]],[1]Sheet1!$A:$AO,9,FALSE)</f>
        <v>N/A</v>
      </c>
      <c r="J47" s="393">
        <f>VLOOKUP(Complete[[#This Row],[Code
(PAP)]],[1]Sheet1!$A:$AO,10,FALSE)</f>
        <v>45335</v>
      </c>
      <c r="K47" s="393">
        <f>VLOOKUP(Complete[[#This Row],[Code
(PAP)]],[1]Sheet1!$A:$AO,11,FALSE)</f>
        <v>45335</v>
      </c>
      <c r="L47" s="387"/>
      <c r="M47" s="393" t="str">
        <f>VLOOKUP(Complete[[#This Row],[Code
(PAP)]],[1]Sheet1!$A:$AO,13,FALSE)</f>
        <v>N/A</v>
      </c>
      <c r="N47" s="393" t="str">
        <f>VLOOKUP(Complete[[#This Row],[Code
(PAP)]],[1]Sheet1!$A:$AO,14,FALSE)</f>
        <v>N/A</v>
      </c>
      <c r="O47" s="393">
        <f>VLOOKUP(Complete[[#This Row],[Code
(PAP)]],[1]Sheet1!$A:$AO,15,FALSE)</f>
        <v>45336</v>
      </c>
      <c r="P47" s="387"/>
      <c r="Q47" s="387"/>
      <c r="R47" s="387"/>
      <c r="S47" s="576">
        <f>VLOOKUP(Complete[[#This Row],[Code
(PAP)]],[1]Sheet1!$A:$AO,19,FALSE)</f>
        <v>45338</v>
      </c>
      <c r="T47" s="576">
        <f>VLOOKUP(Complete[[#This Row],[Code
(PAP)]],[1]Sheet1!$A:$AO,20,FALSE)</f>
        <v>45342</v>
      </c>
      <c r="U47" s="576">
        <f>VLOOKUP(Complete[[#This Row],[Code
(PAP)]],[1]Sheet1!$A:$AO,21,FALSE)</f>
        <v>45344</v>
      </c>
      <c r="V47" s="387"/>
      <c r="W47" s="387"/>
      <c r="X47" s="392">
        <f>VLOOKUP(Complete[[#This Row],[Code
(PAP)]],[1]Sheet1!$A:$AO,24,FALSE)</f>
        <v>45351</v>
      </c>
      <c r="Y47" s="392">
        <f>Complete[[#This Row],[Delivery/ Completion]]</f>
        <v>45351</v>
      </c>
      <c r="Z47" s="610" t="s">
        <v>1478</v>
      </c>
      <c r="AA47" s="462">
        <f>Complete[[#This Row],[MOOE]]+Complete[[#This Row],[CO]]</f>
        <v>134377</v>
      </c>
      <c r="AB47" s="466">
        <v>134377</v>
      </c>
      <c r="AC47" s="497"/>
      <c r="AD47" s="498">
        <f>IF(Complete[[#This Row],[Procurement Project]]="","",SUM(Complete[[#This Row],[MOOE2]]+Complete[[#This Row],[CO3]]))</f>
        <v>130772</v>
      </c>
      <c r="AE47" s="501">
        <v>130772</v>
      </c>
      <c r="AF47" s="541"/>
      <c r="AG47" s="400"/>
      <c r="AH47" s="380" t="s">
        <v>1205</v>
      </c>
      <c r="AI47" s="576" t="str">
        <f>VLOOKUP(Complete[[#This Row],[Code
(PAP)]],[1]Sheet1!$A:$AO,35,FALSE)</f>
        <v>N/A</v>
      </c>
      <c r="AJ47" s="576" t="str">
        <f>VLOOKUP(Complete[[#This Row],[Code
(PAP)]],[1]Sheet1!$A:$AO,36,FALSE)</f>
        <v>N/A</v>
      </c>
      <c r="AK47" s="576" t="str">
        <f>VLOOKUP(Complete[[#This Row],[Code
(PAP)]],[1]Sheet1!$A:$AO,37,FALSE)</f>
        <v>N/A</v>
      </c>
      <c r="AL47" s="576" t="str">
        <f>VLOOKUP(Complete[[#This Row],[Code
(PAP)]],[1]Sheet1!$A:$AO,38,FALSE)</f>
        <v>N/A</v>
      </c>
      <c r="AM47" s="576" t="str">
        <f>VLOOKUP(Complete[[#This Row],[Code
(PAP)]],[1]Sheet1!$A:$AO,38,FALSE)</f>
        <v>N/A</v>
      </c>
      <c r="AN47" s="595" t="s">
        <v>713</v>
      </c>
      <c r="AO47" s="303" t="s">
        <v>139</v>
      </c>
      <c r="AP47" s="389"/>
      <c r="AQ47" s="389"/>
    </row>
    <row r="48" spans="1:43" s="224" customFormat="1" ht="75" customHeight="1" x14ac:dyDescent="0.25">
      <c r="A48" s="385" t="s">
        <v>225</v>
      </c>
      <c r="B48" s="406" t="str">
        <f>VLOOKUP(Complete[[#This Row],[Code
(PAP)]],[1]Sheet1!$A:$AO,2,FALSE)</f>
        <v>SUPPLY AND DELIVERY OF ARC MEGA TENT</v>
      </c>
      <c r="C48" s="408" t="str">
        <f>VLOOKUP(Complete[[#This Row],[Code
(PAP)]],[1]Sheet1!$A:$AO,3,FALSE)</f>
        <v>PGO</v>
      </c>
      <c r="D48" s="380" t="s">
        <v>712</v>
      </c>
      <c r="E48" s="409" t="str">
        <f>VLOOKUP(Complete[[#This Row],[Code
(PAP)]],[2]Sheet1!$A:$AO,5,FALSE)</f>
        <v>Competitive Bidding</v>
      </c>
      <c r="F48" s="393">
        <v>45300</v>
      </c>
      <c r="G48" s="393">
        <f>VLOOKUP(Complete[[#This Row],[Code
(PAP)]],[1]Sheet1!$A:$AO,7,FALSE)</f>
        <v>45315</v>
      </c>
      <c r="H48" s="374"/>
      <c r="I48" s="394">
        <f>VLOOKUP(Complete[[#This Row],[Code
(PAP)]],[1]Sheet1!$A:$AO,9,FALSE)</f>
        <v>45322</v>
      </c>
      <c r="J48" s="393">
        <f>VLOOKUP(Complete[[#This Row],[Code
(PAP)]],[1]Sheet1!$A:$AO,10,FALSE)</f>
        <v>45335</v>
      </c>
      <c r="K48" s="393">
        <f>VLOOKUP(Complete[[#This Row],[Code
(PAP)]],[1]Sheet1!$A:$AO,11,FALSE)</f>
        <v>45335</v>
      </c>
      <c r="L48" s="387"/>
      <c r="M48" s="393">
        <f>VLOOKUP(Complete[[#This Row],[Code
(PAP)]],[1]Sheet1!$A:$AO,13,FALSE)</f>
        <v>45335</v>
      </c>
      <c r="N48" s="393">
        <f>VLOOKUP(Complete[[#This Row],[Code
(PAP)]],[1]Sheet1!$A:$AO,14,FALSE)</f>
        <v>45338</v>
      </c>
      <c r="O48" s="393">
        <f>VLOOKUP(Complete[[#This Row],[Code
(PAP)]],[1]Sheet1!$A:$AO,15,FALSE)</f>
        <v>45344</v>
      </c>
      <c r="P48" s="387"/>
      <c r="Q48" s="387"/>
      <c r="R48" s="387"/>
      <c r="S48" s="576">
        <f>VLOOKUP(Complete[[#This Row],[Code
(PAP)]],[1]Sheet1!$A:$AO,19,FALSE)</f>
        <v>45349</v>
      </c>
      <c r="T48" s="576">
        <f>VLOOKUP(Complete[[#This Row],[Code
(PAP)]],[1]Sheet1!$A:$AO,20,FALSE)</f>
        <v>45352</v>
      </c>
      <c r="U48" s="576">
        <f>VLOOKUP(Complete[[#This Row],[Code
(PAP)]],[1]Sheet1!$A:$AO,21,FALSE)</f>
        <v>45355</v>
      </c>
      <c r="V48" s="387"/>
      <c r="W48" s="387"/>
      <c r="X48" s="392">
        <f>VLOOKUP(Complete[[#This Row],[Code
(PAP)]],[1]Sheet1!$A:$AO,24,FALSE)</f>
        <v>45376</v>
      </c>
      <c r="Y48" s="392">
        <f>Complete[[#This Row],[Delivery/ Completion]]</f>
        <v>45376</v>
      </c>
      <c r="Z48" s="610" t="s">
        <v>1478</v>
      </c>
      <c r="AA48" s="462">
        <f>Complete[[#This Row],[MOOE]]+Complete[[#This Row],[CO]]</f>
        <v>5000000</v>
      </c>
      <c r="AB48" s="466"/>
      <c r="AC48" s="497">
        <v>5000000</v>
      </c>
      <c r="AD48" s="498">
        <f>IF(Complete[[#This Row],[Procurement Project]]="","",SUM(Complete[[#This Row],[MOOE2]]+Complete[[#This Row],[CO3]]))</f>
        <v>4998500</v>
      </c>
      <c r="AE48" s="501"/>
      <c r="AF48" s="541">
        <v>4998500</v>
      </c>
      <c r="AG48" s="400"/>
      <c r="AH48" s="380" t="s">
        <v>1205</v>
      </c>
      <c r="AI48" s="576">
        <f>VLOOKUP(Complete[[#This Row],[Code
(PAP)]],[1]Sheet1!$A:$AO,35,FALSE)</f>
        <v>45316</v>
      </c>
      <c r="AJ48" s="576">
        <f>VLOOKUP(Complete[[#This Row],[Code
(PAP)]],[1]Sheet1!$A:$AO,36,FALSE)</f>
        <v>45334</v>
      </c>
      <c r="AK48" s="576">
        <f>VLOOKUP(Complete[[#This Row],[Code
(PAP)]],[1]Sheet1!$A:$AO,37,FALSE)</f>
        <v>45334</v>
      </c>
      <c r="AL48" s="576">
        <f>VLOOKUP(Complete[[#This Row],[Code
(PAP)]],[1]Sheet1!$A:$AO,38,FALSE)</f>
        <v>45334</v>
      </c>
      <c r="AM48" s="576">
        <f>VLOOKUP(Complete[[#This Row],[Code
(PAP)]],[1]Sheet1!$A:$AO,38,FALSE)</f>
        <v>45334</v>
      </c>
      <c r="AN48" s="595" t="s">
        <v>713</v>
      </c>
      <c r="AO48" s="303" t="s">
        <v>139</v>
      </c>
      <c r="AP48" s="389"/>
      <c r="AQ48" s="389"/>
    </row>
    <row r="49" spans="1:43" s="224" customFormat="1" ht="75" customHeight="1" x14ac:dyDescent="0.25">
      <c r="A49" s="385" t="s">
        <v>226</v>
      </c>
      <c r="B49" s="406" t="str">
        <f>VLOOKUP(Complete[[#This Row],[Code
(PAP)]],[1]Sheet1!$A:$AO,2,FALSE)</f>
        <v>SUPPLY AND DELIVERY OF WARNING DEVICES/SIGNAGES</v>
      </c>
      <c r="C49" s="408" t="str">
        <f>VLOOKUP(Complete[[#This Row],[Code
(PAP)]],[1]Sheet1!$A:$AO,3,FALSE)</f>
        <v>PDRRMO</v>
      </c>
      <c r="D49" s="380" t="s">
        <v>712</v>
      </c>
      <c r="E49" s="409" t="str">
        <f>VLOOKUP(Complete[[#This Row],[Code
(PAP)]],[2]Sheet1!$A:$AO,5,FALSE)</f>
        <v>Competitive Bidding</v>
      </c>
      <c r="F49" s="393" t="str">
        <f>VLOOKUP(Complete[[#This Row],[Code
(PAP)]],[1]Sheet1!$A:$AO,6,FALSE)</f>
        <v>N/A</v>
      </c>
      <c r="G49" s="393">
        <f>VLOOKUP(Complete[[#This Row],[Code
(PAP)]],[1]Sheet1!$A:$AO,7,FALSE)</f>
        <v>45324</v>
      </c>
      <c r="H49" s="374"/>
      <c r="I49" s="394" t="str">
        <f>VLOOKUP(Complete[[#This Row],[Code
(PAP)]],[1]Sheet1!$A:$AO,9,FALSE)</f>
        <v>N/A</v>
      </c>
      <c r="J49" s="393">
        <f>VLOOKUP(Complete[[#This Row],[Code
(PAP)]],[1]Sheet1!$A:$AO,10,FALSE)</f>
        <v>45335</v>
      </c>
      <c r="K49" s="393">
        <f>VLOOKUP(Complete[[#This Row],[Code
(PAP)]],[1]Sheet1!$A:$AO,11,FALSE)</f>
        <v>45335</v>
      </c>
      <c r="L49" s="387"/>
      <c r="M49" s="393">
        <f>VLOOKUP(Complete[[#This Row],[Code
(PAP)]],[1]Sheet1!$A:$AO,13,FALSE)</f>
        <v>45335</v>
      </c>
      <c r="N49" s="393">
        <f>VLOOKUP(Complete[[#This Row],[Code
(PAP)]],[1]Sheet1!$A:$AO,14,FALSE)</f>
        <v>45338</v>
      </c>
      <c r="O49" s="393">
        <f>VLOOKUP(Complete[[#This Row],[Code
(PAP)]],[1]Sheet1!$A:$AO,15,FALSE)</f>
        <v>45344</v>
      </c>
      <c r="P49" s="387"/>
      <c r="Q49" s="387"/>
      <c r="R49" s="387"/>
      <c r="S49" s="576">
        <f>VLOOKUP(Complete[[#This Row],[Code
(PAP)]],[1]Sheet1!$A:$AO,19,FALSE)</f>
        <v>45352</v>
      </c>
      <c r="T49" s="576">
        <f>VLOOKUP(Complete[[#This Row],[Code
(PAP)]],[1]Sheet1!$A:$AO,20,FALSE)</f>
        <v>45355</v>
      </c>
      <c r="U49" s="576">
        <f>VLOOKUP(Complete[[#This Row],[Code
(PAP)]],[1]Sheet1!$A:$AO,21,FALSE)</f>
        <v>45357</v>
      </c>
      <c r="V49" s="387"/>
      <c r="W49" s="387"/>
      <c r="X49" s="392">
        <f>VLOOKUP(Complete[[#This Row],[Code
(PAP)]],[1]Sheet1!$A:$AO,24,FALSE)</f>
        <v>45449</v>
      </c>
      <c r="Y49" s="392">
        <f>Complete[[#This Row],[Delivery/ Completion]]</f>
        <v>45449</v>
      </c>
      <c r="Z49" s="610" t="s">
        <v>1478</v>
      </c>
      <c r="AA49" s="462">
        <f>Complete[[#This Row],[MOOE]]+Complete[[#This Row],[CO]]</f>
        <v>985600</v>
      </c>
      <c r="AB49" s="466"/>
      <c r="AC49" s="497">
        <v>985600</v>
      </c>
      <c r="AD49" s="498">
        <f>IF(Complete[[#This Row],[Procurement Project]]="","",SUM(Complete[[#This Row],[MOOE2]]+Complete[[#This Row],[CO3]]))</f>
        <v>776000</v>
      </c>
      <c r="AE49" s="501"/>
      <c r="AF49" s="541">
        <v>776000</v>
      </c>
      <c r="AG49" s="400"/>
      <c r="AH49" s="380" t="s">
        <v>1205</v>
      </c>
      <c r="AI49" s="576" t="str">
        <f>VLOOKUP(Complete[[#This Row],[Code
(PAP)]],[1]Sheet1!$A:$AO,35,FALSE)</f>
        <v>N/A</v>
      </c>
      <c r="AJ49" s="576">
        <f>VLOOKUP(Complete[[#This Row],[Code
(PAP)]],[1]Sheet1!$A:$AO,36,FALSE)</f>
        <v>45334</v>
      </c>
      <c r="AK49" s="576">
        <f>VLOOKUP(Complete[[#This Row],[Code
(PAP)]],[1]Sheet1!$A:$AO,37,FALSE)</f>
        <v>45334</v>
      </c>
      <c r="AL49" s="576">
        <f>VLOOKUP(Complete[[#This Row],[Code
(PAP)]],[1]Sheet1!$A:$AO,38,FALSE)</f>
        <v>45334</v>
      </c>
      <c r="AM49" s="576">
        <f>VLOOKUP(Complete[[#This Row],[Code
(PAP)]],[1]Sheet1!$A:$AO,38,FALSE)</f>
        <v>45334</v>
      </c>
      <c r="AN49" s="595" t="s">
        <v>713</v>
      </c>
      <c r="AO49" s="303" t="s">
        <v>139</v>
      </c>
      <c r="AP49" s="389"/>
      <c r="AQ49" s="389"/>
    </row>
    <row r="50" spans="1:43" s="224" customFormat="1" ht="75" customHeight="1" x14ac:dyDescent="0.25">
      <c r="A50" s="385" t="s">
        <v>227</v>
      </c>
      <c r="B50" s="406" t="str">
        <f>VLOOKUP(Complete[[#This Row],[Code
(PAP)]],[1]Sheet1!$A:$AO,2,FALSE)</f>
        <v>OFFICE SUPPLIES</v>
      </c>
      <c r="C50" s="408" t="str">
        <f>VLOOKUP(Complete[[#This Row],[Code
(PAP)]],[1]Sheet1!$A:$AO,3,FALSE)</f>
        <v>PGO</v>
      </c>
      <c r="D50" s="380" t="s">
        <v>712</v>
      </c>
      <c r="E50" s="409" t="str">
        <f>VLOOKUP(Complete[[#This Row],[Code
(PAP)]],[2]Sheet1!$A:$AO,5,FALSE)</f>
        <v>Shopping 52.1(b) - Regular Office Supplies and Equipment no available in PS</v>
      </c>
      <c r="F50" s="393" t="str">
        <f>VLOOKUP(Complete[[#This Row],[Code
(PAP)]],[1]Sheet1!$A:$AO,6,FALSE)</f>
        <v>N/A</v>
      </c>
      <c r="G50" s="393">
        <f>VLOOKUP(Complete[[#This Row],[Code
(PAP)]],[1]Sheet1!$A:$AO,7,FALSE)</f>
        <v>45331</v>
      </c>
      <c r="H50" s="374"/>
      <c r="I50" s="394" t="str">
        <f>VLOOKUP(Complete[[#This Row],[Code
(PAP)]],[1]Sheet1!$A:$AO,9,FALSE)</f>
        <v>N/A</v>
      </c>
      <c r="J50" s="393">
        <f>VLOOKUP(Complete[[#This Row],[Code
(PAP)]],[1]Sheet1!$A:$AO,10,FALSE)</f>
        <v>45342</v>
      </c>
      <c r="K50" s="393">
        <f>VLOOKUP(Complete[[#This Row],[Code
(PAP)]],[1]Sheet1!$A:$AO,11,FALSE)</f>
        <v>45342</v>
      </c>
      <c r="L50" s="387"/>
      <c r="M50" s="393" t="str">
        <f>VLOOKUP(Complete[[#This Row],[Code
(PAP)]],[1]Sheet1!$A:$AO,13,FALSE)</f>
        <v>N/A</v>
      </c>
      <c r="N50" s="393" t="str">
        <f>VLOOKUP(Complete[[#This Row],[Code
(PAP)]],[1]Sheet1!$A:$AO,14,FALSE)</f>
        <v>N/A</v>
      </c>
      <c r="O50" s="393">
        <f>VLOOKUP(Complete[[#This Row],[Code
(PAP)]],[1]Sheet1!$A:$AO,15,FALSE)</f>
        <v>45344</v>
      </c>
      <c r="P50" s="387"/>
      <c r="Q50" s="387"/>
      <c r="R50" s="387"/>
      <c r="S50" s="576">
        <f>VLOOKUP(Complete[[#This Row],[Code
(PAP)]],[1]Sheet1!$A:$AO,19,FALSE)</f>
        <v>45350</v>
      </c>
      <c r="T50" s="576">
        <f>VLOOKUP(Complete[[#This Row],[Code
(PAP)]],[1]Sheet1!$A:$AO,20,FALSE)</f>
        <v>45352</v>
      </c>
      <c r="U50" s="576">
        <f>VLOOKUP(Complete[[#This Row],[Code
(PAP)]],[1]Sheet1!$A:$AO,21,FALSE)</f>
        <v>45356</v>
      </c>
      <c r="V50" s="387"/>
      <c r="W50" s="387"/>
      <c r="X50" s="392">
        <f>VLOOKUP(Complete[[#This Row],[Code
(PAP)]],[1]Sheet1!$A:$AO,24,FALSE)</f>
        <v>45366</v>
      </c>
      <c r="Y50" s="392">
        <f>Complete[[#This Row],[Delivery/ Completion]]</f>
        <v>45366</v>
      </c>
      <c r="Z50" s="610" t="s">
        <v>1478</v>
      </c>
      <c r="AA50" s="462">
        <f>Complete[[#This Row],[MOOE]]+Complete[[#This Row],[CO]]</f>
        <v>149415</v>
      </c>
      <c r="AB50" s="466">
        <v>149415</v>
      </c>
      <c r="AC50" s="497"/>
      <c r="AD50" s="498">
        <f>IF(Complete[[#This Row],[Procurement Project]]="","",SUM(Complete[[#This Row],[MOOE2]]+Complete[[#This Row],[CO3]]))</f>
        <v>146985</v>
      </c>
      <c r="AE50" s="501">
        <v>146985</v>
      </c>
      <c r="AF50" s="541"/>
      <c r="AG50" s="400"/>
      <c r="AH50" s="380" t="s">
        <v>1205</v>
      </c>
      <c r="AI50" s="576" t="str">
        <f>VLOOKUP(Complete[[#This Row],[Code
(PAP)]],[1]Sheet1!$A:$AO,35,FALSE)</f>
        <v>N/A</v>
      </c>
      <c r="AJ50" s="576" t="str">
        <f>VLOOKUP(Complete[[#This Row],[Code
(PAP)]],[1]Sheet1!$A:$AO,36,FALSE)</f>
        <v>N/A</v>
      </c>
      <c r="AK50" s="576" t="str">
        <f>VLOOKUP(Complete[[#This Row],[Code
(PAP)]],[1]Sheet1!$A:$AO,37,FALSE)</f>
        <v>N/A</v>
      </c>
      <c r="AL50" s="576" t="str">
        <f>VLOOKUP(Complete[[#This Row],[Code
(PAP)]],[1]Sheet1!$A:$AO,38,FALSE)</f>
        <v>N/A</v>
      </c>
      <c r="AM50" s="576" t="str">
        <f>VLOOKUP(Complete[[#This Row],[Code
(PAP)]],[1]Sheet1!$A:$AO,38,FALSE)</f>
        <v>N/A</v>
      </c>
      <c r="AN50" s="595" t="s">
        <v>713</v>
      </c>
      <c r="AO50" s="303" t="s">
        <v>139</v>
      </c>
      <c r="AP50" s="389"/>
      <c r="AQ50" s="389"/>
    </row>
    <row r="51" spans="1:43" s="224" customFormat="1" ht="75" customHeight="1" x14ac:dyDescent="0.25">
      <c r="A51" s="385" t="s">
        <v>228</v>
      </c>
      <c r="B51" s="406" t="str">
        <f>VLOOKUP(Complete[[#This Row],[Code
(PAP)]],[1]Sheet1!$A:$AO,2,FALSE)</f>
        <v>INK</v>
      </c>
      <c r="C51" s="408" t="str">
        <f>VLOOKUP(Complete[[#This Row],[Code
(PAP)]],[1]Sheet1!$A:$AO,3,FALSE)</f>
        <v>PBO</v>
      </c>
      <c r="D51" s="380" t="s">
        <v>712</v>
      </c>
      <c r="E51" s="409" t="str">
        <f>VLOOKUP(Complete[[#This Row],[Code
(PAP)]],[2]Sheet1!$A:$AO,5,FALSE)</f>
        <v>Shopping 52.1(b) - Regular Office Supplies and Equipment no available in PS</v>
      </c>
      <c r="F51" s="393" t="str">
        <f>VLOOKUP(Complete[[#This Row],[Code
(PAP)]],[1]Sheet1!$A:$AO,6,FALSE)</f>
        <v>N/A</v>
      </c>
      <c r="G51" s="393">
        <f>VLOOKUP(Complete[[#This Row],[Code
(PAP)]],[1]Sheet1!$A:$AO,7,FALSE)</f>
        <v>45335</v>
      </c>
      <c r="H51" s="374"/>
      <c r="I51" s="394" t="str">
        <f>VLOOKUP(Complete[[#This Row],[Code
(PAP)]],[1]Sheet1!$A:$AO,9,FALSE)</f>
        <v>N/A</v>
      </c>
      <c r="J51" s="393">
        <f>VLOOKUP(Complete[[#This Row],[Code
(PAP)]],[1]Sheet1!$A:$AO,10,FALSE)</f>
        <v>45342</v>
      </c>
      <c r="K51" s="393">
        <f>VLOOKUP(Complete[[#This Row],[Code
(PAP)]],[1]Sheet1!$A:$AO,11,FALSE)</f>
        <v>45342</v>
      </c>
      <c r="L51" s="387"/>
      <c r="M51" s="393" t="str">
        <f>VLOOKUP(Complete[[#This Row],[Code
(PAP)]],[1]Sheet1!$A:$AO,13,FALSE)</f>
        <v>N/A</v>
      </c>
      <c r="N51" s="393" t="str">
        <f>VLOOKUP(Complete[[#This Row],[Code
(PAP)]],[1]Sheet1!$A:$AO,14,FALSE)</f>
        <v>N/A</v>
      </c>
      <c r="O51" s="393">
        <f>VLOOKUP(Complete[[#This Row],[Code
(PAP)]],[1]Sheet1!$A:$AO,15,FALSE)</f>
        <v>45344</v>
      </c>
      <c r="P51" s="387"/>
      <c r="Q51" s="387"/>
      <c r="R51" s="387"/>
      <c r="S51" s="576" t="str">
        <f>VLOOKUP(Complete[[#This Row],[Code
(PAP)]],[1]Sheet1!$A:$AO,19,FALSE)</f>
        <v>N/A</v>
      </c>
      <c r="T51" s="576">
        <f>VLOOKUP(Complete[[#This Row],[Code
(PAP)]],[1]Sheet1!$A:$AO,20,FALSE)</f>
        <v>45351</v>
      </c>
      <c r="U51" s="576">
        <f>VLOOKUP(Complete[[#This Row],[Code
(PAP)]],[1]Sheet1!$A:$AO,21,FALSE)</f>
        <v>45352</v>
      </c>
      <c r="V51" s="387"/>
      <c r="W51" s="387"/>
      <c r="X51" s="392">
        <f>VLOOKUP(Complete[[#This Row],[Code
(PAP)]],[1]Sheet1!$A:$AO,24,FALSE)</f>
        <v>45362</v>
      </c>
      <c r="Y51" s="392">
        <f>Complete[[#This Row],[Delivery/ Completion]]</f>
        <v>45362</v>
      </c>
      <c r="Z51" s="610" t="s">
        <v>1478</v>
      </c>
      <c r="AA51" s="462">
        <f>Complete[[#This Row],[MOOE]]+Complete[[#This Row],[CO]]</f>
        <v>7233</v>
      </c>
      <c r="AB51" s="466">
        <v>7233</v>
      </c>
      <c r="AC51" s="497"/>
      <c r="AD51" s="498">
        <f>IF(Complete[[#This Row],[Procurement Project]]="","",SUM(Complete[[#This Row],[MOOE2]]+Complete[[#This Row],[CO3]]))</f>
        <v>7140</v>
      </c>
      <c r="AE51" s="501">
        <v>7140</v>
      </c>
      <c r="AF51" s="541"/>
      <c r="AG51" s="400"/>
      <c r="AH51" s="380" t="s">
        <v>1205</v>
      </c>
      <c r="AI51" s="576" t="str">
        <f>VLOOKUP(Complete[[#This Row],[Code
(PAP)]],[1]Sheet1!$A:$AO,35,FALSE)</f>
        <v>N/A</v>
      </c>
      <c r="AJ51" s="576" t="str">
        <f>VLOOKUP(Complete[[#This Row],[Code
(PAP)]],[1]Sheet1!$A:$AO,36,FALSE)</f>
        <v>N/A</v>
      </c>
      <c r="AK51" s="576" t="str">
        <f>VLOOKUP(Complete[[#This Row],[Code
(PAP)]],[1]Sheet1!$A:$AO,37,FALSE)</f>
        <v>N/A</v>
      </c>
      <c r="AL51" s="576" t="str">
        <f>VLOOKUP(Complete[[#This Row],[Code
(PAP)]],[1]Sheet1!$A:$AO,38,FALSE)</f>
        <v>N/A</v>
      </c>
      <c r="AM51" s="576" t="str">
        <f>VLOOKUP(Complete[[#This Row],[Code
(PAP)]],[1]Sheet1!$A:$AO,38,FALSE)</f>
        <v>N/A</v>
      </c>
      <c r="AN51" s="595" t="s">
        <v>713</v>
      </c>
      <c r="AO51" s="303" t="s">
        <v>139</v>
      </c>
      <c r="AP51" s="389"/>
      <c r="AQ51" s="389"/>
    </row>
    <row r="52" spans="1:43" s="224" customFormat="1" ht="75" customHeight="1" x14ac:dyDescent="0.25">
      <c r="A52" s="385" t="s">
        <v>229</v>
      </c>
      <c r="B52" s="406" t="str">
        <f>VLOOKUP(Complete[[#This Row],[Code
(PAP)]],[1]Sheet1!$A:$AO,2,FALSE)</f>
        <v>OFFICE SUPPLIES</v>
      </c>
      <c r="C52" s="408" t="str">
        <f>VLOOKUP(Complete[[#This Row],[Code
(PAP)]],[1]Sheet1!$A:$AO,3,FALSE)</f>
        <v>PBO</v>
      </c>
      <c r="D52" s="380" t="s">
        <v>712</v>
      </c>
      <c r="E52" s="409" t="str">
        <f>VLOOKUP(Complete[[#This Row],[Code
(PAP)]],[2]Sheet1!$A:$AO,5,FALSE)</f>
        <v>Shopping 52.1(b) - Regular Office Supplies and Equipment no available in PS</v>
      </c>
      <c r="F52" s="393" t="str">
        <f>VLOOKUP(Complete[[#This Row],[Code
(PAP)]],[1]Sheet1!$A:$AO,6,FALSE)</f>
        <v>N/A</v>
      </c>
      <c r="G52" s="393">
        <f>VLOOKUP(Complete[[#This Row],[Code
(PAP)]],[1]Sheet1!$A:$AO,7,FALSE)</f>
        <v>45331</v>
      </c>
      <c r="H52" s="374"/>
      <c r="I52" s="394" t="str">
        <f>VLOOKUP(Complete[[#This Row],[Code
(PAP)]],[1]Sheet1!$A:$AO,9,FALSE)</f>
        <v>N/A</v>
      </c>
      <c r="J52" s="393">
        <f>VLOOKUP(Complete[[#This Row],[Code
(PAP)]],[1]Sheet1!$A:$AO,10,FALSE)</f>
        <v>45342</v>
      </c>
      <c r="K52" s="393">
        <f>VLOOKUP(Complete[[#This Row],[Code
(PAP)]],[1]Sheet1!$A:$AO,11,FALSE)</f>
        <v>45342</v>
      </c>
      <c r="L52" s="387"/>
      <c r="M52" s="393" t="str">
        <f>VLOOKUP(Complete[[#This Row],[Code
(PAP)]],[1]Sheet1!$A:$AO,13,FALSE)</f>
        <v>N/A</v>
      </c>
      <c r="N52" s="393" t="str">
        <f>VLOOKUP(Complete[[#This Row],[Code
(PAP)]],[1]Sheet1!$A:$AO,14,FALSE)</f>
        <v>N/A</v>
      </c>
      <c r="O52" s="393">
        <f>VLOOKUP(Complete[[#This Row],[Code
(PAP)]],[1]Sheet1!$A:$AO,15,FALSE)</f>
        <v>45344</v>
      </c>
      <c r="P52" s="387"/>
      <c r="Q52" s="387"/>
      <c r="R52" s="387"/>
      <c r="S52" s="576">
        <f>VLOOKUP(Complete[[#This Row],[Code
(PAP)]],[1]Sheet1!$A:$AO,19,FALSE)</f>
        <v>45348</v>
      </c>
      <c r="T52" s="576">
        <f>VLOOKUP(Complete[[#This Row],[Code
(PAP)]],[1]Sheet1!$A:$AO,20,FALSE)</f>
        <v>45351</v>
      </c>
      <c r="U52" s="576">
        <f>VLOOKUP(Complete[[#This Row],[Code
(PAP)]],[1]Sheet1!$A:$AO,21,FALSE)</f>
        <v>45352</v>
      </c>
      <c r="V52" s="387"/>
      <c r="W52" s="387"/>
      <c r="X52" s="392">
        <f>VLOOKUP(Complete[[#This Row],[Code
(PAP)]],[1]Sheet1!$A:$AO,24,FALSE)</f>
        <v>45369</v>
      </c>
      <c r="Y52" s="392">
        <f>Complete[[#This Row],[Delivery/ Completion]]</f>
        <v>45369</v>
      </c>
      <c r="Z52" s="610" t="s">
        <v>1478</v>
      </c>
      <c r="AA52" s="462">
        <f>Complete[[#This Row],[MOOE]]+Complete[[#This Row],[CO]]</f>
        <v>64722</v>
      </c>
      <c r="AB52" s="466">
        <v>64722</v>
      </c>
      <c r="AC52" s="497"/>
      <c r="AD52" s="498">
        <f>IF(Complete[[#This Row],[Procurement Project]]="","",SUM(Complete[[#This Row],[MOOE2]]+Complete[[#This Row],[CO3]]))</f>
        <v>62181</v>
      </c>
      <c r="AE52" s="501">
        <v>62181</v>
      </c>
      <c r="AF52" s="541"/>
      <c r="AG52" s="400"/>
      <c r="AH52" s="380" t="s">
        <v>1205</v>
      </c>
      <c r="AI52" s="576" t="str">
        <f>VLOOKUP(Complete[[#This Row],[Code
(PAP)]],[1]Sheet1!$A:$AO,35,FALSE)</f>
        <v>N/A</v>
      </c>
      <c r="AJ52" s="576" t="str">
        <f>VLOOKUP(Complete[[#This Row],[Code
(PAP)]],[1]Sheet1!$A:$AO,36,FALSE)</f>
        <v>N/A</v>
      </c>
      <c r="AK52" s="576" t="str">
        <f>VLOOKUP(Complete[[#This Row],[Code
(PAP)]],[1]Sheet1!$A:$AO,37,FALSE)</f>
        <v>N/A</v>
      </c>
      <c r="AL52" s="576" t="str">
        <f>VLOOKUP(Complete[[#This Row],[Code
(PAP)]],[1]Sheet1!$A:$AO,38,FALSE)</f>
        <v>N/A</v>
      </c>
      <c r="AM52" s="576" t="str">
        <f>VLOOKUP(Complete[[#This Row],[Code
(PAP)]],[1]Sheet1!$A:$AO,38,FALSE)</f>
        <v>N/A</v>
      </c>
      <c r="AN52" s="595" t="s">
        <v>713</v>
      </c>
      <c r="AO52" s="303" t="s">
        <v>139</v>
      </c>
      <c r="AP52" s="389"/>
      <c r="AQ52" s="389"/>
    </row>
    <row r="53" spans="1:43" s="224" customFormat="1" ht="75" customHeight="1" x14ac:dyDescent="0.25">
      <c r="A53" s="385" t="s">
        <v>230</v>
      </c>
      <c r="B53" s="406" t="str">
        <f>VLOOKUP(Complete[[#This Row],[Code
(PAP)]],[1]Sheet1!$A:$AO,2,FALSE)</f>
        <v>OFFICE SUPPLIES</v>
      </c>
      <c r="C53" s="408" t="str">
        <f>VLOOKUP(Complete[[#This Row],[Code
(PAP)]],[1]Sheet1!$A:$AO,3,FALSE)</f>
        <v>PGSO</v>
      </c>
      <c r="D53" s="380" t="s">
        <v>712</v>
      </c>
      <c r="E53" s="409" t="str">
        <f>VLOOKUP(Complete[[#This Row],[Code
(PAP)]],[2]Sheet1!$A:$AO,5,FALSE)</f>
        <v>Shopping 52.1(b) - Regular Office Supplies and Equipment no available in PS</v>
      </c>
      <c r="F53" s="393" t="str">
        <f>VLOOKUP(Complete[[#This Row],[Code
(PAP)]],[1]Sheet1!$A:$AO,6,FALSE)</f>
        <v>N/A</v>
      </c>
      <c r="G53" s="393">
        <f>VLOOKUP(Complete[[#This Row],[Code
(PAP)]],[1]Sheet1!$A:$AO,7,FALSE)</f>
        <v>45337</v>
      </c>
      <c r="H53" s="374"/>
      <c r="I53" s="394" t="str">
        <f>VLOOKUP(Complete[[#This Row],[Code
(PAP)]],[1]Sheet1!$A:$AO,9,FALSE)</f>
        <v>N/A</v>
      </c>
      <c r="J53" s="393">
        <f>VLOOKUP(Complete[[#This Row],[Code
(PAP)]],[1]Sheet1!$A:$AO,10,FALSE)</f>
        <v>45342</v>
      </c>
      <c r="K53" s="393">
        <f>VLOOKUP(Complete[[#This Row],[Code
(PAP)]],[1]Sheet1!$A:$AO,11,FALSE)</f>
        <v>45342</v>
      </c>
      <c r="L53" s="387"/>
      <c r="M53" s="393" t="str">
        <f>VLOOKUP(Complete[[#This Row],[Code
(PAP)]],[1]Sheet1!$A:$AO,13,FALSE)</f>
        <v>N/A</v>
      </c>
      <c r="N53" s="393" t="str">
        <f>VLOOKUP(Complete[[#This Row],[Code
(PAP)]],[1]Sheet1!$A:$AO,14,FALSE)</f>
        <v>N/A</v>
      </c>
      <c r="O53" s="393">
        <f>VLOOKUP(Complete[[#This Row],[Code
(PAP)]],[1]Sheet1!$A:$AO,15,FALSE)</f>
        <v>45344</v>
      </c>
      <c r="P53" s="387"/>
      <c r="Q53" s="387"/>
      <c r="R53" s="387"/>
      <c r="S53" s="576">
        <f>VLOOKUP(Complete[[#This Row],[Code
(PAP)]],[1]Sheet1!$A:$AO,19,FALSE)</f>
        <v>45348</v>
      </c>
      <c r="T53" s="576">
        <f>VLOOKUP(Complete[[#This Row],[Code
(PAP)]],[1]Sheet1!$A:$AO,20,FALSE)</f>
        <v>45356</v>
      </c>
      <c r="U53" s="576">
        <f>VLOOKUP(Complete[[#This Row],[Code
(PAP)]],[1]Sheet1!$A:$AO,21,FALSE)</f>
        <v>45357</v>
      </c>
      <c r="V53" s="387"/>
      <c r="W53" s="387"/>
      <c r="X53" s="392">
        <f>VLOOKUP(Complete[[#This Row],[Code
(PAP)]],[1]Sheet1!$A:$AO,24,FALSE)</f>
        <v>45364</v>
      </c>
      <c r="Y53" s="392">
        <f>Complete[[#This Row],[Delivery/ Completion]]</f>
        <v>45364</v>
      </c>
      <c r="Z53" s="610" t="s">
        <v>1478</v>
      </c>
      <c r="AA53" s="462">
        <f>Complete[[#This Row],[MOOE]]+Complete[[#This Row],[CO]]</f>
        <v>56591</v>
      </c>
      <c r="AB53" s="466">
        <v>56591</v>
      </c>
      <c r="AC53" s="497"/>
      <c r="AD53" s="498">
        <f>IF(Complete[[#This Row],[Procurement Project]]="","",SUM(Complete[[#This Row],[MOOE2]]+Complete[[#This Row],[CO3]]))</f>
        <v>55825</v>
      </c>
      <c r="AE53" s="501">
        <v>55825</v>
      </c>
      <c r="AF53" s="541"/>
      <c r="AG53" s="400"/>
      <c r="AH53" s="380" t="s">
        <v>1205</v>
      </c>
      <c r="AI53" s="576" t="str">
        <f>VLOOKUP(Complete[[#This Row],[Code
(PAP)]],[1]Sheet1!$A:$AO,35,FALSE)</f>
        <v>N/A</v>
      </c>
      <c r="AJ53" s="576" t="str">
        <f>VLOOKUP(Complete[[#This Row],[Code
(PAP)]],[1]Sheet1!$A:$AO,36,FALSE)</f>
        <v>N/A</v>
      </c>
      <c r="AK53" s="576" t="str">
        <f>VLOOKUP(Complete[[#This Row],[Code
(PAP)]],[1]Sheet1!$A:$AO,37,FALSE)</f>
        <v>N/A</v>
      </c>
      <c r="AL53" s="576" t="str">
        <f>VLOOKUP(Complete[[#This Row],[Code
(PAP)]],[1]Sheet1!$A:$AO,38,FALSE)</f>
        <v>N/A</v>
      </c>
      <c r="AM53" s="576" t="str">
        <f>VLOOKUP(Complete[[#This Row],[Code
(PAP)]],[1]Sheet1!$A:$AO,38,FALSE)</f>
        <v>N/A</v>
      </c>
      <c r="AN53" s="595" t="s">
        <v>713</v>
      </c>
      <c r="AO53" s="303" t="s">
        <v>139</v>
      </c>
      <c r="AP53" s="389"/>
      <c r="AQ53" s="389"/>
    </row>
    <row r="54" spans="1:43" s="224" customFormat="1" ht="75" customHeight="1" x14ac:dyDescent="0.25">
      <c r="A54" s="385" t="s">
        <v>231</v>
      </c>
      <c r="B54" s="406" t="str">
        <f>VLOOKUP(Complete[[#This Row],[Code
(PAP)]],[1]Sheet1!$A:$AO,2,FALSE)</f>
        <v>FOOD/CATERING SERVICES</v>
      </c>
      <c r="C54" s="408" t="str">
        <f>VLOOKUP(Complete[[#This Row],[Code
(PAP)]],[1]Sheet1!$A:$AO,3,FALSE)</f>
        <v>PSWDO</v>
      </c>
      <c r="D54" s="380" t="s">
        <v>712</v>
      </c>
      <c r="E54" s="409" t="str">
        <f>VLOOKUP(Complete[[#This Row],[Code
(PAP)]],[2]Sheet1!$A:$AO,5,FALSE)</f>
        <v>NP-53.9 - Small Value Procurement</v>
      </c>
      <c r="F54" s="393" t="str">
        <f>VLOOKUP(Complete[[#This Row],[Code
(PAP)]],[1]Sheet1!$A:$AO,6,FALSE)</f>
        <v>N/A</v>
      </c>
      <c r="G54" s="393">
        <f>VLOOKUP(Complete[[#This Row],[Code
(PAP)]],[1]Sheet1!$A:$AO,7,FALSE)</f>
        <v>45331</v>
      </c>
      <c r="H54" s="374"/>
      <c r="I54" s="394" t="str">
        <f>VLOOKUP(Complete[[#This Row],[Code
(PAP)]],[1]Sheet1!$A:$AO,9,FALSE)</f>
        <v>N/A</v>
      </c>
      <c r="J54" s="393">
        <f>VLOOKUP(Complete[[#This Row],[Code
(PAP)]],[1]Sheet1!$A:$AO,10,FALSE)</f>
        <v>45342</v>
      </c>
      <c r="K54" s="393">
        <f>VLOOKUP(Complete[[#This Row],[Code
(PAP)]],[1]Sheet1!$A:$AO,11,FALSE)</f>
        <v>45342</v>
      </c>
      <c r="L54" s="387"/>
      <c r="M54" s="393" t="str">
        <f>VLOOKUP(Complete[[#This Row],[Code
(PAP)]],[1]Sheet1!$A:$AO,13,FALSE)</f>
        <v>N/A</v>
      </c>
      <c r="N54" s="393" t="str">
        <f>VLOOKUP(Complete[[#This Row],[Code
(PAP)]],[1]Sheet1!$A:$AO,14,FALSE)</f>
        <v>N/A</v>
      </c>
      <c r="O54" s="393">
        <f>VLOOKUP(Complete[[#This Row],[Code
(PAP)]],[1]Sheet1!$A:$AO,15,FALSE)</f>
        <v>45344</v>
      </c>
      <c r="P54" s="387"/>
      <c r="Q54" s="387"/>
      <c r="R54" s="387"/>
      <c r="S54" s="576">
        <f>VLOOKUP(Complete[[#This Row],[Code
(PAP)]],[1]Sheet1!$A:$AO,19,FALSE)</f>
        <v>45351</v>
      </c>
      <c r="T54" s="576">
        <f>VLOOKUP(Complete[[#This Row],[Code
(PAP)]],[1]Sheet1!$A:$AO,20,FALSE)</f>
        <v>45351</v>
      </c>
      <c r="U54" s="576">
        <f>VLOOKUP(Complete[[#This Row],[Code
(PAP)]],[1]Sheet1!$A:$AO,21,FALSE)</f>
        <v>45356</v>
      </c>
      <c r="V54" s="387"/>
      <c r="W54" s="387"/>
      <c r="X54" s="392">
        <f>VLOOKUP(Complete[[#This Row],[Code
(PAP)]],[1]Sheet1!$A:$AO,24,FALSE)</f>
        <v>45428</v>
      </c>
      <c r="Y54" s="392">
        <f>Complete[[#This Row],[Delivery/ Completion]]</f>
        <v>45428</v>
      </c>
      <c r="Z54" s="610" t="s">
        <v>1478</v>
      </c>
      <c r="AA54" s="462">
        <f>Complete[[#This Row],[MOOE]]+Complete[[#This Row],[CO]]</f>
        <v>303740</v>
      </c>
      <c r="AB54" s="466"/>
      <c r="AC54" s="497">
        <v>303740</v>
      </c>
      <c r="AD54" s="498">
        <f>IF(Complete[[#This Row],[Procurement Project]]="","",SUM(Complete[[#This Row],[MOOE2]]+Complete[[#This Row],[CO3]]))</f>
        <v>301062</v>
      </c>
      <c r="AE54" s="501"/>
      <c r="AF54" s="541">
        <v>301062</v>
      </c>
      <c r="AG54" s="400"/>
      <c r="AH54" s="380" t="s">
        <v>1205</v>
      </c>
      <c r="AI54" s="576" t="str">
        <f>VLOOKUP(Complete[[#This Row],[Code
(PAP)]],[1]Sheet1!$A:$AO,35,FALSE)</f>
        <v>N/A</v>
      </c>
      <c r="AJ54" s="576" t="str">
        <f>VLOOKUP(Complete[[#This Row],[Code
(PAP)]],[1]Sheet1!$A:$AO,36,FALSE)</f>
        <v>N/A</v>
      </c>
      <c r="AK54" s="576" t="str">
        <f>VLOOKUP(Complete[[#This Row],[Code
(PAP)]],[1]Sheet1!$A:$AO,37,FALSE)</f>
        <v>N/A</v>
      </c>
      <c r="AL54" s="576" t="str">
        <f>VLOOKUP(Complete[[#This Row],[Code
(PAP)]],[1]Sheet1!$A:$AO,38,FALSE)</f>
        <v>N/A</v>
      </c>
      <c r="AM54" s="576" t="str">
        <f>VLOOKUP(Complete[[#This Row],[Code
(PAP)]],[1]Sheet1!$A:$AO,38,FALSE)</f>
        <v>N/A</v>
      </c>
      <c r="AN54" s="595" t="s">
        <v>713</v>
      </c>
      <c r="AO54" s="303" t="s">
        <v>139</v>
      </c>
      <c r="AP54" s="389"/>
      <c r="AQ54" s="389"/>
    </row>
    <row r="55" spans="1:43" s="224" customFormat="1" ht="75" customHeight="1" x14ac:dyDescent="0.25">
      <c r="A55" s="385" t="s">
        <v>232</v>
      </c>
      <c r="B55" s="406" t="str">
        <f>VLOOKUP(Complete[[#This Row],[Code
(PAP)]],[1]Sheet1!$A:$AO,2,FALSE)</f>
        <v>FOOD/CATERING SERVICES</v>
      </c>
      <c r="C55" s="408" t="str">
        <f>VLOOKUP(Complete[[#This Row],[Code
(PAP)]],[1]Sheet1!$A:$AO,3,FALSE)</f>
        <v>PAO-ADMIN</v>
      </c>
      <c r="D55" s="380" t="s">
        <v>712</v>
      </c>
      <c r="E55" s="409" t="str">
        <f>VLOOKUP(Complete[[#This Row],[Code
(PAP)]],[2]Sheet1!$A:$AO,5,FALSE)</f>
        <v>NP-53.9 - Small Value Procurement</v>
      </c>
      <c r="F55" s="393" t="str">
        <f>VLOOKUP(Complete[[#This Row],[Code
(PAP)]],[1]Sheet1!$A:$AO,6,FALSE)</f>
        <v>N/A</v>
      </c>
      <c r="G55" s="393">
        <f>VLOOKUP(Complete[[#This Row],[Code
(PAP)]],[1]Sheet1!$A:$AO,7,FALSE)</f>
        <v>45331</v>
      </c>
      <c r="H55" s="374"/>
      <c r="I55" s="394" t="str">
        <f>VLOOKUP(Complete[[#This Row],[Code
(PAP)]],[1]Sheet1!$A:$AO,9,FALSE)</f>
        <v>N/A</v>
      </c>
      <c r="J55" s="393">
        <f>VLOOKUP(Complete[[#This Row],[Code
(PAP)]],[1]Sheet1!$A:$AO,10,FALSE)</f>
        <v>45342</v>
      </c>
      <c r="K55" s="393">
        <f>VLOOKUP(Complete[[#This Row],[Code
(PAP)]],[1]Sheet1!$A:$AO,11,FALSE)</f>
        <v>45342</v>
      </c>
      <c r="L55" s="387"/>
      <c r="M55" s="393" t="str">
        <f>VLOOKUP(Complete[[#This Row],[Code
(PAP)]],[1]Sheet1!$A:$AO,13,FALSE)</f>
        <v>N/A</v>
      </c>
      <c r="N55" s="393" t="str">
        <f>VLOOKUP(Complete[[#This Row],[Code
(PAP)]],[1]Sheet1!$A:$AO,14,FALSE)</f>
        <v>N/A</v>
      </c>
      <c r="O55" s="393">
        <f>VLOOKUP(Complete[[#This Row],[Code
(PAP)]],[1]Sheet1!$A:$AO,15,FALSE)</f>
        <v>45344</v>
      </c>
      <c r="P55" s="387"/>
      <c r="Q55" s="387"/>
      <c r="R55" s="387"/>
      <c r="S55" s="576">
        <f>VLOOKUP(Complete[[#This Row],[Code
(PAP)]],[1]Sheet1!$A:$AO,19,FALSE)</f>
        <v>45348</v>
      </c>
      <c r="T55" s="576">
        <f>VLOOKUP(Complete[[#This Row],[Code
(PAP)]],[1]Sheet1!$A:$AO,20,FALSE)</f>
        <v>45352</v>
      </c>
      <c r="U55" s="576">
        <f>VLOOKUP(Complete[[#This Row],[Code
(PAP)]],[1]Sheet1!$A:$AO,21,FALSE)</f>
        <v>45356</v>
      </c>
      <c r="V55" s="387"/>
      <c r="W55" s="387"/>
      <c r="X55" s="392">
        <v>45400</v>
      </c>
      <c r="Y55" s="392">
        <f>Complete[[#This Row],[Delivery/ Completion]]</f>
        <v>45400</v>
      </c>
      <c r="Z55" s="610" t="s">
        <v>1478</v>
      </c>
      <c r="AA55" s="462">
        <f>Complete[[#This Row],[MOOE]]+Complete[[#This Row],[CO]]</f>
        <v>149940</v>
      </c>
      <c r="AB55" s="466">
        <v>149940</v>
      </c>
      <c r="AC55" s="497"/>
      <c r="AD55" s="498">
        <f>IF(Complete[[#This Row],[Procurement Project]]="","",SUM(Complete[[#This Row],[MOOE2]]+Complete[[#This Row],[CO3]]))</f>
        <v>147792</v>
      </c>
      <c r="AE55" s="501">
        <v>147792</v>
      </c>
      <c r="AF55" s="541"/>
      <c r="AG55" s="400"/>
      <c r="AH55" s="380" t="s">
        <v>1205</v>
      </c>
      <c r="AI55" s="576" t="str">
        <f>VLOOKUP(Complete[[#This Row],[Code
(PAP)]],[1]Sheet1!$A:$AO,35,FALSE)</f>
        <v>N/A</v>
      </c>
      <c r="AJ55" s="576" t="str">
        <f>VLOOKUP(Complete[[#This Row],[Code
(PAP)]],[1]Sheet1!$A:$AO,36,FALSE)</f>
        <v>N/A</v>
      </c>
      <c r="AK55" s="576" t="str">
        <f>VLOOKUP(Complete[[#This Row],[Code
(PAP)]],[1]Sheet1!$A:$AO,37,FALSE)</f>
        <v>N/A</v>
      </c>
      <c r="AL55" s="576" t="str">
        <f>VLOOKUP(Complete[[#This Row],[Code
(PAP)]],[1]Sheet1!$A:$AO,38,FALSE)</f>
        <v>N/A</v>
      </c>
      <c r="AM55" s="576" t="str">
        <f>VLOOKUP(Complete[[#This Row],[Code
(PAP)]],[1]Sheet1!$A:$AO,38,FALSE)</f>
        <v>N/A</v>
      </c>
      <c r="AN55" s="595" t="s">
        <v>713</v>
      </c>
      <c r="AO55" s="303" t="s">
        <v>139</v>
      </c>
      <c r="AP55" s="389"/>
      <c r="AQ55" s="389"/>
    </row>
    <row r="56" spans="1:43" s="224" customFormat="1" ht="75" customHeight="1" x14ac:dyDescent="0.25">
      <c r="A56" s="385" t="s">
        <v>233</v>
      </c>
      <c r="B56" s="406" t="str">
        <f>VLOOKUP(Complete[[#This Row],[Code
(PAP)]],[1]Sheet1!$A:$AO,2,FALSE)</f>
        <v>FOOD/CATERING SERVICES</v>
      </c>
      <c r="C56" s="408" t="str">
        <f>VLOOKUP(Complete[[#This Row],[Code
(PAP)]],[1]Sheet1!$A:$AO,3,FALSE)</f>
        <v>PAO-ADMIN</v>
      </c>
      <c r="D56" s="380" t="s">
        <v>712</v>
      </c>
      <c r="E56" s="409" t="str">
        <f>VLOOKUP(Complete[[#This Row],[Code
(PAP)]],[2]Sheet1!$A:$AO,5,FALSE)</f>
        <v>NP-53.9 - Small Value Procurement</v>
      </c>
      <c r="F56" s="393" t="str">
        <f>VLOOKUP(Complete[[#This Row],[Code
(PAP)]],[1]Sheet1!$A:$AO,6,FALSE)</f>
        <v>N/A</v>
      </c>
      <c r="G56" s="393">
        <f>VLOOKUP(Complete[[#This Row],[Code
(PAP)]],[1]Sheet1!$A:$AO,7,FALSE)</f>
        <v>45337</v>
      </c>
      <c r="H56" s="374"/>
      <c r="I56" s="394" t="str">
        <f>VLOOKUP(Complete[[#This Row],[Code
(PAP)]],[1]Sheet1!$A:$AO,9,FALSE)</f>
        <v>N/A</v>
      </c>
      <c r="J56" s="393">
        <f>VLOOKUP(Complete[[#This Row],[Code
(PAP)]],[1]Sheet1!$A:$AO,10,FALSE)</f>
        <v>45342</v>
      </c>
      <c r="K56" s="393">
        <f>VLOOKUP(Complete[[#This Row],[Code
(PAP)]],[1]Sheet1!$A:$AO,11,FALSE)</f>
        <v>45342</v>
      </c>
      <c r="L56" s="387"/>
      <c r="M56" s="393" t="str">
        <f>VLOOKUP(Complete[[#This Row],[Code
(PAP)]],[1]Sheet1!$A:$AO,13,FALSE)</f>
        <v>N/A</v>
      </c>
      <c r="N56" s="393" t="str">
        <f>VLOOKUP(Complete[[#This Row],[Code
(PAP)]],[1]Sheet1!$A:$AO,14,FALSE)</f>
        <v>N/A</v>
      </c>
      <c r="O56" s="393">
        <f>VLOOKUP(Complete[[#This Row],[Code
(PAP)]],[1]Sheet1!$A:$AO,15,FALSE)</f>
        <v>45344</v>
      </c>
      <c r="P56" s="387"/>
      <c r="Q56" s="387"/>
      <c r="R56" s="387"/>
      <c r="S56" s="576">
        <f>VLOOKUP(Complete[[#This Row],[Code
(PAP)]],[1]Sheet1!$A:$AO,19,FALSE)</f>
        <v>45348</v>
      </c>
      <c r="T56" s="576">
        <f>VLOOKUP(Complete[[#This Row],[Code
(PAP)]],[1]Sheet1!$A:$AO,20,FALSE)</f>
        <v>45351</v>
      </c>
      <c r="U56" s="576">
        <f>VLOOKUP(Complete[[#This Row],[Code
(PAP)]],[1]Sheet1!$A:$AO,21,FALSE)</f>
        <v>45356</v>
      </c>
      <c r="V56" s="387"/>
      <c r="W56" s="387"/>
      <c r="X56" s="392">
        <f>VLOOKUP(Complete[[#This Row],[Code
(PAP)]],[1]Sheet1!$A:$AO,24,FALSE)</f>
        <v>45436</v>
      </c>
      <c r="Y56" s="392">
        <f>Complete[[#This Row],[Delivery/ Completion]]</f>
        <v>45436</v>
      </c>
      <c r="Z56" s="610" t="s">
        <v>1478</v>
      </c>
      <c r="AA56" s="462">
        <f>Complete[[#This Row],[MOOE]]+Complete[[#This Row],[CO]]</f>
        <v>79970</v>
      </c>
      <c r="AB56" s="466">
        <v>79970</v>
      </c>
      <c r="AC56" s="497"/>
      <c r="AD56" s="498">
        <f>IF(Complete[[#This Row],[Procurement Project]]="","",SUM(Complete[[#This Row],[MOOE2]]+Complete[[#This Row],[CO3]]))</f>
        <v>78630</v>
      </c>
      <c r="AE56" s="501">
        <v>78630</v>
      </c>
      <c r="AF56" s="541"/>
      <c r="AG56" s="400"/>
      <c r="AH56" s="380" t="s">
        <v>1205</v>
      </c>
      <c r="AI56" s="576" t="str">
        <f>VLOOKUP(Complete[[#This Row],[Code
(PAP)]],[1]Sheet1!$A:$AO,35,FALSE)</f>
        <v>N/A</v>
      </c>
      <c r="AJ56" s="576" t="str">
        <f>VLOOKUP(Complete[[#This Row],[Code
(PAP)]],[1]Sheet1!$A:$AO,36,FALSE)</f>
        <v>N/A</v>
      </c>
      <c r="AK56" s="576" t="str">
        <f>VLOOKUP(Complete[[#This Row],[Code
(PAP)]],[1]Sheet1!$A:$AO,37,FALSE)</f>
        <v>N/A</v>
      </c>
      <c r="AL56" s="576" t="str">
        <f>VLOOKUP(Complete[[#This Row],[Code
(PAP)]],[1]Sheet1!$A:$AO,38,FALSE)</f>
        <v>N/A</v>
      </c>
      <c r="AM56" s="576" t="str">
        <f>VLOOKUP(Complete[[#This Row],[Code
(PAP)]],[1]Sheet1!$A:$AO,38,FALSE)</f>
        <v>N/A</v>
      </c>
      <c r="AN56" s="595" t="s">
        <v>713</v>
      </c>
      <c r="AO56" s="303" t="s">
        <v>139</v>
      </c>
      <c r="AP56" s="389"/>
      <c r="AQ56" s="389"/>
    </row>
    <row r="57" spans="1:43" s="224" customFormat="1" ht="75" customHeight="1" x14ac:dyDescent="0.25">
      <c r="A57" s="385" t="s">
        <v>234</v>
      </c>
      <c r="B57" s="406" t="str">
        <f>VLOOKUP(Complete[[#This Row],[Code
(PAP)]],[1]Sheet1!$A:$AO,2,FALSE)</f>
        <v>PRINTED FORMS</v>
      </c>
      <c r="C57" s="408" t="str">
        <f>VLOOKUP(Complete[[#This Row],[Code
(PAP)]],[1]Sheet1!$A:$AO,3,FALSE)</f>
        <v>PAO-ADMIN</v>
      </c>
      <c r="D57" s="380" t="s">
        <v>712</v>
      </c>
      <c r="E57" s="409" t="str">
        <f>VLOOKUP(Complete[[#This Row],[Code
(PAP)]],[2]Sheet1!$A:$AO,5,FALSE)</f>
        <v>NP-53.9 - Small Value Procurement</v>
      </c>
      <c r="F57" s="393" t="str">
        <f>VLOOKUP(Complete[[#This Row],[Code
(PAP)]],[1]Sheet1!$A:$AO,6,FALSE)</f>
        <v>N/A</v>
      </c>
      <c r="G57" s="393">
        <f>VLOOKUP(Complete[[#This Row],[Code
(PAP)]],[1]Sheet1!$A:$AO,7,FALSE)</f>
        <v>45324</v>
      </c>
      <c r="H57" s="374"/>
      <c r="I57" s="394" t="str">
        <f>VLOOKUP(Complete[[#This Row],[Code
(PAP)]],[1]Sheet1!$A:$AO,9,FALSE)</f>
        <v>N/A</v>
      </c>
      <c r="J57" s="393">
        <f>VLOOKUP(Complete[[#This Row],[Code
(PAP)]],[1]Sheet1!$A:$AO,10,FALSE)</f>
        <v>45342</v>
      </c>
      <c r="K57" s="393">
        <f>VLOOKUP(Complete[[#This Row],[Code
(PAP)]],[1]Sheet1!$A:$AO,11,FALSE)</f>
        <v>45342</v>
      </c>
      <c r="L57" s="387"/>
      <c r="M57" s="393" t="str">
        <f>VLOOKUP(Complete[[#This Row],[Code
(PAP)]],[1]Sheet1!$A:$AO,13,FALSE)</f>
        <v>N/A</v>
      </c>
      <c r="N57" s="393" t="str">
        <f>VLOOKUP(Complete[[#This Row],[Code
(PAP)]],[1]Sheet1!$A:$AO,14,FALSE)</f>
        <v>N/A</v>
      </c>
      <c r="O57" s="393">
        <f>VLOOKUP(Complete[[#This Row],[Code
(PAP)]],[1]Sheet1!$A:$AO,15,FALSE)</f>
        <v>45344</v>
      </c>
      <c r="P57" s="387"/>
      <c r="Q57" s="387"/>
      <c r="R57" s="387"/>
      <c r="S57" s="576" t="s">
        <v>713</v>
      </c>
      <c r="T57" s="576">
        <f>VLOOKUP(Complete[[#This Row],[Code
(PAP)]],[1]Sheet1!$A:$AO,20,FALSE)</f>
        <v>45351</v>
      </c>
      <c r="U57" s="576">
        <f>VLOOKUP(Complete[[#This Row],[Code
(PAP)]],[1]Sheet1!$A:$AO,21,FALSE)</f>
        <v>45352</v>
      </c>
      <c r="V57" s="387"/>
      <c r="W57" s="387"/>
      <c r="X57" s="392">
        <f>VLOOKUP(Complete[[#This Row],[Code
(PAP)]],[1]Sheet1!$A:$AO,24,FALSE)</f>
        <v>45411</v>
      </c>
      <c r="Y57" s="392">
        <f>Complete[[#This Row],[Delivery/ Completion]]</f>
        <v>45411</v>
      </c>
      <c r="Z57" s="610" t="s">
        <v>1478</v>
      </c>
      <c r="AA57" s="462">
        <f>Complete[[#This Row],[MOOE]]+Complete[[#This Row],[CO]]</f>
        <v>25000</v>
      </c>
      <c r="AB57" s="466">
        <v>25000</v>
      </c>
      <c r="AC57" s="497"/>
      <c r="AD57" s="498">
        <f>IF(Complete[[#This Row],[Procurement Project]]="","",SUM(Complete[[#This Row],[MOOE2]]+Complete[[#This Row],[CO3]]))</f>
        <v>25000</v>
      </c>
      <c r="AE57" s="501">
        <v>25000</v>
      </c>
      <c r="AF57" s="541"/>
      <c r="AG57" s="400"/>
      <c r="AH57" s="380" t="s">
        <v>1205</v>
      </c>
      <c r="AI57" s="576" t="str">
        <f>VLOOKUP(Complete[[#This Row],[Code
(PAP)]],[1]Sheet1!$A:$AO,35,FALSE)</f>
        <v>N/A</v>
      </c>
      <c r="AJ57" s="576" t="str">
        <f>VLOOKUP(Complete[[#This Row],[Code
(PAP)]],[1]Sheet1!$A:$AO,36,FALSE)</f>
        <v>N/A</v>
      </c>
      <c r="AK57" s="576" t="str">
        <f>VLOOKUP(Complete[[#This Row],[Code
(PAP)]],[1]Sheet1!$A:$AO,37,FALSE)</f>
        <v>N/A</v>
      </c>
      <c r="AL57" s="576" t="str">
        <f>VLOOKUP(Complete[[#This Row],[Code
(PAP)]],[1]Sheet1!$A:$AO,38,FALSE)</f>
        <v>N/A</v>
      </c>
      <c r="AM57" s="576" t="str">
        <f>VLOOKUP(Complete[[#This Row],[Code
(PAP)]],[1]Sheet1!$A:$AO,38,FALSE)</f>
        <v>N/A</v>
      </c>
      <c r="AN57" s="595" t="s">
        <v>713</v>
      </c>
      <c r="AO57" s="303" t="s">
        <v>139</v>
      </c>
      <c r="AP57" s="389"/>
      <c r="AQ57" s="389"/>
    </row>
    <row r="58" spans="1:43" s="224" customFormat="1" ht="75" customHeight="1" x14ac:dyDescent="0.25">
      <c r="A58" s="385" t="s">
        <v>235</v>
      </c>
      <c r="B58" s="406" t="str">
        <f>VLOOKUP(Complete[[#This Row],[Code
(PAP)]],[1]Sheet1!$A:$AO,2,FALSE)</f>
        <v>PRINTING</v>
      </c>
      <c r="C58" s="408" t="str">
        <f>VLOOKUP(Complete[[#This Row],[Code
(PAP)]],[1]Sheet1!$A:$AO,3,FALSE)</f>
        <v>PAO-ADMIN</v>
      </c>
      <c r="D58" s="380" t="s">
        <v>712</v>
      </c>
      <c r="E58" s="409" t="str">
        <f>VLOOKUP(Complete[[#This Row],[Code
(PAP)]],[2]Sheet1!$A:$AO,5,FALSE)</f>
        <v>NP-53.9 - Small Value Procurement</v>
      </c>
      <c r="F58" s="393" t="str">
        <f>VLOOKUP(Complete[[#This Row],[Code
(PAP)]],[1]Sheet1!$A:$AO,6,FALSE)</f>
        <v>N/A</v>
      </c>
      <c r="G58" s="393">
        <f>VLOOKUP(Complete[[#This Row],[Code
(PAP)]],[1]Sheet1!$A:$AO,7,FALSE)</f>
        <v>45335</v>
      </c>
      <c r="H58" s="374"/>
      <c r="I58" s="394" t="str">
        <f>VLOOKUP(Complete[[#This Row],[Code
(PAP)]],[1]Sheet1!$A:$AO,9,FALSE)</f>
        <v>N/A</v>
      </c>
      <c r="J58" s="393">
        <f>VLOOKUP(Complete[[#This Row],[Code
(PAP)]],[1]Sheet1!$A:$AO,10,FALSE)</f>
        <v>45342</v>
      </c>
      <c r="K58" s="393">
        <f>VLOOKUP(Complete[[#This Row],[Code
(PAP)]],[1]Sheet1!$A:$AO,11,FALSE)</f>
        <v>45342</v>
      </c>
      <c r="L58" s="387"/>
      <c r="M58" s="393" t="str">
        <f>VLOOKUP(Complete[[#This Row],[Code
(PAP)]],[1]Sheet1!$A:$AO,13,FALSE)</f>
        <v>N/A</v>
      </c>
      <c r="N58" s="393" t="str">
        <f>VLOOKUP(Complete[[#This Row],[Code
(PAP)]],[1]Sheet1!$A:$AO,14,FALSE)</f>
        <v>N/A</v>
      </c>
      <c r="O58" s="393">
        <f>VLOOKUP(Complete[[#This Row],[Code
(PAP)]],[1]Sheet1!$A:$AO,15,FALSE)</f>
        <v>45344</v>
      </c>
      <c r="P58" s="387"/>
      <c r="Q58" s="387"/>
      <c r="R58" s="387"/>
      <c r="S58" s="576" t="str">
        <f>VLOOKUP(Complete[[#This Row],[Code
(PAP)]],[1]Sheet1!$A:$AO,19,FALSE)</f>
        <v>N/A</v>
      </c>
      <c r="T58" s="576">
        <f>VLOOKUP(Complete[[#This Row],[Code
(PAP)]],[1]Sheet1!$A:$AO,20,FALSE)</f>
        <v>45351</v>
      </c>
      <c r="U58" s="576">
        <f>VLOOKUP(Complete[[#This Row],[Code
(PAP)]],[1]Sheet1!$A:$AO,21,FALSE)</f>
        <v>45356</v>
      </c>
      <c r="V58" s="387"/>
      <c r="W58" s="387"/>
      <c r="X58" s="392">
        <v>45450</v>
      </c>
      <c r="Y58" s="392">
        <f>Complete[[#This Row],[Delivery/ Completion]]</f>
        <v>45450</v>
      </c>
      <c r="Z58" s="610" t="s">
        <v>1478</v>
      </c>
      <c r="AA58" s="462">
        <f>Complete[[#This Row],[MOOE]]+Complete[[#This Row],[CO]]</f>
        <v>9996</v>
      </c>
      <c r="AB58" s="466">
        <v>9996</v>
      </c>
      <c r="AC58" s="497"/>
      <c r="AD58" s="498">
        <f>IF(Complete[[#This Row],[Procurement Project]]="","",SUM(Complete[[#This Row],[MOOE2]]+Complete[[#This Row],[CO3]]))</f>
        <v>9996</v>
      </c>
      <c r="AE58" s="501">
        <v>9996</v>
      </c>
      <c r="AF58" s="541"/>
      <c r="AG58" s="400"/>
      <c r="AH58" s="380" t="s">
        <v>1205</v>
      </c>
      <c r="AI58" s="576" t="str">
        <f>VLOOKUP(Complete[[#This Row],[Code
(PAP)]],[1]Sheet1!$A:$AO,35,FALSE)</f>
        <v>N/A</v>
      </c>
      <c r="AJ58" s="576" t="str">
        <f>VLOOKUP(Complete[[#This Row],[Code
(PAP)]],[1]Sheet1!$A:$AO,36,FALSE)</f>
        <v>N/A</v>
      </c>
      <c r="AK58" s="576" t="str">
        <f>VLOOKUP(Complete[[#This Row],[Code
(PAP)]],[1]Sheet1!$A:$AO,37,FALSE)</f>
        <v>N/A</v>
      </c>
      <c r="AL58" s="576" t="str">
        <f>VLOOKUP(Complete[[#This Row],[Code
(PAP)]],[1]Sheet1!$A:$AO,38,FALSE)</f>
        <v>N/A</v>
      </c>
      <c r="AM58" s="576" t="str">
        <f>VLOOKUP(Complete[[#This Row],[Code
(PAP)]],[1]Sheet1!$A:$AO,38,FALSE)</f>
        <v>N/A</v>
      </c>
      <c r="AN58" s="595" t="s">
        <v>713</v>
      </c>
      <c r="AO58" s="303" t="s">
        <v>139</v>
      </c>
      <c r="AP58" s="389"/>
      <c r="AQ58" s="389"/>
    </row>
    <row r="59" spans="1:43" s="224" customFormat="1" ht="75" customHeight="1" x14ac:dyDescent="0.25">
      <c r="A59" s="385" t="s">
        <v>236</v>
      </c>
      <c r="B59" s="406" t="str">
        <f>VLOOKUP(Complete[[#This Row],[Code
(PAP)]],[1]Sheet1!$A:$AO,2,FALSE)</f>
        <v>GARMENTS</v>
      </c>
      <c r="C59" s="408" t="str">
        <f>VLOOKUP(Complete[[#This Row],[Code
(PAP)]],[1]Sheet1!$A:$AO,3,FALSE)</f>
        <v>PTO</v>
      </c>
      <c r="D59" s="380" t="s">
        <v>712</v>
      </c>
      <c r="E59" s="409" t="str">
        <f>VLOOKUP(Complete[[#This Row],[Code
(PAP)]],[2]Sheet1!$A:$AO,5,FALSE)</f>
        <v>NP-53.9 - Small Value Procurement</v>
      </c>
      <c r="F59" s="393" t="str">
        <f>VLOOKUP(Complete[[#This Row],[Code
(PAP)]],[1]Sheet1!$A:$AO,6,FALSE)</f>
        <v>N/A</v>
      </c>
      <c r="G59" s="393">
        <f>VLOOKUP(Complete[[#This Row],[Code
(PAP)]],[1]Sheet1!$A:$AO,7,FALSE)</f>
        <v>45335</v>
      </c>
      <c r="H59" s="374"/>
      <c r="I59" s="394" t="str">
        <f>VLOOKUP(Complete[[#This Row],[Code
(PAP)]],[1]Sheet1!$A:$AO,9,FALSE)</f>
        <v>N/A</v>
      </c>
      <c r="J59" s="393">
        <f>VLOOKUP(Complete[[#This Row],[Code
(PAP)]],[1]Sheet1!$A:$AO,10,FALSE)</f>
        <v>45342</v>
      </c>
      <c r="K59" s="393">
        <f>VLOOKUP(Complete[[#This Row],[Code
(PAP)]],[1]Sheet1!$A:$AO,11,FALSE)</f>
        <v>45342</v>
      </c>
      <c r="L59" s="387"/>
      <c r="M59" s="393" t="str">
        <f>VLOOKUP(Complete[[#This Row],[Code
(PAP)]],[1]Sheet1!$A:$AO,13,FALSE)</f>
        <v>N/A</v>
      </c>
      <c r="N59" s="393" t="str">
        <f>VLOOKUP(Complete[[#This Row],[Code
(PAP)]],[1]Sheet1!$A:$AO,14,FALSE)</f>
        <v>N/A</v>
      </c>
      <c r="O59" s="393">
        <f>VLOOKUP(Complete[[#This Row],[Code
(PAP)]],[1]Sheet1!$A:$AO,15,FALSE)</f>
        <v>45344</v>
      </c>
      <c r="P59" s="387"/>
      <c r="Q59" s="387"/>
      <c r="R59" s="387"/>
      <c r="S59" s="576" t="str">
        <f>VLOOKUP(Complete[[#This Row],[Code
(PAP)]],[1]Sheet1!$A:$AO,19,FALSE)</f>
        <v>N/A</v>
      </c>
      <c r="T59" s="576">
        <f>VLOOKUP(Complete[[#This Row],[Code
(PAP)]],[1]Sheet1!$A:$AO,20,FALSE)</f>
        <v>45351</v>
      </c>
      <c r="U59" s="576">
        <f>VLOOKUP(Complete[[#This Row],[Code
(PAP)]],[1]Sheet1!$A:$AO,21,FALSE)</f>
        <v>45352</v>
      </c>
      <c r="V59" s="387"/>
      <c r="W59" s="387"/>
      <c r="X59" s="392">
        <f>VLOOKUP(Complete[[#This Row],[Code
(PAP)]],[1]Sheet1!$A:$AO,24,FALSE)</f>
        <v>45383</v>
      </c>
      <c r="Y59" s="392">
        <f>Complete[[#This Row],[Delivery/ Completion]]</f>
        <v>45383</v>
      </c>
      <c r="Z59" s="610" t="s">
        <v>1478</v>
      </c>
      <c r="AA59" s="462">
        <f>Complete[[#This Row],[MOOE]]+Complete[[#This Row],[CO]]</f>
        <v>20000</v>
      </c>
      <c r="AB59" s="466">
        <v>20000</v>
      </c>
      <c r="AC59" s="497"/>
      <c r="AD59" s="498">
        <f>IF(Complete[[#This Row],[Procurement Project]]="","",SUM(Complete[[#This Row],[MOOE2]]+Complete[[#This Row],[CO3]]))</f>
        <v>20000</v>
      </c>
      <c r="AE59" s="501">
        <v>20000</v>
      </c>
      <c r="AF59" s="541"/>
      <c r="AG59" s="400"/>
      <c r="AH59" s="380" t="s">
        <v>1205</v>
      </c>
      <c r="AI59" s="576" t="str">
        <f>VLOOKUP(Complete[[#This Row],[Code
(PAP)]],[1]Sheet1!$A:$AO,35,FALSE)</f>
        <v>N/A</v>
      </c>
      <c r="AJ59" s="576" t="str">
        <f>VLOOKUP(Complete[[#This Row],[Code
(PAP)]],[1]Sheet1!$A:$AO,36,FALSE)</f>
        <v>N/A</v>
      </c>
      <c r="AK59" s="576" t="str">
        <f>VLOOKUP(Complete[[#This Row],[Code
(PAP)]],[1]Sheet1!$A:$AO,37,FALSE)</f>
        <v>N/A</v>
      </c>
      <c r="AL59" s="576" t="str">
        <f>VLOOKUP(Complete[[#This Row],[Code
(PAP)]],[1]Sheet1!$A:$AO,38,FALSE)</f>
        <v>N/A</v>
      </c>
      <c r="AM59" s="576" t="str">
        <f>VLOOKUP(Complete[[#This Row],[Code
(PAP)]],[1]Sheet1!$A:$AO,38,FALSE)</f>
        <v>N/A</v>
      </c>
      <c r="AN59" s="595" t="s">
        <v>713</v>
      </c>
      <c r="AO59" s="303" t="s">
        <v>139</v>
      </c>
      <c r="AP59" s="389"/>
      <c r="AQ59" s="389"/>
    </row>
    <row r="60" spans="1:43" s="224" customFormat="1" ht="75" customHeight="1" x14ac:dyDescent="0.25">
      <c r="A60" s="385" t="s">
        <v>237</v>
      </c>
      <c r="B60" s="406" t="str">
        <f>VLOOKUP(Complete[[#This Row],[Code
(PAP)]],[1]Sheet1!$A:$AO,2,FALSE)</f>
        <v>PRINTING</v>
      </c>
      <c r="C60" s="408" t="str">
        <f>VLOOKUP(Complete[[#This Row],[Code
(PAP)]],[1]Sheet1!$A:$AO,3,FALSE)</f>
        <v>SEF</v>
      </c>
      <c r="D60" s="380" t="s">
        <v>712</v>
      </c>
      <c r="E60" s="409" t="str">
        <f>VLOOKUP(Complete[[#This Row],[Code
(PAP)]],[2]Sheet1!$A:$AO,5,FALSE)</f>
        <v>NP-53.9 - Small Value Procurement</v>
      </c>
      <c r="F60" s="393">
        <f>VLOOKUP(Complete[[#This Row],[Code
(PAP)]],[1]Sheet1!$A:$AO,6,FALSE)</f>
        <v>45322</v>
      </c>
      <c r="G60" s="393">
        <f>VLOOKUP(Complete[[#This Row],[Code
(PAP)]],[1]Sheet1!$A:$AO,7,FALSE)</f>
        <v>45324</v>
      </c>
      <c r="H60" s="374"/>
      <c r="I60" s="394" t="str">
        <f>VLOOKUP(Complete[[#This Row],[Code
(PAP)]],[1]Sheet1!$A:$AO,9,FALSE)</f>
        <v>N/A</v>
      </c>
      <c r="J60" s="393">
        <f>VLOOKUP(Complete[[#This Row],[Code
(PAP)]],[1]Sheet1!$A:$AO,10,FALSE)</f>
        <v>45342</v>
      </c>
      <c r="K60" s="393">
        <f>VLOOKUP(Complete[[#This Row],[Code
(PAP)]],[1]Sheet1!$A:$AO,11,FALSE)</f>
        <v>45342</v>
      </c>
      <c r="L60" s="387"/>
      <c r="M60" s="393" t="str">
        <f>VLOOKUP(Complete[[#This Row],[Code
(PAP)]],[1]Sheet1!$A:$AO,13,FALSE)</f>
        <v>N/A</v>
      </c>
      <c r="N60" s="393" t="str">
        <f>VLOOKUP(Complete[[#This Row],[Code
(PAP)]],[1]Sheet1!$A:$AO,14,FALSE)</f>
        <v>N/A</v>
      </c>
      <c r="O60" s="393">
        <f>VLOOKUP(Complete[[#This Row],[Code
(PAP)]],[1]Sheet1!$A:$AO,15,FALSE)</f>
        <v>45344</v>
      </c>
      <c r="P60" s="387"/>
      <c r="Q60" s="387"/>
      <c r="R60" s="387"/>
      <c r="S60" s="576" t="str">
        <f>VLOOKUP(Complete[[#This Row],[Code
(PAP)]],[1]Sheet1!$A:$AO,19,FALSE)</f>
        <v>N/A</v>
      </c>
      <c r="T60" s="576">
        <f>VLOOKUP(Complete[[#This Row],[Code
(PAP)]],[1]Sheet1!$A:$AO,20,FALSE)</f>
        <v>45355</v>
      </c>
      <c r="U60" s="576">
        <f>VLOOKUP(Complete[[#This Row],[Code
(PAP)]],[1]Sheet1!$A:$AO,21,FALSE)</f>
        <v>45357</v>
      </c>
      <c r="V60" s="387"/>
      <c r="W60" s="387"/>
      <c r="X60" s="392">
        <f>VLOOKUP(Complete[[#This Row],[Code
(PAP)]],[1]Sheet1!$A:$AO,24,FALSE)</f>
        <v>45434</v>
      </c>
      <c r="Y60" s="392">
        <f>Complete[[#This Row],[Delivery/ Completion]]</f>
        <v>45434</v>
      </c>
      <c r="Z60" s="610" t="s">
        <v>1478</v>
      </c>
      <c r="AA60" s="462">
        <f>Complete[[#This Row],[MOOE]]+Complete[[#This Row],[CO]]</f>
        <v>1792</v>
      </c>
      <c r="AB60" s="466"/>
      <c r="AC60" s="497">
        <v>1792</v>
      </c>
      <c r="AD60" s="498">
        <f>IF(Complete[[#This Row],[Procurement Project]]="","",SUM(Complete[[#This Row],[MOOE2]]+Complete[[#This Row],[CO3]]))</f>
        <v>1664</v>
      </c>
      <c r="AE60" s="501"/>
      <c r="AF60" s="541">
        <v>1664</v>
      </c>
      <c r="AG60" s="400"/>
      <c r="AH60" s="380" t="s">
        <v>1205</v>
      </c>
      <c r="AI60" s="576" t="str">
        <f>VLOOKUP(Complete[[#This Row],[Code
(PAP)]],[1]Sheet1!$A:$AO,35,FALSE)</f>
        <v>N/A</v>
      </c>
      <c r="AJ60" s="576" t="str">
        <f>VLOOKUP(Complete[[#This Row],[Code
(PAP)]],[1]Sheet1!$A:$AO,36,FALSE)</f>
        <v>N/A</v>
      </c>
      <c r="AK60" s="576" t="str">
        <f>VLOOKUP(Complete[[#This Row],[Code
(PAP)]],[1]Sheet1!$A:$AO,37,FALSE)</f>
        <v>N/A</v>
      </c>
      <c r="AL60" s="576" t="str">
        <f>VLOOKUP(Complete[[#This Row],[Code
(PAP)]],[1]Sheet1!$A:$AO,38,FALSE)</f>
        <v>N/A</v>
      </c>
      <c r="AM60" s="576" t="str">
        <f>VLOOKUP(Complete[[#This Row],[Code
(PAP)]],[1]Sheet1!$A:$AO,38,FALSE)</f>
        <v>N/A</v>
      </c>
      <c r="AN60" s="595" t="s">
        <v>713</v>
      </c>
      <c r="AO60" s="303" t="s">
        <v>139</v>
      </c>
      <c r="AP60" s="389"/>
      <c r="AQ60" s="389"/>
    </row>
    <row r="61" spans="1:43" s="224" customFormat="1" ht="75" customHeight="1" x14ac:dyDescent="0.25">
      <c r="A61" s="385" t="s">
        <v>238</v>
      </c>
      <c r="B61" s="406" t="str">
        <f>VLOOKUP(Complete[[#This Row],[Code
(PAP)]],[1]Sheet1!$A:$AO,2,FALSE)</f>
        <v>PRINTING</v>
      </c>
      <c r="C61" s="408" t="str">
        <f>VLOOKUP(Complete[[#This Row],[Code
(PAP)]],[1]Sheet1!$A:$AO,3,FALSE)</f>
        <v>SEF</v>
      </c>
      <c r="D61" s="380" t="s">
        <v>712</v>
      </c>
      <c r="E61" s="409" t="str">
        <f>VLOOKUP(Complete[[#This Row],[Code
(PAP)]],[2]Sheet1!$A:$AO,5,FALSE)</f>
        <v>NP-53.9 - Small Value Procurement</v>
      </c>
      <c r="F61" s="393">
        <f>VLOOKUP(Complete[[#This Row],[Code
(PAP)]],[1]Sheet1!$A:$AO,6,FALSE)</f>
        <v>45322</v>
      </c>
      <c r="G61" s="393">
        <f>VLOOKUP(Complete[[#This Row],[Code
(PAP)]],[1]Sheet1!$A:$AO,7,FALSE)</f>
        <v>45324</v>
      </c>
      <c r="H61" s="374"/>
      <c r="I61" s="394" t="str">
        <f>VLOOKUP(Complete[[#This Row],[Code
(PAP)]],[1]Sheet1!$A:$AO,9,FALSE)</f>
        <v>N/A</v>
      </c>
      <c r="J61" s="393">
        <f>VLOOKUP(Complete[[#This Row],[Code
(PAP)]],[1]Sheet1!$A:$AO,10,FALSE)</f>
        <v>45342</v>
      </c>
      <c r="K61" s="393">
        <f>VLOOKUP(Complete[[#This Row],[Code
(PAP)]],[1]Sheet1!$A:$AO,11,FALSE)</f>
        <v>45342</v>
      </c>
      <c r="L61" s="387"/>
      <c r="M61" s="393" t="str">
        <f>VLOOKUP(Complete[[#This Row],[Code
(PAP)]],[1]Sheet1!$A:$AO,13,FALSE)</f>
        <v>N/A</v>
      </c>
      <c r="N61" s="393" t="str">
        <f>VLOOKUP(Complete[[#This Row],[Code
(PAP)]],[1]Sheet1!$A:$AO,14,FALSE)</f>
        <v>N/A</v>
      </c>
      <c r="O61" s="393">
        <f>VLOOKUP(Complete[[#This Row],[Code
(PAP)]],[1]Sheet1!$A:$AO,15,FALSE)</f>
        <v>45344</v>
      </c>
      <c r="P61" s="387"/>
      <c r="Q61" s="387"/>
      <c r="R61" s="387"/>
      <c r="S61" s="576" t="str">
        <f>VLOOKUP(Complete[[#This Row],[Code
(PAP)]],[1]Sheet1!$A:$AO,19,FALSE)</f>
        <v>N/A</v>
      </c>
      <c r="T61" s="576">
        <f>VLOOKUP(Complete[[#This Row],[Code
(PAP)]],[1]Sheet1!$A:$AO,20,FALSE)</f>
        <v>45355</v>
      </c>
      <c r="U61" s="576">
        <f>VLOOKUP(Complete[[#This Row],[Code
(PAP)]],[1]Sheet1!$A:$AO,21,FALSE)</f>
        <v>45357</v>
      </c>
      <c r="V61" s="387"/>
      <c r="W61" s="387"/>
      <c r="X61" s="392">
        <f>VLOOKUP(Complete[[#This Row],[Code
(PAP)]],[1]Sheet1!$A:$AO,24,FALSE)</f>
        <v>45434</v>
      </c>
      <c r="Y61" s="392">
        <f>Complete[[#This Row],[Delivery/ Completion]]</f>
        <v>45434</v>
      </c>
      <c r="Z61" s="610" t="s">
        <v>1478</v>
      </c>
      <c r="AA61" s="462">
        <f>Complete[[#This Row],[MOOE]]+Complete[[#This Row],[CO]]</f>
        <v>1792</v>
      </c>
      <c r="AB61" s="466"/>
      <c r="AC61" s="497">
        <v>1792</v>
      </c>
      <c r="AD61" s="498">
        <f>IF(Complete[[#This Row],[Procurement Project]]="","",SUM(Complete[[#This Row],[MOOE2]]+Complete[[#This Row],[CO3]]))</f>
        <v>1664</v>
      </c>
      <c r="AE61" s="501"/>
      <c r="AF61" s="541">
        <v>1664</v>
      </c>
      <c r="AG61" s="400"/>
      <c r="AH61" s="380" t="s">
        <v>1205</v>
      </c>
      <c r="AI61" s="576" t="str">
        <f>VLOOKUP(Complete[[#This Row],[Code
(PAP)]],[1]Sheet1!$A:$AO,35,FALSE)</f>
        <v>N/A</v>
      </c>
      <c r="AJ61" s="576" t="str">
        <f>VLOOKUP(Complete[[#This Row],[Code
(PAP)]],[1]Sheet1!$A:$AO,36,FALSE)</f>
        <v>N/A</v>
      </c>
      <c r="AK61" s="576" t="str">
        <f>VLOOKUP(Complete[[#This Row],[Code
(PAP)]],[1]Sheet1!$A:$AO,37,FALSE)</f>
        <v>N/A</v>
      </c>
      <c r="AL61" s="576" t="str">
        <f>VLOOKUP(Complete[[#This Row],[Code
(PAP)]],[1]Sheet1!$A:$AO,38,FALSE)</f>
        <v>N/A</v>
      </c>
      <c r="AM61" s="576" t="str">
        <f>VLOOKUP(Complete[[#This Row],[Code
(PAP)]],[1]Sheet1!$A:$AO,38,FALSE)</f>
        <v>N/A</v>
      </c>
      <c r="AN61" s="595" t="s">
        <v>713</v>
      </c>
      <c r="AO61" s="303" t="s">
        <v>139</v>
      </c>
      <c r="AP61" s="389"/>
      <c r="AQ61" s="389"/>
    </row>
    <row r="62" spans="1:43" s="224" customFormat="1" ht="75" customHeight="1" x14ac:dyDescent="0.25">
      <c r="A62" s="385" t="s">
        <v>239</v>
      </c>
      <c r="B62" s="406" t="str">
        <f>VLOOKUP(Complete[[#This Row],[Code
(PAP)]],[1]Sheet1!$A:$AO,2,FALSE)</f>
        <v>PRINTING</v>
      </c>
      <c r="C62" s="408" t="str">
        <f>VLOOKUP(Complete[[#This Row],[Code
(PAP)]],[1]Sheet1!$A:$AO,3,FALSE)</f>
        <v>PGO</v>
      </c>
      <c r="D62" s="380" t="s">
        <v>712</v>
      </c>
      <c r="E62" s="409" t="str">
        <f>VLOOKUP(Complete[[#This Row],[Code
(PAP)]],[2]Sheet1!$A:$AO,5,FALSE)</f>
        <v>NP-53.9 - Small Value Procurement</v>
      </c>
      <c r="F62" s="393" t="str">
        <f>VLOOKUP(Complete[[#This Row],[Code
(PAP)]],[1]Sheet1!$A:$AO,6,FALSE)</f>
        <v>N/A</v>
      </c>
      <c r="G62" s="393">
        <f>VLOOKUP(Complete[[#This Row],[Code
(PAP)]],[1]Sheet1!$A:$AO,7,FALSE)</f>
        <v>45324</v>
      </c>
      <c r="H62" s="374"/>
      <c r="I62" s="394" t="str">
        <f>VLOOKUP(Complete[[#This Row],[Code
(PAP)]],[1]Sheet1!$A:$AO,9,FALSE)</f>
        <v>N/A</v>
      </c>
      <c r="J62" s="393">
        <f>VLOOKUP(Complete[[#This Row],[Code
(PAP)]],[1]Sheet1!$A:$AO,10,FALSE)</f>
        <v>45342</v>
      </c>
      <c r="K62" s="393">
        <f>VLOOKUP(Complete[[#This Row],[Code
(PAP)]],[1]Sheet1!$A:$AO,11,FALSE)</f>
        <v>45342</v>
      </c>
      <c r="L62" s="387"/>
      <c r="M62" s="393" t="str">
        <f>VLOOKUP(Complete[[#This Row],[Code
(PAP)]],[1]Sheet1!$A:$AO,13,FALSE)</f>
        <v>N/A</v>
      </c>
      <c r="N62" s="393" t="str">
        <f>VLOOKUP(Complete[[#This Row],[Code
(PAP)]],[1]Sheet1!$A:$AO,14,FALSE)</f>
        <v>N/A</v>
      </c>
      <c r="O62" s="393">
        <f>VLOOKUP(Complete[[#This Row],[Code
(PAP)]],[1]Sheet1!$A:$AO,15,FALSE)</f>
        <v>45344</v>
      </c>
      <c r="P62" s="387"/>
      <c r="Q62" s="387"/>
      <c r="R62" s="387"/>
      <c r="S62" s="576" t="str">
        <f>VLOOKUP(Complete[[#This Row],[Code
(PAP)]],[1]Sheet1!$A:$AO,19,FALSE)</f>
        <v>N/A</v>
      </c>
      <c r="T62" s="576">
        <f>VLOOKUP(Complete[[#This Row],[Code
(PAP)]],[1]Sheet1!$A:$AO,20,FALSE)</f>
        <v>45350</v>
      </c>
      <c r="U62" s="576">
        <f>VLOOKUP(Complete[[#This Row],[Code
(PAP)]],[1]Sheet1!$A:$AO,21,FALSE)</f>
        <v>45351</v>
      </c>
      <c r="V62" s="387"/>
      <c r="W62" s="387"/>
      <c r="X62" s="392">
        <v>45358</v>
      </c>
      <c r="Y62" s="392">
        <f>Complete[[#This Row],[Delivery/ Completion]]</f>
        <v>45358</v>
      </c>
      <c r="Z62" s="610" t="s">
        <v>1478</v>
      </c>
      <c r="AA62" s="462">
        <f>Complete[[#This Row],[MOOE]]+Complete[[#This Row],[CO]]</f>
        <v>40852</v>
      </c>
      <c r="AB62" s="466"/>
      <c r="AC62" s="497">
        <v>40852</v>
      </c>
      <c r="AD62" s="498">
        <f>IF(Complete[[#This Row],[Procurement Project]]="","",SUM(Complete[[#This Row],[MOOE2]]+Complete[[#This Row],[CO3]]))</f>
        <v>40852</v>
      </c>
      <c r="AE62" s="501"/>
      <c r="AF62" s="541">
        <v>40852</v>
      </c>
      <c r="AG62" s="400"/>
      <c r="AH62" s="380" t="s">
        <v>1205</v>
      </c>
      <c r="AI62" s="576" t="str">
        <f>VLOOKUP(Complete[[#This Row],[Code
(PAP)]],[1]Sheet1!$A:$AO,35,FALSE)</f>
        <v>N/A</v>
      </c>
      <c r="AJ62" s="576" t="str">
        <f>VLOOKUP(Complete[[#This Row],[Code
(PAP)]],[1]Sheet1!$A:$AO,36,FALSE)</f>
        <v>N/A</v>
      </c>
      <c r="AK62" s="576" t="str">
        <f>VLOOKUP(Complete[[#This Row],[Code
(PAP)]],[1]Sheet1!$A:$AO,37,FALSE)</f>
        <v>N/A</v>
      </c>
      <c r="AL62" s="576" t="str">
        <f>VLOOKUP(Complete[[#This Row],[Code
(PAP)]],[1]Sheet1!$A:$AO,38,FALSE)</f>
        <v>N/A</v>
      </c>
      <c r="AM62" s="576" t="str">
        <f>VLOOKUP(Complete[[#This Row],[Code
(PAP)]],[1]Sheet1!$A:$AO,38,FALSE)</f>
        <v>N/A</v>
      </c>
      <c r="AN62" s="595" t="s">
        <v>713</v>
      </c>
      <c r="AO62" s="303" t="s">
        <v>139</v>
      </c>
      <c r="AP62" s="389"/>
      <c r="AQ62" s="389"/>
    </row>
    <row r="63" spans="1:43" s="224" customFormat="1" ht="75" customHeight="1" x14ac:dyDescent="0.25">
      <c r="A63" s="385" t="s">
        <v>240</v>
      </c>
      <c r="B63" s="406" t="str">
        <f>VLOOKUP(Complete[[#This Row],[Code
(PAP)]],[1]Sheet1!$A:$AO,2,FALSE)</f>
        <v>UNIFORM SUPPLIES</v>
      </c>
      <c r="C63" s="408" t="str">
        <f>VLOOKUP(Complete[[#This Row],[Code
(PAP)]],[1]Sheet1!$A:$AO,3,FALSE)</f>
        <v>PGO</v>
      </c>
      <c r="D63" s="380" t="s">
        <v>712</v>
      </c>
      <c r="E63" s="409" t="str">
        <f>VLOOKUP(Complete[[#This Row],[Code
(PAP)]],[2]Sheet1!$A:$AO,5,FALSE)</f>
        <v>NP-53.9 - Small Value Procurement</v>
      </c>
      <c r="F63" s="393" t="str">
        <f>VLOOKUP(Complete[[#This Row],[Code
(PAP)]],[1]Sheet1!$A:$AO,6,FALSE)</f>
        <v>N/A</v>
      </c>
      <c r="G63" s="393">
        <f>VLOOKUP(Complete[[#This Row],[Code
(PAP)]],[1]Sheet1!$A:$AO,7,FALSE)</f>
        <v>45331</v>
      </c>
      <c r="H63" s="374"/>
      <c r="I63" s="394" t="str">
        <f>VLOOKUP(Complete[[#This Row],[Code
(PAP)]],[1]Sheet1!$A:$AO,9,FALSE)</f>
        <v>N/A</v>
      </c>
      <c r="J63" s="393">
        <f>VLOOKUP(Complete[[#This Row],[Code
(PAP)]],[1]Sheet1!$A:$AO,10,FALSE)</f>
        <v>45342</v>
      </c>
      <c r="K63" s="393">
        <f>VLOOKUP(Complete[[#This Row],[Code
(PAP)]],[1]Sheet1!$A:$AO,11,FALSE)</f>
        <v>45342</v>
      </c>
      <c r="L63" s="387"/>
      <c r="M63" s="393" t="str">
        <f>VLOOKUP(Complete[[#This Row],[Code
(PAP)]],[1]Sheet1!$A:$AO,13,FALSE)</f>
        <v>N/A</v>
      </c>
      <c r="N63" s="393" t="str">
        <f>VLOOKUP(Complete[[#This Row],[Code
(PAP)]],[1]Sheet1!$A:$AO,14,FALSE)</f>
        <v>N/A</v>
      </c>
      <c r="O63" s="393">
        <f>VLOOKUP(Complete[[#This Row],[Code
(PAP)]],[1]Sheet1!$A:$AO,15,FALSE)</f>
        <v>45344</v>
      </c>
      <c r="P63" s="387"/>
      <c r="Q63" s="387"/>
      <c r="R63" s="387"/>
      <c r="S63" s="576" t="str">
        <f>VLOOKUP(Complete[[#This Row],[Code
(PAP)]],[1]Sheet1!$A:$AO,19,FALSE)</f>
        <v>N/A</v>
      </c>
      <c r="T63" s="576">
        <f>VLOOKUP(Complete[[#This Row],[Code
(PAP)]],[1]Sheet1!$A:$AO,20,FALSE)</f>
        <v>45350</v>
      </c>
      <c r="U63" s="576">
        <f>VLOOKUP(Complete[[#This Row],[Code
(PAP)]],[1]Sheet1!$A:$AO,21,FALSE)</f>
        <v>45351</v>
      </c>
      <c r="V63" s="387"/>
      <c r="W63" s="387"/>
      <c r="X63" s="392">
        <f>VLOOKUP(Complete[[#This Row],[Code
(PAP)]],[1]Sheet1!$A:$AO,24,FALSE)</f>
        <v>45357</v>
      </c>
      <c r="Y63" s="392">
        <f>Complete[[#This Row],[Delivery/ Completion]]</f>
        <v>45357</v>
      </c>
      <c r="Z63" s="610" t="s">
        <v>1478</v>
      </c>
      <c r="AA63" s="462">
        <f>Complete[[#This Row],[MOOE]]+Complete[[#This Row],[CO]]</f>
        <v>38250</v>
      </c>
      <c r="AB63" s="466"/>
      <c r="AC63" s="497">
        <v>38250</v>
      </c>
      <c r="AD63" s="498">
        <f>IF(Complete[[#This Row],[Procurement Project]]="","",SUM(Complete[[#This Row],[MOOE2]]+Complete[[#This Row],[CO3]]))</f>
        <v>38250</v>
      </c>
      <c r="AE63" s="501"/>
      <c r="AF63" s="541">
        <v>38250</v>
      </c>
      <c r="AG63" s="400"/>
      <c r="AH63" s="380" t="s">
        <v>1205</v>
      </c>
      <c r="AI63" s="576" t="str">
        <f>VLOOKUP(Complete[[#This Row],[Code
(PAP)]],[1]Sheet1!$A:$AO,35,FALSE)</f>
        <v>N/A</v>
      </c>
      <c r="AJ63" s="576" t="str">
        <f>VLOOKUP(Complete[[#This Row],[Code
(PAP)]],[1]Sheet1!$A:$AO,36,FALSE)</f>
        <v>N/A</v>
      </c>
      <c r="AK63" s="576" t="str">
        <f>VLOOKUP(Complete[[#This Row],[Code
(PAP)]],[1]Sheet1!$A:$AO,37,FALSE)</f>
        <v>N/A</v>
      </c>
      <c r="AL63" s="576" t="str">
        <f>VLOOKUP(Complete[[#This Row],[Code
(PAP)]],[1]Sheet1!$A:$AO,38,FALSE)</f>
        <v>N/A</v>
      </c>
      <c r="AM63" s="576" t="str">
        <f>VLOOKUP(Complete[[#This Row],[Code
(PAP)]],[1]Sheet1!$A:$AO,38,FALSE)</f>
        <v>N/A</v>
      </c>
      <c r="AN63" s="595" t="s">
        <v>713</v>
      </c>
      <c r="AO63" s="303" t="s">
        <v>139</v>
      </c>
      <c r="AP63" s="389"/>
      <c r="AQ63" s="389"/>
    </row>
    <row r="64" spans="1:43" s="224" customFormat="1" ht="75" customHeight="1" x14ac:dyDescent="0.25">
      <c r="A64" s="385" t="s">
        <v>241</v>
      </c>
      <c r="B64" s="406" t="str">
        <f>VLOOKUP(Complete[[#This Row],[Code
(PAP)]],[1]Sheet1!$A:$AO,2,FALSE)</f>
        <v>ACCESSORIES &amp; DECORATION</v>
      </c>
      <c r="C64" s="408" t="str">
        <f>VLOOKUP(Complete[[#This Row],[Code
(PAP)]],[1]Sheet1!$A:$AO,3,FALSE)</f>
        <v>PGO</v>
      </c>
      <c r="D64" s="380" t="s">
        <v>712</v>
      </c>
      <c r="E64" s="409" t="str">
        <f>VLOOKUP(Complete[[#This Row],[Code
(PAP)]],[2]Sheet1!$A:$AO,5,FALSE)</f>
        <v>NP-53.9 - Small Value Procurement</v>
      </c>
      <c r="F64" s="393" t="str">
        <f>VLOOKUP(Complete[[#This Row],[Code
(PAP)]],[1]Sheet1!$A:$AO,6,FALSE)</f>
        <v>N/A</v>
      </c>
      <c r="G64" s="393">
        <f>VLOOKUP(Complete[[#This Row],[Code
(PAP)]],[1]Sheet1!$A:$AO,7,FALSE)</f>
        <v>45331</v>
      </c>
      <c r="H64" s="374"/>
      <c r="I64" s="394" t="str">
        <f>VLOOKUP(Complete[[#This Row],[Code
(PAP)]],[1]Sheet1!$A:$AO,9,FALSE)</f>
        <v>N/A</v>
      </c>
      <c r="J64" s="393">
        <f>VLOOKUP(Complete[[#This Row],[Code
(PAP)]],[1]Sheet1!$A:$AO,10,FALSE)</f>
        <v>45342</v>
      </c>
      <c r="K64" s="393">
        <f>VLOOKUP(Complete[[#This Row],[Code
(PAP)]],[1]Sheet1!$A:$AO,11,FALSE)</f>
        <v>45342</v>
      </c>
      <c r="L64" s="387"/>
      <c r="M64" s="393" t="str">
        <f>VLOOKUP(Complete[[#This Row],[Code
(PAP)]],[1]Sheet1!$A:$AO,13,FALSE)</f>
        <v>N/A</v>
      </c>
      <c r="N64" s="393" t="str">
        <f>VLOOKUP(Complete[[#This Row],[Code
(PAP)]],[1]Sheet1!$A:$AO,14,FALSE)</f>
        <v>N/A</v>
      </c>
      <c r="O64" s="393">
        <f>VLOOKUP(Complete[[#This Row],[Code
(PAP)]],[1]Sheet1!$A:$AO,15,FALSE)</f>
        <v>45344</v>
      </c>
      <c r="P64" s="387"/>
      <c r="Q64" s="387"/>
      <c r="R64" s="387"/>
      <c r="S64" s="576" t="str">
        <f>VLOOKUP(Complete[[#This Row],[Code
(PAP)]],[1]Sheet1!$A:$AO,19,FALSE)</f>
        <v>N/A</v>
      </c>
      <c r="T64" s="576">
        <f>VLOOKUP(Complete[[#This Row],[Code
(PAP)]],[1]Sheet1!$A:$AO,20,FALSE)</f>
        <v>45350</v>
      </c>
      <c r="U64" s="576">
        <f>VLOOKUP(Complete[[#This Row],[Code
(PAP)]],[1]Sheet1!$A:$AO,21,FALSE)</f>
        <v>45351</v>
      </c>
      <c r="V64" s="387"/>
      <c r="W64" s="387"/>
      <c r="X64" s="392">
        <f>VLOOKUP(Complete[[#This Row],[Code
(PAP)]],[1]Sheet1!$A:$AO,24,FALSE)</f>
        <v>45357</v>
      </c>
      <c r="Y64" s="392">
        <f>Complete[[#This Row],[Delivery/ Completion]]</f>
        <v>45357</v>
      </c>
      <c r="Z64" s="610" t="s">
        <v>1478</v>
      </c>
      <c r="AA64" s="462">
        <f>Complete[[#This Row],[MOOE]]+Complete[[#This Row],[CO]]</f>
        <v>1500</v>
      </c>
      <c r="AB64" s="466"/>
      <c r="AC64" s="497">
        <v>1500</v>
      </c>
      <c r="AD64" s="498">
        <f>IF(Complete[[#This Row],[Procurement Project]]="","",SUM(Complete[[#This Row],[MOOE2]]+Complete[[#This Row],[CO3]]))</f>
        <v>1500</v>
      </c>
      <c r="AE64" s="501"/>
      <c r="AF64" s="541">
        <v>1500</v>
      </c>
      <c r="AG64" s="400"/>
      <c r="AH64" s="380" t="s">
        <v>1205</v>
      </c>
      <c r="AI64" s="576" t="str">
        <f>VLOOKUP(Complete[[#This Row],[Code
(PAP)]],[1]Sheet1!$A:$AO,35,FALSE)</f>
        <v>N/A</v>
      </c>
      <c r="AJ64" s="576" t="str">
        <f>VLOOKUP(Complete[[#This Row],[Code
(PAP)]],[1]Sheet1!$A:$AO,36,FALSE)</f>
        <v>N/A</v>
      </c>
      <c r="AK64" s="576" t="str">
        <f>VLOOKUP(Complete[[#This Row],[Code
(PAP)]],[1]Sheet1!$A:$AO,37,FALSE)</f>
        <v>N/A</v>
      </c>
      <c r="AL64" s="576" t="str">
        <f>VLOOKUP(Complete[[#This Row],[Code
(PAP)]],[1]Sheet1!$A:$AO,38,FALSE)</f>
        <v>N/A</v>
      </c>
      <c r="AM64" s="576" t="str">
        <f>VLOOKUP(Complete[[#This Row],[Code
(PAP)]],[1]Sheet1!$A:$AO,38,FALSE)</f>
        <v>N/A</v>
      </c>
      <c r="AN64" s="595" t="s">
        <v>713</v>
      </c>
      <c r="AO64" s="303" t="s">
        <v>139</v>
      </c>
      <c r="AP64" s="389"/>
      <c r="AQ64" s="389"/>
    </row>
    <row r="65" spans="1:43" s="224" customFormat="1" ht="75" customHeight="1" x14ac:dyDescent="0.25">
      <c r="A65" s="385" t="s">
        <v>242</v>
      </c>
      <c r="B65" s="406" t="str">
        <f>VLOOKUP(Complete[[#This Row],[Code
(PAP)]],[1]Sheet1!$A:$AO,2,FALSE)</f>
        <v>PLAQUE/TROPHIES/MEDAL</v>
      </c>
      <c r="C65" s="408" t="str">
        <f>VLOOKUP(Complete[[#This Row],[Code
(PAP)]],[1]Sheet1!$A:$AO,3,FALSE)</f>
        <v>PHRMDO</v>
      </c>
      <c r="D65" s="380" t="s">
        <v>712</v>
      </c>
      <c r="E65" s="409" t="str">
        <f>VLOOKUP(Complete[[#This Row],[Code
(PAP)]],[2]Sheet1!$A:$AO,5,FALSE)</f>
        <v>NP-53.9 - Small Value Procurement</v>
      </c>
      <c r="F65" s="393">
        <f>VLOOKUP(Complete[[#This Row],[Code
(PAP)]],[1]Sheet1!$A:$AO,6,FALSE)</f>
        <v>45322</v>
      </c>
      <c r="G65" s="393">
        <f>VLOOKUP(Complete[[#This Row],[Code
(PAP)]],[1]Sheet1!$A:$AO,7,FALSE)</f>
        <v>45324</v>
      </c>
      <c r="H65" s="374"/>
      <c r="I65" s="394" t="str">
        <f>VLOOKUP(Complete[[#This Row],[Code
(PAP)]],[1]Sheet1!$A:$AO,9,FALSE)</f>
        <v>N/A</v>
      </c>
      <c r="J65" s="393">
        <f>VLOOKUP(Complete[[#This Row],[Code
(PAP)]],[1]Sheet1!$A:$AO,10,FALSE)</f>
        <v>45342</v>
      </c>
      <c r="K65" s="393">
        <f>VLOOKUP(Complete[[#This Row],[Code
(PAP)]],[1]Sheet1!$A:$AO,11,FALSE)</f>
        <v>45342</v>
      </c>
      <c r="L65" s="387"/>
      <c r="M65" s="393" t="str">
        <f>VLOOKUP(Complete[[#This Row],[Code
(PAP)]],[1]Sheet1!$A:$AO,13,FALSE)</f>
        <v>N/A</v>
      </c>
      <c r="N65" s="393" t="str">
        <f>VLOOKUP(Complete[[#This Row],[Code
(PAP)]],[1]Sheet1!$A:$AO,14,FALSE)</f>
        <v>N/A</v>
      </c>
      <c r="O65" s="393">
        <f>VLOOKUP(Complete[[#This Row],[Code
(PAP)]],[1]Sheet1!$A:$AO,15,FALSE)</f>
        <v>45344</v>
      </c>
      <c r="P65" s="387"/>
      <c r="Q65" s="387"/>
      <c r="R65" s="387"/>
      <c r="S65" s="576" t="str">
        <f>VLOOKUP(Complete[[#This Row],[Code
(PAP)]],[1]Sheet1!$A:$AO,19,FALSE)</f>
        <v>N/A</v>
      </c>
      <c r="T65" s="576">
        <f>VLOOKUP(Complete[[#This Row],[Code
(PAP)]],[1]Sheet1!$A:$AO,20,FALSE)</f>
        <v>45350</v>
      </c>
      <c r="U65" s="576">
        <f>VLOOKUP(Complete[[#This Row],[Code
(PAP)]],[1]Sheet1!$A:$AO,21,FALSE)</f>
        <v>45351</v>
      </c>
      <c r="V65" s="387"/>
      <c r="W65" s="387"/>
      <c r="X65" s="392">
        <f>VLOOKUP(Complete[[#This Row],[Code
(PAP)]],[1]Sheet1!$A:$AO,24,FALSE)</f>
        <v>45357</v>
      </c>
      <c r="Y65" s="392">
        <f>Complete[[#This Row],[Delivery/ Completion]]</f>
        <v>45357</v>
      </c>
      <c r="Z65" s="610" t="s">
        <v>1478</v>
      </c>
      <c r="AA65" s="462">
        <f>Complete[[#This Row],[MOOE]]+Complete[[#This Row],[CO]]</f>
        <v>38200</v>
      </c>
      <c r="AB65" s="466">
        <v>38200</v>
      </c>
      <c r="AC65" s="497">
        <f>VLOOKUP(Complete[[#This Row],[Code
(PAP)]],[1]Sheet1!$A:$AO,29,FALSE)</f>
        <v>0</v>
      </c>
      <c r="AD65" s="498">
        <f>IF(Complete[[#This Row],[Procurement Project]]="","",SUM(Complete[[#This Row],[MOOE2]]+Complete[[#This Row],[CO3]]))</f>
        <v>38200</v>
      </c>
      <c r="AE65" s="501">
        <v>38200</v>
      </c>
      <c r="AF65" s="541"/>
      <c r="AG65" s="400"/>
      <c r="AH65" s="380" t="s">
        <v>1205</v>
      </c>
      <c r="AI65" s="576" t="str">
        <f>VLOOKUP(Complete[[#This Row],[Code
(PAP)]],[1]Sheet1!$A:$AO,35,FALSE)</f>
        <v>N/A</v>
      </c>
      <c r="AJ65" s="576" t="str">
        <f>VLOOKUP(Complete[[#This Row],[Code
(PAP)]],[1]Sheet1!$A:$AO,36,FALSE)</f>
        <v>N/A</v>
      </c>
      <c r="AK65" s="576" t="str">
        <f>VLOOKUP(Complete[[#This Row],[Code
(PAP)]],[1]Sheet1!$A:$AO,37,FALSE)</f>
        <v>N/A</v>
      </c>
      <c r="AL65" s="576" t="str">
        <f>VLOOKUP(Complete[[#This Row],[Code
(PAP)]],[1]Sheet1!$A:$AO,38,FALSE)</f>
        <v>N/A</v>
      </c>
      <c r="AM65" s="576" t="str">
        <f>VLOOKUP(Complete[[#This Row],[Code
(PAP)]],[1]Sheet1!$A:$AO,38,FALSE)</f>
        <v>N/A</v>
      </c>
      <c r="AN65" s="595" t="s">
        <v>713</v>
      </c>
      <c r="AO65" s="303" t="s">
        <v>139</v>
      </c>
      <c r="AP65" s="389"/>
      <c r="AQ65" s="389"/>
    </row>
    <row r="66" spans="1:43" s="224" customFormat="1" ht="75" customHeight="1" x14ac:dyDescent="0.25">
      <c r="A66" s="385" t="s">
        <v>243</v>
      </c>
      <c r="B66" s="406" t="str">
        <f>VLOOKUP(Complete[[#This Row],[Code
(PAP)]],[1]Sheet1!$A:$AO,2,FALSE)</f>
        <v>OFFICE SUPPLIES</v>
      </c>
      <c r="C66" s="408" t="str">
        <f>VLOOKUP(Complete[[#This Row],[Code
(PAP)]],[1]Sheet1!$A:$AO,3,FALSE)</f>
        <v>PHRMDO</v>
      </c>
      <c r="D66" s="380" t="s">
        <v>712</v>
      </c>
      <c r="E66" s="409" t="str">
        <f>VLOOKUP(Complete[[#This Row],[Code
(PAP)]],[2]Sheet1!$A:$AO,5,FALSE)</f>
        <v>NP-53.9 - Small Value Procurement</v>
      </c>
      <c r="F66" s="393" t="str">
        <f>VLOOKUP(Complete[[#This Row],[Code
(PAP)]],[1]Sheet1!$A:$AO,6,FALSE)</f>
        <v>N/A</v>
      </c>
      <c r="G66" s="393">
        <f>VLOOKUP(Complete[[#This Row],[Code
(PAP)]],[1]Sheet1!$A:$AO,7,FALSE)</f>
        <v>45331</v>
      </c>
      <c r="H66" s="374"/>
      <c r="I66" s="394" t="str">
        <f>VLOOKUP(Complete[[#This Row],[Code
(PAP)]],[1]Sheet1!$A:$AO,9,FALSE)</f>
        <v>N/A</v>
      </c>
      <c r="J66" s="393">
        <f>VLOOKUP(Complete[[#This Row],[Code
(PAP)]],[1]Sheet1!$A:$AO,10,FALSE)</f>
        <v>45342</v>
      </c>
      <c r="K66" s="393">
        <f>VLOOKUP(Complete[[#This Row],[Code
(PAP)]],[1]Sheet1!$A:$AO,11,FALSE)</f>
        <v>45342</v>
      </c>
      <c r="L66" s="387"/>
      <c r="M66" s="393" t="str">
        <f>VLOOKUP(Complete[[#This Row],[Code
(PAP)]],[1]Sheet1!$A:$AO,13,FALSE)</f>
        <v>N/A</v>
      </c>
      <c r="N66" s="393" t="str">
        <f>VLOOKUP(Complete[[#This Row],[Code
(PAP)]],[1]Sheet1!$A:$AO,14,FALSE)</f>
        <v>N/A</v>
      </c>
      <c r="O66" s="393">
        <f>VLOOKUP(Complete[[#This Row],[Code
(PAP)]],[1]Sheet1!$A:$AO,15,FALSE)</f>
        <v>45344</v>
      </c>
      <c r="P66" s="387"/>
      <c r="Q66" s="387"/>
      <c r="R66" s="387"/>
      <c r="S66" s="576" t="str">
        <f>VLOOKUP(Complete[[#This Row],[Code
(PAP)]],[1]Sheet1!$A:$AO,19,FALSE)</f>
        <v>N/A</v>
      </c>
      <c r="T66" s="576">
        <f>VLOOKUP(Complete[[#This Row],[Code
(PAP)]],[1]Sheet1!$A:$AO,20,FALSE)</f>
        <v>45350</v>
      </c>
      <c r="U66" s="576">
        <f>VLOOKUP(Complete[[#This Row],[Code
(PAP)]],[1]Sheet1!$A:$AO,21,FALSE)</f>
        <v>45351</v>
      </c>
      <c r="V66" s="387"/>
      <c r="W66" s="387"/>
      <c r="X66" s="392">
        <f>VLOOKUP(Complete[[#This Row],[Code
(PAP)]],[1]Sheet1!$A:$AO,24,FALSE)</f>
        <v>45357</v>
      </c>
      <c r="Y66" s="392">
        <f>Complete[[#This Row],[Delivery/ Completion]]</f>
        <v>45357</v>
      </c>
      <c r="Z66" s="610" t="s">
        <v>1478</v>
      </c>
      <c r="AA66" s="462">
        <f>Complete[[#This Row],[MOOE]]+Complete[[#This Row],[CO]]</f>
        <v>1830</v>
      </c>
      <c r="AB66" s="466"/>
      <c r="AC66" s="497">
        <v>1830</v>
      </c>
      <c r="AD66" s="498">
        <f>IF(Complete[[#This Row],[Procurement Project]]="","",SUM(Complete[[#This Row],[MOOE2]]+Complete[[#This Row],[CO3]]))</f>
        <v>1830</v>
      </c>
      <c r="AE66" s="501"/>
      <c r="AF66" s="541">
        <v>1830</v>
      </c>
      <c r="AG66" s="400"/>
      <c r="AH66" s="380" t="s">
        <v>1205</v>
      </c>
      <c r="AI66" s="576" t="str">
        <f>VLOOKUP(Complete[[#This Row],[Code
(PAP)]],[1]Sheet1!$A:$AO,35,FALSE)</f>
        <v>N/A</v>
      </c>
      <c r="AJ66" s="576" t="str">
        <f>VLOOKUP(Complete[[#This Row],[Code
(PAP)]],[1]Sheet1!$A:$AO,36,FALSE)</f>
        <v>N/A</v>
      </c>
      <c r="AK66" s="576" t="str">
        <f>VLOOKUP(Complete[[#This Row],[Code
(PAP)]],[1]Sheet1!$A:$AO,37,FALSE)</f>
        <v>N/A</v>
      </c>
      <c r="AL66" s="576" t="str">
        <f>VLOOKUP(Complete[[#This Row],[Code
(PAP)]],[1]Sheet1!$A:$AO,38,FALSE)</f>
        <v>N/A</v>
      </c>
      <c r="AM66" s="576" t="str">
        <f>VLOOKUP(Complete[[#This Row],[Code
(PAP)]],[1]Sheet1!$A:$AO,38,FALSE)</f>
        <v>N/A</v>
      </c>
      <c r="AN66" s="595" t="s">
        <v>713</v>
      </c>
      <c r="AO66" s="303" t="s">
        <v>139</v>
      </c>
      <c r="AP66" s="389"/>
      <c r="AQ66" s="389"/>
    </row>
    <row r="67" spans="1:43" s="224" customFormat="1" ht="75" customHeight="1" x14ac:dyDescent="0.25">
      <c r="A67" s="385" t="s">
        <v>244</v>
      </c>
      <c r="B67" s="406" t="str">
        <f>VLOOKUP(Complete[[#This Row],[Code
(PAP)]],[1]Sheet1!$A:$AO,2,FALSE)</f>
        <v>LUMBER</v>
      </c>
      <c r="C67" s="408" t="str">
        <f>VLOOKUP(Complete[[#This Row],[Code
(PAP)]],[1]Sheet1!$A:$AO,3,FALSE)</f>
        <v>DDOPH-Montevista</v>
      </c>
      <c r="D67" s="380" t="s">
        <v>712</v>
      </c>
      <c r="E67" s="409" t="str">
        <f>VLOOKUP(Complete[[#This Row],[Code
(PAP)]],[2]Sheet1!$A:$AO,5,FALSE)</f>
        <v>NP-53.9 - Small Value Procurement</v>
      </c>
      <c r="F67" s="393" t="str">
        <f>VLOOKUP(Complete[[#This Row],[Code
(PAP)]],[1]Sheet1!$A:$AO,6,FALSE)</f>
        <v>N/A</v>
      </c>
      <c r="G67" s="393">
        <f>VLOOKUP(Complete[[#This Row],[Code
(PAP)]],[1]Sheet1!$A:$AO,7,FALSE)</f>
        <v>45324</v>
      </c>
      <c r="H67" s="374"/>
      <c r="I67" s="394" t="str">
        <f>VLOOKUP(Complete[[#This Row],[Code
(PAP)]],[1]Sheet1!$A:$AO,9,FALSE)</f>
        <v>N/A</v>
      </c>
      <c r="J67" s="393">
        <f>VLOOKUP(Complete[[#This Row],[Code
(PAP)]],[1]Sheet1!$A:$AO,10,FALSE)</f>
        <v>45342</v>
      </c>
      <c r="K67" s="393">
        <f>VLOOKUP(Complete[[#This Row],[Code
(PAP)]],[1]Sheet1!$A:$AO,11,FALSE)</f>
        <v>45342</v>
      </c>
      <c r="L67" s="387"/>
      <c r="M67" s="393" t="str">
        <f>VLOOKUP(Complete[[#This Row],[Code
(PAP)]],[1]Sheet1!$A:$AO,13,FALSE)</f>
        <v>N/A</v>
      </c>
      <c r="N67" s="393" t="str">
        <f>VLOOKUP(Complete[[#This Row],[Code
(PAP)]],[1]Sheet1!$A:$AO,14,FALSE)</f>
        <v>N/A</v>
      </c>
      <c r="O67" s="393">
        <f>VLOOKUP(Complete[[#This Row],[Code
(PAP)]],[1]Sheet1!$A:$AO,15,FALSE)</f>
        <v>45344</v>
      </c>
      <c r="P67" s="387"/>
      <c r="Q67" s="387"/>
      <c r="R67" s="387"/>
      <c r="S67" s="576" t="str">
        <f>VLOOKUP(Complete[[#This Row],[Code
(PAP)]],[1]Sheet1!$A:$AO,19,FALSE)</f>
        <v>N/A</v>
      </c>
      <c r="T67" s="576">
        <f>VLOOKUP(Complete[[#This Row],[Code
(PAP)]],[1]Sheet1!$A:$AO,20,FALSE)</f>
        <v>45363</v>
      </c>
      <c r="U67" s="576">
        <f>VLOOKUP(Complete[[#This Row],[Code
(PAP)]],[1]Sheet1!$A:$AO,21,FALSE)</f>
        <v>45370</v>
      </c>
      <c r="V67" s="387"/>
      <c r="W67" s="387"/>
      <c r="X67" s="392">
        <f>VLOOKUP(Complete[[#This Row],[Code
(PAP)]],[1]Sheet1!$A:$AO,24,FALSE)</f>
        <v>45457</v>
      </c>
      <c r="Y67" s="392">
        <f>Complete[[#This Row],[Delivery/ Completion]]</f>
        <v>45457</v>
      </c>
      <c r="Z67" s="610" t="s">
        <v>1478</v>
      </c>
      <c r="AA67" s="462">
        <f>Complete[[#This Row],[MOOE]]+Complete[[#This Row],[CO]]</f>
        <v>39229.019999999997</v>
      </c>
      <c r="AB67" s="466"/>
      <c r="AC67" s="497">
        <v>39229.019999999997</v>
      </c>
      <c r="AD67" s="498">
        <f>IF(Complete[[#This Row],[Procurement Project]]="","",SUM(Complete[[#This Row],[MOOE2]]+Complete[[#This Row],[CO3]]))</f>
        <v>29213.1</v>
      </c>
      <c r="AE67" s="501"/>
      <c r="AF67" s="541">
        <v>29213.1</v>
      </c>
      <c r="AG67" s="400"/>
      <c r="AH67" s="380" t="s">
        <v>1205</v>
      </c>
      <c r="AI67" s="576" t="str">
        <f>VLOOKUP(Complete[[#This Row],[Code
(PAP)]],[1]Sheet1!$A:$AO,35,FALSE)</f>
        <v>N/A</v>
      </c>
      <c r="AJ67" s="576" t="str">
        <f>VLOOKUP(Complete[[#This Row],[Code
(PAP)]],[1]Sheet1!$A:$AO,36,FALSE)</f>
        <v>N/A</v>
      </c>
      <c r="AK67" s="576" t="str">
        <f>VLOOKUP(Complete[[#This Row],[Code
(PAP)]],[1]Sheet1!$A:$AO,37,FALSE)</f>
        <v>N/A</v>
      </c>
      <c r="AL67" s="576" t="str">
        <f>VLOOKUP(Complete[[#This Row],[Code
(PAP)]],[1]Sheet1!$A:$AO,38,FALSE)</f>
        <v>N/A</v>
      </c>
      <c r="AM67" s="576" t="str">
        <f>VLOOKUP(Complete[[#This Row],[Code
(PAP)]],[1]Sheet1!$A:$AO,38,FALSE)</f>
        <v>N/A</v>
      </c>
      <c r="AN67" s="595" t="s">
        <v>713</v>
      </c>
      <c r="AO67" s="303" t="s">
        <v>139</v>
      </c>
      <c r="AP67" s="389"/>
      <c r="AQ67" s="389"/>
    </row>
    <row r="68" spans="1:43" s="224" customFormat="1" ht="75" customHeight="1" x14ac:dyDescent="0.25">
      <c r="A68" s="385" t="s">
        <v>245</v>
      </c>
      <c r="B68" s="406" t="str">
        <f>VLOOKUP(Complete[[#This Row],[Code
(PAP)]],[1]Sheet1!$A:$AO,2,FALSE)</f>
        <v>LUMBER</v>
      </c>
      <c r="C68" s="408" t="str">
        <f>VLOOKUP(Complete[[#This Row],[Code
(PAP)]],[1]Sheet1!$A:$AO,3,FALSE)</f>
        <v>PGSO</v>
      </c>
      <c r="D68" s="380" t="s">
        <v>712</v>
      </c>
      <c r="E68" s="409" t="str">
        <f>VLOOKUP(Complete[[#This Row],[Code
(PAP)]],[2]Sheet1!$A:$AO,5,FALSE)</f>
        <v>NP-53.9 - Small Value Procurement</v>
      </c>
      <c r="F68" s="393" t="str">
        <f>VLOOKUP(Complete[[#This Row],[Code
(PAP)]],[1]Sheet1!$A:$AO,6,FALSE)</f>
        <v>N/A</v>
      </c>
      <c r="G68" s="393">
        <f>VLOOKUP(Complete[[#This Row],[Code
(PAP)]],[1]Sheet1!$A:$AO,7,FALSE)</f>
        <v>45324</v>
      </c>
      <c r="H68" s="374"/>
      <c r="I68" s="394" t="str">
        <f>VLOOKUP(Complete[[#This Row],[Code
(PAP)]],[1]Sheet1!$A:$AO,9,FALSE)</f>
        <v>N/A</v>
      </c>
      <c r="J68" s="393">
        <f>VLOOKUP(Complete[[#This Row],[Code
(PAP)]],[1]Sheet1!$A:$AO,10,FALSE)</f>
        <v>45342</v>
      </c>
      <c r="K68" s="393">
        <f>VLOOKUP(Complete[[#This Row],[Code
(PAP)]],[1]Sheet1!$A:$AO,11,FALSE)</f>
        <v>45342</v>
      </c>
      <c r="L68" s="387"/>
      <c r="M68" s="393" t="str">
        <f>VLOOKUP(Complete[[#This Row],[Code
(PAP)]],[1]Sheet1!$A:$AO,13,FALSE)</f>
        <v>N/A</v>
      </c>
      <c r="N68" s="393" t="str">
        <f>VLOOKUP(Complete[[#This Row],[Code
(PAP)]],[1]Sheet1!$A:$AO,14,FALSE)</f>
        <v>N/A</v>
      </c>
      <c r="O68" s="393">
        <f>VLOOKUP(Complete[[#This Row],[Code
(PAP)]],[1]Sheet1!$A:$AO,15,FALSE)</f>
        <v>45344</v>
      </c>
      <c r="P68" s="387"/>
      <c r="Q68" s="387"/>
      <c r="R68" s="387"/>
      <c r="S68" s="576" t="str">
        <f>VLOOKUP(Complete[[#This Row],[Code
(PAP)]],[1]Sheet1!$A:$AO,19,FALSE)</f>
        <v>N/A</v>
      </c>
      <c r="T68" s="576">
        <f>VLOOKUP(Complete[[#This Row],[Code
(PAP)]],[1]Sheet1!$A:$AO,20,FALSE)</f>
        <v>45372</v>
      </c>
      <c r="U68" s="576">
        <f>VLOOKUP(Complete[[#This Row],[Code
(PAP)]],[1]Sheet1!$A:$AO,21,FALSE)</f>
        <v>45377</v>
      </c>
      <c r="V68" s="387"/>
      <c r="W68" s="387"/>
      <c r="X68" s="392">
        <v>45429</v>
      </c>
      <c r="Y68" s="392">
        <f>Complete[[#This Row],[Delivery/ Completion]]</f>
        <v>45429</v>
      </c>
      <c r="Z68" s="610" t="s">
        <v>1478</v>
      </c>
      <c r="AA68" s="462">
        <f>Complete[[#This Row],[MOOE]]+Complete[[#This Row],[CO]]</f>
        <v>2240</v>
      </c>
      <c r="AB68" s="466">
        <v>2240</v>
      </c>
      <c r="AC68" s="497"/>
      <c r="AD68" s="498">
        <f>IF(Complete[[#This Row],[Procurement Project]]="","",SUM(Complete[[#This Row],[MOOE2]]+Complete[[#This Row],[CO3]]))</f>
        <v>2240</v>
      </c>
      <c r="AE68" s="501">
        <v>2240</v>
      </c>
      <c r="AF68" s="541"/>
      <c r="AG68" s="400"/>
      <c r="AH68" s="380" t="s">
        <v>1205</v>
      </c>
      <c r="AI68" s="576" t="str">
        <f>VLOOKUP(Complete[[#This Row],[Code
(PAP)]],[1]Sheet1!$A:$AO,35,FALSE)</f>
        <v>N/A</v>
      </c>
      <c r="AJ68" s="576" t="str">
        <f>VLOOKUP(Complete[[#This Row],[Code
(PAP)]],[1]Sheet1!$A:$AO,36,FALSE)</f>
        <v>N/A</v>
      </c>
      <c r="AK68" s="576" t="str">
        <f>VLOOKUP(Complete[[#This Row],[Code
(PAP)]],[1]Sheet1!$A:$AO,37,FALSE)</f>
        <v>N/A</v>
      </c>
      <c r="AL68" s="576" t="str">
        <f>VLOOKUP(Complete[[#This Row],[Code
(PAP)]],[1]Sheet1!$A:$AO,38,FALSE)</f>
        <v>N/A</v>
      </c>
      <c r="AM68" s="576" t="str">
        <f>VLOOKUP(Complete[[#This Row],[Code
(PAP)]],[1]Sheet1!$A:$AO,38,FALSE)</f>
        <v>N/A</v>
      </c>
      <c r="AN68" s="595" t="s">
        <v>713</v>
      </c>
      <c r="AO68" s="303" t="s">
        <v>139</v>
      </c>
      <c r="AP68" s="389"/>
      <c r="AQ68" s="389"/>
    </row>
    <row r="69" spans="1:43" s="224" customFormat="1" ht="75" customHeight="1" x14ac:dyDescent="0.25">
      <c r="A69" s="385" t="s">
        <v>246</v>
      </c>
      <c r="B69" s="406" t="str">
        <f>VLOOKUP(Complete[[#This Row],[Code
(PAP)]],[1]Sheet1!$A:$AO,2,FALSE)</f>
        <v>ELECTRICAL SUPPLIES</v>
      </c>
      <c r="C69" s="408" t="str">
        <f>VLOOKUP(Complete[[#This Row],[Code
(PAP)]],[1]Sheet1!$A:$AO,3,FALSE)</f>
        <v>PHRMDO</v>
      </c>
      <c r="D69" s="380" t="s">
        <v>712</v>
      </c>
      <c r="E69" s="409" t="str">
        <f>VLOOKUP(Complete[[#This Row],[Code
(PAP)]],[2]Sheet1!$A:$AO,5,FALSE)</f>
        <v>NP-53.9 - Small Value Procurement</v>
      </c>
      <c r="F69" s="393" t="str">
        <f>VLOOKUP(Complete[[#This Row],[Code
(PAP)]],[1]Sheet1!$A:$AO,6,FALSE)</f>
        <v>N/A</v>
      </c>
      <c r="G69" s="393">
        <f>VLOOKUP(Complete[[#This Row],[Code
(PAP)]],[1]Sheet1!$A:$AO,7,FALSE)</f>
        <v>45335</v>
      </c>
      <c r="H69" s="374"/>
      <c r="I69" s="394" t="str">
        <f>VLOOKUP(Complete[[#This Row],[Code
(PAP)]],[1]Sheet1!$A:$AO,9,FALSE)</f>
        <v>N/A</v>
      </c>
      <c r="J69" s="393">
        <f>VLOOKUP(Complete[[#This Row],[Code
(PAP)]],[1]Sheet1!$A:$AO,10,FALSE)</f>
        <v>45342</v>
      </c>
      <c r="K69" s="393">
        <f>VLOOKUP(Complete[[#This Row],[Code
(PAP)]],[1]Sheet1!$A:$AO,11,FALSE)</f>
        <v>45342</v>
      </c>
      <c r="L69" s="387"/>
      <c r="M69" s="393" t="str">
        <f>VLOOKUP(Complete[[#This Row],[Code
(PAP)]],[1]Sheet1!$A:$AO,13,FALSE)</f>
        <v>N/A</v>
      </c>
      <c r="N69" s="393" t="str">
        <f>VLOOKUP(Complete[[#This Row],[Code
(PAP)]],[1]Sheet1!$A:$AO,14,FALSE)</f>
        <v>N/A</v>
      </c>
      <c r="O69" s="393">
        <f>VLOOKUP(Complete[[#This Row],[Code
(PAP)]],[1]Sheet1!$A:$AO,15,FALSE)</f>
        <v>45344</v>
      </c>
      <c r="P69" s="387"/>
      <c r="Q69" s="387"/>
      <c r="R69" s="387"/>
      <c r="S69" s="576">
        <f>VLOOKUP(Complete[[#This Row],[Code
(PAP)]],[1]Sheet1!$A:$AO,19,FALSE)</f>
        <v>45348</v>
      </c>
      <c r="T69" s="576">
        <f>VLOOKUP(Complete[[#This Row],[Code
(PAP)]],[1]Sheet1!$A:$AO,20,FALSE)</f>
        <v>45351</v>
      </c>
      <c r="U69" s="576">
        <f>VLOOKUP(Complete[[#This Row],[Code
(PAP)]],[1]Sheet1!$A:$AO,21,FALSE)</f>
        <v>45352</v>
      </c>
      <c r="V69" s="387"/>
      <c r="W69" s="387"/>
      <c r="X69" s="392">
        <f>VLOOKUP(Complete[[#This Row],[Code
(PAP)]],[1]Sheet1!$A:$AO,24,FALSE)</f>
        <v>45357</v>
      </c>
      <c r="Y69" s="392">
        <f>Complete[[#This Row],[Delivery/ Completion]]</f>
        <v>45357</v>
      </c>
      <c r="Z69" s="610" t="s">
        <v>1478</v>
      </c>
      <c r="AA69" s="462">
        <f>Complete[[#This Row],[MOOE]]+Complete[[#This Row],[CO]]</f>
        <v>121224</v>
      </c>
      <c r="AB69" s="466">
        <v>121224</v>
      </c>
      <c r="AC69" s="497"/>
      <c r="AD69" s="498">
        <f>IF(Complete[[#This Row],[Procurement Project]]="","",SUM(Complete[[#This Row],[MOOE2]]+Complete[[#This Row],[CO3]]))</f>
        <v>120202.5</v>
      </c>
      <c r="AE69" s="501">
        <v>120202.5</v>
      </c>
      <c r="AF69" s="541"/>
      <c r="AG69" s="400"/>
      <c r="AH69" s="380" t="s">
        <v>1205</v>
      </c>
      <c r="AI69" s="576" t="str">
        <f>VLOOKUP(Complete[[#This Row],[Code
(PAP)]],[1]Sheet1!$A:$AO,35,FALSE)</f>
        <v>N/A</v>
      </c>
      <c r="AJ69" s="576" t="str">
        <f>VLOOKUP(Complete[[#This Row],[Code
(PAP)]],[1]Sheet1!$A:$AO,36,FALSE)</f>
        <v>N/A</v>
      </c>
      <c r="AK69" s="576" t="str">
        <f>VLOOKUP(Complete[[#This Row],[Code
(PAP)]],[1]Sheet1!$A:$AO,37,FALSE)</f>
        <v>N/A</v>
      </c>
      <c r="AL69" s="576" t="str">
        <f>VLOOKUP(Complete[[#This Row],[Code
(PAP)]],[1]Sheet1!$A:$AO,38,FALSE)</f>
        <v>N/A</v>
      </c>
      <c r="AM69" s="576" t="str">
        <f>VLOOKUP(Complete[[#This Row],[Code
(PAP)]],[1]Sheet1!$A:$AO,38,FALSE)</f>
        <v>N/A</v>
      </c>
      <c r="AN69" s="595" t="s">
        <v>713</v>
      </c>
      <c r="AO69" s="303" t="s">
        <v>139</v>
      </c>
      <c r="AP69" s="389"/>
      <c r="AQ69" s="389"/>
    </row>
    <row r="70" spans="1:43" s="224" customFormat="1" ht="75" customHeight="1" x14ac:dyDescent="0.25">
      <c r="A70" s="385" t="s">
        <v>247</v>
      </c>
      <c r="B70" s="406" t="str">
        <f>VLOOKUP(Complete[[#This Row],[Code
(PAP)]],[1]Sheet1!$A:$AO,2,FALSE)</f>
        <v>LUMBER</v>
      </c>
      <c r="C70" s="408" t="str">
        <f>VLOOKUP(Complete[[#This Row],[Code
(PAP)]],[1]Sheet1!$A:$AO,3,FALSE)</f>
        <v>PHRMDO</v>
      </c>
      <c r="D70" s="380" t="s">
        <v>712</v>
      </c>
      <c r="E70" s="409" t="str">
        <f>VLOOKUP(Complete[[#This Row],[Code
(PAP)]],[2]Sheet1!$A:$AO,5,FALSE)</f>
        <v>NP-53.9 - Small Value Procurement</v>
      </c>
      <c r="F70" s="393">
        <f>VLOOKUP(Complete[[#This Row],[Code
(PAP)]],[1]Sheet1!$A:$AO,6,FALSE)</f>
        <v>45322</v>
      </c>
      <c r="G70" s="393">
        <f>VLOOKUP(Complete[[#This Row],[Code
(PAP)]],[1]Sheet1!$A:$AO,7,FALSE)</f>
        <v>45324</v>
      </c>
      <c r="H70" s="374"/>
      <c r="I70" s="394" t="str">
        <f>VLOOKUP(Complete[[#This Row],[Code
(PAP)]],[1]Sheet1!$A:$AO,9,FALSE)</f>
        <v>N/A</v>
      </c>
      <c r="J70" s="393">
        <f>VLOOKUP(Complete[[#This Row],[Code
(PAP)]],[1]Sheet1!$A:$AO,10,FALSE)</f>
        <v>45342</v>
      </c>
      <c r="K70" s="393">
        <f>VLOOKUP(Complete[[#This Row],[Code
(PAP)]],[1]Sheet1!$A:$AO,11,FALSE)</f>
        <v>45342</v>
      </c>
      <c r="L70" s="387"/>
      <c r="M70" s="393" t="str">
        <f>VLOOKUP(Complete[[#This Row],[Code
(PAP)]],[1]Sheet1!$A:$AO,13,FALSE)</f>
        <v>N/A</v>
      </c>
      <c r="N70" s="393" t="str">
        <f>VLOOKUP(Complete[[#This Row],[Code
(PAP)]],[1]Sheet1!$A:$AO,14,FALSE)</f>
        <v>N/A</v>
      </c>
      <c r="O70" s="393">
        <f>VLOOKUP(Complete[[#This Row],[Code
(PAP)]],[1]Sheet1!$A:$AO,15,FALSE)</f>
        <v>45344</v>
      </c>
      <c r="P70" s="387"/>
      <c r="Q70" s="387"/>
      <c r="R70" s="387"/>
      <c r="S70" s="576" t="str">
        <f>VLOOKUP(Complete[[#This Row],[Code
(PAP)]],[1]Sheet1!$A:$AO,19,FALSE)</f>
        <v>N/A</v>
      </c>
      <c r="T70" s="576">
        <f>VLOOKUP(Complete[[#This Row],[Code
(PAP)]],[1]Sheet1!$A:$AO,20,FALSE)</f>
        <v>45350</v>
      </c>
      <c r="U70" s="576">
        <f>VLOOKUP(Complete[[#This Row],[Code
(PAP)]],[1]Sheet1!$A:$AO,21,FALSE)</f>
        <v>45350</v>
      </c>
      <c r="V70" s="387"/>
      <c r="W70" s="387"/>
      <c r="X70" s="392">
        <f>VLOOKUP(Complete[[#This Row],[Code
(PAP)]],[1]Sheet1!$A:$AO,24,FALSE)</f>
        <v>45352</v>
      </c>
      <c r="Y70" s="392">
        <f>Complete[[#This Row],[Delivery/ Completion]]</f>
        <v>45352</v>
      </c>
      <c r="Z70" s="610" t="s">
        <v>1478</v>
      </c>
      <c r="AA70" s="462">
        <f>Complete[[#This Row],[MOOE]]+Complete[[#This Row],[CO]]</f>
        <v>12840</v>
      </c>
      <c r="AB70" s="466"/>
      <c r="AC70" s="497">
        <v>12840</v>
      </c>
      <c r="AD70" s="498">
        <f>IF(Complete[[#This Row],[Procurement Project]]="","",SUM(Complete[[#This Row],[MOOE2]]+Complete[[#This Row],[CO3]]))</f>
        <v>12840</v>
      </c>
      <c r="AE70" s="501"/>
      <c r="AF70" s="541">
        <v>12840</v>
      </c>
      <c r="AG70" s="400"/>
      <c r="AH70" s="380" t="s">
        <v>1205</v>
      </c>
      <c r="AI70" s="576" t="str">
        <f>VLOOKUP(Complete[[#This Row],[Code
(PAP)]],[1]Sheet1!$A:$AO,35,FALSE)</f>
        <v>N/A</v>
      </c>
      <c r="AJ70" s="576" t="str">
        <f>VLOOKUP(Complete[[#This Row],[Code
(PAP)]],[1]Sheet1!$A:$AO,36,FALSE)</f>
        <v>N/A</v>
      </c>
      <c r="AK70" s="576" t="str">
        <f>VLOOKUP(Complete[[#This Row],[Code
(PAP)]],[1]Sheet1!$A:$AO,37,FALSE)</f>
        <v>N/A</v>
      </c>
      <c r="AL70" s="576" t="str">
        <f>VLOOKUP(Complete[[#This Row],[Code
(PAP)]],[1]Sheet1!$A:$AO,38,FALSE)</f>
        <v>N/A</v>
      </c>
      <c r="AM70" s="576" t="str">
        <f>VLOOKUP(Complete[[#This Row],[Code
(PAP)]],[1]Sheet1!$A:$AO,38,FALSE)</f>
        <v>N/A</v>
      </c>
      <c r="AN70" s="595" t="s">
        <v>713</v>
      </c>
      <c r="AO70" s="303" t="s">
        <v>139</v>
      </c>
      <c r="AP70" s="389"/>
      <c r="AQ70" s="389"/>
    </row>
    <row r="71" spans="1:43" s="224" customFormat="1" ht="75" customHeight="1" x14ac:dyDescent="0.25">
      <c r="A71" s="385" t="s">
        <v>248</v>
      </c>
      <c r="B71" s="406" t="str">
        <f>VLOOKUP(Complete[[#This Row],[Code
(PAP)]],[1]Sheet1!$A:$AO,2,FALSE)</f>
        <v>JANITORIAL SUPPLIES/HOUSEKEEPING</v>
      </c>
      <c r="C71" s="408" t="str">
        <f>VLOOKUP(Complete[[#This Row],[Code
(PAP)]],[1]Sheet1!$A:$AO,3,FALSE)</f>
        <v>PHRMDO</v>
      </c>
      <c r="D71" s="380" t="s">
        <v>712</v>
      </c>
      <c r="E71" s="409" t="str">
        <f>VLOOKUP(Complete[[#This Row],[Code
(PAP)]],[2]Sheet1!$A:$AO,5,FALSE)</f>
        <v>NP-53.9 - Small Value Procurement</v>
      </c>
      <c r="F71" s="393" t="str">
        <f>VLOOKUP(Complete[[#This Row],[Code
(PAP)]],[1]Sheet1!$A:$AO,6,FALSE)</f>
        <v>N/A</v>
      </c>
      <c r="G71" s="393">
        <f>VLOOKUP(Complete[[#This Row],[Code
(PAP)]],[1]Sheet1!$A:$AO,7,FALSE)</f>
        <v>45335</v>
      </c>
      <c r="H71" s="374"/>
      <c r="I71" s="394" t="str">
        <f>VLOOKUP(Complete[[#This Row],[Code
(PAP)]],[1]Sheet1!$A:$AO,9,FALSE)</f>
        <v>N/A</v>
      </c>
      <c r="J71" s="393">
        <f>VLOOKUP(Complete[[#This Row],[Code
(PAP)]],[1]Sheet1!$A:$AO,10,FALSE)</f>
        <v>45342</v>
      </c>
      <c r="K71" s="393">
        <f>VLOOKUP(Complete[[#This Row],[Code
(PAP)]],[1]Sheet1!$A:$AO,11,FALSE)</f>
        <v>45342</v>
      </c>
      <c r="L71" s="387"/>
      <c r="M71" s="393" t="str">
        <f>VLOOKUP(Complete[[#This Row],[Code
(PAP)]],[1]Sheet1!$A:$AO,13,FALSE)</f>
        <v>N/A</v>
      </c>
      <c r="N71" s="393" t="str">
        <f>VLOOKUP(Complete[[#This Row],[Code
(PAP)]],[1]Sheet1!$A:$AO,14,FALSE)</f>
        <v>N/A</v>
      </c>
      <c r="O71" s="393">
        <f>VLOOKUP(Complete[[#This Row],[Code
(PAP)]],[1]Sheet1!$A:$AO,15,FALSE)</f>
        <v>45344</v>
      </c>
      <c r="P71" s="387"/>
      <c r="Q71" s="387"/>
      <c r="R71" s="387"/>
      <c r="S71" s="576" t="str">
        <f>VLOOKUP(Complete[[#This Row],[Code
(PAP)]],[1]Sheet1!$A:$AO,19,FALSE)</f>
        <v>N/A</v>
      </c>
      <c r="T71" s="576">
        <f>VLOOKUP(Complete[[#This Row],[Code
(PAP)]],[1]Sheet1!$A:$AO,20,FALSE)</f>
        <v>45351</v>
      </c>
      <c r="U71" s="576">
        <f>VLOOKUP(Complete[[#This Row],[Code
(PAP)]],[1]Sheet1!$A:$AO,21,FALSE)</f>
        <v>45352</v>
      </c>
      <c r="V71" s="387"/>
      <c r="W71" s="387"/>
      <c r="X71" s="392">
        <f>VLOOKUP(Complete[[#This Row],[Code
(PAP)]],[1]Sheet1!$A:$AO,24,FALSE)</f>
        <v>45362</v>
      </c>
      <c r="Y71" s="392">
        <f>Complete[[#This Row],[Delivery/ Completion]]</f>
        <v>45362</v>
      </c>
      <c r="Z71" s="610" t="s">
        <v>1478</v>
      </c>
      <c r="AA71" s="462">
        <f>Complete[[#This Row],[MOOE]]+Complete[[#This Row],[CO]]</f>
        <v>45835</v>
      </c>
      <c r="AB71" s="466">
        <v>45835</v>
      </c>
      <c r="AC71" s="497"/>
      <c r="AD71" s="498">
        <f>IF(Complete[[#This Row],[Procurement Project]]="","",SUM(Complete[[#This Row],[MOOE2]]+Complete[[#This Row],[CO3]]))</f>
        <v>44385</v>
      </c>
      <c r="AE71" s="501">
        <v>44385</v>
      </c>
      <c r="AF71" s="541"/>
      <c r="AG71" s="400"/>
      <c r="AH71" s="380" t="s">
        <v>1205</v>
      </c>
      <c r="AI71" s="576" t="str">
        <f>VLOOKUP(Complete[[#This Row],[Code
(PAP)]],[1]Sheet1!$A:$AO,35,FALSE)</f>
        <v>N/A</v>
      </c>
      <c r="AJ71" s="576" t="str">
        <f>VLOOKUP(Complete[[#This Row],[Code
(PAP)]],[1]Sheet1!$A:$AO,36,FALSE)</f>
        <v>N/A</v>
      </c>
      <c r="AK71" s="576" t="str">
        <f>VLOOKUP(Complete[[#This Row],[Code
(PAP)]],[1]Sheet1!$A:$AO,37,FALSE)</f>
        <v>N/A</v>
      </c>
      <c r="AL71" s="576" t="str">
        <f>VLOOKUP(Complete[[#This Row],[Code
(PAP)]],[1]Sheet1!$A:$AO,38,FALSE)</f>
        <v>N/A</v>
      </c>
      <c r="AM71" s="576" t="str">
        <f>VLOOKUP(Complete[[#This Row],[Code
(PAP)]],[1]Sheet1!$A:$AO,38,FALSE)</f>
        <v>N/A</v>
      </c>
      <c r="AN71" s="595" t="s">
        <v>713</v>
      </c>
      <c r="AO71" s="303" t="s">
        <v>139</v>
      </c>
      <c r="AP71" s="389"/>
      <c r="AQ71" s="389"/>
    </row>
    <row r="72" spans="1:43" s="224" customFormat="1" ht="75" customHeight="1" x14ac:dyDescent="0.25">
      <c r="A72" s="385" t="s">
        <v>249</v>
      </c>
      <c r="B72" s="406" t="str">
        <f>VLOOKUP(Complete[[#This Row],[Code
(PAP)]],[1]Sheet1!$A:$AO,2,FALSE)</f>
        <v>OFFICE EQUIPMENT</v>
      </c>
      <c r="C72" s="408" t="str">
        <f>VLOOKUP(Complete[[#This Row],[Code
(PAP)]],[1]Sheet1!$A:$AO,3,FALSE)</f>
        <v>PGO</v>
      </c>
      <c r="D72" s="380" t="s">
        <v>712</v>
      </c>
      <c r="E72" s="409" t="str">
        <f>VLOOKUP(Complete[[#This Row],[Code
(PAP)]],[2]Sheet1!$A:$AO,5,FALSE)</f>
        <v>NP-53.9 - Small Value Procurement</v>
      </c>
      <c r="F72" s="393" t="str">
        <f>VLOOKUP(Complete[[#This Row],[Code
(PAP)]],[1]Sheet1!$A:$AO,6,FALSE)</f>
        <v>N/A</v>
      </c>
      <c r="G72" s="393">
        <f>VLOOKUP(Complete[[#This Row],[Code
(PAP)]],[1]Sheet1!$A:$AO,7,FALSE)</f>
        <v>45324</v>
      </c>
      <c r="H72" s="374"/>
      <c r="I72" s="394" t="str">
        <f>VLOOKUP(Complete[[#This Row],[Code
(PAP)]],[1]Sheet1!$A:$AO,9,FALSE)</f>
        <v>N/A</v>
      </c>
      <c r="J72" s="393">
        <f>VLOOKUP(Complete[[#This Row],[Code
(PAP)]],[1]Sheet1!$A:$AO,10,FALSE)</f>
        <v>45342</v>
      </c>
      <c r="K72" s="393">
        <f>VLOOKUP(Complete[[#This Row],[Code
(PAP)]],[1]Sheet1!$A:$AO,11,FALSE)</f>
        <v>45342</v>
      </c>
      <c r="L72" s="387"/>
      <c r="M72" s="393" t="str">
        <f>VLOOKUP(Complete[[#This Row],[Code
(PAP)]],[1]Sheet1!$A:$AO,13,FALSE)</f>
        <v>N/A</v>
      </c>
      <c r="N72" s="393" t="str">
        <f>VLOOKUP(Complete[[#This Row],[Code
(PAP)]],[1]Sheet1!$A:$AO,14,FALSE)</f>
        <v>N/A</v>
      </c>
      <c r="O72" s="393">
        <f>VLOOKUP(Complete[[#This Row],[Code
(PAP)]],[1]Sheet1!$A:$AO,15,FALSE)</f>
        <v>45344</v>
      </c>
      <c r="P72" s="387"/>
      <c r="Q72" s="387"/>
      <c r="R72" s="387"/>
      <c r="S72" s="576">
        <f>VLOOKUP(Complete[[#This Row],[Code
(PAP)]],[1]Sheet1!$A:$AO,19,FALSE)</f>
        <v>45348</v>
      </c>
      <c r="T72" s="576">
        <f>VLOOKUP(Complete[[#This Row],[Code
(PAP)]],[1]Sheet1!$A:$AO,20,FALSE)</f>
        <v>45351</v>
      </c>
      <c r="U72" s="576">
        <f>VLOOKUP(Complete[[#This Row],[Code
(PAP)]],[1]Sheet1!$A:$AO,21,FALSE)</f>
        <v>45355</v>
      </c>
      <c r="V72" s="387"/>
      <c r="W72" s="387"/>
      <c r="X72" s="392">
        <f>VLOOKUP(Complete[[#This Row],[Code
(PAP)]],[1]Sheet1!$A:$AO,24,FALSE)</f>
        <v>45376</v>
      </c>
      <c r="Y72" s="392">
        <f>Complete[[#This Row],[Delivery/ Completion]]</f>
        <v>45376</v>
      </c>
      <c r="Z72" s="610" t="s">
        <v>1478</v>
      </c>
      <c r="AA72" s="462">
        <f>Complete[[#This Row],[MOOE]]+Complete[[#This Row],[CO]]</f>
        <v>82500</v>
      </c>
      <c r="AB72" s="466"/>
      <c r="AC72" s="497">
        <v>82500</v>
      </c>
      <c r="AD72" s="498">
        <f>IF(Complete[[#This Row],[Procurement Project]]="","",SUM(Complete[[#This Row],[MOOE2]]+Complete[[#This Row],[CO3]]))</f>
        <v>53900</v>
      </c>
      <c r="AE72" s="501"/>
      <c r="AF72" s="541">
        <v>53900</v>
      </c>
      <c r="AG72" s="400"/>
      <c r="AH72" s="380" t="s">
        <v>1205</v>
      </c>
      <c r="AI72" s="576" t="str">
        <f>VLOOKUP(Complete[[#This Row],[Code
(PAP)]],[1]Sheet1!$A:$AO,35,FALSE)</f>
        <v>N/A</v>
      </c>
      <c r="AJ72" s="576" t="str">
        <f>VLOOKUP(Complete[[#This Row],[Code
(PAP)]],[1]Sheet1!$A:$AO,36,FALSE)</f>
        <v>N/A</v>
      </c>
      <c r="AK72" s="576" t="str">
        <f>VLOOKUP(Complete[[#This Row],[Code
(PAP)]],[1]Sheet1!$A:$AO,37,FALSE)</f>
        <v>N/A</v>
      </c>
      <c r="AL72" s="576" t="str">
        <f>VLOOKUP(Complete[[#This Row],[Code
(PAP)]],[1]Sheet1!$A:$AO,38,FALSE)</f>
        <v>N/A</v>
      </c>
      <c r="AM72" s="576" t="str">
        <f>VLOOKUP(Complete[[#This Row],[Code
(PAP)]],[1]Sheet1!$A:$AO,38,FALSE)</f>
        <v>N/A</v>
      </c>
      <c r="AN72" s="595" t="s">
        <v>713</v>
      </c>
      <c r="AO72" s="303" t="s">
        <v>139</v>
      </c>
      <c r="AP72" s="389"/>
      <c r="AQ72" s="389"/>
    </row>
    <row r="73" spans="1:43" s="224" customFormat="1" ht="75" customHeight="1" x14ac:dyDescent="0.25">
      <c r="A73" s="385" t="s">
        <v>250</v>
      </c>
      <c r="B73" s="406" t="str">
        <f>VLOOKUP(Complete[[#This Row],[Code
(PAP)]],[1]Sheet1!$A:$AO,2,FALSE)</f>
        <v>FOOD/CATERING SERVICES</v>
      </c>
      <c r="C73" s="408" t="str">
        <f>VLOOKUP(Complete[[#This Row],[Code
(PAP)]],[1]Sheet1!$A:$AO,3,FALSE)</f>
        <v>PGO</v>
      </c>
      <c r="D73" s="380" t="s">
        <v>712</v>
      </c>
      <c r="E73" s="409" t="str">
        <f>VLOOKUP(Complete[[#This Row],[Code
(PAP)]],[2]Sheet1!$A:$AO,5,FALSE)</f>
        <v>NP-53.9 - Small Value Procurement</v>
      </c>
      <c r="F73" s="393" t="str">
        <f>VLOOKUP(Complete[[#This Row],[Code
(PAP)]],[1]Sheet1!$A:$AO,6,FALSE)</f>
        <v>N/A</v>
      </c>
      <c r="G73" s="393">
        <f>VLOOKUP(Complete[[#This Row],[Code
(PAP)]],[1]Sheet1!$A:$AO,7,FALSE)</f>
        <v>45335</v>
      </c>
      <c r="H73" s="374"/>
      <c r="I73" s="394" t="str">
        <f>VLOOKUP(Complete[[#This Row],[Code
(PAP)]],[1]Sheet1!$A:$AO,9,FALSE)</f>
        <v>N/A</v>
      </c>
      <c r="J73" s="393">
        <f>VLOOKUP(Complete[[#This Row],[Code
(PAP)]],[1]Sheet1!$A:$AO,10,FALSE)</f>
        <v>45342</v>
      </c>
      <c r="K73" s="393">
        <f>VLOOKUP(Complete[[#This Row],[Code
(PAP)]],[1]Sheet1!$A:$AO,11,FALSE)</f>
        <v>45342</v>
      </c>
      <c r="L73" s="387"/>
      <c r="M73" s="393" t="str">
        <f>VLOOKUP(Complete[[#This Row],[Code
(PAP)]],[1]Sheet1!$A:$AO,13,FALSE)</f>
        <v>N/A</v>
      </c>
      <c r="N73" s="393" t="str">
        <f>VLOOKUP(Complete[[#This Row],[Code
(PAP)]],[1]Sheet1!$A:$AO,14,FALSE)</f>
        <v>N/A</v>
      </c>
      <c r="O73" s="393">
        <f>VLOOKUP(Complete[[#This Row],[Code
(PAP)]],[1]Sheet1!$A:$AO,15,FALSE)</f>
        <v>45344</v>
      </c>
      <c r="P73" s="387"/>
      <c r="Q73" s="387"/>
      <c r="R73" s="387"/>
      <c r="S73" s="576">
        <f>VLOOKUP(Complete[[#This Row],[Code
(PAP)]],[1]Sheet1!$A:$AO,19,FALSE)</f>
        <v>45350</v>
      </c>
      <c r="T73" s="576">
        <f>VLOOKUP(Complete[[#This Row],[Code
(PAP)]],[1]Sheet1!$A:$AO,20,FALSE)</f>
        <v>45351</v>
      </c>
      <c r="U73" s="576">
        <f>VLOOKUP(Complete[[#This Row],[Code
(PAP)]],[1]Sheet1!$A:$AO,21,FALSE)</f>
        <v>45352</v>
      </c>
      <c r="V73" s="387"/>
      <c r="W73" s="387"/>
      <c r="X73" s="392">
        <f>VLOOKUP(Complete[[#This Row],[Code
(PAP)]],[1]Sheet1!$A:$AO,24,FALSE)</f>
        <v>45359</v>
      </c>
      <c r="Y73" s="392">
        <f>Complete[[#This Row],[Delivery/ Completion]]</f>
        <v>45359</v>
      </c>
      <c r="Z73" s="610" t="s">
        <v>1478</v>
      </c>
      <c r="AA73" s="462">
        <f>Complete[[#This Row],[MOOE]]+Complete[[#This Row],[CO]]</f>
        <v>142000</v>
      </c>
      <c r="AB73" s="466"/>
      <c r="AC73" s="497">
        <v>142000</v>
      </c>
      <c r="AD73" s="498">
        <f>IF(Complete[[#This Row],[Procurement Project]]="","",SUM(Complete[[#This Row],[MOOE2]]+Complete[[#This Row],[CO3]]))</f>
        <v>141900</v>
      </c>
      <c r="AE73" s="501"/>
      <c r="AF73" s="541">
        <v>141900</v>
      </c>
      <c r="AG73" s="400"/>
      <c r="AH73" s="380" t="s">
        <v>1205</v>
      </c>
      <c r="AI73" s="576" t="str">
        <f>VLOOKUP(Complete[[#This Row],[Code
(PAP)]],[1]Sheet1!$A:$AO,35,FALSE)</f>
        <v>N/A</v>
      </c>
      <c r="AJ73" s="576" t="str">
        <f>VLOOKUP(Complete[[#This Row],[Code
(PAP)]],[1]Sheet1!$A:$AO,36,FALSE)</f>
        <v>N/A</v>
      </c>
      <c r="AK73" s="576" t="str">
        <f>VLOOKUP(Complete[[#This Row],[Code
(PAP)]],[1]Sheet1!$A:$AO,37,FALSE)</f>
        <v>N/A</v>
      </c>
      <c r="AL73" s="576" t="str">
        <f>VLOOKUP(Complete[[#This Row],[Code
(PAP)]],[1]Sheet1!$A:$AO,38,FALSE)</f>
        <v>N/A</v>
      </c>
      <c r="AM73" s="576" t="str">
        <f>VLOOKUP(Complete[[#This Row],[Code
(PAP)]],[1]Sheet1!$A:$AO,38,FALSE)</f>
        <v>N/A</v>
      </c>
      <c r="AN73" s="595" t="s">
        <v>713</v>
      </c>
      <c r="AO73" s="303" t="s">
        <v>139</v>
      </c>
      <c r="AP73" s="389"/>
      <c r="AQ73" s="389"/>
    </row>
    <row r="74" spans="1:43" s="224" customFormat="1" ht="75" customHeight="1" x14ac:dyDescent="0.25">
      <c r="A74" s="385" t="s">
        <v>251</v>
      </c>
      <c r="B74" s="406" t="str">
        <f>VLOOKUP(Complete[[#This Row],[Code
(PAP)]],[1]Sheet1!$A:$AO,2,FALSE)</f>
        <v>COMPUTER SERVICES</v>
      </c>
      <c r="C74" s="408" t="str">
        <f>VLOOKUP(Complete[[#This Row],[Code
(PAP)]],[1]Sheet1!$A:$AO,3,FALSE)</f>
        <v>PBO</v>
      </c>
      <c r="D74" s="380" t="s">
        <v>712</v>
      </c>
      <c r="E74" s="409" t="str">
        <f>VLOOKUP(Complete[[#This Row],[Code
(PAP)]],[2]Sheet1!$A:$AO,5,FALSE)</f>
        <v>NP-53.9 - Small Value Procurement</v>
      </c>
      <c r="F74" s="393" t="str">
        <f>VLOOKUP(Complete[[#This Row],[Code
(PAP)]],[1]Sheet1!$A:$AO,6,FALSE)</f>
        <v>N/A</v>
      </c>
      <c r="G74" s="393">
        <f>VLOOKUP(Complete[[#This Row],[Code
(PAP)]],[1]Sheet1!$A:$AO,7,FALSE)</f>
        <v>45324</v>
      </c>
      <c r="H74" s="374"/>
      <c r="I74" s="394" t="str">
        <f>VLOOKUP(Complete[[#This Row],[Code
(PAP)]],[1]Sheet1!$A:$AO,9,FALSE)</f>
        <v>N/A</v>
      </c>
      <c r="J74" s="393">
        <f>VLOOKUP(Complete[[#This Row],[Code
(PAP)]],[1]Sheet1!$A:$AO,10,FALSE)</f>
        <v>45342</v>
      </c>
      <c r="K74" s="393">
        <f>VLOOKUP(Complete[[#This Row],[Code
(PAP)]],[1]Sheet1!$A:$AO,11,FALSE)</f>
        <v>45342</v>
      </c>
      <c r="L74" s="387"/>
      <c r="M74" s="393" t="str">
        <f>VLOOKUP(Complete[[#This Row],[Code
(PAP)]],[1]Sheet1!$A:$AO,13,FALSE)</f>
        <v>N/A</v>
      </c>
      <c r="N74" s="393" t="str">
        <f>VLOOKUP(Complete[[#This Row],[Code
(PAP)]],[1]Sheet1!$A:$AO,14,FALSE)</f>
        <v>N/A</v>
      </c>
      <c r="O74" s="393">
        <f>VLOOKUP(Complete[[#This Row],[Code
(PAP)]],[1]Sheet1!$A:$AO,15,FALSE)</f>
        <v>45344</v>
      </c>
      <c r="P74" s="387"/>
      <c r="Q74" s="387"/>
      <c r="R74" s="387"/>
      <c r="S74" s="576">
        <f>VLOOKUP(Complete[[#This Row],[Code
(PAP)]],[1]Sheet1!$A:$AO,19,FALSE)</f>
        <v>45348</v>
      </c>
      <c r="T74" s="576">
        <f>VLOOKUP(Complete[[#This Row],[Code
(PAP)]],[1]Sheet1!$A:$AO,20,FALSE)</f>
        <v>45351</v>
      </c>
      <c r="U74" s="576">
        <f>VLOOKUP(Complete[[#This Row],[Code
(PAP)]],[1]Sheet1!$A:$AO,21,FALSE)</f>
        <v>45352</v>
      </c>
      <c r="V74" s="387"/>
      <c r="W74" s="387"/>
      <c r="X74" s="392">
        <f>VLOOKUP(Complete[[#This Row],[Code
(PAP)]],[1]Sheet1!$A:$AO,24,FALSE)</f>
        <v>45362</v>
      </c>
      <c r="Y74" s="392">
        <f>Complete[[#This Row],[Delivery/ Completion]]</f>
        <v>45362</v>
      </c>
      <c r="Z74" s="610" t="s">
        <v>1478</v>
      </c>
      <c r="AA74" s="462">
        <f>Complete[[#This Row],[MOOE]]+Complete[[#This Row],[CO]]</f>
        <v>63619</v>
      </c>
      <c r="AB74" s="466">
        <v>63619</v>
      </c>
      <c r="AC74" s="497"/>
      <c r="AD74" s="498">
        <f>IF(Complete[[#This Row],[Procurement Project]]="","",SUM(Complete[[#This Row],[MOOE2]]+Complete[[#This Row],[CO3]]))</f>
        <v>63300</v>
      </c>
      <c r="AE74" s="501">
        <v>63300</v>
      </c>
      <c r="AF74" s="541"/>
      <c r="AG74" s="400"/>
      <c r="AH74" s="380" t="s">
        <v>1205</v>
      </c>
      <c r="AI74" s="576" t="str">
        <f>VLOOKUP(Complete[[#This Row],[Code
(PAP)]],[1]Sheet1!$A:$AO,35,FALSE)</f>
        <v>N/A</v>
      </c>
      <c r="AJ74" s="576" t="str">
        <f>VLOOKUP(Complete[[#This Row],[Code
(PAP)]],[1]Sheet1!$A:$AO,36,FALSE)</f>
        <v>N/A</v>
      </c>
      <c r="AK74" s="576" t="str">
        <f>VLOOKUP(Complete[[#This Row],[Code
(PAP)]],[1]Sheet1!$A:$AO,37,FALSE)</f>
        <v>N/A</v>
      </c>
      <c r="AL74" s="576" t="str">
        <f>VLOOKUP(Complete[[#This Row],[Code
(PAP)]],[1]Sheet1!$A:$AO,38,FALSE)</f>
        <v>N/A</v>
      </c>
      <c r="AM74" s="576" t="str">
        <f>VLOOKUP(Complete[[#This Row],[Code
(PAP)]],[1]Sheet1!$A:$AO,38,FALSE)</f>
        <v>N/A</v>
      </c>
      <c r="AN74" s="595" t="s">
        <v>713</v>
      </c>
      <c r="AO74" s="303" t="s">
        <v>139</v>
      </c>
      <c r="AP74" s="389"/>
      <c r="AQ74" s="389"/>
    </row>
    <row r="75" spans="1:43" s="224" customFormat="1" ht="75" customHeight="1" x14ac:dyDescent="0.25">
      <c r="A75" s="385" t="s">
        <v>252</v>
      </c>
      <c r="B75" s="406" t="str">
        <f>VLOOKUP(Complete[[#This Row],[Code
(PAP)]],[1]Sheet1!$A:$AO,2,FALSE)</f>
        <v>OFFICE EQUIPMENT</v>
      </c>
      <c r="C75" s="408" t="str">
        <f>VLOOKUP(Complete[[#This Row],[Code
(PAP)]],[1]Sheet1!$A:$AO,3,FALSE)</f>
        <v>PACCO</v>
      </c>
      <c r="D75" s="380" t="s">
        <v>712</v>
      </c>
      <c r="E75" s="409" t="str">
        <f>VLOOKUP(Complete[[#This Row],[Code
(PAP)]],[2]Sheet1!$A:$AO,5,FALSE)</f>
        <v>NP-53.9 - Small Value Procurement</v>
      </c>
      <c r="F75" s="393" t="str">
        <f>VLOOKUP(Complete[[#This Row],[Code
(PAP)]],[1]Sheet1!$A:$AO,6,FALSE)</f>
        <v>N/A</v>
      </c>
      <c r="G75" s="393">
        <f>VLOOKUP(Complete[[#This Row],[Code
(PAP)]],[1]Sheet1!$A:$AO,7,FALSE)</f>
        <v>45324</v>
      </c>
      <c r="H75" s="374"/>
      <c r="I75" s="394" t="str">
        <f>VLOOKUP(Complete[[#This Row],[Code
(PAP)]],[1]Sheet1!$A:$AO,9,FALSE)</f>
        <v>N/A</v>
      </c>
      <c r="J75" s="393">
        <f>VLOOKUP(Complete[[#This Row],[Code
(PAP)]],[1]Sheet1!$A:$AO,10,FALSE)</f>
        <v>45342</v>
      </c>
      <c r="K75" s="393">
        <f>VLOOKUP(Complete[[#This Row],[Code
(PAP)]],[1]Sheet1!$A:$AO,11,FALSE)</f>
        <v>45342</v>
      </c>
      <c r="L75" s="387"/>
      <c r="M75" s="393" t="str">
        <f>VLOOKUP(Complete[[#This Row],[Code
(PAP)]],[1]Sheet1!$A:$AO,13,FALSE)</f>
        <v>N/A</v>
      </c>
      <c r="N75" s="393" t="str">
        <f>VLOOKUP(Complete[[#This Row],[Code
(PAP)]],[1]Sheet1!$A:$AO,14,FALSE)</f>
        <v>N/A</v>
      </c>
      <c r="O75" s="393">
        <f>VLOOKUP(Complete[[#This Row],[Code
(PAP)]],[1]Sheet1!$A:$AO,15,FALSE)</f>
        <v>45344</v>
      </c>
      <c r="P75" s="387"/>
      <c r="Q75" s="387"/>
      <c r="R75" s="387"/>
      <c r="S75" s="576">
        <f>VLOOKUP(Complete[[#This Row],[Code
(PAP)]],[1]Sheet1!$A:$AO,19,FALSE)</f>
        <v>45348</v>
      </c>
      <c r="T75" s="576">
        <f>VLOOKUP(Complete[[#This Row],[Code
(PAP)]],[1]Sheet1!$A:$AO,20,FALSE)</f>
        <v>45351</v>
      </c>
      <c r="U75" s="576">
        <f>VLOOKUP(Complete[[#This Row],[Code
(PAP)]],[1]Sheet1!$A:$AO,21,FALSE)</f>
        <v>45352</v>
      </c>
      <c r="V75" s="387"/>
      <c r="W75" s="387"/>
      <c r="X75" s="392">
        <f>VLOOKUP(Complete[[#This Row],[Code
(PAP)]],[1]Sheet1!$A:$AO,24,FALSE)</f>
        <v>45362</v>
      </c>
      <c r="Y75" s="392">
        <f>Complete[[#This Row],[Delivery/ Completion]]</f>
        <v>45362</v>
      </c>
      <c r="Z75" s="610" t="s">
        <v>1478</v>
      </c>
      <c r="AA75" s="462">
        <f>Complete[[#This Row],[MOOE]]+Complete[[#This Row],[CO]]</f>
        <v>60400</v>
      </c>
      <c r="AB75" s="466">
        <v>60400</v>
      </c>
      <c r="AC75" s="497"/>
      <c r="AD75" s="498">
        <f>IF(Complete[[#This Row],[Procurement Project]]="","",SUM(Complete[[#This Row],[MOOE2]]+Complete[[#This Row],[CO3]]))</f>
        <v>59800</v>
      </c>
      <c r="AE75" s="501">
        <v>59800</v>
      </c>
      <c r="AF75" s="541"/>
      <c r="AG75" s="400"/>
      <c r="AH75" s="380" t="s">
        <v>1205</v>
      </c>
      <c r="AI75" s="576" t="str">
        <f>VLOOKUP(Complete[[#This Row],[Code
(PAP)]],[1]Sheet1!$A:$AO,35,FALSE)</f>
        <v>N/A</v>
      </c>
      <c r="AJ75" s="576" t="str">
        <f>VLOOKUP(Complete[[#This Row],[Code
(PAP)]],[1]Sheet1!$A:$AO,36,FALSE)</f>
        <v>N/A</v>
      </c>
      <c r="AK75" s="576" t="str">
        <f>VLOOKUP(Complete[[#This Row],[Code
(PAP)]],[1]Sheet1!$A:$AO,37,FALSE)</f>
        <v>N/A</v>
      </c>
      <c r="AL75" s="576" t="str">
        <f>VLOOKUP(Complete[[#This Row],[Code
(PAP)]],[1]Sheet1!$A:$AO,38,FALSE)</f>
        <v>N/A</v>
      </c>
      <c r="AM75" s="576" t="str">
        <f>VLOOKUP(Complete[[#This Row],[Code
(PAP)]],[1]Sheet1!$A:$AO,38,FALSE)</f>
        <v>N/A</v>
      </c>
      <c r="AN75" s="595" t="s">
        <v>713</v>
      </c>
      <c r="AO75" s="303" t="s">
        <v>139</v>
      </c>
      <c r="AP75" s="389"/>
      <c r="AQ75" s="389"/>
    </row>
    <row r="76" spans="1:43" s="224" customFormat="1" ht="75" customHeight="1" x14ac:dyDescent="0.25">
      <c r="A76" s="385" t="s">
        <v>253</v>
      </c>
      <c r="B76" s="406" t="str">
        <f>VLOOKUP(Complete[[#This Row],[Code
(PAP)]],[1]Sheet1!$A:$AO,2,FALSE)</f>
        <v>OTHER MACHINERIES AND EQUIPMENT</v>
      </c>
      <c r="C76" s="408" t="str">
        <f>VLOOKUP(Complete[[#This Row],[Code
(PAP)]],[1]Sheet1!$A:$AO,3,FALSE)</f>
        <v>PHRMDO</v>
      </c>
      <c r="D76" s="380" t="s">
        <v>712</v>
      </c>
      <c r="E76" s="409" t="str">
        <f>VLOOKUP(Complete[[#This Row],[Code
(PAP)]],[2]Sheet1!$A:$AO,5,FALSE)</f>
        <v>NP-53.9 - Small Value Procurement</v>
      </c>
      <c r="F76" s="393">
        <f>VLOOKUP(Complete[[#This Row],[Code
(PAP)]],[1]Sheet1!$A:$AO,6,FALSE)</f>
        <v>45330</v>
      </c>
      <c r="G76" s="393">
        <f>VLOOKUP(Complete[[#This Row],[Code
(PAP)]],[1]Sheet1!$A:$AO,7,FALSE)</f>
        <v>45335</v>
      </c>
      <c r="H76" s="374"/>
      <c r="I76" s="394" t="str">
        <f>VLOOKUP(Complete[[#This Row],[Code
(PAP)]],[1]Sheet1!$A:$AO,9,FALSE)</f>
        <v>N/A</v>
      </c>
      <c r="J76" s="393">
        <f>VLOOKUP(Complete[[#This Row],[Code
(PAP)]],[1]Sheet1!$A:$AO,10,FALSE)</f>
        <v>45342</v>
      </c>
      <c r="K76" s="393">
        <f>VLOOKUP(Complete[[#This Row],[Code
(PAP)]],[1]Sheet1!$A:$AO,11,FALSE)</f>
        <v>45342</v>
      </c>
      <c r="L76" s="387"/>
      <c r="M76" s="393" t="str">
        <f>VLOOKUP(Complete[[#This Row],[Code
(PAP)]],[1]Sheet1!$A:$AO,13,FALSE)</f>
        <v>N/A</v>
      </c>
      <c r="N76" s="393" t="str">
        <f>VLOOKUP(Complete[[#This Row],[Code
(PAP)]],[1]Sheet1!$A:$AO,14,FALSE)</f>
        <v>N/A</v>
      </c>
      <c r="O76" s="393">
        <f>VLOOKUP(Complete[[#This Row],[Code
(PAP)]],[1]Sheet1!$A:$AO,15,FALSE)</f>
        <v>45344</v>
      </c>
      <c r="P76" s="387"/>
      <c r="Q76" s="387"/>
      <c r="R76" s="387"/>
      <c r="S76" s="576">
        <f>VLOOKUP(Complete[[#This Row],[Code
(PAP)]],[1]Sheet1!$A:$AO,19,FALSE)</f>
        <v>45349</v>
      </c>
      <c r="T76" s="576">
        <f>VLOOKUP(Complete[[#This Row],[Code
(PAP)]],[1]Sheet1!$A:$AO,20,FALSE)</f>
        <v>45351</v>
      </c>
      <c r="U76" s="576">
        <f>VLOOKUP(Complete[[#This Row],[Code
(PAP)]],[1]Sheet1!$A:$AO,21,FALSE)</f>
        <v>45355</v>
      </c>
      <c r="V76" s="387"/>
      <c r="W76" s="387"/>
      <c r="X76" s="392">
        <f>VLOOKUP(Complete[[#This Row],[Code
(PAP)]],[1]Sheet1!$A:$AO,24,FALSE)</f>
        <v>45359</v>
      </c>
      <c r="Y76" s="392">
        <f>Complete[[#This Row],[Delivery/ Completion]]</f>
        <v>45359</v>
      </c>
      <c r="Z76" s="610" t="s">
        <v>1478</v>
      </c>
      <c r="AA76" s="462">
        <f>Complete[[#This Row],[MOOE]]+Complete[[#This Row],[CO]]</f>
        <v>175000</v>
      </c>
      <c r="AB76" s="466"/>
      <c r="AC76" s="497">
        <v>175000</v>
      </c>
      <c r="AD76" s="498">
        <f>IF(Complete[[#This Row],[Procurement Project]]="","",SUM(Complete[[#This Row],[MOOE2]]+Complete[[#This Row],[CO3]]))</f>
        <v>174800</v>
      </c>
      <c r="AE76" s="501"/>
      <c r="AF76" s="541">
        <v>174800</v>
      </c>
      <c r="AG76" s="400"/>
      <c r="AH76" s="380" t="s">
        <v>1205</v>
      </c>
      <c r="AI76" s="576" t="str">
        <f>VLOOKUP(Complete[[#This Row],[Code
(PAP)]],[1]Sheet1!$A:$AO,35,FALSE)</f>
        <v>N/A</v>
      </c>
      <c r="AJ76" s="576" t="str">
        <f>VLOOKUP(Complete[[#This Row],[Code
(PAP)]],[1]Sheet1!$A:$AO,36,FALSE)</f>
        <v>N/A</v>
      </c>
      <c r="AK76" s="576" t="str">
        <f>VLOOKUP(Complete[[#This Row],[Code
(PAP)]],[1]Sheet1!$A:$AO,37,FALSE)</f>
        <v>N/A</v>
      </c>
      <c r="AL76" s="576" t="str">
        <f>VLOOKUP(Complete[[#This Row],[Code
(PAP)]],[1]Sheet1!$A:$AO,38,FALSE)</f>
        <v>N/A</v>
      </c>
      <c r="AM76" s="576" t="str">
        <f>VLOOKUP(Complete[[#This Row],[Code
(PAP)]],[1]Sheet1!$A:$AO,38,FALSE)</f>
        <v>N/A</v>
      </c>
      <c r="AN76" s="595" t="s">
        <v>713</v>
      </c>
      <c r="AO76" s="303" t="s">
        <v>139</v>
      </c>
      <c r="AP76" s="389"/>
      <c r="AQ76" s="389"/>
    </row>
    <row r="77" spans="1:43" s="224" customFormat="1" ht="75" customHeight="1" x14ac:dyDescent="0.25">
      <c r="A77" s="385" t="s">
        <v>254</v>
      </c>
      <c r="B77" s="406" t="str">
        <f>VLOOKUP(Complete[[#This Row],[Code
(PAP)]],[1]Sheet1!$A:$AO,2,FALSE)</f>
        <v>RENTALS</v>
      </c>
      <c r="C77" s="408" t="str">
        <f>VLOOKUP(Complete[[#This Row],[Code
(PAP)]],[1]Sheet1!$A:$AO,3,FALSE)</f>
        <v>PHRMDO</v>
      </c>
      <c r="D77" s="380" t="s">
        <v>712</v>
      </c>
      <c r="E77" s="409" t="str">
        <f>VLOOKUP(Complete[[#This Row],[Code
(PAP)]],[2]Sheet1!$A:$AO,5,FALSE)</f>
        <v>NP-53.9 - Small Value Procurement</v>
      </c>
      <c r="F77" s="393">
        <f>VLOOKUP(Complete[[#This Row],[Code
(PAP)]],[1]Sheet1!$A:$AO,6,FALSE)</f>
        <v>45330</v>
      </c>
      <c r="G77" s="393">
        <f>VLOOKUP(Complete[[#This Row],[Code
(PAP)]],[1]Sheet1!$A:$AO,7,FALSE)</f>
        <v>45335</v>
      </c>
      <c r="H77" s="374"/>
      <c r="I77" s="394" t="str">
        <f>VLOOKUP(Complete[[#This Row],[Code
(PAP)]],[1]Sheet1!$A:$AO,9,FALSE)</f>
        <v>N/A</v>
      </c>
      <c r="J77" s="393">
        <f>VLOOKUP(Complete[[#This Row],[Code
(PAP)]],[1]Sheet1!$A:$AO,10,FALSE)</f>
        <v>45342</v>
      </c>
      <c r="K77" s="393">
        <f>VLOOKUP(Complete[[#This Row],[Code
(PAP)]],[1]Sheet1!$A:$AO,11,FALSE)</f>
        <v>45342</v>
      </c>
      <c r="L77" s="387"/>
      <c r="M77" s="393" t="str">
        <f>VLOOKUP(Complete[[#This Row],[Code
(PAP)]],[1]Sheet1!$A:$AO,13,FALSE)</f>
        <v>N/A</v>
      </c>
      <c r="N77" s="393" t="str">
        <f>VLOOKUP(Complete[[#This Row],[Code
(PAP)]],[1]Sheet1!$A:$AO,14,FALSE)</f>
        <v>N/A</v>
      </c>
      <c r="O77" s="393">
        <f>VLOOKUP(Complete[[#This Row],[Code
(PAP)]],[1]Sheet1!$A:$AO,15,FALSE)</f>
        <v>45344</v>
      </c>
      <c r="P77" s="387"/>
      <c r="Q77" s="387"/>
      <c r="R77" s="387"/>
      <c r="S77" s="576">
        <f>VLOOKUP(Complete[[#This Row],[Code
(PAP)]],[1]Sheet1!$A:$AO,19,FALSE)</f>
        <v>45349</v>
      </c>
      <c r="T77" s="576">
        <f>VLOOKUP(Complete[[#This Row],[Code
(PAP)]],[1]Sheet1!$A:$AO,20,FALSE)</f>
        <v>45351</v>
      </c>
      <c r="U77" s="576">
        <f>VLOOKUP(Complete[[#This Row],[Code
(PAP)]],[1]Sheet1!$A:$AO,21,FALSE)</f>
        <v>45352</v>
      </c>
      <c r="V77" s="387"/>
      <c r="W77" s="387"/>
      <c r="X77" s="392">
        <f>VLOOKUP(Complete[[#This Row],[Code
(PAP)]],[1]Sheet1!$A:$AO,24,FALSE)</f>
        <v>45359</v>
      </c>
      <c r="Y77" s="392">
        <f>Complete[[#This Row],[Delivery/ Completion]]</f>
        <v>45359</v>
      </c>
      <c r="Z77" s="610" t="s">
        <v>1478</v>
      </c>
      <c r="AA77" s="462">
        <f>Complete[[#This Row],[MOOE]]+Complete[[#This Row],[CO]]</f>
        <v>480000</v>
      </c>
      <c r="AB77" s="466"/>
      <c r="AC77" s="497">
        <v>480000</v>
      </c>
      <c r="AD77" s="498">
        <f>IF(Complete[[#This Row],[Procurement Project]]="","",SUM(Complete[[#This Row],[MOOE2]]+Complete[[#This Row],[CO3]]))</f>
        <v>480000</v>
      </c>
      <c r="AE77" s="501"/>
      <c r="AF77" s="541">
        <v>480000</v>
      </c>
      <c r="AG77" s="400"/>
      <c r="AH77" s="380" t="s">
        <v>1205</v>
      </c>
      <c r="AI77" s="576" t="str">
        <f>VLOOKUP(Complete[[#This Row],[Code
(PAP)]],[1]Sheet1!$A:$AO,35,FALSE)</f>
        <v>N/A</v>
      </c>
      <c r="AJ77" s="576" t="str">
        <f>VLOOKUP(Complete[[#This Row],[Code
(PAP)]],[1]Sheet1!$A:$AO,36,FALSE)</f>
        <v>N/A</v>
      </c>
      <c r="AK77" s="576" t="str">
        <f>VLOOKUP(Complete[[#This Row],[Code
(PAP)]],[1]Sheet1!$A:$AO,37,FALSE)</f>
        <v>N/A</v>
      </c>
      <c r="AL77" s="576" t="str">
        <f>VLOOKUP(Complete[[#This Row],[Code
(PAP)]],[1]Sheet1!$A:$AO,38,FALSE)</f>
        <v>N/A</v>
      </c>
      <c r="AM77" s="576" t="str">
        <f>VLOOKUP(Complete[[#This Row],[Code
(PAP)]],[1]Sheet1!$A:$AO,38,FALSE)</f>
        <v>N/A</v>
      </c>
      <c r="AN77" s="595" t="s">
        <v>713</v>
      </c>
      <c r="AO77" s="303" t="s">
        <v>139</v>
      </c>
      <c r="AP77" s="389"/>
      <c r="AQ77" s="389"/>
    </row>
    <row r="78" spans="1:43" s="224" customFormat="1" ht="75" customHeight="1" x14ac:dyDescent="0.25">
      <c r="A78" s="385" t="s">
        <v>255</v>
      </c>
      <c r="B78" s="406" t="str">
        <f>VLOOKUP(Complete[[#This Row],[Code
(PAP)]],[1]Sheet1!$A:$AO,2,FALSE)</f>
        <v>FOOD/CATERING SERVICES</v>
      </c>
      <c r="C78" s="408" t="str">
        <f>VLOOKUP(Complete[[#This Row],[Code
(PAP)]],[1]Sheet1!$A:$AO,3,FALSE)</f>
        <v>PGO</v>
      </c>
      <c r="D78" s="380" t="s">
        <v>712</v>
      </c>
      <c r="E78" s="409" t="str">
        <f>VLOOKUP(Complete[[#This Row],[Code
(PAP)]],[2]Sheet1!$A:$AO,5,FALSE)</f>
        <v>NP-53.9 - Small Value Procurement</v>
      </c>
      <c r="F78" s="393" t="str">
        <f>VLOOKUP(Complete[[#This Row],[Code
(PAP)]],[1]Sheet1!$A:$AO,6,FALSE)</f>
        <v>N/A</v>
      </c>
      <c r="G78" s="393">
        <f>VLOOKUP(Complete[[#This Row],[Code
(PAP)]],[1]Sheet1!$A:$AO,7,FALSE)</f>
        <v>45337</v>
      </c>
      <c r="H78" s="374"/>
      <c r="I78" s="394" t="str">
        <f>VLOOKUP(Complete[[#This Row],[Code
(PAP)]],[1]Sheet1!$A:$AO,9,FALSE)</f>
        <v>N/A</v>
      </c>
      <c r="J78" s="393">
        <f>VLOOKUP(Complete[[#This Row],[Code
(PAP)]],[1]Sheet1!$A:$AO,10,FALSE)</f>
        <v>45342</v>
      </c>
      <c r="K78" s="393">
        <f>VLOOKUP(Complete[[#This Row],[Code
(PAP)]],[1]Sheet1!$A:$AO,11,FALSE)</f>
        <v>45342</v>
      </c>
      <c r="L78" s="387"/>
      <c r="M78" s="393" t="str">
        <f>VLOOKUP(Complete[[#This Row],[Code
(PAP)]],[1]Sheet1!$A:$AO,13,FALSE)</f>
        <v>N/A</v>
      </c>
      <c r="N78" s="393" t="str">
        <f>VLOOKUP(Complete[[#This Row],[Code
(PAP)]],[1]Sheet1!$A:$AO,14,FALSE)</f>
        <v>N/A</v>
      </c>
      <c r="O78" s="393">
        <f>VLOOKUP(Complete[[#This Row],[Code
(PAP)]],[1]Sheet1!$A:$AO,15,FALSE)</f>
        <v>45344</v>
      </c>
      <c r="P78" s="387"/>
      <c r="Q78" s="387"/>
      <c r="R78" s="387"/>
      <c r="S78" s="576" t="str">
        <f>VLOOKUP(Complete[[#This Row],[Code
(PAP)]],[1]Sheet1!$A:$AO,19,FALSE)</f>
        <v>N/A</v>
      </c>
      <c r="T78" s="576">
        <f>VLOOKUP(Complete[[#This Row],[Code
(PAP)]],[1]Sheet1!$A:$AO,20,FALSE)</f>
        <v>45350</v>
      </c>
      <c r="U78" s="576">
        <f>VLOOKUP(Complete[[#This Row],[Code
(PAP)]],[1]Sheet1!$A:$AO,21,FALSE)</f>
        <v>45351</v>
      </c>
      <c r="V78" s="387"/>
      <c r="W78" s="387"/>
      <c r="X78" s="392">
        <f>VLOOKUP(Complete[[#This Row],[Code
(PAP)]],[1]Sheet1!$A:$AO,24,FALSE)</f>
        <v>45358</v>
      </c>
      <c r="Y78" s="392">
        <f>Complete[[#This Row],[Delivery/ Completion]]</f>
        <v>45358</v>
      </c>
      <c r="Z78" s="610" t="s">
        <v>1478</v>
      </c>
      <c r="AA78" s="462">
        <f>Complete[[#This Row],[MOOE]]+Complete[[#This Row],[CO]]</f>
        <v>25000</v>
      </c>
      <c r="AB78" s="466"/>
      <c r="AC78" s="497">
        <v>25000</v>
      </c>
      <c r="AD78" s="498">
        <f>Complete[[#This Row],[MOOE2]]+Complete[[#This Row],[CO3]]</f>
        <v>25000</v>
      </c>
      <c r="AE78" s="501"/>
      <c r="AF78" s="541">
        <v>25000</v>
      </c>
      <c r="AG78" s="400"/>
      <c r="AH78" s="380" t="s">
        <v>1205</v>
      </c>
      <c r="AI78" s="576" t="str">
        <f>VLOOKUP(Complete[[#This Row],[Code
(PAP)]],[1]Sheet1!$A:$AO,35,FALSE)</f>
        <v>N/A</v>
      </c>
      <c r="AJ78" s="576" t="str">
        <f>VLOOKUP(Complete[[#This Row],[Code
(PAP)]],[1]Sheet1!$A:$AO,36,FALSE)</f>
        <v>N/A</v>
      </c>
      <c r="AK78" s="576" t="str">
        <f>VLOOKUP(Complete[[#This Row],[Code
(PAP)]],[1]Sheet1!$A:$AO,37,FALSE)</f>
        <v>N/A</v>
      </c>
      <c r="AL78" s="576" t="str">
        <f>VLOOKUP(Complete[[#This Row],[Code
(PAP)]],[1]Sheet1!$A:$AO,38,FALSE)</f>
        <v>N/A</v>
      </c>
      <c r="AM78" s="576" t="str">
        <f>VLOOKUP(Complete[[#This Row],[Code
(PAP)]],[1]Sheet1!$A:$AO,38,FALSE)</f>
        <v>N/A</v>
      </c>
      <c r="AN78" s="595" t="s">
        <v>713</v>
      </c>
      <c r="AO78" s="303" t="s">
        <v>139</v>
      </c>
      <c r="AP78" s="389"/>
      <c r="AQ78" s="389"/>
    </row>
    <row r="79" spans="1:43" s="224" customFormat="1" ht="75" customHeight="1" x14ac:dyDescent="0.25">
      <c r="A79" s="385" t="s">
        <v>256</v>
      </c>
      <c r="B79" s="406" t="str">
        <f>VLOOKUP(Complete[[#This Row],[Code
(PAP)]],[1]Sheet1!$A:$AO,2,FALSE)</f>
        <v>DUPLICATING PRODUCTS/SPAREPARTS</v>
      </c>
      <c r="C79" s="408" t="str">
        <f>VLOOKUP(Complete[[#This Row],[Code
(PAP)]],[1]Sheet1!$A:$AO,3,FALSE)</f>
        <v>PASSO</v>
      </c>
      <c r="D79" s="380" t="s">
        <v>712</v>
      </c>
      <c r="E79" s="409" t="str">
        <f>VLOOKUP(Complete[[#This Row],[Code
(PAP)]],[2]Sheet1!$A:$AO,5,FALSE)</f>
        <v>Direct Contracting</v>
      </c>
      <c r="F79" s="393" t="str">
        <f>VLOOKUP(Complete[[#This Row],[Code
(PAP)]],[1]Sheet1!$A:$AO,6,FALSE)</f>
        <v>N/A</v>
      </c>
      <c r="G79" s="393">
        <f>VLOOKUP(Complete[[#This Row],[Code
(PAP)]],[1]Sheet1!$A:$AO,7,FALSE)</f>
        <v>45330</v>
      </c>
      <c r="H79" s="374"/>
      <c r="I79" s="394" t="str">
        <f>VLOOKUP(Complete[[#This Row],[Code
(PAP)]],[1]Sheet1!$A:$AO,9,FALSE)</f>
        <v>N/A</v>
      </c>
      <c r="J79" s="393">
        <f>VLOOKUP(Complete[[#This Row],[Code
(PAP)]],[1]Sheet1!$A:$AO,10,FALSE)</f>
        <v>45342</v>
      </c>
      <c r="K79" s="393">
        <f>VLOOKUP(Complete[[#This Row],[Code
(PAP)]],[1]Sheet1!$A:$AO,11,FALSE)</f>
        <v>45342</v>
      </c>
      <c r="L79" s="387"/>
      <c r="M79" s="393" t="str">
        <f>VLOOKUP(Complete[[#This Row],[Code
(PAP)]],[1]Sheet1!$A:$AO,13,FALSE)</f>
        <v>N/A</v>
      </c>
      <c r="N79" s="393" t="str">
        <f>VLOOKUP(Complete[[#This Row],[Code
(PAP)]],[1]Sheet1!$A:$AO,14,FALSE)</f>
        <v>N/A</v>
      </c>
      <c r="O79" s="393">
        <f>VLOOKUP(Complete[[#This Row],[Code
(PAP)]],[1]Sheet1!$A:$AO,15,FALSE)</f>
        <v>45344</v>
      </c>
      <c r="P79" s="387"/>
      <c r="Q79" s="387"/>
      <c r="R79" s="387"/>
      <c r="S79" s="576" t="str">
        <f>VLOOKUP(Complete[[#This Row],[Code
(PAP)]],[1]Sheet1!$A:$AO,19,FALSE)</f>
        <v>N/A</v>
      </c>
      <c r="T79" s="576">
        <f>VLOOKUP(Complete[[#This Row],[Code
(PAP)]],[1]Sheet1!$A:$AO,20,FALSE)</f>
        <v>45350</v>
      </c>
      <c r="U79" s="576">
        <f>VLOOKUP(Complete[[#This Row],[Code
(PAP)]],[1]Sheet1!$A:$AO,21,FALSE)</f>
        <v>45355</v>
      </c>
      <c r="V79" s="387"/>
      <c r="W79" s="387"/>
      <c r="X79" s="392">
        <f>VLOOKUP(Complete[[#This Row],[Code
(PAP)]],[1]Sheet1!$A:$AO,24,FALSE)</f>
        <v>45358</v>
      </c>
      <c r="Y79" s="392">
        <f>Complete[[#This Row],[Delivery/ Completion]]</f>
        <v>45358</v>
      </c>
      <c r="Z79" s="610" t="s">
        <v>1478</v>
      </c>
      <c r="AA79" s="462">
        <f>Complete[[#This Row],[MOOE]]+Complete[[#This Row],[CO]]</f>
        <v>49533</v>
      </c>
      <c r="AB79" s="466">
        <v>49533</v>
      </c>
      <c r="AC79" s="497"/>
      <c r="AD79" s="498">
        <f>IF(Complete[[#This Row],[Procurement Project]]="","",SUM(Complete[[#This Row],[MOOE2]]+Complete[[#This Row],[CO3]]))</f>
        <v>42875</v>
      </c>
      <c r="AE79" s="501">
        <v>42875</v>
      </c>
      <c r="AF79" s="541"/>
      <c r="AG79" s="400"/>
      <c r="AH79" s="380" t="s">
        <v>1205</v>
      </c>
      <c r="AI79" s="576" t="str">
        <f>VLOOKUP(Complete[[#This Row],[Code
(PAP)]],[1]Sheet1!$A:$AO,35,FALSE)</f>
        <v>N/A</v>
      </c>
      <c r="AJ79" s="576" t="str">
        <f>VLOOKUP(Complete[[#This Row],[Code
(PAP)]],[1]Sheet1!$A:$AO,36,FALSE)</f>
        <v>N/A</v>
      </c>
      <c r="AK79" s="576" t="str">
        <f>VLOOKUP(Complete[[#This Row],[Code
(PAP)]],[1]Sheet1!$A:$AO,37,FALSE)</f>
        <v>N/A</v>
      </c>
      <c r="AL79" s="576" t="str">
        <f>VLOOKUP(Complete[[#This Row],[Code
(PAP)]],[1]Sheet1!$A:$AO,38,FALSE)</f>
        <v>N/A</v>
      </c>
      <c r="AM79" s="576" t="str">
        <f>VLOOKUP(Complete[[#This Row],[Code
(PAP)]],[1]Sheet1!$A:$AO,38,FALSE)</f>
        <v>N/A</v>
      </c>
      <c r="AN79" s="595" t="s">
        <v>713</v>
      </c>
      <c r="AO79" s="303" t="s">
        <v>139</v>
      </c>
      <c r="AP79" s="389"/>
      <c r="AQ79" s="389"/>
    </row>
    <row r="80" spans="1:43" s="224" customFormat="1" ht="75" customHeight="1" x14ac:dyDescent="0.25">
      <c r="A80" s="385" t="s">
        <v>257</v>
      </c>
      <c r="B80" s="406" t="str">
        <f>VLOOKUP(Complete[[#This Row],[Code
(PAP)]],[1]Sheet1!$A:$AO,2,FALSE)</f>
        <v>LABORATORY SUPPLIES</v>
      </c>
      <c r="C80" s="408" t="str">
        <f>VLOOKUP(Complete[[#This Row],[Code
(PAP)]],[1]Sheet1!$A:$AO,3,FALSE)</f>
        <v>PEEMO</v>
      </c>
      <c r="D80" s="380" t="s">
        <v>712</v>
      </c>
      <c r="E80" s="409" t="str">
        <f>VLOOKUP(Complete[[#This Row],[Code
(PAP)]],[2]Sheet1!$A:$AO,5,FALSE)</f>
        <v>Direct Contracting</v>
      </c>
      <c r="F80" s="393">
        <f>VLOOKUP(Complete[[#This Row],[Code
(PAP)]],[1]Sheet1!$A:$AO,6,FALSE)</f>
        <v>45322</v>
      </c>
      <c r="G80" s="393">
        <f>VLOOKUP(Complete[[#This Row],[Code
(PAP)]],[1]Sheet1!$A:$AO,7,FALSE)</f>
        <v>45335</v>
      </c>
      <c r="H80" s="374"/>
      <c r="I80" s="394" t="str">
        <f>VLOOKUP(Complete[[#This Row],[Code
(PAP)]],[1]Sheet1!$A:$AO,9,FALSE)</f>
        <v>N/A</v>
      </c>
      <c r="J80" s="393">
        <f>VLOOKUP(Complete[[#This Row],[Code
(PAP)]],[1]Sheet1!$A:$AO,10,FALSE)</f>
        <v>45342</v>
      </c>
      <c r="K80" s="393">
        <f>VLOOKUP(Complete[[#This Row],[Code
(PAP)]],[1]Sheet1!$A:$AO,11,FALSE)</f>
        <v>45342</v>
      </c>
      <c r="L80" s="387"/>
      <c r="M80" s="393" t="str">
        <f>VLOOKUP(Complete[[#This Row],[Code
(PAP)]],[1]Sheet1!$A:$AO,13,FALSE)</f>
        <v>N/A</v>
      </c>
      <c r="N80" s="393" t="str">
        <f>VLOOKUP(Complete[[#This Row],[Code
(PAP)]],[1]Sheet1!$A:$AO,14,FALSE)</f>
        <v>N/A</v>
      </c>
      <c r="O80" s="393">
        <f>VLOOKUP(Complete[[#This Row],[Code
(PAP)]],[1]Sheet1!$A:$AO,15,FALSE)</f>
        <v>45344</v>
      </c>
      <c r="P80" s="387"/>
      <c r="Q80" s="387"/>
      <c r="R80" s="387"/>
      <c r="S80" s="576" t="str">
        <f>VLOOKUP(Complete[[#This Row],[Code
(PAP)]],[1]Sheet1!$A:$AO,19,FALSE)</f>
        <v>N/A</v>
      </c>
      <c r="T80" s="576">
        <f>VLOOKUP(Complete[[#This Row],[Code
(PAP)]],[1]Sheet1!$A:$AO,20,FALSE)</f>
        <v>45352</v>
      </c>
      <c r="U80" s="576">
        <f>VLOOKUP(Complete[[#This Row],[Code
(PAP)]],[1]Sheet1!$A:$AO,21,FALSE)</f>
        <v>45355</v>
      </c>
      <c r="V80" s="387"/>
      <c r="W80" s="387"/>
      <c r="X80" s="392">
        <f>VLOOKUP(Complete[[#This Row],[Code
(PAP)]],[1]Sheet1!$A:$AO,24,FALSE)</f>
        <v>45355</v>
      </c>
      <c r="Y80" s="392">
        <f>Complete[[#This Row],[Delivery/ Completion]]</f>
        <v>45355</v>
      </c>
      <c r="Z80" s="610" t="s">
        <v>1478</v>
      </c>
      <c r="AA80" s="462">
        <f>Complete[[#This Row],[MOOE]]+Complete[[#This Row],[CO]]</f>
        <v>2292500</v>
      </c>
      <c r="AB80" s="466">
        <v>2292500</v>
      </c>
      <c r="AC80" s="497"/>
      <c r="AD80" s="498">
        <f>IF(Complete[[#This Row],[Procurement Project]]="","",SUM(Complete[[#This Row],[MOOE2]]+Complete[[#This Row],[CO3]]))</f>
        <v>2292500</v>
      </c>
      <c r="AE80" s="501">
        <v>2292500</v>
      </c>
      <c r="AF80" s="541"/>
      <c r="AG80" s="400"/>
      <c r="AH80" s="380" t="s">
        <v>1205</v>
      </c>
      <c r="AI80" s="576" t="str">
        <f>VLOOKUP(Complete[[#This Row],[Code
(PAP)]],[1]Sheet1!$A:$AO,35,FALSE)</f>
        <v>N/A</v>
      </c>
      <c r="AJ80" s="576" t="str">
        <f>VLOOKUP(Complete[[#This Row],[Code
(PAP)]],[1]Sheet1!$A:$AO,36,FALSE)</f>
        <v>N/A</v>
      </c>
      <c r="AK80" s="576" t="str">
        <f>VLOOKUP(Complete[[#This Row],[Code
(PAP)]],[1]Sheet1!$A:$AO,37,FALSE)</f>
        <v>N/A</v>
      </c>
      <c r="AL80" s="576" t="str">
        <f>VLOOKUP(Complete[[#This Row],[Code
(PAP)]],[1]Sheet1!$A:$AO,38,FALSE)</f>
        <v>N/A</v>
      </c>
      <c r="AM80" s="576" t="str">
        <f>VLOOKUP(Complete[[#This Row],[Code
(PAP)]],[1]Sheet1!$A:$AO,38,FALSE)</f>
        <v>N/A</v>
      </c>
      <c r="AN80" s="595" t="s">
        <v>713</v>
      </c>
      <c r="AO80" s="303" t="s">
        <v>139</v>
      </c>
      <c r="AP80" s="389"/>
      <c r="AQ80" s="389"/>
    </row>
    <row r="81" spans="1:43" s="224" customFormat="1" ht="75" customHeight="1" x14ac:dyDescent="0.25">
      <c r="A81" s="385" t="s">
        <v>258</v>
      </c>
      <c r="B81" s="406" t="str">
        <f>VLOOKUP(Complete[[#This Row],[Code
(PAP)]],[1]Sheet1!$A:$AO,2,FALSE)</f>
        <v>MEDICAL SUPPLIES</v>
      </c>
      <c r="C81" s="408" t="str">
        <f>VLOOKUP(Complete[[#This Row],[Code
(PAP)]],[1]Sheet1!$A:$AO,3,FALSE)</f>
        <v>PEEMO</v>
      </c>
      <c r="D81" s="380" t="s">
        <v>712</v>
      </c>
      <c r="E81" s="409" t="str">
        <f>VLOOKUP(Complete[[#This Row],[Code
(PAP)]],[2]Sheet1!$A:$AO,5,FALSE)</f>
        <v>Direct Contracting</v>
      </c>
      <c r="F81" s="393">
        <f>VLOOKUP(Complete[[#This Row],[Code
(PAP)]],[1]Sheet1!$A:$AO,6,FALSE)</f>
        <v>45322</v>
      </c>
      <c r="G81" s="393">
        <f>VLOOKUP(Complete[[#This Row],[Code
(PAP)]],[1]Sheet1!$A:$AO,7,FALSE)</f>
        <v>45335</v>
      </c>
      <c r="H81" s="374"/>
      <c r="I81" s="394" t="str">
        <f>VLOOKUP(Complete[[#This Row],[Code
(PAP)]],[1]Sheet1!$A:$AO,9,FALSE)</f>
        <v>N/A</v>
      </c>
      <c r="J81" s="393">
        <f>VLOOKUP(Complete[[#This Row],[Code
(PAP)]],[1]Sheet1!$A:$AO,10,FALSE)</f>
        <v>45342</v>
      </c>
      <c r="K81" s="393">
        <f>VLOOKUP(Complete[[#This Row],[Code
(PAP)]],[1]Sheet1!$A:$AO,11,FALSE)</f>
        <v>45342</v>
      </c>
      <c r="L81" s="387"/>
      <c r="M81" s="393" t="str">
        <f>VLOOKUP(Complete[[#This Row],[Code
(PAP)]],[1]Sheet1!$A:$AO,13,FALSE)</f>
        <v>N/A</v>
      </c>
      <c r="N81" s="393" t="str">
        <f>VLOOKUP(Complete[[#This Row],[Code
(PAP)]],[1]Sheet1!$A:$AO,14,FALSE)</f>
        <v>N/A</v>
      </c>
      <c r="O81" s="393">
        <f>VLOOKUP(Complete[[#This Row],[Code
(PAP)]],[1]Sheet1!$A:$AO,15,FALSE)</f>
        <v>45344</v>
      </c>
      <c r="P81" s="387"/>
      <c r="Q81" s="387"/>
      <c r="R81" s="387"/>
      <c r="S81" s="576" t="str">
        <f>VLOOKUP(Complete[[#This Row],[Code
(PAP)]],[1]Sheet1!$A:$AO,19,FALSE)</f>
        <v>N/A</v>
      </c>
      <c r="T81" s="576">
        <f>VLOOKUP(Complete[[#This Row],[Code
(PAP)]],[1]Sheet1!$A:$AO,20,FALSE)</f>
        <v>45351</v>
      </c>
      <c r="U81" s="576">
        <f>VLOOKUP(Complete[[#This Row],[Code
(PAP)]],[1]Sheet1!$A:$AO,21,FALSE)</f>
        <v>45355</v>
      </c>
      <c r="V81" s="387"/>
      <c r="W81" s="387"/>
      <c r="X81" s="392">
        <f>VLOOKUP(Complete[[#This Row],[Code
(PAP)]],[1]Sheet1!$A:$AO,24,FALSE)</f>
        <v>45360</v>
      </c>
      <c r="Y81" s="392">
        <f>Complete[[#This Row],[Delivery/ Completion]]</f>
        <v>45360</v>
      </c>
      <c r="Z81" s="610" t="s">
        <v>1478</v>
      </c>
      <c r="AA81" s="462">
        <f>Complete[[#This Row],[MOOE]]+Complete[[#This Row],[CO]]</f>
        <v>3138000</v>
      </c>
      <c r="AB81" s="466">
        <v>3138000</v>
      </c>
      <c r="AC81" s="497"/>
      <c r="AD81" s="498">
        <f>IF(Complete[[#This Row],[Procurement Project]]="","",SUM(Complete[[#This Row],[MOOE2]]+Complete[[#This Row],[CO3]]))</f>
        <v>3138000</v>
      </c>
      <c r="AE81" s="501">
        <v>3138000</v>
      </c>
      <c r="AF81" s="541"/>
      <c r="AG81" s="400"/>
      <c r="AH81" s="380" t="s">
        <v>1205</v>
      </c>
      <c r="AI81" s="576" t="str">
        <f>VLOOKUP(Complete[[#This Row],[Code
(PAP)]],[1]Sheet1!$A:$AO,35,FALSE)</f>
        <v>N/A</v>
      </c>
      <c r="AJ81" s="576" t="str">
        <f>VLOOKUP(Complete[[#This Row],[Code
(PAP)]],[1]Sheet1!$A:$AO,36,FALSE)</f>
        <v>N/A</v>
      </c>
      <c r="AK81" s="576" t="str">
        <f>VLOOKUP(Complete[[#This Row],[Code
(PAP)]],[1]Sheet1!$A:$AO,37,FALSE)</f>
        <v>N/A</v>
      </c>
      <c r="AL81" s="576" t="str">
        <f>VLOOKUP(Complete[[#This Row],[Code
(PAP)]],[1]Sheet1!$A:$AO,38,FALSE)</f>
        <v>N/A</v>
      </c>
      <c r="AM81" s="576" t="str">
        <f>VLOOKUP(Complete[[#This Row],[Code
(PAP)]],[1]Sheet1!$A:$AO,38,FALSE)</f>
        <v>N/A</v>
      </c>
      <c r="AN81" s="595" t="s">
        <v>713</v>
      </c>
      <c r="AO81" s="303" t="s">
        <v>139</v>
      </c>
      <c r="AP81" s="389"/>
      <c r="AQ81" s="389"/>
    </row>
    <row r="82" spans="1:43" s="224" customFormat="1" ht="75" customHeight="1" x14ac:dyDescent="0.25">
      <c r="A82" s="385" t="s">
        <v>259</v>
      </c>
      <c r="B82" s="406" t="str">
        <f>VLOOKUP(Complete[[#This Row],[Code
(PAP)]],[1]Sheet1!$A:$AO,2,FALSE)</f>
        <v>LABORATORY SUPPLIES</v>
      </c>
      <c r="C82" s="408" t="str">
        <f>VLOOKUP(Complete[[#This Row],[Code
(PAP)]],[1]Sheet1!$A:$AO,3,FALSE)</f>
        <v>PEEMO</v>
      </c>
      <c r="D82" s="380" t="s">
        <v>712</v>
      </c>
      <c r="E82" s="409" t="str">
        <f>VLOOKUP(Complete[[#This Row],[Code
(PAP)]],[2]Sheet1!$A:$AO,5,FALSE)</f>
        <v>Direct Contracting</v>
      </c>
      <c r="F82" s="393">
        <f>VLOOKUP(Complete[[#This Row],[Code
(PAP)]],[1]Sheet1!$A:$AO,6,FALSE)</f>
        <v>45322</v>
      </c>
      <c r="G82" s="393">
        <f>VLOOKUP(Complete[[#This Row],[Code
(PAP)]],[1]Sheet1!$A:$AO,7,FALSE)</f>
        <v>45335</v>
      </c>
      <c r="H82" s="374"/>
      <c r="I82" s="394" t="str">
        <f>VLOOKUP(Complete[[#This Row],[Code
(PAP)]],[1]Sheet1!$A:$AO,9,FALSE)</f>
        <v>N/A</v>
      </c>
      <c r="J82" s="393">
        <f>VLOOKUP(Complete[[#This Row],[Code
(PAP)]],[1]Sheet1!$A:$AO,10,FALSE)</f>
        <v>45342</v>
      </c>
      <c r="K82" s="393">
        <f>VLOOKUP(Complete[[#This Row],[Code
(PAP)]],[1]Sheet1!$A:$AO,11,FALSE)</f>
        <v>45342</v>
      </c>
      <c r="L82" s="387"/>
      <c r="M82" s="393" t="str">
        <f>VLOOKUP(Complete[[#This Row],[Code
(PAP)]],[1]Sheet1!$A:$AO,13,FALSE)</f>
        <v>N/A</v>
      </c>
      <c r="N82" s="393" t="str">
        <f>VLOOKUP(Complete[[#This Row],[Code
(PAP)]],[1]Sheet1!$A:$AO,14,FALSE)</f>
        <v>N/A</v>
      </c>
      <c r="O82" s="393">
        <f>VLOOKUP(Complete[[#This Row],[Code
(PAP)]],[1]Sheet1!$A:$AO,15,FALSE)</f>
        <v>45344</v>
      </c>
      <c r="P82" s="387"/>
      <c r="Q82" s="387"/>
      <c r="R82" s="387"/>
      <c r="S82" s="576" t="str">
        <f>VLOOKUP(Complete[[#This Row],[Code
(PAP)]],[1]Sheet1!$A:$AO,19,FALSE)</f>
        <v>N/A</v>
      </c>
      <c r="T82" s="576">
        <f>VLOOKUP(Complete[[#This Row],[Code
(PAP)]],[1]Sheet1!$A:$AO,20,FALSE)</f>
        <v>45351</v>
      </c>
      <c r="U82" s="576">
        <f>VLOOKUP(Complete[[#This Row],[Code
(PAP)]],[1]Sheet1!$A:$AO,21,FALSE)</f>
        <v>45355</v>
      </c>
      <c r="V82" s="387"/>
      <c r="W82" s="387"/>
      <c r="X82" s="392">
        <f>VLOOKUP(Complete[[#This Row],[Code
(PAP)]],[1]Sheet1!$A:$AO,24,FALSE)</f>
        <v>45404</v>
      </c>
      <c r="Y82" s="392">
        <f>Complete[[#This Row],[Delivery/ Completion]]</f>
        <v>45404</v>
      </c>
      <c r="Z82" s="610" t="s">
        <v>1478</v>
      </c>
      <c r="AA82" s="462">
        <f>Complete[[#This Row],[MOOE]]+Complete[[#This Row],[CO]]</f>
        <v>1254000</v>
      </c>
      <c r="AB82" s="466">
        <v>1254000</v>
      </c>
      <c r="AC82" s="497"/>
      <c r="AD82" s="498">
        <f>IF(Complete[[#This Row],[Procurement Project]]="","",SUM(Complete[[#This Row],[MOOE2]]+Complete[[#This Row],[CO3]]))</f>
        <v>1254000</v>
      </c>
      <c r="AE82" s="501">
        <v>1254000</v>
      </c>
      <c r="AF82" s="541"/>
      <c r="AG82" s="400"/>
      <c r="AH82" s="380" t="s">
        <v>1205</v>
      </c>
      <c r="AI82" s="576" t="str">
        <f>VLOOKUP(Complete[[#This Row],[Code
(PAP)]],[1]Sheet1!$A:$AO,35,FALSE)</f>
        <v>N/A</v>
      </c>
      <c r="AJ82" s="576" t="str">
        <f>VLOOKUP(Complete[[#This Row],[Code
(PAP)]],[1]Sheet1!$A:$AO,36,FALSE)</f>
        <v>N/A</v>
      </c>
      <c r="AK82" s="576" t="str">
        <f>VLOOKUP(Complete[[#This Row],[Code
(PAP)]],[1]Sheet1!$A:$AO,37,FALSE)</f>
        <v>N/A</v>
      </c>
      <c r="AL82" s="576" t="str">
        <f>VLOOKUP(Complete[[#This Row],[Code
(PAP)]],[1]Sheet1!$A:$AO,38,FALSE)</f>
        <v>N/A</v>
      </c>
      <c r="AM82" s="576" t="str">
        <f>VLOOKUP(Complete[[#This Row],[Code
(PAP)]],[1]Sheet1!$A:$AO,38,FALSE)</f>
        <v>N/A</v>
      </c>
      <c r="AN82" s="595" t="s">
        <v>713</v>
      </c>
      <c r="AO82" s="303" t="s">
        <v>139</v>
      </c>
      <c r="AP82" s="389"/>
      <c r="AQ82" s="389"/>
    </row>
    <row r="83" spans="1:43" s="224" customFormat="1" ht="75" customHeight="1" x14ac:dyDescent="0.25">
      <c r="A83" s="385" t="s">
        <v>260</v>
      </c>
      <c r="B83" s="406" t="str">
        <f>VLOOKUP(Complete[[#This Row],[Code
(PAP)]],[1]Sheet1!$A:$AO,2,FALSE)</f>
        <v>LABORATORY SUPPLIES/REAGENT</v>
      </c>
      <c r="C83" s="408" t="str">
        <f>VLOOKUP(Complete[[#This Row],[Code
(PAP)]],[1]Sheet1!$A:$AO,3,FALSE)</f>
        <v>DDOPH-Montevista</v>
      </c>
      <c r="D83" s="380" t="s">
        <v>712</v>
      </c>
      <c r="E83" s="409" t="str">
        <f>VLOOKUP(Complete[[#This Row],[Code
(PAP)]],[2]Sheet1!$A:$AO,5,FALSE)</f>
        <v>Direct Contracting</v>
      </c>
      <c r="F83" s="393">
        <f>VLOOKUP(Complete[[#This Row],[Code
(PAP)]],[1]Sheet1!$A:$AO,6,FALSE)</f>
        <v>45322</v>
      </c>
      <c r="G83" s="393">
        <f>VLOOKUP(Complete[[#This Row],[Code
(PAP)]],[1]Sheet1!$A:$AO,7,FALSE)</f>
        <v>45335</v>
      </c>
      <c r="H83" s="374"/>
      <c r="I83" s="394" t="str">
        <f>VLOOKUP(Complete[[#This Row],[Code
(PAP)]],[1]Sheet1!$A:$AO,9,FALSE)</f>
        <v>N/A</v>
      </c>
      <c r="J83" s="393">
        <f>VLOOKUP(Complete[[#This Row],[Code
(PAP)]],[1]Sheet1!$A:$AO,10,FALSE)</f>
        <v>45342</v>
      </c>
      <c r="K83" s="393">
        <f>VLOOKUP(Complete[[#This Row],[Code
(PAP)]],[1]Sheet1!$A:$AO,11,FALSE)</f>
        <v>45342</v>
      </c>
      <c r="L83" s="387"/>
      <c r="M83" s="393" t="str">
        <f>VLOOKUP(Complete[[#This Row],[Code
(PAP)]],[1]Sheet1!$A:$AO,13,FALSE)</f>
        <v>N/A</v>
      </c>
      <c r="N83" s="393" t="str">
        <f>VLOOKUP(Complete[[#This Row],[Code
(PAP)]],[1]Sheet1!$A:$AO,14,FALSE)</f>
        <v>N/A</v>
      </c>
      <c r="O83" s="393">
        <f>VLOOKUP(Complete[[#This Row],[Code
(PAP)]],[1]Sheet1!$A:$AO,15,FALSE)</f>
        <v>45344</v>
      </c>
      <c r="P83" s="387"/>
      <c r="Q83" s="387"/>
      <c r="R83" s="387"/>
      <c r="S83" s="576" t="str">
        <f>VLOOKUP(Complete[[#This Row],[Code
(PAP)]],[1]Sheet1!$A:$AO,19,FALSE)</f>
        <v>N/A</v>
      </c>
      <c r="T83" s="576">
        <f>VLOOKUP(Complete[[#This Row],[Code
(PAP)]],[1]Sheet1!$A:$AO,20,FALSE)</f>
        <v>45351</v>
      </c>
      <c r="U83" s="576">
        <f>VLOOKUP(Complete[[#This Row],[Code
(PAP)]],[1]Sheet1!$A:$AO,21,FALSE)</f>
        <v>45355</v>
      </c>
      <c r="V83" s="387"/>
      <c r="W83" s="387"/>
      <c r="X83" s="392">
        <f>VLOOKUP(Complete[[#This Row],[Code
(PAP)]],[1]Sheet1!$A:$AO,24,FALSE)</f>
        <v>45420</v>
      </c>
      <c r="Y83" s="392">
        <f>Complete[[#This Row],[Delivery/ Completion]]</f>
        <v>45420</v>
      </c>
      <c r="Z83" s="610" t="s">
        <v>1478</v>
      </c>
      <c r="AA83" s="462">
        <f>Complete[[#This Row],[MOOE]]+Complete[[#This Row],[CO]]</f>
        <v>106000</v>
      </c>
      <c r="AB83" s="466">
        <v>106000</v>
      </c>
      <c r="AC83" s="497"/>
      <c r="AD83" s="498">
        <f>IF(Complete[[#This Row],[Procurement Project]]="","",SUM(Complete[[#This Row],[MOOE2]]+Complete[[#This Row],[CO3]]))</f>
        <v>102000</v>
      </c>
      <c r="AE83" s="501">
        <v>102000</v>
      </c>
      <c r="AF83" s="541"/>
      <c r="AG83" s="400"/>
      <c r="AH83" s="380" t="s">
        <v>1205</v>
      </c>
      <c r="AI83" s="576" t="str">
        <f>VLOOKUP(Complete[[#This Row],[Code
(PAP)]],[1]Sheet1!$A:$AO,35,FALSE)</f>
        <v>N/A</v>
      </c>
      <c r="AJ83" s="576" t="str">
        <f>VLOOKUP(Complete[[#This Row],[Code
(PAP)]],[1]Sheet1!$A:$AO,36,FALSE)</f>
        <v>N/A</v>
      </c>
      <c r="AK83" s="576" t="str">
        <f>VLOOKUP(Complete[[#This Row],[Code
(PAP)]],[1]Sheet1!$A:$AO,37,FALSE)</f>
        <v>N/A</v>
      </c>
      <c r="AL83" s="576" t="str">
        <f>VLOOKUP(Complete[[#This Row],[Code
(PAP)]],[1]Sheet1!$A:$AO,38,FALSE)</f>
        <v>N/A</v>
      </c>
      <c r="AM83" s="576" t="str">
        <f>VLOOKUP(Complete[[#This Row],[Code
(PAP)]],[1]Sheet1!$A:$AO,38,FALSE)</f>
        <v>N/A</v>
      </c>
      <c r="AN83" s="595" t="s">
        <v>713</v>
      </c>
      <c r="AO83" s="303" t="s">
        <v>139</v>
      </c>
      <c r="AP83" s="389"/>
      <c r="AQ83" s="389"/>
    </row>
    <row r="84" spans="1:43" s="224" customFormat="1" ht="75" customHeight="1" x14ac:dyDescent="0.25">
      <c r="A84" s="385" t="s">
        <v>261</v>
      </c>
      <c r="B84" s="406" t="str">
        <f>VLOOKUP(Complete[[#This Row],[Code
(PAP)]],[1]Sheet1!$A:$AO,2,FALSE)</f>
        <v>LABORATORY SUPPLIES/REAGENT</v>
      </c>
      <c r="C84" s="408" t="str">
        <f>VLOOKUP(Complete[[#This Row],[Code
(PAP)]],[1]Sheet1!$A:$AO,3,FALSE)</f>
        <v>PEEMO</v>
      </c>
      <c r="D84" s="380" t="s">
        <v>712</v>
      </c>
      <c r="E84" s="409" t="str">
        <f>VLOOKUP(Complete[[#This Row],[Code
(PAP)]],[2]Sheet1!$A:$AO,5,FALSE)</f>
        <v>Direct Contracting</v>
      </c>
      <c r="F84" s="393" t="str">
        <f>VLOOKUP(Complete[[#This Row],[Code
(PAP)]],[1]Sheet1!$A:$AO,6,FALSE)</f>
        <v>N/A</v>
      </c>
      <c r="G84" s="393">
        <f>VLOOKUP(Complete[[#This Row],[Code
(PAP)]],[1]Sheet1!$A:$AO,7,FALSE)</f>
        <v>45335</v>
      </c>
      <c r="H84" s="374"/>
      <c r="I84" s="394" t="str">
        <f>VLOOKUP(Complete[[#This Row],[Code
(PAP)]],[1]Sheet1!$A:$AO,9,FALSE)</f>
        <v>N/A</v>
      </c>
      <c r="J84" s="393">
        <f>VLOOKUP(Complete[[#This Row],[Code
(PAP)]],[1]Sheet1!$A:$AO,10,FALSE)</f>
        <v>45342</v>
      </c>
      <c r="K84" s="393">
        <f>VLOOKUP(Complete[[#This Row],[Code
(PAP)]],[1]Sheet1!$A:$AO,11,FALSE)</f>
        <v>45342</v>
      </c>
      <c r="L84" s="387"/>
      <c r="M84" s="393" t="str">
        <f>VLOOKUP(Complete[[#This Row],[Code
(PAP)]],[1]Sheet1!$A:$AO,13,FALSE)</f>
        <v>N/A</v>
      </c>
      <c r="N84" s="393" t="str">
        <f>VLOOKUP(Complete[[#This Row],[Code
(PAP)]],[1]Sheet1!$A:$AO,14,FALSE)</f>
        <v>N/A</v>
      </c>
      <c r="O84" s="393">
        <f>VLOOKUP(Complete[[#This Row],[Code
(PAP)]],[1]Sheet1!$A:$AO,15,FALSE)</f>
        <v>45344</v>
      </c>
      <c r="P84" s="387"/>
      <c r="Q84" s="387"/>
      <c r="R84" s="387"/>
      <c r="S84" s="576" t="str">
        <f>VLOOKUP(Complete[[#This Row],[Code
(PAP)]],[1]Sheet1!$A:$AO,19,FALSE)</f>
        <v>N/A</v>
      </c>
      <c r="T84" s="576">
        <f>VLOOKUP(Complete[[#This Row],[Code
(PAP)]],[1]Sheet1!$A:$AO,20,FALSE)</f>
        <v>45351</v>
      </c>
      <c r="U84" s="576">
        <f>VLOOKUP(Complete[[#This Row],[Code
(PAP)]],[1]Sheet1!$A:$AO,21,FALSE)</f>
        <v>45355</v>
      </c>
      <c r="V84" s="387"/>
      <c r="W84" s="387"/>
      <c r="X84" s="392">
        <f>VLOOKUP(Complete[[#This Row],[Code
(PAP)]],[1]Sheet1!$A:$AO,24,FALSE)</f>
        <v>45446</v>
      </c>
      <c r="Y84" s="392">
        <f>Complete[[#This Row],[Delivery/ Completion]]</f>
        <v>45446</v>
      </c>
      <c r="Z84" s="610" t="s">
        <v>1478</v>
      </c>
      <c r="AA84" s="462">
        <f>Complete[[#This Row],[MOOE]]+Complete[[#This Row],[CO]]</f>
        <v>985450</v>
      </c>
      <c r="AB84" s="466">
        <v>985450</v>
      </c>
      <c r="AC84" s="497"/>
      <c r="AD84" s="498">
        <f>IF(Complete[[#This Row],[Procurement Project]]="","",SUM(Complete[[#This Row],[MOOE2]]+Complete[[#This Row],[CO3]]))</f>
        <v>985450</v>
      </c>
      <c r="AE84" s="501">
        <v>985450</v>
      </c>
      <c r="AF84" s="541"/>
      <c r="AG84" s="400"/>
      <c r="AH84" s="380" t="s">
        <v>1205</v>
      </c>
      <c r="AI84" s="576" t="str">
        <f>VLOOKUP(Complete[[#This Row],[Code
(PAP)]],[1]Sheet1!$A:$AO,35,FALSE)</f>
        <v>N/A</v>
      </c>
      <c r="AJ84" s="576" t="str">
        <f>VLOOKUP(Complete[[#This Row],[Code
(PAP)]],[1]Sheet1!$A:$AO,36,FALSE)</f>
        <v>N/A</v>
      </c>
      <c r="AK84" s="576" t="str">
        <f>VLOOKUP(Complete[[#This Row],[Code
(PAP)]],[1]Sheet1!$A:$AO,37,FALSE)</f>
        <v>N/A</v>
      </c>
      <c r="AL84" s="576" t="str">
        <f>VLOOKUP(Complete[[#This Row],[Code
(PAP)]],[1]Sheet1!$A:$AO,38,FALSE)</f>
        <v>N/A</v>
      </c>
      <c r="AM84" s="576" t="str">
        <f>VLOOKUP(Complete[[#This Row],[Code
(PAP)]],[1]Sheet1!$A:$AO,38,FALSE)</f>
        <v>N/A</v>
      </c>
      <c r="AN84" s="595" t="s">
        <v>713</v>
      </c>
      <c r="AO84" s="303" t="s">
        <v>139</v>
      </c>
      <c r="AP84" s="389"/>
      <c r="AQ84" s="389"/>
    </row>
    <row r="85" spans="1:43" s="224" customFormat="1" ht="75" customHeight="1" x14ac:dyDescent="0.25">
      <c r="A85" s="385" t="s">
        <v>262</v>
      </c>
      <c r="B85" s="406" t="str">
        <f>VLOOKUP(Complete[[#This Row],[Code
(PAP)]],[1]Sheet1!$A:$AO,2,FALSE)</f>
        <v>LABORATORY SUPPLIES</v>
      </c>
      <c r="C85" s="408" t="str">
        <f>VLOOKUP(Complete[[#This Row],[Code
(PAP)]],[1]Sheet1!$A:$AO,3,FALSE)</f>
        <v>PEEMO</v>
      </c>
      <c r="D85" s="380" t="s">
        <v>712</v>
      </c>
      <c r="E85" s="409" t="str">
        <f>VLOOKUP(Complete[[#This Row],[Code
(PAP)]],[2]Sheet1!$A:$AO,5,FALSE)</f>
        <v>Direct Contracting</v>
      </c>
      <c r="F85" s="393">
        <f>VLOOKUP(Complete[[#This Row],[Code
(PAP)]],[1]Sheet1!$A:$AO,6,FALSE)</f>
        <v>45322</v>
      </c>
      <c r="G85" s="393">
        <f>VLOOKUP(Complete[[#This Row],[Code
(PAP)]],[1]Sheet1!$A:$AO,7,FALSE)</f>
        <v>45335</v>
      </c>
      <c r="H85" s="374"/>
      <c r="I85" s="394" t="str">
        <f>VLOOKUP(Complete[[#This Row],[Code
(PAP)]],[1]Sheet1!$A:$AO,9,FALSE)</f>
        <v>N/A</v>
      </c>
      <c r="J85" s="393">
        <f>VLOOKUP(Complete[[#This Row],[Code
(PAP)]],[1]Sheet1!$A:$AO,10,FALSE)</f>
        <v>45342</v>
      </c>
      <c r="K85" s="393">
        <f>VLOOKUP(Complete[[#This Row],[Code
(PAP)]],[1]Sheet1!$A:$AO,11,FALSE)</f>
        <v>45342</v>
      </c>
      <c r="L85" s="387"/>
      <c r="M85" s="393" t="str">
        <f>VLOOKUP(Complete[[#This Row],[Code
(PAP)]],[1]Sheet1!$A:$AO,13,FALSE)</f>
        <v>N/A</v>
      </c>
      <c r="N85" s="393" t="str">
        <f>VLOOKUP(Complete[[#This Row],[Code
(PAP)]],[1]Sheet1!$A:$AO,14,FALSE)</f>
        <v>N/A</v>
      </c>
      <c r="O85" s="393">
        <f>VLOOKUP(Complete[[#This Row],[Code
(PAP)]],[1]Sheet1!$A:$AO,15,FALSE)</f>
        <v>45344</v>
      </c>
      <c r="P85" s="387"/>
      <c r="Q85" s="387"/>
      <c r="R85" s="387"/>
      <c r="S85" s="576" t="str">
        <f>VLOOKUP(Complete[[#This Row],[Code
(PAP)]],[1]Sheet1!$A:$AO,19,FALSE)</f>
        <v>N/A</v>
      </c>
      <c r="T85" s="576">
        <f>VLOOKUP(Complete[[#This Row],[Code
(PAP)]],[1]Sheet1!$A:$AO,20,FALSE)</f>
        <v>45351</v>
      </c>
      <c r="U85" s="576">
        <f>VLOOKUP(Complete[[#This Row],[Code
(PAP)]],[1]Sheet1!$A:$AO,21,FALSE)</f>
        <v>45355</v>
      </c>
      <c r="V85" s="387"/>
      <c r="W85" s="387"/>
      <c r="X85" s="392">
        <f>VLOOKUP(Complete[[#This Row],[Code
(PAP)]],[1]Sheet1!$A:$AO,24,FALSE)</f>
        <v>45450</v>
      </c>
      <c r="Y85" s="392">
        <f>Complete[[#This Row],[Delivery/ Completion]]</f>
        <v>45450</v>
      </c>
      <c r="Z85" s="610" t="s">
        <v>1478</v>
      </c>
      <c r="AA85" s="462">
        <f>Complete[[#This Row],[MOOE]]+Complete[[#This Row],[CO]]</f>
        <v>768750</v>
      </c>
      <c r="AB85" s="466">
        <v>768750</v>
      </c>
      <c r="AC85" s="497"/>
      <c r="AD85" s="498">
        <f>IF(Complete[[#This Row],[Procurement Project]]="","",SUM(Complete[[#This Row],[MOOE2]]+Complete[[#This Row],[CO3]]))</f>
        <v>768750</v>
      </c>
      <c r="AE85" s="501">
        <v>768750</v>
      </c>
      <c r="AF85" s="541"/>
      <c r="AG85" s="400"/>
      <c r="AH85" s="380" t="s">
        <v>1205</v>
      </c>
      <c r="AI85" s="576" t="str">
        <f>VLOOKUP(Complete[[#This Row],[Code
(PAP)]],[1]Sheet1!$A:$AO,35,FALSE)</f>
        <v>N/A</v>
      </c>
      <c r="AJ85" s="576" t="str">
        <f>VLOOKUP(Complete[[#This Row],[Code
(PAP)]],[1]Sheet1!$A:$AO,36,FALSE)</f>
        <v>N/A</v>
      </c>
      <c r="AK85" s="576" t="str">
        <f>VLOOKUP(Complete[[#This Row],[Code
(PAP)]],[1]Sheet1!$A:$AO,37,FALSE)</f>
        <v>N/A</v>
      </c>
      <c r="AL85" s="576" t="str">
        <f>VLOOKUP(Complete[[#This Row],[Code
(PAP)]],[1]Sheet1!$A:$AO,38,FALSE)</f>
        <v>N/A</v>
      </c>
      <c r="AM85" s="576" t="str">
        <f>VLOOKUP(Complete[[#This Row],[Code
(PAP)]],[1]Sheet1!$A:$AO,38,FALSE)</f>
        <v>N/A</v>
      </c>
      <c r="AN85" s="595" t="s">
        <v>713</v>
      </c>
      <c r="AO85" s="303" t="s">
        <v>139</v>
      </c>
      <c r="AP85" s="389"/>
      <c r="AQ85" s="389"/>
    </row>
    <row r="86" spans="1:43" s="224" customFormat="1" ht="75" customHeight="1" x14ac:dyDescent="0.25">
      <c r="A86" s="385" t="s">
        <v>264</v>
      </c>
      <c r="B86" s="406" t="str">
        <f>VLOOKUP(Complete[[#This Row],[Code
(PAP)]],[1]Sheet1!$A:$AO,2,FALSE)</f>
        <v>FOOD SUPPLIES</v>
      </c>
      <c r="C86" s="408" t="str">
        <f>VLOOKUP(Complete[[#This Row],[Code
(PAP)]],[1]Sheet1!$A:$AO,3,FALSE)</f>
        <v>PDRRMO</v>
      </c>
      <c r="D86" s="380" t="s">
        <v>712</v>
      </c>
      <c r="E86" s="409" t="str">
        <f>VLOOKUP(Complete[[#This Row],[Code
(PAP)]],[2]Sheet1!$A:$AO,5,FALSE)</f>
        <v>NP-53.2 Emergency Cases</v>
      </c>
      <c r="F86" s="393" t="str">
        <f>VLOOKUP(Complete[[#This Row],[Code
(PAP)]],[1]Sheet1!$A:$AO,6,FALSE)</f>
        <v>N/A</v>
      </c>
      <c r="G86" s="393">
        <f>VLOOKUP(Complete[[#This Row],[Code
(PAP)]],[1]Sheet1!$A:$AO,7,FALSE)</f>
        <v>45335</v>
      </c>
      <c r="H86" s="374"/>
      <c r="I86" s="394" t="str">
        <f>VLOOKUP(Complete[[#This Row],[Code
(PAP)]],[1]Sheet1!$A:$AO,9,FALSE)</f>
        <v>N/A</v>
      </c>
      <c r="J86" s="393">
        <f>VLOOKUP(Complete[[#This Row],[Code
(PAP)]],[1]Sheet1!$A:$AO,10,FALSE)</f>
        <v>45335</v>
      </c>
      <c r="K86" s="393">
        <f>VLOOKUP(Complete[[#This Row],[Code
(PAP)]],[1]Sheet1!$A:$AO,11,FALSE)</f>
        <v>45335</v>
      </c>
      <c r="L86" s="387"/>
      <c r="M86" s="393" t="str">
        <f>VLOOKUP(Complete[[#This Row],[Code
(PAP)]],[1]Sheet1!$A:$AO,13,FALSE)</f>
        <v>N/A</v>
      </c>
      <c r="N86" s="393" t="str">
        <f>VLOOKUP(Complete[[#This Row],[Code
(PAP)]],[1]Sheet1!$A:$AO,14,FALSE)</f>
        <v>N/A</v>
      </c>
      <c r="O86" s="393">
        <f>VLOOKUP(Complete[[#This Row],[Code
(PAP)]],[1]Sheet1!$A:$AO,15,FALSE)</f>
        <v>45337</v>
      </c>
      <c r="P86" s="387"/>
      <c r="Q86" s="387"/>
      <c r="R86" s="387"/>
      <c r="S86" s="576">
        <f>VLOOKUP(Complete[[#This Row],[Code
(PAP)]],[1]Sheet1!$A:$AO,19,FALSE)</f>
        <v>45337</v>
      </c>
      <c r="T86" s="576">
        <f>VLOOKUP(Complete[[#This Row],[Code
(PAP)]],[1]Sheet1!$A:$AO,20,FALSE)</f>
        <v>45337</v>
      </c>
      <c r="U86" s="576">
        <f>VLOOKUP(Complete[[#This Row],[Code
(PAP)]],[1]Sheet1!$A:$AO,21,FALSE)</f>
        <v>45337</v>
      </c>
      <c r="V86" s="387"/>
      <c r="W86" s="387"/>
      <c r="X86" s="392">
        <f>VLOOKUP(Complete[[#This Row],[Code
(PAP)]],[1]Sheet1!$A:$AO,24,FALSE)</f>
        <v>45337</v>
      </c>
      <c r="Y86" s="392">
        <f>Complete[[#This Row],[Delivery/ Completion]]</f>
        <v>45337</v>
      </c>
      <c r="Z86" s="610" t="s">
        <v>1478</v>
      </c>
      <c r="AA86" s="462">
        <f>Complete[[#This Row],[MOOE]]+Complete[[#This Row],[CO]]</f>
        <v>3098368</v>
      </c>
      <c r="AB86" s="466"/>
      <c r="AC86" s="497">
        <v>3098368</v>
      </c>
      <c r="AD86" s="498">
        <f>IF(Complete[[#This Row],[Procurement Project]]="","",SUM(Complete[[#This Row],[MOOE2]]+Complete[[#This Row],[CO3]]))</f>
        <v>3070984</v>
      </c>
      <c r="AE86" s="501"/>
      <c r="AF86" s="541">
        <v>3070984</v>
      </c>
      <c r="AG86" s="400"/>
      <c r="AH86" s="380" t="s">
        <v>1205</v>
      </c>
      <c r="AI86" s="576" t="str">
        <f>VLOOKUP(Complete[[#This Row],[Code
(PAP)]],[1]Sheet1!$A:$AO,35,FALSE)</f>
        <v>N/A</v>
      </c>
      <c r="AJ86" s="576" t="str">
        <f>VLOOKUP(Complete[[#This Row],[Code
(PAP)]],[1]Sheet1!$A:$AO,36,FALSE)</f>
        <v>N/A</v>
      </c>
      <c r="AK86" s="576" t="str">
        <f>VLOOKUP(Complete[[#This Row],[Code
(PAP)]],[1]Sheet1!$A:$AO,37,FALSE)</f>
        <v>N/A</v>
      </c>
      <c r="AL86" s="576" t="str">
        <f>VLOOKUP(Complete[[#This Row],[Code
(PAP)]],[1]Sheet1!$A:$AO,38,FALSE)</f>
        <v>N/A</v>
      </c>
      <c r="AM86" s="576" t="str">
        <f>VLOOKUP(Complete[[#This Row],[Code
(PAP)]],[1]Sheet1!$A:$AO,38,FALSE)</f>
        <v>N/A</v>
      </c>
      <c r="AN86" s="595" t="s">
        <v>713</v>
      </c>
      <c r="AO86" s="303" t="s">
        <v>139</v>
      </c>
      <c r="AP86" s="389"/>
      <c r="AQ86" s="389"/>
    </row>
    <row r="87" spans="1:43" s="224" customFormat="1" ht="75" customHeight="1" x14ac:dyDescent="0.25">
      <c r="A87" s="385" t="s">
        <v>265</v>
      </c>
      <c r="B87" s="406" t="str">
        <f>VLOOKUP(Complete[[#This Row],[Code
(PAP)]],[1]Sheet1!$A:$AO,2,FALSE)</f>
        <v>CAUTION 500M</v>
      </c>
      <c r="C87" s="408" t="str">
        <f>VLOOKUP(Complete[[#This Row],[Code
(PAP)]],[1]Sheet1!$A:$AO,3,FALSE)</f>
        <v>PDRRMO</v>
      </c>
      <c r="D87" s="380" t="s">
        <v>712</v>
      </c>
      <c r="E87" s="409" t="str">
        <f>VLOOKUP(Complete[[#This Row],[Code
(PAP)]],[2]Sheet1!$A:$AO,5,FALSE)</f>
        <v>NP-53.2 Emergency Cases</v>
      </c>
      <c r="F87" s="393" t="str">
        <f>VLOOKUP(Complete[[#This Row],[Code
(PAP)]],[1]Sheet1!$A:$AO,6,FALSE)</f>
        <v>N/A</v>
      </c>
      <c r="G87" s="393">
        <f>VLOOKUP(Complete[[#This Row],[Code
(PAP)]],[1]Sheet1!$A:$AO,7,FALSE)</f>
        <v>45342</v>
      </c>
      <c r="H87" s="374"/>
      <c r="I87" s="394" t="str">
        <f>VLOOKUP(Complete[[#This Row],[Code
(PAP)]],[1]Sheet1!$A:$AO,9,FALSE)</f>
        <v>N/A</v>
      </c>
      <c r="J87" s="393">
        <f>VLOOKUP(Complete[[#This Row],[Code
(PAP)]],[1]Sheet1!$A:$AO,10,FALSE)</f>
        <v>45342</v>
      </c>
      <c r="K87" s="393">
        <f>VLOOKUP(Complete[[#This Row],[Code
(PAP)]],[1]Sheet1!$A:$AO,11,FALSE)</f>
        <v>45342</v>
      </c>
      <c r="L87" s="387"/>
      <c r="M87" s="393" t="str">
        <f>VLOOKUP(Complete[[#This Row],[Code
(PAP)]],[1]Sheet1!$A:$AO,13,FALSE)</f>
        <v>N/A</v>
      </c>
      <c r="N87" s="393" t="str">
        <f>VLOOKUP(Complete[[#This Row],[Code
(PAP)]],[1]Sheet1!$A:$AO,14,FALSE)</f>
        <v>N/A</v>
      </c>
      <c r="O87" s="393">
        <f>VLOOKUP(Complete[[#This Row],[Code
(PAP)]],[1]Sheet1!$A:$AO,15,FALSE)</f>
        <v>45344</v>
      </c>
      <c r="P87" s="387"/>
      <c r="Q87" s="387"/>
      <c r="R87" s="387"/>
      <c r="S87" s="576">
        <f>VLOOKUP(Complete[[#This Row],[Code
(PAP)]],[1]Sheet1!$A:$AO,19,FALSE)</f>
        <v>45351</v>
      </c>
      <c r="T87" s="576">
        <f>VLOOKUP(Complete[[#This Row],[Code
(PAP)]],[1]Sheet1!$A:$AO,20,FALSE)</f>
        <v>45355</v>
      </c>
      <c r="U87" s="576">
        <f>VLOOKUP(Complete[[#This Row],[Code
(PAP)]],[1]Sheet1!$A:$AO,21,FALSE)</f>
        <v>45357</v>
      </c>
      <c r="V87" s="387"/>
      <c r="W87" s="387"/>
      <c r="X87" s="392">
        <f>VLOOKUP(Complete[[#This Row],[Code
(PAP)]],[1]Sheet1!$A:$AO,24,FALSE)</f>
        <v>45358</v>
      </c>
      <c r="Y87" s="392">
        <f>Complete[[#This Row],[Delivery/ Completion]]</f>
        <v>45358</v>
      </c>
      <c r="Z87" s="610" t="s">
        <v>1478</v>
      </c>
      <c r="AA87" s="462">
        <f>Complete[[#This Row],[MOOE]]+Complete[[#This Row],[CO]]</f>
        <v>67500</v>
      </c>
      <c r="AB87" s="466"/>
      <c r="AC87" s="497">
        <v>67500</v>
      </c>
      <c r="AD87" s="498">
        <f>IF(Complete[[#This Row],[Procurement Project]]="","",SUM(Complete[[#This Row],[MOOE2]]+Complete[[#This Row],[CO3]]))</f>
        <v>66500</v>
      </c>
      <c r="AE87" s="501"/>
      <c r="AF87" s="541">
        <v>66500</v>
      </c>
      <c r="AG87" s="400"/>
      <c r="AH87" s="380" t="s">
        <v>1205</v>
      </c>
      <c r="AI87" s="576" t="str">
        <f>VLOOKUP(Complete[[#This Row],[Code
(PAP)]],[1]Sheet1!$A:$AO,35,FALSE)</f>
        <v>N/A</v>
      </c>
      <c r="AJ87" s="576" t="str">
        <f>VLOOKUP(Complete[[#This Row],[Code
(PAP)]],[1]Sheet1!$A:$AO,36,FALSE)</f>
        <v>N/A</v>
      </c>
      <c r="AK87" s="576" t="str">
        <f>VLOOKUP(Complete[[#This Row],[Code
(PAP)]],[1]Sheet1!$A:$AO,37,FALSE)</f>
        <v>N/A</v>
      </c>
      <c r="AL87" s="576" t="str">
        <f>VLOOKUP(Complete[[#This Row],[Code
(PAP)]],[1]Sheet1!$A:$AO,38,FALSE)</f>
        <v>N/A</v>
      </c>
      <c r="AM87" s="576" t="str">
        <f>VLOOKUP(Complete[[#This Row],[Code
(PAP)]],[1]Sheet1!$A:$AO,38,FALSE)</f>
        <v>N/A</v>
      </c>
      <c r="AN87" s="595" t="s">
        <v>713</v>
      </c>
      <c r="AO87" s="303" t="s">
        <v>139</v>
      </c>
      <c r="AP87" s="389"/>
      <c r="AQ87" s="389"/>
    </row>
    <row r="88" spans="1:43" s="224" customFormat="1" ht="75" customHeight="1" x14ac:dyDescent="0.25">
      <c r="A88" s="385" t="s">
        <v>266</v>
      </c>
      <c r="B88" s="406" t="str">
        <f>VLOOKUP(Complete[[#This Row],[Code
(PAP)]],[1]Sheet1!$A:$AO,2,FALSE)</f>
        <v>SPAREPARTS (LIGHT VEHICLES)</v>
      </c>
      <c r="C88" s="408" t="str">
        <f>VLOOKUP(Complete[[#This Row],[Code
(PAP)]],[1]Sheet1!$A:$AO,3,FALSE)</f>
        <v>SPO</v>
      </c>
      <c r="D88" s="380" t="s">
        <v>712</v>
      </c>
      <c r="E88" s="409" t="str">
        <f>VLOOKUP(Complete[[#This Row],[Code
(PAP)]],[2]Sheet1!$A:$AO,5,FALSE)</f>
        <v>Shopping 52.1(a) - Unforeseen Contingency</v>
      </c>
      <c r="F88" s="393" t="str">
        <f>VLOOKUP(Complete[[#This Row],[Code
(PAP)]],[1]Sheet1!$A:$AO,6,FALSE)</f>
        <v>N/A</v>
      </c>
      <c r="G88" s="393">
        <f>VLOOKUP(Complete[[#This Row],[Code
(PAP)]],[1]Sheet1!$A:$AO,7,FALSE)</f>
        <v>45338</v>
      </c>
      <c r="H88" s="374"/>
      <c r="I88" s="394" t="str">
        <f>VLOOKUP(Complete[[#This Row],[Code
(PAP)]],[1]Sheet1!$A:$AO,9,FALSE)</f>
        <v>N/A</v>
      </c>
      <c r="J88" s="393">
        <f>VLOOKUP(Complete[[#This Row],[Code
(PAP)]],[1]Sheet1!$A:$AO,10,FALSE)</f>
        <v>45356</v>
      </c>
      <c r="K88" s="393">
        <f>VLOOKUP(Complete[[#This Row],[Code
(PAP)]],[1]Sheet1!$A:$AO,11,FALSE)</f>
        <v>45356</v>
      </c>
      <c r="L88" s="387"/>
      <c r="M88" s="393" t="str">
        <f>VLOOKUP(Complete[[#This Row],[Code
(PAP)]],[1]Sheet1!$A:$AO,13,FALSE)</f>
        <v>N/A</v>
      </c>
      <c r="N88" s="393" t="str">
        <f>VLOOKUP(Complete[[#This Row],[Code
(PAP)]],[1]Sheet1!$A:$AO,14,FALSE)</f>
        <v>N/A</v>
      </c>
      <c r="O88" s="393">
        <f>VLOOKUP(Complete[[#This Row],[Code
(PAP)]],[1]Sheet1!$A:$AO,15,FALSE)</f>
        <v>45357</v>
      </c>
      <c r="P88" s="387"/>
      <c r="Q88" s="387"/>
      <c r="R88" s="387"/>
      <c r="S88" s="576" t="str">
        <f>VLOOKUP(Complete[[#This Row],[Code
(PAP)]],[1]Sheet1!$A:$AO,19,FALSE)</f>
        <v>N/A</v>
      </c>
      <c r="T88" s="576">
        <f>VLOOKUP(Complete[[#This Row],[Code
(PAP)]],[1]Sheet1!$A:$AO,20,FALSE)</f>
        <v>45384</v>
      </c>
      <c r="U88" s="576">
        <f>VLOOKUP(Complete[[#This Row],[Code
(PAP)]],[1]Sheet1!$A:$AO,21,FALSE)</f>
        <v>45390</v>
      </c>
      <c r="V88" s="387"/>
      <c r="W88" s="387"/>
      <c r="X88" s="392">
        <f>VLOOKUP(Complete[[#This Row],[Code
(PAP)]],[1]Sheet1!$A:$AO,24,FALSE)</f>
        <v>45390</v>
      </c>
      <c r="Y88" s="392">
        <f>Complete[[#This Row],[Delivery/ Completion]]</f>
        <v>45390</v>
      </c>
      <c r="Z88" s="610" t="s">
        <v>1478</v>
      </c>
      <c r="AA88" s="462">
        <f>Complete[[#This Row],[MOOE]]+Complete[[#This Row],[CO]]</f>
        <v>7316</v>
      </c>
      <c r="AB88" s="466">
        <f>VLOOKUP(Complete[[#This Row],[Code
(PAP)]],[1]Sheet1!$A:$AN,28,FALSE)</f>
        <v>7316</v>
      </c>
      <c r="AC88" s="497"/>
      <c r="AD88" s="498">
        <f>IF(Complete[[#This Row],[Procurement Project]]="","",SUM(Complete[[#This Row],[MOOE2]]+Complete[[#This Row],[CO3]]))</f>
        <v>7316</v>
      </c>
      <c r="AE88" s="501">
        <f>VLOOKUP(Complete[[#This Row],[Code
(PAP)]],[1]Sheet1!$A:$AO,31,FALSE)</f>
        <v>7316</v>
      </c>
      <c r="AF88" s="541"/>
      <c r="AG88" s="400"/>
      <c r="AH88" s="380" t="s">
        <v>1205</v>
      </c>
      <c r="AI88" s="576" t="str">
        <f>VLOOKUP(Complete[[#This Row],[Code
(PAP)]],[1]Sheet1!$A:$AO,35,FALSE)</f>
        <v>N/A</v>
      </c>
      <c r="AJ88" s="576" t="str">
        <f>VLOOKUP(Complete[[#This Row],[Code
(PAP)]],[1]Sheet1!$A:$AO,36,FALSE)</f>
        <v>N/A</v>
      </c>
      <c r="AK88" s="576" t="str">
        <f>VLOOKUP(Complete[[#This Row],[Code
(PAP)]],[1]Sheet1!$A:$AO,37,FALSE)</f>
        <v>N/A</v>
      </c>
      <c r="AL88" s="576" t="str">
        <f>VLOOKUP(Complete[[#This Row],[Code
(PAP)]],[1]Sheet1!$A:$AO,38,FALSE)</f>
        <v>N/A</v>
      </c>
      <c r="AM88" s="576" t="str">
        <f>VLOOKUP(Complete[[#This Row],[Code
(PAP)]],[1]Sheet1!$A:$AO,38,FALSE)</f>
        <v>N/A</v>
      </c>
      <c r="AN88" s="595" t="s">
        <v>713</v>
      </c>
      <c r="AO88" s="303" t="s">
        <v>139</v>
      </c>
      <c r="AP88" s="389"/>
      <c r="AQ88" s="389"/>
    </row>
    <row r="89" spans="1:43" s="224" customFormat="1" ht="75" customHeight="1" x14ac:dyDescent="0.25">
      <c r="A89" s="385" t="s">
        <v>267</v>
      </c>
      <c r="B89" s="406" t="str">
        <f>VLOOKUP(Complete[[#This Row],[Code
(PAP)]],[1]Sheet1!$A:$AO,2,FALSE)</f>
        <v>SPAREPARTS (LIGHT VEHICLES)</v>
      </c>
      <c r="C89" s="408" t="str">
        <f>VLOOKUP(Complete[[#This Row],[Code
(PAP)]],[1]Sheet1!$A:$AO,3,FALSE)</f>
        <v>PGSO</v>
      </c>
      <c r="D89" s="380" t="s">
        <v>712</v>
      </c>
      <c r="E89" s="409" t="str">
        <f>VLOOKUP(Complete[[#This Row],[Code
(PAP)]],[2]Sheet1!$A:$AO,5,FALSE)</f>
        <v>Shopping 52.1(a) - Unforeseen Contingency</v>
      </c>
      <c r="F89" s="393" t="str">
        <f>VLOOKUP(Complete[[#This Row],[Code
(PAP)]],[1]Sheet1!$A:$AO,6,FALSE)</f>
        <v>N/A</v>
      </c>
      <c r="G89" s="393">
        <f>VLOOKUP(Complete[[#This Row],[Code
(PAP)]],[1]Sheet1!$A:$AO,7,FALSE)</f>
        <v>45352</v>
      </c>
      <c r="H89" s="374"/>
      <c r="I89" s="394" t="str">
        <f>VLOOKUP(Complete[[#This Row],[Code
(PAP)]],[1]Sheet1!$A:$AO,9,FALSE)</f>
        <v>N/A</v>
      </c>
      <c r="J89" s="393">
        <f>VLOOKUP(Complete[[#This Row],[Code
(PAP)]],[1]Sheet1!$A:$AO,10,FALSE)</f>
        <v>45356</v>
      </c>
      <c r="K89" s="393">
        <f>VLOOKUP(Complete[[#This Row],[Code
(PAP)]],[1]Sheet1!$A:$AO,11,FALSE)</f>
        <v>45356</v>
      </c>
      <c r="L89" s="387"/>
      <c r="M89" s="393" t="str">
        <f>VLOOKUP(Complete[[#This Row],[Code
(PAP)]],[1]Sheet1!$A:$AO,13,FALSE)</f>
        <v>N/A</v>
      </c>
      <c r="N89" s="393" t="str">
        <f>VLOOKUP(Complete[[#This Row],[Code
(PAP)]],[1]Sheet1!$A:$AO,14,FALSE)</f>
        <v>N/A</v>
      </c>
      <c r="O89" s="393">
        <f>VLOOKUP(Complete[[#This Row],[Code
(PAP)]],[1]Sheet1!$A:$AO,15,FALSE)</f>
        <v>45357</v>
      </c>
      <c r="P89" s="387"/>
      <c r="Q89" s="387"/>
      <c r="R89" s="387"/>
      <c r="S89" s="576" t="str">
        <f>VLOOKUP(Complete[[#This Row],[Code
(PAP)]],[1]Sheet1!$A:$AO,19,FALSE)</f>
        <v>N/A</v>
      </c>
      <c r="T89" s="576">
        <f>VLOOKUP(Complete[[#This Row],[Code
(PAP)]],[1]Sheet1!$A:$AO,20,FALSE)</f>
        <v>45376</v>
      </c>
      <c r="U89" s="576">
        <f>VLOOKUP(Complete[[#This Row],[Code
(PAP)]],[1]Sheet1!$A:$AO,21,FALSE)</f>
        <v>45385</v>
      </c>
      <c r="V89" s="387"/>
      <c r="W89" s="387"/>
      <c r="X89" s="392">
        <f>VLOOKUP(Complete[[#This Row],[Code
(PAP)]],[1]Sheet1!$A:$AO,24,FALSE)</f>
        <v>45385</v>
      </c>
      <c r="Y89" s="392">
        <f>Complete[[#This Row],[Delivery/ Completion]]</f>
        <v>45385</v>
      </c>
      <c r="Z89" s="610" t="s">
        <v>1478</v>
      </c>
      <c r="AA89" s="462">
        <f>Complete[[#This Row],[MOOE]]+Complete[[#This Row],[CO]]</f>
        <v>46000</v>
      </c>
      <c r="AB89" s="466">
        <v>46000</v>
      </c>
      <c r="AC89" s="497"/>
      <c r="AD89" s="498">
        <f>IF(Complete[[#This Row],[Procurement Project]]="","",SUM(Complete[[#This Row],[MOOE2]]+Complete[[#This Row],[CO3]]))</f>
        <v>46000</v>
      </c>
      <c r="AE89" s="501">
        <v>46000</v>
      </c>
      <c r="AF89" s="541"/>
      <c r="AG89" s="400"/>
      <c r="AH89" s="380" t="s">
        <v>1205</v>
      </c>
      <c r="AI89" s="576" t="str">
        <f>VLOOKUP(Complete[[#This Row],[Code
(PAP)]],[1]Sheet1!$A:$AO,35,FALSE)</f>
        <v>N/A</v>
      </c>
      <c r="AJ89" s="576" t="str">
        <f>VLOOKUP(Complete[[#This Row],[Code
(PAP)]],[1]Sheet1!$A:$AO,36,FALSE)</f>
        <v>N/A</v>
      </c>
      <c r="AK89" s="576" t="str">
        <f>VLOOKUP(Complete[[#This Row],[Code
(PAP)]],[1]Sheet1!$A:$AO,37,FALSE)</f>
        <v>N/A</v>
      </c>
      <c r="AL89" s="576" t="str">
        <f>VLOOKUP(Complete[[#This Row],[Code
(PAP)]],[1]Sheet1!$A:$AO,38,FALSE)</f>
        <v>N/A</v>
      </c>
      <c r="AM89" s="576" t="str">
        <f>VLOOKUP(Complete[[#This Row],[Code
(PAP)]],[1]Sheet1!$A:$AO,38,FALSE)</f>
        <v>N/A</v>
      </c>
      <c r="AN89" s="595" t="s">
        <v>713</v>
      </c>
      <c r="AO89" s="303" t="s">
        <v>139</v>
      </c>
      <c r="AP89" s="389"/>
      <c r="AQ89" s="389"/>
    </row>
    <row r="90" spans="1:43" s="224" customFormat="1" ht="75" customHeight="1" x14ac:dyDescent="0.25">
      <c r="A90" s="385" t="s">
        <v>268</v>
      </c>
      <c r="B90" s="406" t="str">
        <f>VLOOKUP(Complete[[#This Row],[Code
(PAP)]],[1]Sheet1!$A:$AO,2,FALSE)</f>
        <v>SPAREPARTS(MOTOR CYCLE)</v>
      </c>
      <c r="C90" s="408" t="str">
        <f>VLOOKUP(Complete[[#This Row],[Code
(PAP)]],[1]Sheet1!$A:$AO,3,FALSE)</f>
        <v>PGSO</v>
      </c>
      <c r="D90" s="380" t="s">
        <v>712</v>
      </c>
      <c r="E90" s="409" t="str">
        <f>VLOOKUP(Complete[[#This Row],[Code
(PAP)]],[2]Sheet1!$A:$AO,5,FALSE)</f>
        <v>Shopping 52.1(a) - Unforeseen Contingency</v>
      </c>
      <c r="F90" s="393" t="str">
        <f>VLOOKUP(Complete[[#This Row],[Code
(PAP)]],[1]Sheet1!$A:$AO,6,FALSE)</f>
        <v>N/A</v>
      </c>
      <c r="G90" s="393">
        <f>VLOOKUP(Complete[[#This Row],[Code
(PAP)]],[1]Sheet1!$A:$AO,7,FALSE)</f>
        <v>45352</v>
      </c>
      <c r="H90" s="374"/>
      <c r="I90" s="394" t="str">
        <f>VLOOKUP(Complete[[#This Row],[Code
(PAP)]],[1]Sheet1!$A:$AO,9,FALSE)</f>
        <v>N/A</v>
      </c>
      <c r="J90" s="393">
        <f>VLOOKUP(Complete[[#This Row],[Code
(PAP)]],[1]Sheet1!$A:$AO,10,FALSE)</f>
        <v>45356</v>
      </c>
      <c r="K90" s="393">
        <f>VLOOKUP(Complete[[#This Row],[Code
(PAP)]],[1]Sheet1!$A:$AO,11,FALSE)</f>
        <v>45356</v>
      </c>
      <c r="L90" s="387"/>
      <c r="M90" s="393" t="str">
        <f>VLOOKUP(Complete[[#This Row],[Code
(PAP)]],[1]Sheet1!$A:$AO,13,FALSE)</f>
        <v>N/A</v>
      </c>
      <c r="N90" s="393" t="str">
        <f>VLOOKUP(Complete[[#This Row],[Code
(PAP)]],[1]Sheet1!$A:$AO,14,FALSE)</f>
        <v>N/A</v>
      </c>
      <c r="O90" s="393">
        <f>VLOOKUP(Complete[[#This Row],[Code
(PAP)]],[1]Sheet1!$A:$AO,15,FALSE)</f>
        <v>45357</v>
      </c>
      <c r="P90" s="387"/>
      <c r="Q90" s="387"/>
      <c r="R90" s="387"/>
      <c r="S90" s="576" t="str">
        <f>VLOOKUP(Complete[[#This Row],[Code
(PAP)]],[1]Sheet1!$A:$AO,19,FALSE)</f>
        <v>N/A</v>
      </c>
      <c r="T90" s="576">
        <f>VLOOKUP(Complete[[#This Row],[Code
(PAP)]],[1]Sheet1!$A:$AO,20,FALSE)</f>
        <v>45373</v>
      </c>
      <c r="U90" s="576">
        <f>VLOOKUP(Complete[[#This Row],[Code
(PAP)]],[1]Sheet1!$A:$AO,21,FALSE)</f>
        <v>45384</v>
      </c>
      <c r="V90" s="387"/>
      <c r="W90" s="387"/>
      <c r="X90" s="392">
        <f>VLOOKUP(Complete[[#This Row],[Code
(PAP)]],[1]Sheet1!$A:$AO,24,FALSE)</f>
        <v>45384</v>
      </c>
      <c r="Y90" s="392">
        <f>Complete[[#This Row],[Delivery/ Completion]]</f>
        <v>45384</v>
      </c>
      <c r="Z90" s="610" t="s">
        <v>1478</v>
      </c>
      <c r="AA90" s="462">
        <f>Complete[[#This Row],[MOOE]]+Complete[[#This Row],[CO]]</f>
        <v>2850</v>
      </c>
      <c r="AB90" s="466">
        <v>2850</v>
      </c>
      <c r="AC90" s="497"/>
      <c r="AD90" s="498">
        <f>IF(Complete[[#This Row],[Procurement Project]]="","",SUM(Complete[[#This Row],[MOOE2]]+Complete[[#This Row],[CO3]]))</f>
        <v>2850</v>
      </c>
      <c r="AE90" s="501">
        <v>2850</v>
      </c>
      <c r="AF90" s="541"/>
      <c r="AG90" s="400"/>
      <c r="AH90" s="380" t="s">
        <v>1205</v>
      </c>
      <c r="AI90" s="576" t="str">
        <f>VLOOKUP(Complete[[#This Row],[Code
(PAP)]],[1]Sheet1!$A:$AO,35,FALSE)</f>
        <v>N/A</v>
      </c>
      <c r="AJ90" s="576" t="str">
        <f>VLOOKUP(Complete[[#This Row],[Code
(PAP)]],[1]Sheet1!$A:$AO,36,FALSE)</f>
        <v>N/A</v>
      </c>
      <c r="AK90" s="576" t="str">
        <f>VLOOKUP(Complete[[#This Row],[Code
(PAP)]],[1]Sheet1!$A:$AO,37,FALSE)</f>
        <v>N/A</v>
      </c>
      <c r="AL90" s="576" t="str">
        <f>VLOOKUP(Complete[[#This Row],[Code
(PAP)]],[1]Sheet1!$A:$AO,38,FALSE)</f>
        <v>N/A</v>
      </c>
      <c r="AM90" s="576" t="str">
        <f>VLOOKUP(Complete[[#This Row],[Code
(PAP)]],[1]Sheet1!$A:$AO,38,FALSE)</f>
        <v>N/A</v>
      </c>
      <c r="AN90" s="595" t="s">
        <v>713</v>
      </c>
      <c r="AO90" s="303" t="s">
        <v>139</v>
      </c>
      <c r="AP90" s="389"/>
      <c r="AQ90" s="389"/>
    </row>
    <row r="91" spans="1:43" s="224" customFormat="1" ht="75" customHeight="1" x14ac:dyDescent="0.25">
      <c r="A91" s="385" t="s">
        <v>269</v>
      </c>
      <c r="B91" s="406" t="str">
        <f>VLOOKUP(Complete[[#This Row],[Code
(PAP)]],[1]Sheet1!$A:$AO,2,FALSE)</f>
        <v>SPAREPARTS(MOTOR CYCLE)</v>
      </c>
      <c r="C91" s="408" t="str">
        <f>VLOOKUP(Complete[[#This Row],[Code
(PAP)]],[1]Sheet1!$A:$AO,3,FALSE)</f>
        <v>PGSO</v>
      </c>
      <c r="D91" s="380" t="s">
        <v>712</v>
      </c>
      <c r="E91" s="409" t="str">
        <f>VLOOKUP(Complete[[#This Row],[Code
(PAP)]],[2]Sheet1!$A:$AO,5,FALSE)</f>
        <v>Shopping 52.1(a) - Unforeseen Contingency</v>
      </c>
      <c r="F91" s="393" t="str">
        <f>VLOOKUP(Complete[[#This Row],[Code
(PAP)]],[1]Sheet1!$A:$AO,6,FALSE)</f>
        <v>N/A</v>
      </c>
      <c r="G91" s="393">
        <f>VLOOKUP(Complete[[#This Row],[Code
(PAP)]],[1]Sheet1!$A:$AO,7,FALSE)</f>
        <v>45352</v>
      </c>
      <c r="H91" s="374"/>
      <c r="I91" s="394" t="str">
        <f>VLOOKUP(Complete[[#This Row],[Code
(PAP)]],[1]Sheet1!$A:$AO,9,FALSE)</f>
        <v>N/A</v>
      </c>
      <c r="J91" s="393">
        <f>VLOOKUP(Complete[[#This Row],[Code
(PAP)]],[1]Sheet1!$A:$AO,10,FALSE)</f>
        <v>45356</v>
      </c>
      <c r="K91" s="393">
        <f>VLOOKUP(Complete[[#This Row],[Code
(PAP)]],[1]Sheet1!$A:$AO,11,FALSE)</f>
        <v>45356</v>
      </c>
      <c r="L91" s="387"/>
      <c r="M91" s="393" t="str">
        <f>VLOOKUP(Complete[[#This Row],[Code
(PAP)]],[1]Sheet1!$A:$AO,13,FALSE)</f>
        <v>N/A</v>
      </c>
      <c r="N91" s="393" t="str">
        <f>VLOOKUP(Complete[[#This Row],[Code
(PAP)]],[1]Sheet1!$A:$AO,14,FALSE)</f>
        <v>N/A</v>
      </c>
      <c r="O91" s="393">
        <f>VLOOKUP(Complete[[#This Row],[Code
(PAP)]],[1]Sheet1!$A:$AO,15,FALSE)</f>
        <v>45357</v>
      </c>
      <c r="P91" s="387"/>
      <c r="Q91" s="387"/>
      <c r="R91" s="387"/>
      <c r="S91" s="576" t="str">
        <f>VLOOKUP(Complete[[#This Row],[Code
(PAP)]],[1]Sheet1!$A:$AO,19,FALSE)</f>
        <v>N/A</v>
      </c>
      <c r="T91" s="576">
        <f>VLOOKUP(Complete[[#This Row],[Code
(PAP)]],[1]Sheet1!$A:$AO,20,FALSE)</f>
        <v>45373</v>
      </c>
      <c r="U91" s="576">
        <f>VLOOKUP(Complete[[#This Row],[Code
(PAP)]],[1]Sheet1!$A:$AO,21,FALSE)</f>
        <v>45384</v>
      </c>
      <c r="V91" s="387"/>
      <c r="W91" s="387"/>
      <c r="X91" s="392">
        <f>VLOOKUP(Complete[[#This Row],[Code
(PAP)]],[1]Sheet1!$A:$AO,24,FALSE)</f>
        <v>45384</v>
      </c>
      <c r="Y91" s="392">
        <f>Complete[[#This Row],[Delivery/ Completion]]</f>
        <v>45384</v>
      </c>
      <c r="Z91" s="610" t="s">
        <v>1478</v>
      </c>
      <c r="AA91" s="462">
        <f>Complete[[#This Row],[MOOE]]+Complete[[#This Row],[CO]]</f>
        <v>6160</v>
      </c>
      <c r="AB91" s="466">
        <v>6160</v>
      </c>
      <c r="AC91" s="497"/>
      <c r="AD91" s="498">
        <f>IF(Complete[[#This Row],[Procurement Project]]="","",SUM(Complete[[#This Row],[MOOE2]]+Complete[[#This Row],[CO3]]))</f>
        <v>6160</v>
      </c>
      <c r="AE91" s="501">
        <v>6160</v>
      </c>
      <c r="AF91" s="541"/>
      <c r="AG91" s="400"/>
      <c r="AH91" s="380" t="s">
        <v>1205</v>
      </c>
      <c r="AI91" s="576" t="str">
        <f>VLOOKUP(Complete[[#This Row],[Code
(PAP)]],[1]Sheet1!$A:$AO,35,FALSE)</f>
        <v>N/A</v>
      </c>
      <c r="AJ91" s="576" t="str">
        <f>VLOOKUP(Complete[[#This Row],[Code
(PAP)]],[1]Sheet1!$A:$AO,36,FALSE)</f>
        <v>N/A</v>
      </c>
      <c r="AK91" s="576" t="str">
        <f>VLOOKUP(Complete[[#This Row],[Code
(PAP)]],[1]Sheet1!$A:$AO,37,FALSE)</f>
        <v>N/A</v>
      </c>
      <c r="AL91" s="576" t="str">
        <f>VLOOKUP(Complete[[#This Row],[Code
(PAP)]],[1]Sheet1!$A:$AO,38,FALSE)</f>
        <v>N/A</v>
      </c>
      <c r="AM91" s="576" t="str">
        <f>VLOOKUP(Complete[[#This Row],[Code
(PAP)]],[1]Sheet1!$A:$AO,38,FALSE)</f>
        <v>N/A</v>
      </c>
      <c r="AN91" s="595" t="s">
        <v>713</v>
      </c>
      <c r="AO91" s="303" t="s">
        <v>139</v>
      </c>
      <c r="AP91" s="389"/>
      <c r="AQ91" s="389"/>
    </row>
    <row r="92" spans="1:43" s="224" customFormat="1" ht="75" customHeight="1" x14ac:dyDescent="0.25">
      <c r="A92" s="385" t="s">
        <v>270</v>
      </c>
      <c r="B92" s="406" t="str">
        <f>VLOOKUP(Complete[[#This Row],[Code
(PAP)]],[1]Sheet1!$A:$AO,2,FALSE)</f>
        <v>SPAREPARTS(MOTOR CYCLE)</v>
      </c>
      <c r="C92" s="408" t="str">
        <f>VLOOKUP(Complete[[#This Row],[Code
(PAP)]],[1]Sheet1!$A:$AO,3,FALSE)</f>
        <v>PGSO</v>
      </c>
      <c r="D92" s="380" t="s">
        <v>712</v>
      </c>
      <c r="E92" s="409" t="str">
        <f>VLOOKUP(Complete[[#This Row],[Code
(PAP)]],[2]Sheet1!$A:$AO,5,FALSE)</f>
        <v>Shopping 52.1(a) - Unforeseen Contingency</v>
      </c>
      <c r="F92" s="393" t="str">
        <f>VLOOKUP(Complete[[#This Row],[Code
(PAP)]],[1]Sheet1!$A:$AO,6,FALSE)</f>
        <v>N/A</v>
      </c>
      <c r="G92" s="393">
        <f>VLOOKUP(Complete[[#This Row],[Code
(PAP)]],[1]Sheet1!$A:$AO,7,FALSE)</f>
        <v>45352</v>
      </c>
      <c r="H92" s="374"/>
      <c r="I92" s="394" t="str">
        <f>VLOOKUP(Complete[[#This Row],[Code
(PAP)]],[1]Sheet1!$A:$AO,9,FALSE)</f>
        <v>N/A</v>
      </c>
      <c r="J92" s="393">
        <f>VLOOKUP(Complete[[#This Row],[Code
(PAP)]],[1]Sheet1!$A:$AO,10,FALSE)</f>
        <v>45356</v>
      </c>
      <c r="K92" s="393">
        <f>VLOOKUP(Complete[[#This Row],[Code
(PAP)]],[1]Sheet1!$A:$AO,11,FALSE)</f>
        <v>45356</v>
      </c>
      <c r="L92" s="387"/>
      <c r="M92" s="393" t="str">
        <f>VLOOKUP(Complete[[#This Row],[Code
(PAP)]],[1]Sheet1!$A:$AO,13,FALSE)</f>
        <v>N/A</v>
      </c>
      <c r="N92" s="393" t="str">
        <f>VLOOKUP(Complete[[#This Row],[Code
(PAP)]],[1]Sheet1!$A:$AO,14,FALSE)</f>
        <v>N/A</v>
      </c>
      <c r="O92" s="393">
        <f>VLOOKUP(Complete[[#This Row],[Code
(PAP)]],[1]Sheet1!$A:$AO,15,FALSE)</f>
        <v>45357</v>
      </c>
      <c r="P92" s="387"/>
      <c r="Q92" s="387"/>
      <c r="R92" s="387"/>
      <c r="S92" s="576" t="str">
        <f>VLOOKUP(Complete[[#This Row],[Code
(PAP)]],[1]Sheet1!$A:$AO,19,FALSE)</f>
        <v>N/A</v>
      </c>
      <c r="T92" s="576">
        <f>VLOOKUP(Complete[[#This Row],[Code
(PAP)]],[1]Sheet1!$A:$AO,20,FALSE)</f>
        <v>45376</v>
      </c>
      <c r="U92" s="576">
        <f>VLOOKUP(Complete[[#This Row],[Code
(PAP)]],[1]Sheet1!$A:$AO,21,FALSE)</f>
        <v>45385</v>
      </c>
      <c r="V92" s="387"/>
      <c r="W92" s="387"/>
      <c r="X92" s="392">
        <f>VLOOKUP(Complete[[#This Row],[Code
(PAP)]],[1]Sheet1!$A:$AO,24,FALSE)</f>
        <v>45385</v>
      </c>
      <c r="Y92" s="392">
        <f>Complete[[#This Row],[Delivery/ Completion]]</f>
        <v>45385</v>
      </c>
      <c r="Z92" s="610" t="s">
        <v>1478</v>
      </c>
      <c r="AA92" s="462">
        <f>Complete[[#This Row],[MOOE]]+Complete[[#This Row],[CO]]</f>
        <v>3100</v>
      </c>
      <c r="AB92" s="466">
        <v>3100</v>
      </c>
      <c r="AC92" s="497"/>
      <c r="AD92" s="498">
        <f>IF(Complete[[#This Row],[Procurement Project]]="","",SUM(Complete[[#This Row],[MOOE2]]+Complete[[#This Row],[CO3]]))</f>
        <v>3100</v>
      </c>
      <c r="AE92" s="501">
        <v>3100</v>
      </c>
      <c r="AF92" s="541"/>
      <c r="AG92" s="400"/>
      <c r="AH92" s="380" t="s">
        <v>1205</v>
      </c>
      <c r="AI92" s="576" t="str">
        <f>VLOOKUP(Complete[[#This Row],[Code
(PAP)]],[1]Sheet1!$A:$AO,35,FALSE)</f>
        <v>N/A</v>
      </c>
      <c r="AJ92" s="576" t="str">
        <f>VLOOKUP(Complete[[#This Row],[Code
(PAP)]],[1]Sheet1!$A:$AO,36,FALSE)</f>
        <v>N/A</v>
      </c>
      <c r="AK92" s="576" t="str">
        <f>VLOOKUP(Complete[[#This Row],[Code
(PAP)]],[1]Sheet1!$A:$AO,37,FALSE)</f>
        <v>N/A</v>
      </c>
      <c r="AL92" s="576" t="str">
        <f>VLOOKUP(Complete[[#This Row],[Code
(PAP)]],[1]Sheet1!$A:$AO,38,FALSE)</f>
        <v>N/A</v>
      </c>
      <c r="AM92" s="576" t="str">
        <f>VLOOKUP(Complete[[#This Row],[Code
(PAP)]],[1]Sheet1!$A:$AO,38,FALSE)</f>
        <v>N/A</v>
      </c>
      <c r="AN92" s="595" t="s">
        <v>713</v>
      </c>
      <c r="AO92" s="303" t="s">
        <v>139</v>
      </c>
      <c r="AP92" s="389"/>
      <c r="AQ92" s="389"/>
    </row>
    <row r="93" spans="1:43" s="224" customFormat="1" ht="75" customHeight="1" x14ac:dyDescent="0.25">
      <c r="A93" s="385" t="s">
        <v>271</v>
      </c>
      <c r="B93" s="406" t="str">
        <f>VLOOKUP(Complete[[#This Row],[Code
(PAP)]],[1]Sheet1!$A:$AO,2,FALSE)</f>
        <v>SPAREPARTS(MOTOR CYCLE)</v>
      </c>
      <c r="C93" s="408" t="str">
        <f>VLOOKUP(Complete[[#This Row],[Code
(PAP)]],[1]Sheet1!$A:$AO,3,FALSE)</f>
        <v>PGSO</v>
      </c>
      <c r="D93" s="380" t="s">
        <v>712</v>
      </c>
      <c r="E93" s="409" t="str">
        <f>VLOOKUP(Complete[[#This Row],[Code
(PAP)]],[2]Sheet1!$A:$AO,5,FALSE)</f>
        <v>Shopping 52.1(a) - Unforeseen Contingency</v>
      </c>
      <c r="F93" s="393" t="str">
        <f>VLOOKUP(Complete[[#This Row],[Code
(PAP)]],[1]Sheet1!$A:$AO,6,FALSE)</f>
        <v>N/A</v>
      </c>
      <c r="G93" s="393">
        <f>VLOOKUP(Complete[[#This Row],[Code
(PAP)]],[1]Sheet1!$A:$AO,7,FALSE)</f>
        <v>45352</v>
      </c>
      <c r="H93" s="374"/>
      <c r="I93" s="394" t="str">
        <f>VLOOKUP(Complete[[#This Row],[Code
(PAP)]],[1]Sheet1!$A:$AO,9,FALSE)</f>
        <v>N/A</v>
      </c>
      <c r="J93" s="393">
        <f>VLOOKUP(Complete[[#This Row],[Code
(PAP)]],[1]Sheet1!$A:$AO,10,FALSE)</f>
        <v>45356</v>
      </c>
      <c r="K93" s="393">
        <f>VLOOKUP(Complete[[#This Row],[Code
(PAP)]],[1]Sheet1!$A:$AO,11,FALSE)</f>
        <v>45356</v>
      </c>
      <c r="L93" s="387"/>
      <c r="M93" s="393" t="str">
        <f>VLOOKUP(Complete[[#This Row],[Code
(PAP)]],[1]Sheet1!$A:$AO,13,FALSE)</f>
        <v>N/A</v>
      </c>
      <c r="N93" s="393" t="str">
        <f>VLOOKUP(Complete[[#This Row],[Code
(PAP)]],[1]Sheet1!$A:$AO,14,FALSE)</f>
        <v>N/A</v>
      </c>
      <c r="O93" s="393">
        <f>VLOOKUP(Complete[[#This Row],[Code
(PAP)]],[1]Sheet1!$A:$AO,15,FALSE)</f>
        <v>45357</v>
      </c>
      <c r="P93" s="387"/>
      <c r="Q93" s="387"/>
      <c r="R93" s="387"/>
      <c r="S93" s="576" t="str">
        <f>VLOOKUP(Complete[[#This Row],[Code
(PAP)]],[1]Sheet1!$A:$AO,19,FALSE)</f>
        <v>N/A</v>
      </c>
      <c r="T93" s="576">
        <f>VLOOKUP(Complete[[#This Row],[Code
(PAP)]],[1]Sheet1!$A:$AO,20,FALSE)</f>
        <v>45372</v>
      </c>
      <c r="U93" s="576">
        <f>VLOOKUP(Complete[[#This Row],[Code
(PAP)]],[1]Sheet1!$A:$AO,21,FALSE)</f>
        <v>45377</v>
      </c>
      <c r="V93" s="387"/>
      <c r="W93" s="387"/>
      <c r="X93" s="392">
        <f>VLOOKUP(Complete[[#This Row],[Code
(PAP)]],[1]Sheet1!$A:$AO,24,FALSE)</f>
        <v>45377</v>
      </c>
      <c r="Y93" s="392">
        <f>Complete[[#This Row],[Delivery/ Completion]]</f>
        <v>45377</v>
      </c>
      <c r="Z93" s="610" t="s">
        <v>1478</v>
      </c>
      <c r="AA93" s="462">
        <f>Complete[[#This Row],[MOOE]]+Complete[[#This Row],[CO]]</f>
        <v>8345</v>
      </c>
      <c r="AB93" s="466">
        <v>8345</v>
      </c>
      <c r="AC93" s="497"/>
      <c r="AD93" s="498">
        <f>IF(Complete[[#This Row],[Procurement Project]]="","",SUM(Complete[[#This Row],[MOOE2]]+Complete[[#This Row],[CO3]]))</f>
        <v>8345</v>
      </c>
      <c r="AE93" s="501">
        <v>8345</v>
      </c>
      <c r="AF93" s="541"/>
      <c r="AG93" s="400"/>
      <c r="AH93" s="380" t="s">
        <v>1205</v>
      </c>
      <c r="AI93" s="576" t="str">
        <f>VLOOKUP(Complete[[#This Row],[Code
(PAP)]],[1]Sheet1!$A:$AO,35,FALSE)</f>
        <v>N/A</v>
      </c>
      <c r="AJ93" s="576" t="str">
        <f>VLOOKUP(Complete[[#This Row],[Code
(PAP)]],[1]Sheet1!$A:$AO,36,FALSE)</f>
        <v>N/A</v>
      </c>
      <c r="AK93" s="576" t="str">
        <f>VLOOKUP(Complete[[#This Row],[Code
(PAP)]],[1]Sheet1!$A:$AO,37,FALSE)</f>
        <v>N/A</v>
      </c>
      <c r="AL93" s="576" t="str">
        <f>VLOOKUP(Complete[[#This Row],[Code
(PAP)]],[1]Sheet1!$A:$AO,38,FALSE)</f>
        <v>N/A</v>
      </c>
      <c r="AM93" s="576" t="str">
        <f>VLOOKUP(Complete[[#This Row],[Code
(PAP)]],[1]Sheet1!$A:$AO,38,FALSE)</f>
        <v>N/A</v>
      </c>
      <c r="AN93" s="595" t="s">
        <v>713</v>
      </c>
      <c r="AO93" s="303" t="s">
        <v>139</v>
      </c>
      <c r="AP93" s="389"/>
      <c r="AQ93" s="389"/>
    </row>
    <row r="94" spans="1:43" s="224" customFormat="1" ht="75" customHeight="1" x14ac:dyDescent="0.25">
      <c r="A94" s="385" t="s">
        <v>272</v>
      </c>
      <c r="B94" s="406" t="str">
        <f>VLOOKUP(Complete[[#This Row],[Code
(PAP)]],[1]Sheet1!$A:$AO,2,FALSE)</f>
        <v>SPAREPARTS (LIGHT VEHICLES)</v>
      </c>
      <c r="C94" s="408" t="str">
        <f>VLOOKUP(Complete[[#This Row],[Code
(PAP)]],[1]Sheet1!$A:$AO,3,FALSE)</f>
        <v>PGSO</v>
      </c>
      <c r="D94" s="380" t="s">
        <v>712</v>
      </c>
      <c r="E94" s="409" t="str">
        <f>VLOOKUP(Complete[[#This Row],[Code
(PAP)]],[2]Sheet1!$A:$AO,5,FALSE)</f>
        <v>Shopping 52.1(a) - Unforeseen Contingency</v>
      </c>
      <c r="F94" s="393" t="str">
        <f>VLOOKUP(Complete[[#This Row],[Code
(PAP)]],[1]Sheet1!$A:$AO,6,FALSE)</f>
        <v>N/A</v>
      </c>
      <c r="G94" s="393">
        <f>VLOOKUP(Complete[[#This Row],[Code
(PAP)]],[1]Sheet1!$A:$AO,7,FALSE)</f>
        <v>45352</v>
      </c>
      <c r="H94" s="374"/>
      <c r="I94" s="394" t="str">
        <f>VLOOKUP(Complete[[#This Row],[Code
(PAP)]],[1]Sheet1!$A:$AO,9,FALSE)</f>
        <v>N/A</v>
      </c>
      <c r="J94" s="393">
        <f>VLOOKUP(Complete[[#This Row],[Code
(PAP)]],[1]Sheet1!$A:$AO,10,FALSE)</f>
        <v>45356</v>
      </c>
      <c r="K94" s="393">
        <f>VLOOKUP(Complete[[#This Row],[Code
(PAP)]],[1]Sheet1!$A:$AO,11,FALSE)</f>
        <v>45356</v>
      </c>
      <c r="L94" s="387"/>
      <c r="M94" s="393" t="str">
        <f>VLOOKUP(Complete[[#This Row],[Code
(PAP)]],[1]Sheet1!$A:$AO,13,FALSE)</f>
        <v>N/A</v>
      </c>
      <c r="N94" s="393" t="str">
        <f>VLOOKUP(Complete[[#This Row],[Code
(PAP)]],[1]Sheet1!$A:$AO,14,FALSE)</f>
        <v>N/A</v>
      </c>
      <c r="O94" s="393">
        <f>VLOOKUP(Complete[[#This Row],[Code
(PAP)]],[1]Sheet1!$A:$AO,15,FALSE)</f>
        <v>45357</v>
      </c>
      <c r="P94" s="387"/>
      <c r="Q94" s="387"/>
      <c r="R94" s="387"/>
      <c r="S94" s="576" t="str">
        <f>VLOOKUP(Complete[[#This Row],[Code
(PAP)]],[1]Sheet1!$A:$AO,19,FALSE)</f>
        <v>N/A</v>
      </c>
      <c r="T94" s="576">
        <f>VLOOKUP(Complete[[#This Row],[Code
(PAP)]],[1]Sheet1!$A:$AO,20,FALSE)</f>
        <v>45373</v>
      </c>
      <c r="U94" s="576">
        <f>VLOOKUP(Complete[[#This Row],[Code
(PAP)]],[1]Sheet1!$A:$AO,21,FALSE)</f>
        <v>45377</v>
      </c>
      <c r="V94" s="387"/>
      <c r="W94" s="387"/>
      <c r="X94" s="392">
        <f>VLOOKUP(Complete[[#This Row],[Code
(PAP)]],[1]Sheet1!$A:$AO,24,FALSE)</f>
        <v>45377</v>
      </c>
      <c r="Y94" s="392">
        <f>Complete[[#This Row],[Delivery/ Completion]]</f>
        <v>45377</v>
      </c>
      <c r="Z94" s="610" t="s">
        <v>1478</v>
      </c>
      <c r="AA94" s="462">
        <f>Complete[[#This Row],[MOOE]]+Complete[[#This Row],[CO]]</f>
        <v>880</v>
      </c>
      <c r="AB94" s="466">
        <v>880</v>
      </c>
      <c r="AC94" s="497"/>
      <c r="AD94" s="498">
        <f>IF(Complete[[#This Row],[Procurement Project]]="","",SUM(Complete[[#This Row],[MOOE2]]+Complete[[#This Row],[CO3]]))</f>
        <v>880</v>
      </c>
      <c r="AE94" s="501">
        <v>880</v>
      </c>
      <c r="AF94" s="541"/>
      <c r="AG94" s="400"/>
      <c r="AH94" s="380" t="s">
        <v>1205</v>
      </c>
      <c r="AI94" s="576" t="str">
        <f>VLOOKUP(Complete[[#This Row],[Code
(PAP)]],[1]Sheet1!$A:$AO,35,FALSE)</f>
        <v>N/A</v>
      </c>
      <c r="AJ94" s="576" t="str">
        <f>VLOOKUP(Complete[[#This Row],[Code
(PAP)]],[1]Sheet1!$A:$AO,36,FALSE)</f>
        <v>N/A</v>
      </c>
      <c r="AK94" s="576" t="str">
        <f>VLOOKUP(Complete[[#This Row],[Code
(PAP)]],[1]Sheet1!$A:$AO,37,FALSE)</f>
        <v>N/A</v>
      </c>
      <c r="AL94" s="576" t="str">
        <f>VLOOKUP(Complete[[#This Row],[Code
(PAP)]],[1]Sheet1!$A:$AO,38,FALSE)</f>
        <v>N/A</v>
      </c>
      <c r="AM94" s="576" t="str">
        <f>VLOOKUP(Complete[[#This Row],[Code
(PAP)]],[1]Sheet1!$A:$AO,38,FALSE)</f>
        <v>N/A</v>
      </c>
      <c r="AN94" s="595" t="s">
        <v>713</v>
      </c>
      <c r="AO94" s="303" t="s">
        <v>139</v>
      </c>
      <c r="AP94" s="389"/>
      <c r="AQ94" s="389"/>
    </row>
    <row r="95" spans="1:43" s="224" customFormat="1" ht="75" customHeight="1" x14ac:dyDescent="0.25">
      <c r="A95" s="385" t="s">
        <v>273</v>
      </c>
      <c r="B95" s="406" t="str">
        <f>VLOOKUP(Complete[[#This Row],[Code
(PAP)]],[1]Sheet1!$A:$AO,2,FALSE)</f>
        <v>SPAREPARTS (LIGHT VEHICLES)</v>
      </c>
      <c r="C95" s="408" t="str">
        <f>VLOOKUP(Complete[[#This Row],[Code
(PAP)]],[1]Sheet1!$A:$AO,3,FALSE)</f>
        <v>PGSO</v>
      </c>
      <c r="D95" s="380" t="s">
        <v>712</v>
      </c>
      <c r="E95" s="409" t="str">
        <f>VLOOKUP(Complete[[#This Row],[Code
(PAP)]],[2]Sheet1!$A:$AO,5,FALSE)</f>
        <v>Shopping 52.1(a) - Unforeseen Contingency</v>
      </c>
      <c r="F95" s="393" t="str">
        <f>VLOOKUP(Complete[[#This Row],[Code
(PAP)]],[1]Sheet1!$A:$AO,6,FALSE)</f>
        <v>N/A</v>
      </c>
      <c r="G95" s="393">
        <f>VLOOKUP(Complete[[#This Row],[Code
(PAP)]],[1]Sheet1!$A:$AO,7,FALSE)</f>
        <v>45352</v>
      </c>
      <c r="H95" s="374"/>
      <c r="I95" s="394" t="str">
        <f>VLOOKUP(Complete[[#This Row],[Code
(PAP)]],[1]Sheet1!$A:$AO,9,FALSE)</f>
        <v>N/A</v>
      </c>
      <c r="J95" s="393">
        <f>VLOOKUP(Complete[[#This Row],[Code
(PAP)]],[1]Sheet1!$A:$AO,10,FALSE)</f>
        <v>45356</v>
      </c>
      <c r="K95" s="393">
        <f>VLOOKUP(Complete[[#This Row],[Code
(PAP)]],[1]Sheet1!$A:$AO,11,FALSE)</f>
        <v>45356</v>
      </c>
      <c r="L95" s="387"/>
      <c r="M95" s="393" t="str">
        <f>VLOOKUP(Complete[[#This Row],[Code
(PAP)]],[1]Sheet1!$A:$AO,13,FALSE)</f>
        <v>N/A</v>
      </c>
      <c r="N95" s="393" t="str">
        <f>VLOOKUP(Complete[[#This Row],[Code
(PAP)]],[1]Sheet1!$A:$AO,14,FALSE)</f>
        <v>N/A</v>
      </c>
      <c r="O95" s="393">
        <f>VLOOKUP(Complete[[#This Row],[Code
(PAP)]],[1]Sheet1!$A:$AO,15,FALSE)</f>
        <v>45357</v>
      </c>
      <c r="P95" s="387"/>
      <c r="Q95" s="387"/>
      <c r="R95" s="387"/>
      <c r="S95" s="576" t="str">
        <f>VLOOKUP(Complete[[#This Row],[Code
(PAP)]],[1]Sheet1!$A:$AO,19,FALSE)</f>
        <v>N/A</v>
      </c>
      <c r="T95" s="576">
        <f>VLOOKUP(Complete[[#This Row],[Code
(PAP)]],[1]Sheet1!$A:$AO,20,FALSE)</f>
        <v>45377</v>
      </c>
      <c r="U95" s="576">
        <f>VLOOKUP(Complete[[#This Row],[Code
(PAP)]],[1]Sheet1!$A:$AO,21,FALSE)</f>
        <v>45384</v>
      </c>
      <c r="V95" s="387"/>
      <c r="W95" s="387"/>
      <c r="X95" s="392">
        <f>VLOOKUP(Complete[[#This Row],[Code
(PAP)]],[1]Sheet1!$A:$AO,24,FALSE)</f>
        <v>45384</v>
      </c>
      <c r="Y95" s="392">
        <f>Complete[[#This Row],[Delivery/ Completion]]</f>
        <v>45384</v>
      </c>
      <c r="Z95" s="610" t="s">
        <v>1478</v>
      </c>
      <c r="AA95" s="462">
        <f>Complete[[#This Row],[MOOE]]+Complete[[#This Row],[CO]]</f>
        <v>700</v>
      </c>
      <c r="AB95" s="466">
        <v>700</v>
      </c>
      <c r="AC95" s="497"/>
      <c r="AD95" s="498">
        <f>IF(Complete[[#This Row],[Procurement Project]]="","",SUM(Complete[[#This Row],[MOOE2]]+Complete[[#This Row],[CO3]]))</f>
        <v>700</v>
      </c>
      <c r="AE95" s="501">
        <v>700</v>
      </c>
      <c r="AF95" s="541"/>
      <c r="AG95" s="400"/>
      <c r="AH95" s="380" t="s">
        <v>1205</v>
      </c>
      <c r="AI95" s="576" t="str">
        <f>VLOOKUP(Complete[[#This Row],[Code
(PAP)]],[1]Sheet1!$A:$AO,35,FALSE)</f>
        <v>N/A</v>
      </c>
      <c r="AJ95" s="576" t="str">
        <f>VLOOKUP(Complete[[#This Row],[Code
(PAP)]],[1]Sheet1!$A:$AO,36,FALSE)</f>
        <v>N/A</v>
      </c>
      <c r="AK95" s="576" t="str">
        <f>VLOOKUP(Complete[[#This Row],[Code
(PAP)]],[1]Sheet1!$A:$AO,37,FALSE)</f>
        <v>N/A</v>
      </c>
      <c r="AL95" s="576" t="str">
        <f>VLOOKUP(Complete[[#This Row],[Code
(PAP)]],[1]Sheet1!$A:$AO,38,FALSE)</f>
        <v>N/A</v>
      </c>
      <c r="AM95" s="576" t="str">
        <f>VLOOKUP(Complete[[#This Row],[Code
(PAP)]],[1]Sheet1!$A:$AO,38,FALSE)</f>
        <v>N/A</v>
      </c>
      <c r="AN95" s="595" t="s">
        <v>713</v>
      </c>
      <c r="AO95" s="303" t="s">
        <v>139</v>
      </c>
      <c r="AP95" s="389"/>
      <c r="AQ95" s="389"/>
    </row>
    <row r="96" spans="1:43" s="224" customFormat="1" ht="75" customHeight="1" x14ac:dyDescent="0.25">
      <c r="A96" s="385" t="s">
        <v>274</v>
      </c>
      <c r="B96" s="406" t="str">
        <f>VLOOKUP(Complete[[#This Row],[Code
(PAP)]],[1]Sheet1!$A:$AO,2,FALSE)</f>
        <v>SPAREPARTS (LIGHT VEHICLES)</v>
      </c>
      <c r="C96" s="408" t="str">
        <f>VLOOKUP(Complete[[#This Row],[Code
(PAP)]],[1]Sheet1!$A:$AO,3,FALSE)</f>
        <v>PGSO</v>
      </c>
      <c r="D96" s="380" t="s">
        <v>712</v>
      </c>
      <c r="E96" s="409" t="str">
        <f>VLOOKUP(Complete[[#This Row],[Code
(PAP)]],[2]Sheet1!$A:$AO,5,FALSE)</f>
        <v>Shopping 52.1(a) - Unforeseen Contingency</v>
      </c>
      <c r="F96" s="393" t="str">
        <f>VLOOKUP(Complete[[#This Row],[Code
(PAP)]],[1]Sheet1!$A:$AO,6,FALSE)</f>
        <v>N/A</v>
      </c>
      <c r="G96" s="393">
        <f>VLOOKUP(Complete[[#This Row],[Code
(PAP)]],[1]Sheet1!$A:$AO,7,FALSE)</f>
        <v>45352</v>
      </c>
      <c r="H96" s="374"/>
      <c r="I96" s="394" t="str">
        <f>VLOOKUP(Complete[[#This Row],[Code
(PAP)]],[1]Sheet1!$A:$AO,9,FALSE)</f>
        <v>N/A</v>
      </c>
      <c r="J96" s="393">
        <f>VLOOKUP(Complete[[#This Row],[Code
(PAP)]],[1]Sheet1!$A:$AO,10,FALSE)</f>
        <v>45356</v>
      </c>
      <c r="K96" s="393">
        <f>VLOOKUP(Complete[[#This Row],[Code
(PAP)]],[1]Sheet1!$A:$AO,11,FALSE)</f>
        <v>45356</v>
      </c>
      <c r="L96" s="387"/>
      <c r="M96" s="393" t="str">
        <f>VLOOKUP(Complete[[#This Row],[Code
(PAP)]],[1]Sheet1!$A:$AO,13,FALSE)</f>
        <v>N/A</v>
      </c>
      <c r="N96" s="393" t="str">
        <f>VLOOKUP(Complete[[#This Row],[Code
(PAP)]],[1]Sheet1!$A:$AO,14,FALSE)</f>
        <v>N/A</v>
      </c>
      <c r="O96" s="393">
        <f>VLOOKUP(Complete[[#This Row],[Code
(PAP)]],[1]Sheet1!$A:$AO,15,FALSE)</f>
        <v>45357</v>
      </c>
      <c r="P96" s="387"/>
      <c r="Q96" s="387"/>
      <c r="R96" s="387"/>
      <c r="S96" s="576" t="str">
        <f>VLOOKUP(Complete[[#This Row],[Code
(PAP)]],[1]Sheet1!$A:$AO,19,FALSE)</f>
        <v>N/A</v>
      </c>
      <c r="T96" s="576">
        <f>VLOOKUP(Complete[[#This Row],[Code
(PAP)]],[1]Sheet1!$A:$AO,20,FALSE)</f>
        <v>45376</v>
      </c>
      <c r="U96" s="576">
        <f>VLOOKUP(Complete[[#This Row],[Code
(PAP)]],[1]Sheet1!$A:$AO,21,FALSE)</f>
        <v>45385</v>
      </c>
      <c r="V96" s="387"/>
      <c r="W96" s="387"/>
      <c r="X96" s="392">
        <f>VLOOKUP(Complete[[#This Row],[Code
(PAP)]],[1]Sheet1!$A:$AO,24,FALSE)</f>
        <v>45386</v>
      </c>
      <c r="Y96" s="392">
        <f>Complete[[#This Row],[Delivery/ Completion]]</f>
        <v>45386</v>
      </c>
      <c r="Z96" s="610" t="s">
        <v>1478</v>
      </c>
      <c r="AA96" s="462">
        <f>Complete[[#This Row],[MOOE]]+Complete[[#This Row],[CO]]</f>
        <v>14150</v>
      </c>
      <c r="AB96" s="466">
        <v>14150</v>
      </c>
      <c r="AC96" s="497"/>
      <c r="AD96" s="498">
        <f>IF(Complete[[#This Row],[Procurement Project]]="","",SUM(Complete[[#This Row],[MOOE2]]+Complete[[#This Row],[CO3]]))</f>
        <v>14150</v>
      </c>
      <c r="AE96" s="501">
        <v>14150</v>
      </c>
      <c r="AF96" s="541"/>
      <c r="AG96" s="400"/>
      <c r="AH96" s="380" t="s">
        <v>1205</v>
      </c>
      <c r="AI96" s="576" t="str">
        <f>VLOOKUP(Complete[[#This Row],[Code
(PAP)]],[1]Sheet1!$A:$AO,35,FALSE)</f>
        <v>N/A</v>
      </c>
      <c r="AJ96" s="576" t="str">
        <f>VLOOKUP(Complete[[#This Row],[Code
(PAP)]],[1]Sheet1!$A:$AO,36,FALSE)</f>
        <v>N/A</v>
      </c>
      <c r="AK96" s="576" t="str">
        <f>VLOOKUP(Complete[[#This Row],[Code
(PAP)]],[1]Sheet1!$A:$AO,37,FALSE)</f>
        <v>N/A</v>
      </c>
      <c r="AL96" s="576" t="str">
        <f>VLOOKUP(Complete[[#This Row],[Code
(PAP)]],[1]Sheet1!$A:$AO,38,FALSE)</f>
        <v>N/A</v>
      </c>
      <c r="AM96" s="576" t="str">
        <f>VLOOKUP(Complete[[#This Row],[Code
(PAP)]],[1]Sheet1!$A:$AO,38,FALSE)</f>
        <v>N/A</v>
      </c>
      <c r="AN96" s="595" t="s">
        <v>713</v>
      </c>
      <c r="AO96" s="303" t="s">
        <v>139</v>
      </c>
      <c r="AP96" s="389"/>
      <c r="AQ96" s="389"/>
    </row>
    <row r="97" spans="1:43" s="224" customFormat="1" ht="75" customHeight="1" x14ac:dyDescent="0.25">
      <c r="A97" s="385" t="s">
        <v>275</v>
      </c>
      <c r="B97" s="406" t="str">
        <f>VLOOKUP(Complete[[#This Row],[Code
(PAP)]],[1]Sheet1!$A:$AO,2,FALSE)</f>
        <v>SPAREPARTS (MOTORCYCLE)</v>
      </c>
      <c r="C97" s="408" t="str">
        <f>VLOOKUP(Complete[[#This Row],[Code
(PAP)]],[1]Sheet1!$A:$AO,3,FALSE)</f>
        <v>PGSO</v>
      </c>
      <c r="D97" s="380" t="s">
        <v>712</v>
      </c>
      <c r="E97" s="409" t="str">
        <f>VLOOKUP(Complete[[#This Row],[Code
(PAP)]],[2]Sheet1!$A:$AO,5,FALSE)</f>
        <v>Shopping 52.1(a) - Unforeseen Contingency</v>
      </c>
      <c r="F97" s="393" t="str">
        <f>VLOOKUP(Complete[[#This Row],[Code
(PAP)]],[1]Sheet1!$A:$AO,6,FALSE)</f>
        <v>N/A</v>
      </c>
      <c r="G97" s="393">
        <f>VLOOKUP(Complete[[#This Row],[Code
(PAP)]],[1]Sheet1!$A:$AO,7,FALSE)</f>
        <v>45352</v>
      </c>
      <c r="H97" s="374"/>
      <c r="I97" s="394" t="str">
        <f>VLOOKUP(Complete[[#This Row],[Code
(PAP)]],[1]Sheet1!$A:$AO,9,FALSE)</f>
        <v>N/A</v>
      </c>
      <c r="J97" s="393">
        <f>VLOOKUP(Complete[[#This Row],[Code
(PAP)]],[1]Sheet1!$A:$AO,10,FALSE)</f>
        <v>45356</v>
      </c>
      <c r="K97" s="393">
        <f>VLOOKUP(Complete[[#This Row],[Code
(PAP)]],[1]Sheet1!$A:$AO,11,FALSE)</f>
        <v>45356</v>
      </c>
      <c r="L97" s="387"/>
      <c r="M97" s="393" t="str">
        <f>VLOOKUP(Complete[[#This Row],[Code
(PAP)]],[1]Sheet1!$A:$AO,13,FALSE)</f>
        <v>N/A</v>
      </c>
      <c r="N97" s="393" t="str">
        <f>VLOOKUP(Complete[[#This Row],[Code
(PAP)]],[1]Sheet1!$A:$AO,14,FALSE)</f>
        <v>N/A</v>
      </c>
      <c r="O97" s="393">
        <f>VLOOKUP(Complete[[#This Row],[Code
(PAP)]],[1]Sheet1!$A:$AO,15,FALSE)</f>
        <v>45357</v>
      </c>
      <c r="P97" s="387"/>
      <c r="Q97" s="387"/>
      <c r="R97" s="387"/>
      <c r="S97" s="576" t="str">
        <f>VLOOKUP(Complete[[#This Row],[Code
(PAP)]],[1]Sheet1!$A:$AO,19,FALSE)</f>
        <v>N/A</v>
      </c>
      <c r="T97" s="576">
        <f>VLOOKUP(Complete[[#This Row],[Code
(PAP)]],[1]Sheet1!$A:$AO,20,FALSE)</f>
        <v>45372</v>
      </c>
      <c r="U97" s="576">
        <f>VLOOKUP(Complete[[#This Row],[Code
(PAP)]],[1]Sheet1!$A:$AO,21,FALSE)</f>
        <v>45377</v>
      </c>
      <c r="V97" s="387"/>
      <c r="W97" s="387"/>
      <c r="X97" s="392">
        <f>VLOOKUP(Complete[[#This Row],[Code
(PAP)]],[1]Sheet1!$A:$AO,24,FALSE)</f>
        <v>45377</v>
      </c>
      <c r="Y97" s="392">
        <f>Complete[[#This Row],[Delivery/ Completion]]</f>
        <v>45377</v>
      </c>
      <c r="Z97" s="610" t="s">
        <v>1478</v>
      </c>
      <c r="AA97" s="462">
        <f>Complete[[#This Row],[MOOE]]+Complete[[#This Row],[CO]]</f>
        <v>23503</v>
      </c>
      <c r="AB97" s="466">
        <v>23503</v>
      </c>
      <c r="AC97" s="497"/>
      <c r="AD97" s="498">
        <f>IF(Complete[[#This Row],[Procurement Project]]="","",SUM(Complete[[#This Row],[MOOE2]]+Complete[[#This Row],[CO3]]))</f>
        <v>23503</v>
      </c>
      <c r="AE97" s="501">
        <v>23503</v>
      </c>
      <c r="AF97" s="541"/>
      <c r="AG97" s="400"/>
      <c r="AH97" s="380" t="s">
        <v>1205</v>
      </c>
      <c r="AI97" s="576" t="str">
        <f>VLOOKUP(Complete[[#This Row],[Code
(PAP)]],[1]Sheet1!$A:$AO,35,FALSE)</f>
        <v>N/A</v>
      </c>
      <c r="AJ97" s="576" t="str">
        <f>VLOOKUP(Complete[[#This Row],[Code
(PAP)]],[1]Sheet1!$A:$AO,36,FALSE)</f>
        <v>N/A</v>
      </c>
      <c r="AK97" s="576" t="str">
        <f>VLOOKUP(Complete[[#This Row],[Code
(PAP)]],[1]Sheet1!$A:$AO,37,FALSE)</f>
        <v>N/A</v>
      </c>
      <c r="AL97" s="576" t="str">
        <f>VLOOKUP(Complete[[#This Row],[Code
(PAP)]],[1]Sheet1!$A:$AO,38,FALSE)</f>
        <v>N/A</v>
      </c>
      <c r="AM97" s="576" t="str">
        <f>VLOOKUP(Complete[[#This Row],[Code
(PAP)]],[1]Sheet1!$A:$AO,38,FALSE)</f>
        <v>N/A</v>
      </c>
      <c r="AN97" s="595" t="s">
        <v>713</v>
      </c>
      <c r="AO97" s="303" t="s">
        <v>139</v>
      </c>
      <c r="AP97" s="389"/>
      <c r="AQ97" s="389"/>
    </row>
    <row r="98" spans="1:43" s="224" customFormat="1" ht="75" customHeight="1" x14ac:dyDescent="0.25">
      <c r="A98" s="385" t="s">
        <v>276</v>
      </c>
      <c r="B98" s="406" t="str">
        <f>VLOOKUP(Complete[[#This Row],[Code
(PAP)]],[1]Sheet1!$A:$AO,2,FALSE)</f>
        <v>SPAREPARTS (LIGHT VEHICLES)</v>
      </c>
      <c r="C98" s="408" t="str">
        <f>VLOOKUP(Complete[[#This Row],[Code
(PAP)]],[1]Sheet1!$A:$AO,3,FALSE)</f>
        <v>PGSO</v>
      </c>
      <c r="D98" s="380" t="s">
        <v>712</v>
      </c>
      <c r="E98" s="409" t="str">
        <f>VLOOKUP(Complete[[#This Row],[Code
(PAP)]],[2]Sheet1!$A:$AO,5,FALSE)</f>
        <v>Shopping 52.1(a) - Unforeseen Contingency</v>
      </c>
      <c r="F98" s="393" t="str">
        <f>VLOOKUP(Complete[[#This Row],[Code
(PAP)]],[1]Sheet1!$A:$AO,6,FALSE)</f>
        <v>N/A</v>
      </c>
      <c r="G98" s="393">
        <f>VLOOKUP(Complete[[#This Row],[Code
(PAP)]],[1]Sheet1!$A:$AO,7,FALSE)</f>
        <v>45352</v>
      </c>
      <c r="H98" s="374"/>
      <c r="I98" s="394" t="str">
        <f>VLOOKUP(Complete[[#This Row],[Code
(PAP)]],[1]Sheet1!$A:$AO,9,FALSE)</f>
        <v>N/A</v>
      </c>
      <c r="J98" s="393">
        <f>VLOOKUP(Complete[[#This Row],[Code
(PAP)]],[1]Sheet1!$A:$AO,10,FALSE)</f>
        <v>45356</v>
      </c>
      <c r="K98" s="393">
        <f>VLOOKUP(Complete[[#This Row],[Code
(PAP)]],[1]Sheet1!$A:$AO,11,FALSE)</f>
        <v>45356</v>
      </c>
      <c r="L98" s="387"/>
      <c r="M98" s="393" t="str">
        <f>VLOOKUP(Complete[[#This Row],[Code
(PAP)]],[1]Sheet1!$A:$AO,13,FALSE)</f>
        <v>N/A</v>
      </c>
      <c r="N98" s="393" t="str">
        <f>VLOOKUP(Complete[[#This Row],[Code
(PAP)]],[1]Sheet1!$A:$AO,14,FALSE)</f>
        <v>N/A</v>
      </c>
      <c r="O98" s="393">
        <f>VLOOKUP(Complete[[#This Row],[Code
(PAP)]],[1]Sheet1!$A:$AO,15,FALSE)</f>
        <v>45357</v>
      </c>
      <c r="P98" s="387"/>
      <c r="Q98" s="387"/>
      <c r="R98" s="387"/>
      <c r="S98" s="576" t="str">
        <f>VLOOKUP(Complete[[#This Row],[Code
(PAP)]],[1]Sheet1!$A:$AO,19,FALSE)</f>
        <v>N/A</v>
      </c>
      <c r="T98" s="576">
        <f>VLOOKUP(Complete[[#This Row],[Code
(PAP)]],[1]Sheet1!$A:$AO,20,FALSE)</f>
        <v>45372</v>
      </c>
      <c r="U98" s="576">
        <f>VLOOKUP(Complete[[#This Row],[Code
(PAP)]],[1]Sheet1!$A:$AO,21,FALSE)</f>
        <v>45377</v>
      </c>
      <c r="V98" s="387"/>
      <c r="W98" s="387"/>
      <c r="X98" s="392">
        <f>VLOOKUP(Complete[[#This Row],[Code
(PAP)]],[1]Sheet1!$A:$AO,24,FALSE)</f>
        <v>45377</v>
      </c>
      <c r="Y98" s="392">
        <f>Complete[[#This Row],[Delivery/ Completion]]</f>
        <v>45377</v>
      </c>
      <c r="Z98" s="610" t="s">
        <v>1478</v>
      </c>
      <c r="AA98" s="462">
        <f>Complete[[#This Row],[MOOE]]+Complete[[#This Row],[CO]]</f>
        <v>31600</v>
      </c>
      <c r="AB98" s="466">
        <v>31600</v>
      </c>
      <c r="AC98" s="497"/>
      <c r="AD98" s="498">
        <f>IF(Complete[[#This Row],[Procurement Project]]="","",SUM(Complete[[#This Row],[MOOE2]]+Complete[[#This Row],[CO3]]))</f>
        <v>31600</v>
      </c>
      <c r="AE98" s="501">
        <v>31600</v>
      </c>
      <c r="AF98" s="541"/>
      <c r="AG98" s="400"/>
      <c r="AH98" s="380" t="s">
        <v>1205</v>
      </c>
      <c r="AI98" s="576" t="str">
        <f>VLOOKUP(Complete[[#This Row],[Code
(PAP)]],[1]Sheet1!$A:$AO,35,FALSE)</f>
        <v>N/A</v>
      </c>
      <c r="AJ98" s="576" t="str">
        <f>VLOOKUP(Complete[[#This Row],[Code
(PAP)]],[1]Sheet1!$A:$AO,36,FALSE)</f>
        <v>N/A</v>
      </c>
      <c r="AK98" s="576" t="str">
        <f>VLOOKUP(Complete[[#This Row],[Code
(PAP)]],[1]Sheet1!$A:$AO,37,FALSE)</f>
        <v>N/A</v>
      </c>
      <c r="AL98" s="576" t="str">
        <f>VLOOKUP(Complete[[#This Row],[Code
(PAP)]],[1]Sheet1!$A:$AO,38,FALSE)</f>
        <v>N/A</v>
      </c>
      <c r="AM98" s="576" t="str">
        <f>VLOOKUP(Complete[[#This Row],[Code
(PAP)]],[1]Sheet1!$A:$AO,38,FALSE)</f>
        <v>N/A</v>
      </c>
      <c r="AN98" s="595" t="s">
        <v>713</v>
      </c>
      <c r="AO98" s="303" t="s">
        <v>139</v>
      </c>
      <c r="AP98" s="389"/>
      <c r="AQ98" s="389"/>
    </row>
    <row r="99" spans="1:43" s="224" customFormat="1" ht="75" customHeight="1" x14ac:dyDescent="0.25">
      <c r="A99" s="385" t="s">
        <v>277</v>
      </c>
      <c r="B99" s="406" t="str">
        <f>VLOOKUP(Complete[[#This Row],[Code
(PAP)]],[1]Sheet1!$A:$AO,2,FALSE)</f>
        <v>SPAREPARTS(LIGHT VEHICLE)</v>
      </c>
      <c r="C99" s="408" t="str">
        <f>VLOOKUP(Complete[[#This Row],[Code
(PAP)]],[1]Sheet1!$A:$AO,3,FALSE)</f>
        <v>PGSO</v>
      </c>
      <c r="D99" s="380" t="s">
        <v>712</v>
      </c>
      <c r="E99" s="409" t="str">
        <f>VLOOKUP(Complete[[#This Row],[Code
(PAP)]],[2]Sheet1!$A:$AO,5,FALSE)</f>
        <v>Shopping 52.1(a) - Unforeseen Contingency</v>
      </c>
      <c r="F99" s="393" t="str">
        <f>VLOOKUP(Complete[[#This Row],[Code
(PAP)]],[1]Sheet1!$A:$AO,6,FALSE)</f>
        <v>N/A</v>
      </c>
      <c r="G99" s="393">
        <f>VLOOKUP(Complete[[#This Row],[Code
(PAP)]],[1]Sheet1!$A:$AO,7,FALSE)</f>
        <v>45352</v>
      </c>
      <c r="H99" s="374"/>
      <c r="I99" s="394" t="str">
        <f>VLOOKUP(Complete[[#This Row],[Code
(PAP)]],[1]Sheet1!$A:$AO,9,FALSE)</f>
        <v>N/A</v>
      </c>
      <c r="J99" s="393">
        <f>VLOOKUP(Complete[[#This Row],[Code
(PAP)]],[1]Sheet1!$A:$AO,10,FALSE)</f>
        <v>45356</v>
      </c>
      <c r="K99" s="393">
        <f>VLOOKUP(Complete[[#This Row],[Code
(PAP)]],[1]Sheet1!$A:$AO,11,FALSE)</f>
        <v>45356</v>
      </c>
      <c r="L99" s="387"/>
      <c r="M99" s="393" t="str">
        <f>VLOOKUP(Complete[[#This Row],[Code
(PAP)]],[1]Sheet1!$A:$AO,13,FALSE)</f>
        <v>N/A</v>
      </c>
      <c r="N99" s="393" t="str">
        <f>VLOOKUP(Complete[[#This Row],[Code
(PAP)]],[1]Sheet1!$A:$AO,14,FALSE)</f>
        <v>N/A</v>
      </c>
      <c r="O99" s="393">
        <f>VLOOKUP(Complete[[#This Row],[Code
(PAP)]],[1]Sheet1!$A:$AO,15,FALSE)</f>
        <v>45357</v>
      </c>
      <c r="P99" s="387"/>
      <c r="Q99" s="387"/>
      <c r="R99" s="387"/>
      <c r="S99" s="576" t="str">
        <f>VLOOKUP(Complete[[#This Row],[Code
(PAP)]],[1]Sheet1!$A:$AO,19,FALSE)</f>
        <v>N/A</v>
      </c>
      <c r="T99" s="576">
        <f>VLOOKUP(Complete[[#This Row],[Code
(PAP)]],[1]Sheet1!$A:$AO,20,FALSE)</f>
        <v>45372</v>
      </c>
      <c r="U99" s="576">
        <f>VLOOKUP(Complete[[#This Row],[Code
(PAP)]],[1]Sheet1!$A:$AO,21,FALSE)</f>
        <v>45377</v>
      </c>
      <c r="V99" s="387"/>
      <c r="W99" s="387"/>
      <c r="X99" s="392">
        <f>VLOOKUP(Complete[[#This Row],[Code
(PAP)]],[1]Sheet1!$A:$AO,24,FALSE)</f>
        <v>45377</v>
      </c>
      <c r="Y99" s="392">
        <f>Complete[[#This Row],[Delivery/ Completion]]</f>
        <v>45377</v>
      </c>
      <c r="Z99" s="610" t="s">
        <v>1478</v>
      </c>
      <c r="AA99" s="462">
        <f>Complete[[#This Row],[MOOE]]+Complete[[#This Row],[CO]]</f>
        <v>10650</v>
      </c>
      <c r="AB99" s="466">
        <v>10650</v>
      </c>
      <c r="AC99" s="497"/>
      <c r="AD99" s="498">
        <f>IF(Complete[[#This Row],[Procurement Project]]="","",SUM(Complete[[#This Row],[MOOE2]]+Complete[[#This Row],[CO3]]))</f>
        <v>10650</v>
      </c>
      <c r="AE99" s="501">
        <v>10650</v>
      </c>
      <c r="AF99" s="541"/>
      <c r="AG99" s="400"/>
      <c r="AH99" s="380" t="s">
        <v>1205</v>
      </c>
      <c r="AI99" s="576" t="str">
        <f>VLOOKUP(Complete[[#This Row],[Code
(PAP)]],[1]Sheet1!$A:$AO,35,FALSE)</f>
        <v>N/A</v>
      </c>
      <c r="AJ99" s="576" t="str">
        <f>VLOOKUP(Complete[[#This Row],[Code
(PAP)]],[1]Sheet1!$A:$AO,36,FALSE)</f>
        <v>N/A</v>
      </c>
      <c r="AK99" s="576" t="str">
        <f>VLOOKUP(Complete[[#This Row],[Code
(PAP)]],[1]Sheet1!$A:$AO,37,FALSE)</f>
        <v>N/A</v>
      </c>
      <c r="AL99" s="576" t="str">
        <f>VLOOKUP(Complete[[#This Row],[Code
(PAP)]],[1]Sheet1!$A:$AO,38,FALSE)</f>
        <v>N/A</v>
      </c>
      <c r="AM99" s="576" t="str">
        <f>VLOOKUP(Complete[[#This Row],[Code
(PAP)]],[1]Sheet1!$A:$AO,38,FALSE)</f>
        <v>N/A</v>
      </c>
      <c r="AN99" s="595" t="s">
        <v>713</v>
      </c>
      <c r="AO99" s="303" t="s">
        <v>139</v>
      </c>
      <c r="AP99" s="389"/>
      <c r="AQ99" s="389"/>
    </row>
    <row r="100" spans="1:43" s="224" customFormat="1" ht="75" customHeight="1" x14ac:dyDescent="0.25">
      <c r="A100" s="385" t="s">
        <v>278</v>
      </c>
      <c r="B100" s="406" t="str">
        <f>VLOOKUP(Complete[[#This Row],[Code
(PAP)]],[1]Sheet1!$A:$AO,2,FALSE)</f>
        <v>SPAREPARTS (MOTORCYCLE)</v>
      </c>
      <c r="C100" s="408" t="str">
        <f>VLOOKUP(Complete[[#This Row],[Code
(PAP)]],[1]Sheet1!$A:$AO,3,FALSE)</f>
        <v>PGSO</v>
      </c>
      <c r="D100" s="380" t="s">
        <v>712</v>
      </c>
      <c r="E100" s="409" t="str">
        <f>VLOOKUP(Complete[[#This Row],[Code
(PAP)]],[2]Sheet1!$A:$AO,5,FALSE)</f>
        <v>Shopping 52.1(a) - Unforeseen Contingency</v>
      </c>
      <c r="F100" s="393" t="str">
        <f>VLOOKUP(Complete[[#This Row],[Code
(PAP)]],[1]Sheet1!$A:$AO,6,FALSE)</f>
        <v>N/A</v>
      </c>
      <c r="G100" s="393">
        <f>VLOOKUP(Complete[[#This Row],[Code
(PAP)]],[1]Sheet1!$A:$AO,7,FALSE)</f>
        <v>45352</v>
      </c>
      <c r="H100" s="374"/>
      <c r="I100" s="394" t="str">
        <f>VLOOKUP(Complete[[#This Row],[Code
(PAP)]],[1]Sheet1!$A:$AO,9,FALSE)</f>
        <v>N/A</v>
      </c>
      <c r="J100" s="393">
        <f>VLOOKUP(Complete[[#This Row],[Code
(PAP)]],[1]Sheet1!$A:$AO,10,FALSE)</f>
        <v>45356</v>
      </c>
      <c r="K100" s="393">
        <f>VLOOKUP(Complete[[#This Row],[Code
(PAP)]],[1]Sheet1!$A:$AO,11,FALSE)</f>
        <v>45356</v>
      </c>
      <c r="L100" s="387"/>
      <c r="M100" s="393" t="str">
        <f>VLOOKUP(Complete[[#This Row],[Code
(PAP)]],[1]Sheet1!$A:$AO,13,FALSE)</f>
        <v>N/A</v>
      </c>
      <c r="N100" s="393" t="str">
        <f>VLOOKUP(Complete[[#This Row],[Code
(PAP)]],[1]Sheet1!$A:$AO,14,FALSE)</f>
        <v>N/A</v>
      </c>
      <c r="O100" s="393">
        <f>VLOOKUP(Complete[[#This Row],[Code
(PAP)]],[1]Sheet1!$A:$AO,15,FALSE)</f>
        <v>45357</v>
      </c>
      <c r="P100" s="387"/>
      <c r="Q100" s="387"/>
      <c r="R100" s="387"/>
      <c r="S100" s="576" t="str">
        <f>VLOOKUP(Complete[[#This Row],[Code
(PAP)]],[1]Sheet1!$A:$AO,19,FALSE)</f>
        <v>N/A</v>
      </c>
      <c r="T100" s="576">
        <f>VLOOKUP(Complete[[#This Row],[Code
(PAP)]],[1]Sheet1!$A:$AO,20,FALSE)</f>
        <v>45372</v>
      </c>
      <c r="U100" s="576">
        <f>VLOOKUP(Complete[[#This Row],[Code
(PAP)]],[1]Sheet1!$A:$AO,21,FALSE)</f>
        <v>45377</v>
      </c>
      <c r="V100" s="387"/>
      <c r="W100" s="387"/>
      <c r="X100" s="392">
        <f>VLOOKUP(Complete[[#This Row],[Code
(PAP)]],[1]Sheet1!$A:$AO,24,FALSE)</f>
        <v>45377</v>
      </c>
      <c r="Y100" s="392">
        <f>Complete[[#This Row],[Delivery/ Completion]]</f>
        <v>45377</v>
      </c>
      <c r="Z100" s="610" t="s">
        <v>1478</v>
      </c>
      <c r="AA100" s="462">
        <f>Complete[[#This Row],[MOOE]]+Complete[[#This Row],[CO]]</f>
        <v>6080</v>
      </c>
      <c r="AB100" s="466">
        <v>6080</v>
      </c>
      <c r="AC100" s="497"/>
      <c r="AD100" s="498">
        <f>IF(Complete[[#This Row],[Procurement Project]]="","",SUM(Complete[[#This Row],[MOOE2]]+Complete[[#This Row],[CO3]]))</f>
        <v>6080</v>
      </c>
      <c r="AE100" s="501">
        <v>6080</v>
      </c>
      <c r="AF100" s="541"/>
      <c r="AG100" s="400"/>
      <c r="AH100" s="380" t="s">
        <v>1205</v>
      </c>
      <c r="AI100" s="576" t="str">
        <f>VLOOKUP(Complete[[#This Row],[Code
(PAP)]],[1]Sheet1!$A:$AO,35,FALSE)</f>
        <v>N/A</v>
      </c>
      <c r="AJ100" s="576" t="str">
        <f>VLOOKUP(Complete[[#This Row],[Code
(PAP)]],[1]Sheet1!$A:$AO,36,FALSE)</f>
        <v>N/A</v>
      </c>
      <c r="AK100" s="576" t="str">
        <f>VLOOKUP(Complete[[#This Row],[Code
(PAP)]],[1]Sheet1!$A:$AO,37,FALSE)</f>
        <v>N/A</v>
      </c>
      <c r="AL100" s="576" t="str">
        <f>VLOOKUP(Complete[[#This Row],[Code
(PAP)]],[1]Sheet1!$A:$AO,38,FALSE)</f>
        <v>N/A</v>
      </c>
      <c r="AM100" s="576" t="str">
        <f>VLOOKUP(Complete[[#This Row],[Code
(PAP)]],[1]Sheet1!$A:$AO,38,FALSE)</f>
        <v>N/A</v>
      </c>
      <c r="AN100" s="595" t="s">
        <v>713</v>
      </c>
      <c r="AO100" s="303" t="s">
        <v>139</v>
      </c>
      <c r="AP100" s="389"/>
      <c r="AQ100" s="389"/>
    </row>
    <row r="101" spans="1:43" s="224" customFormat="1" ht="75" customHeight="1" x14ac:dyDescent="0.25">
      <c r="A101" s="385" t="s">
        <v>279</v>
      </c>
      <c r="B101" s="406" t="str">
        <f>VLOOKUP(Complete[[#This Row],[Code
(PAP)]],[1]Sheet1!$A:$AO,2,FALSE)</f>
        <v>SPAREPARTS(LIGHT VEHICLE)</v>
      </c>
      <c r="C101" s="408" t="str">
        <f>VLOOKUP(Complete[[#This Row],[Code
(PAP)]],[1]Sheet1!$A:$AO,3,FALSE)</f>
        <v>PGSO</v>
      </c>
      <c r="D101" s="380" t="s">
        <v>712</v>
      </c>
      <c r="E101" s="409" t="str">
        <f>VLOOKUP(Complete[[#This Row],[Code
(PAP)]],[2]Sheet1!$A:$AO,5,FALSE)</f>
        <v>Shopping 52.1(a) - Unforeseen Contingency</v>
      </c>
      <c r="F101" s="393" t="str">
        <f>VLOOKUP(Complete[[#This Row],[Code
(PAP)]],[1]Sheet1!$A:$AO,6,FALSE)</f>
        <v>N/A</v>
      </c>
      <c r="G101" s="393">
        <f>VLOOKUP(Complete[[#This Row],[Code
(PAP)]],[1]Sheet1!$A:$AO,7,FALSE)</f>
        <v>45352</v>
      </c>
      <c r="H101" s="374"/>
      <c r="I101" s="394" t="str">
        <f>VLOOKUP(Complete[[#This Row],[Code
(PAP)]],[1]Sheet1!$A:$AO,9,FALSE)</f>
        <v>N/A</v>
      </c>
      <c r="J101" s="393">
        <f>VLOOKUP(Complete[[#This Row],[Code
(PAP)]],[1]Sheet1!$A:$AO,10,FALSE)</f>
        <v>45356</v>
      </c>
      <c r="K101" s="393">
        <f>VLOOKUP(Complete[[#This Row],[Code
(PAP)]],[1]Sheet1!$A:$AO,11,FALSE)</f>
        <v>45356</v>
      </c>
      <c r="L101" s="387"/>
      <c r="M101" s="393" t="str">
        <f>VLOOKUP(Complete[[#This Row],[Code
(PAP)]],[1]Sheet1!$A:$AO,13,FALSE)</f>
        <v>N/A</v>
      </c>
      <c r="N101" s="393" t="str">
        <f>VLOOKUP(Complete[[#This Row],[Code
(PAP)]],[1]Sheet1!$A:$AO,14,FALSE)</f>
        <v>N/A</v>
      </c>
      <c r="O101" s="393">
        <f>VLOOKUP(Complete[[#This Row],[Code
(PAP)]],[1]Sheet1!$A:$AO,15,FALSE)</f>
        <v>45357</v>
      </c>
      <c r="P101" s="387"/>
      <c r="Q101" s="387"/>
      <c r="R101" s="387"/>
      <c r="S101" s="576" t="str">
        <f>VLOOKUP(Complete[[#This Row],[Code
(PAP)]],[1]Sheet1!$A:$AO,19,FALSE)</f>
        <v>N/A</v>
      </c>
      <c r="T101" s="576">
        <f>VLOOKUP(Complete[[#This Row],[Code
(PAP)]],[1]Sheet1!$A:$AO,20,FALSE)</f>
        <v>45376</v>
      </c>
      <c r="U101" s="576">
        <f>VLOOKUP(Complete[[#This Row],[Code
(PAP)]],[1]Sheet1!$A:$AO,21,FALSE)</f>
        <v>45377</v>
      </c>
      <c r="V101" s="387"/>
      <c r="W101" s="387"/>
      <c r="X101" s="392">
        <f>VLOOKUP(Complete[[#This Row],[Code
(PAP)]],[1]Sheet1!$A:$AO,24,FALSE)</f>
        <v>45377</v>
      </c>
      <c r="Y101" s="392">
        <f>Complete[[#This Row],[Delivery/ Completion]]</f>
        <v>45377</v>
      </c>
      <c r="Z101" s="610" t="s">
        <v>1478</v>
      </c>
      <c r="AA101" s="462">
        <f>Complete[[#This Row],[MOOE]]+Complete[[#This Row],[CO]]</f>
        <v>85915</v>
      </c>
      <c r="AB101" s="466">
        <v>85915</v>
      </c>
      <c r="AC101" s="497"/>
      <c r="AD101" s="498">
        <f>IF(Complete[[#This Row],[Procurement Project]]="","",SUM(Complete[[#This Row],[MOOE2]]+Complete[[#This Row],[CO3]]))</f>
        <v>85915</v>
      </c>
      <c r="AE101" s="501">
        <v>85915</v>
      </c>
      <c r="AF101" s="541"/>
      <c r="AG101" s="400"/>
      <c r="AH101" s="380" t="s">
        <v>1205</v>
      </c>
      <c r="AI101" s="576" t="str">
        <f>VLOOKUP(Complete[[#This Row],[Code
(PAP)]],[1]Sheet1!$A:$AO,35,FALSE)</f>
        <v>N/A</v>
      </c>
      <c r="AJ101" s="576" t="str">
        <f>VLOOKUP(Complete[[#This Row],[Code
(PAP)]],[1]Sheet1!$A:$AO,36,FALSE)</f>
        <v>N/A</v>
      </c>
      <c r="AK101" s="576" t="str">
        <f>VLOOKUP(Complete[[#This Row],[Code
(PAP)]],[1]Sheet1!$A:$AO,37,FALSE)</f>
        <v>N/A</v>
      </c>
      <c r="AL101" s="576" t="str">
        <f>VLOOKUP(Complete[[#This Row],[Code
(PAP)]],[1]Sheet1!$A:$AO,38,FALSE)</f>
        <v>N/A</v>
      </c>
      <c r="AM101" s="576" t="str">
        <f>VLOOKUP(Complete[[#This Row],[Code
(PAP)]],[1]Sheet1!$A:$AO,38,FALSE)</f>
        <v>N/A</v>
      </c>
      <c r="AN101" s="595" t="s">
        <v>713</v>
      </c>
      <c r="AO101" s="303" t="s">
        <v>139</v>
      </c>
      <c r="AP101" s="389"/>
      <c r="AQ101" s="389"/>
    </row>
    <row r="102" spans="1:43" s="224" customFormat="1" ht="75" customHeight="1" x14ac:dyDescent="0.25">
      <c r="A102" s="385" t="s">
        <v>280</v>
      </c>
      <c r="B102" s="406" t="str">
        <f>VLOOKUP(Complete[[#This Row],[Code
(PAP)]],[1]Sheet1!$A:$AO,2,FALSE)</f>
        <v>SPAREPARTS (MOTORCYCLE)</v>
      </c>
      <c r="C102" s="408" t="str">
        <f>VLOOKUP(Complete[[#This Row],[Code
(PAP)]],[1]Sheet1!$A:$AO,3,FALSE)</f>
        <v>PGSO</v>
      </c>
      <c r="D102" s="380" t="s">
        <v>712</v>
      </c>
      <c r="E102" s="409" t="str">
        <f>VLOOKUP(Complete[[#This Row],[Code
(PAP)]],[2]Sheet1!$A:$AO,5,FALSE)</f>
        <v>Shopping 52.1(a) - Unforeseen Contingency</v>
      </c>
      <c r="F102" s="393" t="str">
        <f>VLOOKUP(Complete[[#This Row],[Code
(PAP)]],[1]Sheet1!$A:$AO,6,FALSE)</f>
        <v>N/A</v>
      </c>
      <c r="G102" s="393">
        <f>VLOOKUP(Complete[[#This Row],[Code
(PAP)]],[1]Sheet1!$A:$AO,7,FALSE)</f>
        <v>45352</v>
      </c>
      <c r="H102" s="374"/>
      <c r="I102" s="394" t="str">
        <f>VLOOKUP(Complete[[#This Row],[Code
(PAP)]],[1]Sheet1!$A:$AO,9,FALSE)</f>
        <v>N/A</v>
      </c>
      <c r="J102" s="393">
        <f>VLOOKUP(Complete[[#This Row],[Code
(PAP)]],[1]Sheet1!$A:$AO,10,FALSE)</f>
        <v>45356</v>
      </c>
      <c r="K102" s="393">
        <f>VLOOKUP(Complete[[#This Row],[Code
(PAP)]],[1]Sheet1!$A:$AO,11,FALSE)</f>
        <v>45356</v>
      </c>
      <c r="L102" s="387"/>
      <c r="M102" s="393" t="str">
        <f>VLOOKUP(Complete[[#This Row],[Code
(PAP)]],[1]Sheet1!$A:$AO,13,FALSE)</f>
        <v>N/A</v>
      </c>
      <c r="N102" s="393" t="str">
        <f>VLOOKUP(Complete[[#This Row],[Code
(PAP)]],[1]Sheet1!$A:$AO,14,FALSE)</f>
        <v>N/A</v>
      </c>
      <c r="O102" s="393">
        <f>VLOOKUP(Complete[[#This Row],[Code
(PAP)]],[1]Sheet1!$A:$AO,15,FALSE)</f>
        <v>45357</v>
      </c>
      <c r="P102" s="387"/>
      <c r="Q102" s="387"/>
      <c r="R102" s="387"/>
      <c r="S102" s="576" t="str">
        <f>VLOOKUP(Complete[[#This Row],[Code
(PAP)]],[1]Sheet1!$A:$AO,19,FALSE)</f>
        <v>N/A</v>
      </c>
      <c r="T102" s="576">
        <f>VLOOKUP(Complete[[#This Row],[Code
(PAP)]],[1]Sheet1!$A:$AO,20,FALSE)</f>
        <v>45377</v>
      </c>
      <c r="U102" s="576">
        <f>VLOOKUP(Complete[[#This Row],[Code
(PAP)]],[1]Sheet1!$A:$AO,21,FALSE)</f>
        <v>45384</v>
      </c>
      <c r="V102" s="387"/>
      <c r="W102" s="387"/>
      <c r="X102" s="392">
        <f>VLOOKUP(Complete[[#This Row],[Code
(PAP)]],[1]Sheet1!$A:$AO,24,FALSE)</f>
        <v>45384</v>
      </c>
      <c r="Y102" s="392">
        <f>Complete[[#This Row],[Delivery/ Completion]]</f>
        <v>45384</v>
      </c>
      <c r="Z102" s="610" t="s">
        <v>1478</v>
      </c>
      <c r="AA102" s="462">
        <f>Complete[[#This Row],[MOOE]]+Complete[[#This Row],[CO]]</f>
        <v>22300</v>
      </c>
      <c r="AB102" s="466">
        <v>22300</v>
      </c>
      <c r="AC102" s="497"/>
      <c r="AD102" s="498">
        <f>IF(Complete[[#This Row],[Procurement Project]]="","",SUM(Complete[[#This Row],[MOOE2]]+Complete[[#This Row],[CO3]]))</f>
        <v>22300</v>
      </c>
      <c r="AE102" s="501">
        <v>22300</v>
      </c>
      <c r="AF102" s="541"/>
      <c r="AG102" s="400"/>
      <c r="AH102" s="380" t="s">
        <v>1205</v>
      </c>
      <c r="AI102" s="576" t="str">
        <f>VLOOKUP(Complete[[#This Row],[Code
(PAP)]],[1]Sheet1!$A:$AO,35,FALSE)</f>
        <v>N/A</v>
      </c>
      <c r="AJ102" s="576" t="str">
        <f>VLOOKUP(Complete[[#This Row],[Code
(PAP)]],[1]Sheet1!$A:$AO,36,FALSE)</f>
        <v>N/A</v>
      </c>
      <c r="AK102" s="576" t="str">
        <f>VLOOKUP(Complete[[#This Row],[Code
(PAP)]],[1]Sheet1!$A:$AO,37,FALSE)</f>
        <v>N/A</v>
      </c>
      <c r="AL102" s="576" t="str">
        <f>VLOOKUP(Complete[[#This Row],[Code
(PAP)]],[1]Sheet1!$A:$AO,38,FALSE)</f>
        <v>N/A</v>
      </c>
      <c r="AM102" s="576" t="str">
        <f>VLOOKUP(Complete[[#This Row],[Code
(PAP)]],[1]Sheet1!$A:$AO,38,FALSE)</f>
        <v>N/A</v>
      </c>
      <c r="AN102" s="595" t="s">
        <v>713</v>
      </c>
      <c r="AO102" s="303" t="s">
        <v>139</v>
      </c>
      <c r="AP102" s="389"/>
      <c r="AQ102" s="389"/>
    </row>
    <row r="103" spans="1:43" s="224" customFormat="1" ht="75" customHeight="1" x14ac:dyDescent="0.25">
      <c r="A103" s="385" t="s">
        <v>281</v>
      </c>
      <c r="B103" s="406" t="str">
        <f>VLOOKUP(Complete[[#This Row],[Code
(PAP)]],[1]Sheet1!$A:$AO,2,FALSE)</f>
        <v>SPAREPARTS(LIGHT VEHICLE)</v>
      </c>
      <c r="C103" s="408" t="str">
        <f>VLOOKUP(Complete[[#This Row],[Code
(PAP)]],[1]Sheet1!$A:$AO,3,FALSE)</f>
        <v>PGSO</v>
      </c>
      <c r="D103" s="380" t="s">
        <v>712</v>
      </c>
      <c r="E103" s="409" t="str">
        <f>VLOOKUP(Complete[[#This Row],[Code
(PAP)]],[2]Sheet1!$A:$AO,5,FALSE)</f>
        <v>Shopping 52.1(a) - Unforeseen Contingency</v>
      </c>
      <c r="F103" s="393" t="str">
        <f>VLOOKUP(Complete[[#This Row],[Code
(PAP)]],[1]Sheet1!$A:$AO,6,FALSE)</f>
        <v>N/A</v>
      </c>
      <c r="G103" s="393">
        <f>VLOOKUP(Complete[[#This Row],[Code
(PAP)]],[1]Sheet1!$A:$AO,7,FALSE)</f>
        <v>45352</v>
      </c>
      <c r="H103" s="374"/>
      <c r="I103" s="394" t="str">
        <f>VLOOKUP(Complete[[#This Row],[Code
(PAP)]],[1]Sheet1!$A:$AO,9,FALSE)</f>
        <v>N/A</v>
      </c>
      <c r="J103" s="393">
        <f>VLOOKUP(Complete[[#This Row],[Code
(PAP)]],[1]Sheet1!$A:$AO,10,FALSE)</f>
        <v>45356</v>
      </c>
      <c r="K103" s="393">
        <f>VLOOKUP(Complete[[#This Row],[Code
(PAP)]],[1]Sheet1!$A:$AO,11,FALSE)</f>
        <v>45356</v>
      </c>
      <c r="L103" s="387"/>
      <c r="M103" s="393" t="str">
        <f>VLOOKUP(Complete[[#This Row],[Code
(PAP)]],[1]Sheet1!$A:$AO,13,FALSE)</f>
        <v>N/A</v>
      </c>
      <c r="N103" s="393" t="str">
        <f>VLOOKUP(Complete[[#This Row],[Code
(PAP)]],[1]Sheet1!$A:$AO,14,FALSE)</f>
        <v>N/A</v>
      </c>
      <c r="O103" s="393">
        <f>VLOOKUP(Complete[[#This Row],[Code
(PAP)]],[1]Sheet1!$A:$AO,15,FALSE)</f>
        <v>45357</v>
      </c>
      <c r="P103" s="387"/>
      <c r="Q103" s="387"/>
      <c r="R103" s="387"/>
      <c r="S103" s="576" t="str">
        <f>VLOOKUP(Complete[[#This Row],[Code
(PAP)]],[1]Sheet1!$A:$AO,19,FALSE)</f>
        <v>N/A</v>
      </c>
      <c r="T103" s="576">
        <f>VLOOKUP(Complete[[#This Row],[Code
(PAP)]],[1]Sheet1!$A:$AO,20,FALSE)</f>
        <v>45377</v>
      </c>
      <c r="U103" s="576">
        <f>VLOOKUP(Complete[[#This Row],[Code
(PAP)]],[1]Sheet1!$A:$AO,21,FALSE)</f>
        <v>45384</v>
      </c>
      <c r="V103" s="387"/>
      <c r="W103" s="387"/>
      <c r="X103" s="392">
        <f>VLOOKUP(Complete[[#This Row],[Code
(PAP)]],[1]Sheet1!$A:$AO,24,FALSE)</f>
        <v>45384</v>
      </c>
      <c r="Y103" s="392">
        <f>Complete[[#This Row],[Delivery/ Completion]]</f>
        <v>45384</v>
      </c>
      <c r="Z103" s="610" t="s">
        <v>1478</v>
      </c>
      <c r="AA103" s="462">
        <f>Complete[[#This Row],[MOOE]]+Complete[[#This Row],[CO]]</f>
        <v>16400</v>
      </c>
      <c r="AB103" s="466">
        <v>16400</v>
      </c>
      <c r="AC103" s="497"/>
      <c r="AD103" s="498">
        <f>IF(Complete[[#This Row],[Procurement Project]]="","",SUM(Complete[[#This Row],[MOOE2]]+Complete[[#This Row],[CO3]]))</f>
        <v>16400</v>
      </c>
      <c r="AE103" s="501">
        <v>16400</v>
      </c>
      <c r="AF103" s="541"/>
      <c r="AG103" s="400"/>
      <c r="AH103" s="380" t="s">
        <v>1205</v>
      </c>
      <c r="AI103" s="576" t="str">
        <f>VLOOKUP(Complete[[#This Row],[Code
(PAP)]],[1]Sheet1!$A:$AO,35,FALSE)</f>
        <v>N/A</v>
      </c>
      <c r="AJ103" s="576" t="str">
        <f>VLOOKUP(Complete[[#This Row],[Code
(PAP)]],[1]Sheet1!$A:$AO,36,FALSE)</f>
        <v>N/A</v>
      </c>
      <c r="AK103" s="576" t="str">
        <f>VLOOKUP(Complete[[#This Row],[Code
(PAP)]],[1]Sheet1!$A:$AO,37,FALSE)</f>
        <v>N/A</v>
      </c>
      <c r="AL103" s="576" t="str">
        <f>VLOOKUP(Complete[[#This Row],[Code
(PAP)]],[1]Sheet1!$A:$AO,38,FALSE)</f>
        <v>N/A</v>
      </c>
      <c r="AM103" s="576" t="str">
        <f>VLOOKUP(Complete[[#This Row],[Code
(PAP)]],[1]Sheet1!$A:$AO,38,FALSE)</f>
        <v>N/A</v>
      </c>
      <c r="AN103" s="595" t="s">
        <v>713</v>
      </c>
      <c r="AO103" s="303" t="s">
        <v>139</v>
      </c>
      <c r="AP103" s="389"/>
      <c r="AQ103" s="389"/>
    </row>
    <row r="104" spans="1:43" s="224" customFormat="1" ht="75" customHeight="1" x14ac:dyDescent="0.25">
      <c r="A104" s="385" t="s">
        <v>282</v>
      </c>
      <c r="B104" s="406" t="str">
        <f>VLOOKUP(Complete[[#This Row],[Code
(PAP)]],[1]Sheet1!$A:$AO,2,FALSE)</f>
        <v>SPAREPARTS(LIGHT VEHICLE)</v>
      </c>
      <c r="C104" s="408" t="str">
        <f>VLOOKUP(Complete[[#This Row],[Code
(PAP)]],[1]Sheet1!$A:$AO,3,FALSE)</f>
        <v>PGSO</v>
      </c>
      <c r="D104" s="380" t="s">
        <v>712</v>
      </c>
      <c r="E104" s="409" t="str">
        <f>VLOOKUP(Complete[[#This Row],[Code
(PAP)]],[2]Sheet1!$A:$AO,5,FALSE)</f>
        <v>Shopping 52.1(a) - Unforeseen Contingency</v>
      </c>
      <c r="F104" s="393" t="str">
        <f>VLOOKUP(Complete[[#This Row],[Code
(PAP)]],[1]Sheet1!$A:$AO,6,FALSE)</f>
        <v>N/A</v>
      </c>
      <c r="G104" s="393">
        <f>VLOOKUP(Complete[[#This Row],[Code
(PAP)]],[1]Sheet1!$A:$AO,7,FALSE)</f>
        <v>45352</v>
      </c>
      <c r="H104" s="374"/>
      <c r="I104" s="394" t="str">
        <f>VLOOKUP(Complete[[#This Row],[Code
(PAP)]],[1]Sheet1!$A:$AO,9,FALSE)</f>
        <v>N/A</v>
      </c>
      <c r="J104" s="393">
        <f>VLOOKUP(Complete[[#This Row],[Code
(PAP)]],[1]Sheet1!$A:$AO,10,FALSE)</f>
        <v>45356</v>
      </c>
      <c r="K104" s="393">
        <f>VLOOKUP(Complete[[#This Row],[Code
(PAP)]],[1]Sheet1!$A:$AO,11,FALSE)</f>
        <v>45356</v>
      </c>
      <c r="L104" s="387"/>
      <c r="M104" s="393" t="str">
        <f>VLOOKUP(Complete[[#This Row],[Code
(PAP)]],[1]Sheet1!$A:$AO,13,FALSE)</f>
        <v>N/A</v>
      </c>
      <c r="N104" s="393" t="str">
        <f>VLOOKUP(Complete[[#This Row],[Code
(PAP)]],[1]Sheet1!$A:$AO,14,FALSE)</f>
        <v>N/A</v>
      </c>
      <c r="O104" s="393">
        <f>VLOOKUP(Complete[[#This Row],[Code
(PAP)]],[1]Sheet1!$A:$AO,15,FALSE)</f>
        <v>45357</v>
      </c>
      <c r="P104" s="387"/>
      <c r="Q104" s="387"/>
      <c r="R104" s="387"/>
      <c r="S104" s="576" t="str">
        <f>VLOOKUP(Complete[[#This Row],[Code
(PAP)]],[1]Sheet1!$A:$AO,19,FALSE)</f>
        <v>N/A</v>
      </c>
      <c r="T104" s="576">
        <f>VLOOKUP(Complete[[#This Row],[Code
(PAP)]],[1]Sheet1!$A:$AO,20,FALSE)</f>
        <v>45377</v>
      </c>
      <c r="U104" s="576">
        <f>VLOOKUP(Complete[[#This Row],[Code
(PAP)]],[1]Sheet1!$A:$AO,21,FALSE)</f>
        <v>45385</v>
      </c>
      <c r="V104" s="387"/>
      <c r="W104" s="387"/>
      <c r="X104" s="392">
        <f>VLOOKUP(Complete[[#This Row],[Code
(PAP)]],[1]Sheet1!$A:$AO,24,FALSE)</f>
        <v>45385</v>
      </c>
      <c r="Y104" s="392">
        <f>Complete[[#This Row],[Delivery/ Completion]]</f>
        <v>45385</v>
      </c>
      <c r="Z104" s="610" t="s">
        <v>1478</v>
      </c>
      <c r="AA104" s="462">
        <f>Complete[[#This Row],[MOOE]]+Complete[[#This Row],[CO]]</f>
        <v>155480</v>
      </c>
      <c r="AB104" s="466">
        <v>155480</v>
      </c>
      <c r="AC104" s="497"/>
      <c r="AD104" s="498">
        <f>IF(Complete[[#This Row],[Procurement Project]]="","",SUM(Complete[[#This Row],[MOOE2]]+Complete[[#This Row],[CO3]]))</f>
        <v>155480</v>
      </c>
      <c r="AE104" s="501">
        <v>155480</v>
      </c>
      <c r="AF104" s="541"/>
      <c r="AG104" s="400"/>
      <c r="AH104" s="380" t="s">
        <v>1205</v>
      </c>
      <c r="AI104" s="576" t="str">
        <f>VLOOKUP(Complete[[#This Row],[Code
(PAP)]],[1]Sheet1!$A:$AO,35,FALSE)</f>
        <v>N/A</v>
      </c>
      <c r="AJ104" s="576" t="str">
        <f>VLOOKUP(Complete[[#This Row],[Code
(PAP)]],[1]Sheet1!$A:$AO,36,FALSE)</f>
        <v>N/A</v>
      </c>
      <c r="AK104" s="576" t="str">
        <f>VLOOKUP(Complete[[#This Row],[Code
(PAP)]],[1]Sheet1!$A:$AO,37,FALSE)</f>
        <v>N/A</v>
      </c>
      <c r="AL104" s="576" t="str">
        <f>VLOOKUP(Complete[[#This Row],[Code
(PAP)]],[1]Sheet1!$A:$AO,38,FALSE)</f>
        <v>N/A</v>
      </c>
      <c r="AM104" s="576" t="str">
        <f>VLOOKUP(Complete[[#This Row],[Code
(PAP)]],[1]Sheet1!$A:$AO,38,FALSE)</f>
        <v>N/A</v>
      </c>
      <c r="AN104" s="595" t="s">
        <v>713</v>
      </c>
      <c r="AO104" s="303" t="s">
        <v>139</v>
      </c>
      <c r="AP104" s="389"/>
      <c r="AQ104" s="389"/>
    </row>
    <row r="105" spans="1:43" s="224" customFormat="1" ht="75" customHeight="1" x14ac:dyDescent="0.25">
      <c r="A105" s="385" t="s">
        <v>283</v>
      </c>
      <c r="B105" s="406" t="str">
        <f>VLOOKUP(Complete[[#This Row],[Code
(PAP)]],[1]Sheet1!$A:$AO,2,FALSE)</f>
        <v>SPAREPARTS(LIGHT VEHICLE)</v>
      </c>
      <c r="C105" s="408" t="str">
        <f>VLOOKUP(Complete[[#This Row],[Code
(PAP)]],[1]Sheet1!$A:$AO,3,FALSE)</f>
        <v>PGSO</v>
      </c>
      <c r="D105" s="380" t="s">
        <v>712</v>
      </c>
      <c r="E105" s="409" t="str">
        <f>VLOOKUP(Complete[[#This Row],[Code
(PAP)]],[2]Sheet1!$A:$AO,5,FALSE)</f>
        <v>Shopping 52.1(a) - Unforeseen Contingency</v>
      </c>
      <c r="F105" s="393" t="str">
        <f>VLOOKUP(Complete[[#This Row],[Code
(PAP)]],[1]Sheet1!$A:$AO,6,FALSE)</f>
        <v>N/A</v>
      </c>
      <c r="G105" s="393">
        <f>VLOOKUP(Complete[[#This Row],[Code
(PAP)]],[1]Sheet1!$A:$AO,7,FALSE)</f>
        <v>45352</v>
      </c>
      <c r="H105" s="374"/>
      <c r="I105" s="394" t="str">
        <f>VLOOKUP(Complete[[#This Row],[Code
(PAP)]],[1]Sheet1!$A:$AO,9,FALSE)</f>
        <v>N/A</v>
      </c>
      <c r="J105" s="393">
        <f>VLOOKUP(Complete[[#This Row],[Code
(PAP)]],[1]Sheet1!$A:$AO,10,FALSE)</f>
        <v>45356</v>
      </c>
      <c r="K105" s="393">
        <f>VLOOKUP(Complete[[#This Row],[Code
(PAP)]],[1]Sheet1!$A:$AO,11,FALSE)</f>
        <v>45356</v>
      </c>
      <c r="L105" s="387"/>
      <c r="M105" s="393" t="str">
        <f>VLOOKUP(Complete[[#This Row],[Code
(PAP)]],[1]Sheet1!$A:$AO,13,FALSE)</f>
        <v>N/A</v>
      </c>
      <c r="N105" s="393" t="str">
        <f>VLOOKUP(Complete[[#This Row],[Code
(PAP)]],[1]Sheet1!$A:$AO,14,FALSE)</f>
        <v>N/A</v>
      </c>
      <c r="O105" s="393">
        <f>VLOOKUP(Complete[[#This Row],[Code
(PAP)]],[1]Sheet1!$A:$AO,15,FALSE)</f>
        <v>45357</v>
      </c>
      <c r="P105" s="387"/>
      <c r="Q105" s="387"/>
      <c r="R105" s="387"/>
      <c r="S105" s="576" t="str">
        <f>VLOOKUP(Complete[[#This Row],[Code
(PAP)]],[1]Sheet1!$A:$AO,19,FALSE)</f>
        <v>N/A</v>
      </c>
      <c r="T105" s="576">
        <f>VLOOKUP(Complete[[#This Row],[Code
(PAP)]],[1]Sheet1!$A:$AO,20,FALSE)</f>
        <v>45377</v>
      </c>
      <c r="U105" s="576">
        <f>VLOOKUP(Complete[[#This Row],[Code
(PAP)]],[1]Sheet1!$A:$AO,21,FALSE)</f>
        <v>45384</v>
      </c>
      <c r="V105" s="387"/>
      <c r="W105" s="387"/>
      <c r="X105" s="392">
        <f>VLOOKUP(Complete[[#This Row],[Code
(PAP)]],[1]Sheet1!$A:$AO,24,FALSE)</f>
        <v>45384</v>
      </c>
      <c r="Y105" s="392">
        <f>Complete[[#This Row],[Delivery/ Completion]]</f>
        <v>45384</v>
      </c>
      <c r="Z105" s="610" t="s">
        <v>1478</v>
      </c>
      <c r="AA105" s="462">
        <f>Complete[[#This Row],[MOOE]]+Complete[[#This Row],[CO]]</f>
        <v>12175</v>
      </c>
      <c r="AB105" s="466">
        <v>12175</v>
      </c>
      <c r="AC105" s="497"/>
      <c r="AD105" s="498">
        <f>IF(Complete[[#This Row],[Procurement Project]]="","",SUM(Complete[[#This Row],[MOOE2]]+Complete[[#This Row],[CO3]]))</f>
        <v>12175</v>
      </c>
      <c r="AE105" s="501">
        <v>12175</v>
      </c>
      <c r="AF105" s="541"/>
      <c r="AG105" s="400"/>
      <c r="AH105" s="380" t="s">
        <v>1205</v>
      </c>
      <c r="AI105" s="576" t="str">
        <f>VLOOKUP(Complete[[#This Row],[Code
(PAP)]],[1]Sheet1!$A:$AO,35,FALSE)</f>
        <v>N/A</v>
      </c>
      <c r="AJ105" s="576" t="str">
        <f>VLOOKUP(Complete[[#This Row],[Code
(PAP)]],[1]Sheet1!$A:$AO,36,FALSE)</f>
        <v>N/A</v>
      </c>
      <c r="AK105" s="576" t="str">
        <f>VLOOKUP(Complete[[#This Row],[Code
(PAP)]],[1]Sheet1!$A:$AO,37,FALSE)</f>
        <v>N/A</v>
      </c>
      <c r="AL105" s="576" t="str">
        <f>VLOOKUP(Complete[[#This Row],[Code
(PAP)]],[1]Sheet1!$A:$AO,38,FALSE)</f>
        <v>N/A</v>
      </c>
      <c r="AM105" s="576" t="str">
        <f>VLOOKUP(Complete[[#This Row],[Code
(PAP)]],[1]Sheet1!$A:$AO,38,FALSE)</f>
        <v>N/A</v>
      </c>
      <c r="AN105" s="595" t="s">
        <v>713</v>
      </c>
      <c r="AO105" s="303" t="s">
        <v>139</v>
      </c>
      <c r="AP105" s="389"/>
      <c r="AQ105" s="389"/>
    </row>
    <row r="106" spans="1:43" s="224" customFormat="1" ht="75" customHeight="1" x14ac:dyDescent="0.25">
      <c r="A106" s="385" t="s">
        <v>284</v>
      </c>
      <c r="B106" s="406" t="str">
        <f>VLOOKUP(Complete[[#This Row],[Code
(PAP)]],[1]Sheet1!$A:$AO,2,FALSE)</f>
        <v>SPAREPARTS(LIGHT VEHICLE)</v>
      </c>
      <c r="C106" s="408" t="str">
        <f>VLOOKUP(Complete[[#This Row],[Code
(PAP)]],[1]Sheet1!$A:$AO,3,FALSE)</f>
        <v>PGSO</v>
      </c>
      <c r="D106" s="380" t="s">
        <v>712</v>
      </c>
      <c r="E106" s="409" t="str">
        <f>VLOOKUP(Complete[[#This Row],[Code
(PAP)]],[2]Sheet1!$A:$AO,5,FALSE)</f>
        <v>Shopping 52.1(a) - Unforeseen Contingency</v>
      </c>
      <c r="F106" s="393" t="str">
        <f>VLOOKUP(Complete[[#This Row],[Code
(PAP)]],[1]Sheet1!$A:$AO,6,FALSE)</f>
        <v>N/A</v>
      </c>
      <c r="G106" s="393">
        <f>VLOOKUP(Complete[[#This Row],[Code
(PAP)]],[1]Sheet1!$A:$AO,7,FALSE)</f>
        <v>45352</v>
      </c>
      <c r="H106" s="374"/>
      <c r="I106" s="394" t="str">
        <f>VLOOKUP(Complete[[#This Row],[Code
(PAP)]],[1]Sheet1!$A:$AO,9,FALSE)</f>
        <v>N/A</v>
      </c>
      <c r="J106" s="393">
        <f>VLOOKUP(Complete[[#This Row],[Code
(PAP)]],[1]Sheet1!$A:$AO,10,FALSE)</f>
        <v>45356</v>
      </c>
      <c r="K106" s="393">
        <f>VLOOKUP(Complete[[#This Row],[Code
(PAP)]],[1]Sheet1!$A:$AO,11,FALSE)</f>
        <v>45356</v>
      </c>
      <c r="L106" s="387"/>
      <c r="M106" s="393" t="str">
        <f>VLOOKUP(Complete[[#This Row],[Code
(PAP)]],[1]Sheet1!$A:$AO,13,FALSE)</f>
        <v>N/A</v>
      </c>
      <c r="N106" s="393" t="str">
        <f>VLOOKUP(Complete[[#This Row],[Code
(PAP)]],[1]Sheet1!$A:$AO,14,FALSE)</f>
        <v>N/A</v>
      </c>
      <c r="O106" s="393">
        <f>VLOOKUP(Complete[[#This Row],[Code
(PAP)]],[1]Sheet1!$A:$AO,15,FALSE)</f>
        <v>45357</v>
      </c>
      <c r="P106" s="387"/>
      <c r="Q106" s="387"/>
      <c r="R106" s="387"/>
      <c r="S106" s="576" t="str">
        <f>VLOOKUP(Complete[[#This Row],[Code
(PAP)]],[1]Sheet1!$A:$AO,19,FALSE)</f>
        <v>N/A</v>
      </c>
      <c r="T106" s="576">
        <f>VLOOKUP(Complete[[#This Row],[Code
(PAP)]],[1]Sheet1!$A:$AO,20,FALSE)</f>
        <v>45377</v>
      </c>
      <c r="U106" s="576">
        <f>VLOOKUP(Complete[[#This Row],[Code
(PAP)]],[1]Sheet1!$A:$AO,21,FALSE)</f>
        <v>45385</v>
      </c>
      <c r="V106" s="387"/>
      <c r="W106" s="387"/>
      <c r="X106" s="392">
        <f>VLOOKUP(Complete[[#This Row],[Code
(PAP)]],[1]Sheet1!$A:$AO,24,FALSE)</f>
        <v>45385</v>
      </c>
      <c r="Y106" s="392">
        <f>Complete[[#This Row],[Delivery/ Completion]]</f>
        <v>45385</v>
      </c>
      <c r="Z106" s="610" t="s">
        <v>1478</v>
      </c>
      <c r="AA106" s="462">
        <f>Complete[[#This Row],[MOOE]]+Complete[[#This Row],[CO]]</f>
        <v>52480</v>
      </c>
      <c r="AB106" s="466">
        <v>52480</v>
      </c>
      <c r="AC106" s="497"/>
      <c r="AD106" s="498">
        <f>IF(Complete[[#This Row],[Procurement Project]]="","",SUM(Complete[[#This Row],[MOOE2]]+Complete[[#This Row],[CO3]]))</f>
        <v>52480</v>
      </c>
      <c r="AE106" s="501">
        <v>52480</v>
      </c>
      <c r="AF106" s="541"/>
      <c r="AG106" s="400"/>
      <c r="AH106" s="380" t="s">
        <v>1205</v>
      </c>
      <c r="AI106" s="576" t="str">
        <f>VLOOKUP(Complete[[#This Row],[Code
(PAP)]],[1]Sheet1!$A:$AO,35,FALSE)</f>
        <v>N/A</v>
      </c>
      <c r="AJ106" s="576" t="str">
        <f>VLOOKUP(Complete[[#This Row],[Code
(PAP)]],[1]Sheet1!$A:$AO,36,FALSE)</f>
        <v>N/A</v>
      </c>
      <c r="AK106" s="576" t="str">
        <f>VLOOKUP(Complete[[#This Row],[Code
(PAP)]],[1]Sheet1!$A:$AO,37,FALSE)</f>
        <v>N/A</v>
      </c>
      <c r="AL106" s="576" t="str">
        <f>VLOOKUP(Complete[[#This Row],[Code
(PAP)]],[1]Sheet1!$A:$AO,38,FALSE)</f>
        <v>N/A</v>
      </c>
      <c r="AM106" s="576" t="str">
        <f>VLOOKUP(Complete[[#This Row],[Code
(PAP)]],[1]Sheet1!$A:$AO,38,FALSE)</f>
        <v>N/A</v>
      </c>
      <c r="AN106" s="595" t="s">
        <v>713</v>
      </c>
      <c r="AO106" s="303" t="s">
        <v>139</v>
      </c>
      <c r="AP106" s="389"/>
      <c r="AQ106" s="389"/>
    </row>
    <row r="107" spans="1:43" s="224" customFormat="1" ht="75" customHeight="1" x14ac:dyDescent="0.25">
      <c r="A107" s="385" t="s">
        <v>285</v>
      </c>
      <c r="B107" s="406" t="str">
        <f>VLOOKUP(Complete[[#This Row],[Code
(PAP)]],[1]Sheet1!$A:$AO,2,FALSE)</f>
        <v>SPAREPARTS(LIGHT VEHICLE)</v>
      </c>
      <c r="C107" s="408" t="str">
        <f>VLOOKUP(Complete[[#This Row],[Code
(PAP)]],[1]Sheet1!$A:$AO,3,FALSE)</f>
        <v>PGSO</v>
      </c>
      <c r="D107" s="380" t="s">
        <v>712</v>
      </c>
      <c r="E107" s="409" t="str">
        <f>VLOOKUP(Complete[[#This Row],[Code
(PAP)]],[2]Sheet1!$A:$AO,5,FALSE)</f>
        <v>Shopping 52.1(a) - Unforeseen Contingency</v>
      </c>
      <c r="F107" s="393" t="str">
        <f>VLOOKUP(Complete[[#This Row],[Code
(PAP)]],[1]Sheet1!$A:$AO,6,FALSE)</f>
        <v>N/A</v>
      </c>
      <c r="G107" s="393">
        <f>VLOOKUP(Complete[[#This Row],[Code
(PAP)]],[1]Sheet1!$A:$AO,7,FALSE)</f>
        <v>45352</v>
      </c>
      <c r="H107" s="374"/>
      <c r="I107" s="394" t="str">
        <f>VLOOKUP(Complete[[#This Row],[Code
(PAP)]],[1]Sheet1!$A:$AO,9,FALSE)</f>
        <v>N/A</v>
      </c>
      <c r="J107" s="393">
        <f>VLOOKUP(Complete[[#This Row],[Code
(PAP)]],[1]Sheet1!$A:$AO,10,FALSE)</f>
        <v>45356</v>
      </c>
      <c r="K107" s="393">
        <f>VLOOKUP(Complete[[#This Row],[Code
(PAP)]],[1]Sheet1!$A:$AO,11,FALSE)</f>
        <v>45356</v>
      </c>
      <c r="L107" s="387"/>
      <c r="M107" s="393" t="str">
        <f>VLOOKUP(Complete[[#This Row],[Code
(PAP)]],[1]Sheet1!$A:$AO,13,FALSE)</f>
        <v>N/A</v>
      </c>
      <c r="N107" s="393" t="str">
        <f>VLOOKUP(Complete[[#This Row],[Code
(PAP)]],[1]Sheet1!$A:$AO,14,FALSE)</f>
        <v>N/A</v>
      </c>
      <c r="O107" s="393">
        <f>VLOOKUP(Complete[[#This Row],[Code
(PAP)]],[1]Sheet1!$A:$AO,15,FALSE)</f>
        <v>45357</v>
      </c>
      <c r="P107" s="387"/>
      <c r="Q107" s="387"/>
      <c r="R107" s="387"/>
      <c r="S107" s="576" t="str">
        <f>VLOOKUP(Complete[[#This Row],[Code
(PAP)]],[1]Sheet1!$A:$AO,19,FALSE)</f>
        <v>N/A</v>
      </c>
      <c r="T107" s="576">
        <f>VLOOKUP(Complete[[#This Row],[Code
(PAP)]],[1]Sheet1!$A:$AO,20,FALSE)</f>
        <v>45377</v>
      </c>
      <c r="U107" s="576">
        <f>VLOOKUP(Complete[[#This Row],[Code
(PAP)]],[1]Sheet1!$A:$AO,21,FALSE)</f>
        <v>45384</v>
      </c>
      <c r="V107" s="387"/>
      <c r="W107" s="387"/>
      <c r="X107" s="392">
        <f>VLOOKUP(Complete[[#This Row],[Code
(PAP)]],[1]Sheet1!$A:$AO,24,FALSE)</f>
        <v>45384</v>
      </c>
      <c r="Y107" s="392">
        <f>Complete[[#This Row],[Delivery/ Completion]]</f>
        <v>45384</v>
      </c>
      <c r="Z107" s="610" t="s">
        <v>1478</v>
      </c>
      <c r="AA107" s="462">
        <f>Complete[[#This Row],[MOOE]]+Complete[[#This Row],[CO]]</f>
        <v>67950</v>
      </c>
      <c r="AB107" s="466">
        <v>67950</v>
      </c>
      <c r="AC107" s="497"/>
      <c r="AD107" s="498">
        <f>IF(Complete[[#This Row],[Procurement Project]]="","",SUM(Complete[[#This Row],[MOOE2]]+Complete[[#This Row],[CO3]]))</f>
        <v>67950</v>
      </c>
      <c r="AE107" s="501">
        <v>67950</v>
      </c>
      <c r="AF107" s="541"/>
      <c r="AG107" s="400"/>
      <c r="AH107" s="380" t="s">
        <v>1205</v>
      </c>
      <c r="AI107" s="576" t="str">
        <f>VLOOKUP(Complete[[#This Row],[Code
(PAP)]],[1]Sheet1!$A:$AO,35,FALSE)</f>
        <v>N/A</v>
      </c>
      <c r="AJ107" s="576" t="str">
        <f>VLOOKUP(Complete[[#This Row],[Code
(PAP)]],[1]Sheet1!$A:$AO,36,FALSE)</f>
        <v>N/A</v>
      </c>
      <c r="AK107" s="576" t="str">
        <f>VLOOKUP(Complete[[#This Row],[Code
(PAP)]],[1]Sheet1!$A:$AO,37,FALSE)</f>
        <v>N/A</v>
      </c>
      <c r="AL107" s="576" t="str">
        <f>VLOOKUP(Complete[[#This Row],[Code
(PAP)]],[1]Sheet1!$A:$AO,38,FALSE)</f>
        <v>N/A</v>
      </c>
      <c r="AM107" s="576" t="str">
        <f>VLOOKUP(Complete[[#This Row],[Code
(PAP)]],[1]Sheet1!$A:$AO,38,FALSE)</f>
        <v>N/A</v>
      </c>
      <c r="AN107" s="595" t="s">
        <v>713</v>
      </c>
      <c r="AO107" s="303" t="s">
        <v>139</v>
      </c>
      <c r="AP107" s="389"/>
      <c r="AQ107" s="389"/>
    </row>
    <row r="108" spans="1:43" s="224" customFormat="1" ht="75" customHeight="1" x14ac:dyDescent="0.25">
      <c r="A108" s="385" t="s">
        <v>286</v>
      </c>
      <c r="B108" s="406" t="str">
        <f>VLOOKUP(Complete[[#This Row],[Code
(PAP)]],[1]Sheet1!$A:$AO,2,FALSE)</f>
        <v>SPAREPARTS(LIGHT VEHICLE)</v>
      </c>
      <c r="C108" s="408" t="str">
        <f>VLOOKUP(Complete[[#This Row],[Code
(PAP)]],[1]Sheet1!$A:$AO,3,FALSE)</f>
        <v>PGSO</v>
      </c>
      <c r="D108" s="380" t="s">
        <v>712</v>
      </c>
      <c r="E108" s="409" t="str">
        <f>VLOOKUP(Complete[[#This Row],[Code
(PAP)]],[2]Sheet1!$A:$AO,5,FALSE)</f>
        <v>Shopping 52.1(a) - Unforeseen Contingency</v>
      </c>
      <c r="F108" s="393" t="str">
        <f>VLOOKUP(Complete[[#This Row],[Code
(PAP)]],[1]Sheet1!$A:$AO,6,FALSE)</f>
        <v>N/A</v>
      </c>
      <c r="G108" s="393">
        <f>VLOOKUP(Complete[[#This Row],[Code
(PAP)]],[1]Sheet1!$A:$AO,7,FALSE)</f>
        <v>45352</v>
      </c>
      <c r="H108" s="374"/>
      <c r="I108" s="394" t="str">
        <f>VLOOKUP(Complete[[#This Row],[Code
(PAP)]],[1]Sheet1!$A:$AO,9,FALSE)</f>
        <v>N/A</v>
      </c>
      <c r="J108" s="393">
        <f>VLOOKUP(Complete[[#This Row],[Code
(PAP)]],[1]Sheet1!$A:$AO,10,FALSE)</f>
        <v>45356</v>
      </c>
      <c r="K108" s="393">
        <f>VLOOKUP(Complete[[#This Row],[Code
(PAP)]],[1]Sheet1!$A:$AO,11,FALSE)</f>
        <v>45356</v>
      </c>
      <c r="L108" s="387"/>
      <c r="M108" s="393" t="str">
        <f>VLOOKUP(Complete[[#This Row],[Code
(PAP)]],[1]Sheet1!$A:$AO,13,FALSE)</f>
        <v>N/A</v>
      </c>
      <c r="N108" s="393" t="str">
        <f>VLOOKUP(Complete[[#This Row],[Code
(PAP)]],[1]Sheet1!$A:$AO,14,FALSE)</f>
        <v>N/A</v>
      </c>
      <c r="O108" s="393">
        <f>VLOOKUP(Complete[[#This Row],[Code
(PAP)]],[1]Sheet1!$A:$AO,15,FALSE)</f>
        <v>45357</v>
      </c>
      <c r="P108" s="387"/>
      <c r="Q108" s="387"/>
      <c r="R108" s="387"/>
      <c r="S108" s="576" t="str">
        <f>VLOOKUP(Complete[[#This Row],[Code
(PAP)]],[1]Sheet1!$A:$AO,19,FALSE)</f>
        <v>N/A</v>
      </c>
      <c r="T108" s="576">
        <f>VLOOKUP(Complete[[#This Row],[Code
(PAP)]],[1]Sheet1!$A:$AO,20,FALSE)</f>
        <v>45376</v>
      </c>
      <c r="U108" s="576">
        <f>VLOOKUP(Complete[[#This Row],[Code
(PAP)]],[1]Sheet1!$A:$AO,21,FALSE)</f>
        <v>45377</v>
      </c>
      <c r="V108" s="387"/>
      <c r="W108" s="387"/>
      <c r="X108" s="392">
        <f>VLOOKUP(Complete[[#This Row],[Code
(PAP)]],[1]Sheet1!$A:$AO,24,FALSE)</f>
        <v>45377</v>
      </c>
      <c r="Y108" s="392">
        <f>Complete[[#This Row],[Delivery/ Completion]]</f>
        <v>45377</v>
      </c>
      <c r="Z108" s="610" t="s">
        <v>1478</v>
      </c>
      <c r="AA108" s="462">
        <f>Complete[[#This Row],[MOOE]]+Complete[[#This Row],[CO]]</f>
        <v>800</v>
      </c>
      <c r="AB108" s="466">
        <v>800</v>
      </c>
      <c r="AC108" s="497"/>
      <c r="AD108" s="498">
        <f>IF(Complete[[#This Row],[Procurement Project]]="","",SUM(Complete[[#This Row],[MOOE2]]+Complete[[#This Row],[CO3]]))</f>
        <v>800</v>
      </c>
      <c r="AE108" s="501">
        <v>800</v>
      </c>
      <c r="AF108" s="541"/>
      <c r="AG108" s="400"/>
      <c r="AH108" s="380" t="s">
        <v>1205</v>
      </c>
      <c r="AI108" s="576" t="str">
        <f>VLOOKUP(Complete[[#This Row],[Code
(PAP)]],[1]Sheet1!$A:$AO,35,FALSE)</f>
        <v>N/A</v>
      </c>
      <c r="AJ108" s="576" t="str">
        <f>VLOOKUP(Complete[[#This Row],[Code
(PAP)]],[1]Sheet1!$A:$AO,36,FALSE)</f>
        <v>N/A</v>
      </c>
      <c r="AK108" s="576" t="str">
        <f>VLOOKUP(Complete[[#This Row],[Code
(PAP)]],[1]Sheet1!$A:$AO,37,FALSE)</f>
        <v>N/A</v>
      </c>
      <c r="AL108" s="576" t="str">
        <f>VLOOKUP(Complete[[#This Row],[Code
(PAP)]],[1]Sheet1!$A:$AO,38,FALSE)</f>
        <v>N/A</v>
      </c>
      <c r="AM108" s="576" t="str">
        <f>VLOOKUP(Complete[[#This Row],[Code
(PAP)]],[1]Sheet1!$A:$AO,38,FALSE)</f>
        <v>N/A</v>
      </c>
      <c r="AN108" s="595" t="s">
        <v>713</v>
      </c>
      <c r="AO108" s="303" t="s">
        <v>139</v>
      </c>
      <c r="AP108" s="389"/>
      <c r="AQ108" s="389"/>
    </row>
    <row r="109" spans="1:43" s="224" customFormat="1" ht="75" customHeight="1" x14ac:dyDescent="0.25">
      <c r="A109" s="385" t="s">
        <v>287</v>
      </c>
      <c r="B109" s="406" t="str">
        <f>VLOOKUP(Complete[[#This Row],[Code
(PAP)]],[1]Sheet1!$A:$AO,2,FALSE)</f>
        <v>SPAREPARTS (MOTORCYCLE)</v>
      </c>
      <c r="C109" s="408" t="str">
        <f>VLOOKUP(Complete[[#This Row],[Code
(PAP)]],[1]Sheet1!$A:$AO,3,FALSE)</f>
        <v>PGSO</v>
      </c>
      <c r="D109" s="380" t="s">
        <v>712</v>
      </c>
      <c r="E109" s="409" t="str">
        <f>VLOOKUP(Complete[[#This Row],[Code
(PAP)]],[2]Sheet1!$A:$AO,5,FALSE)</f>
        <v>Shopping 52.1(a) - Unforeseen Contingency</v>
      </c>
      <c r="F109" s="393" t="str">
        <f>VLOOKUP(Complete[[#This Row],[Code
(PAP)]],[1]Sheet1!$A:$AO,6,FALSE)</f>
        <v>N/A</v>
      </c>
      <c r="G109" s="393">
        <f>VLOOKUP(Complete[[#This Row],[Code
(PAP)]],[1]Sheet1!$A:$AO,7,FALSE)</f>
        <v>45352</v>
      </c>
      <c r="H109" s="374"/>
      <c r="I109" s="394" t="str">
        <f>VLOOKUP(Complete[[#This Row],[Code
(PAP)]],[1]Sheet1!$A:$AO,9,FALSE)</f>
        <v>N/A</v>
      </c>
      <c r="J109" s="393">
        <f>VLOOKUP(Complete[[#This Row],[Code
(PAP)]],[1]Sheet1!$A:$AO,10,FALSE)</f>
        <v>45356</v>
      </c>
      <c r="K109" s="393">
        <f>VLOOKUP(Complete[[#This Row],[Code
(PAP)]],[1]Sheet1!$A:$AO,11,FALSE)</f>
        <v>45356</v>
      </c>
      <c r="L109" s="387"/>
      <c r="M109" s="393" t="str">
        <f>VLOOKUP(Complete[[#This Row],[Code
(PAP)]],[1]Sheet1!$A:$AO,13,FALSE)</f>
        <v>N/A</v>
      </c>
      <c r="N109" s="393" t="str">
        <f>VLOOKUP(Complete[[#This Row],[Code
(PAP)]],[1]Sheet1!$A:$AO,14,FALSE)</f>
        <v>N/A</v>
      </c>
      <c r="O109" s="393">
        <f>VLOOKUP(Complete[[#This Row],[Code
(PAP)]],[1]Sheet1!$A:$AO,15,FALSE)</f>
        <v>45357</v>
      </c>
      <c r="P109" s="387"/>
      <c r="Q109" s="387"/>
      <c r="R109" s="387"/>
      <c r="S109" s="576" t="str">
        <f>VLOOKUP(Complete[[#This Row],[Code
(PAP)]],[1]Sheet1!$A:$AO,19,FALSE)</f>
        <v>N/A</v>
      </c>
      <c r="T109" s="576">
        <f>VLOOKUP(Complete[[#This Row],[Code
(PAP)]],[1]Sheet1!$A:$AO,20,FALSE)</f>
        <v>45377</v>
      </c>
      <c r="U109" s="576">
        <f>VLOOKUP(Complete[[#This Row],[Code
(PAP)]],[1]Sheet1!$A:$AO,21,FALSE)</f>
        <v>45386</v>
      </c>
      <c r="V109" s="387"/>
      <c r="W109" s="387"/>
      <c r="X109" s="392">
        <f>VLOOKUP(Complete[[#This Row],[Code
(PAP)]],[1]Sheet1!$A:$AO,24,FALSE)</f>
        <v>45386</v>
      </c>
      <c r="Y109" s="392">
        <f>Complete[[#This Row],[Delivery/ Completion]]</f>
        <v>45386</v>
      </c>
      <c r="Z109" s="610" t="s">
        <v>1478</v>
      </c>
      <c r="AA109" s="462">
        <f>Complete[[#This Row],[MOOE]]+Complete[[#This Row],[CO]]</f>
        <v>8280</v>
      </c>
      <c r="AB109" s="466">
        <v>8280</v>
      </c>
      <c r="AC109" s="497"/>
      <c r="AD109" s="498">
        <f>IF(Complete[[#This Row],[Procurement Project]]="","",SUM(Complete[[#This Row],[MOOE2]]+Complete[[#This Row],[CO3]]))</f>
        <v>8280</v>
      </c>
      <c r="AE109" s="501">
        <v>8280</v>
      </c>
      <c r="AF109" s="541"/>
      <c r="AG109" s="400"/>
      <c r="AH109" s="380" t="s">
        <v>1205</v>
      </c>
      <c r="AI109" s="576" t="str">
        <f>VLOOKUP(Complete[[#This Row],[Code
(PAP)]],[1]Sheet1!$A:$AO,35,FALSE)</f>
        <v>N/A</v>
      </c>
      <c r="AJ109" s="576" t="str">
        <f>VLOOKUP(Complete[[#This Row],[Code
(PAP)]],[1]Sheet1!$A:$AO,36,FALSE)</f>
        <v>N/A</v>
      </c>
      <c r="AK109" s="576" t="str">
        <f>VLOOKUP(Complete[[#This Row],[Code
(PAP)]],[1]Sheet1!$A:$AO,37,FALSE)</f>
        <v>N/A</v>
      </c>
      <c r="AL109" s="576" t="str">
        <f>VLOOKUP(Complete[[#This Row],[Code
(PAP)]],[1]Sheet1!$A:$AO,38,FALSE)</f>
        <v>N/A</v>
      </c>
      <c r="AM109" s="576" t="str">
        <f>VLOOKUP(Complete[[#This Row],[Code
(PAP)]],[1]Sheet1!$A:$AO,38,FALSE)</f>
        <v>N/A</v>
      </c>
      <c r="AN109" s="595" t="s">
        <v>713</v>
      </c>
      <c r="AO109" s="303" t="s">
        <v>139</v>
      </c>
      <c r="AP109" s="389"/>
      <c r="AQ109" s="389"/>
    </row>
    <row r="110" spans="1:43" s="224" customFormat="1" ht="75" customHeight="1" x14ac:dyDescent="0.25">
      <c r="A110" s="385" t="s">
        <v>288</v>
      </c>
      <c r="B110" s="406" t="str">
        <f>VLOOKUP(Complete[[#This Row],[Code
(PAP)]],[1]Sheet1!$A:$AO,2,FALSE)</f>
        <v>SPAREPARTS(LIGHT VEHICLE)</v>
      </c>
      <c r="C110" s="408" t="str">
        <f>VLOOKUP(Complete[[#This Row],[Code
(PAP)]],[1]Sheet1!$A:$AO,3,FALSE)</f>
        <v>PGSO</v>
      </c>
      <c r="D110" s="380" t="s">
        <v>712</v>
      </c>
      <c r="E110" s="409" t="str">
        <f>VLOOKUP(Complete[[#This Row],[Code
(PAP)]],[2]Sheet1!$A:$AO,5,FALSE)</f>
        <v>Shopping 52.1(a) - Unforeseen Contingency</v>
      </c>
      <c r="F110" s="393" t="str">
        <f>VLOOKUP(Complete[[#This Row],[Code
(PAP)]],[1]Sheet1!$A:$AO,6,FALSE)</f>
        <v>N/A</v>
      </c>
      <c r="G110" s="393">
        <f>VLOOKUP(Complete[[#This Row],[Code
(PAP)]],[1]Sheet1!$A:$AO,7,FALSE)</f>
        <v>45352</v>
      </c>
      <c r="H110" s="374"/>
      <c r="I110" s="394" t="str">
        <f>VLOOKUP(Complete[[#This Row],[Code
(PAP)]],[1]Sheet1!$A:$AO,9,FALSE)</f>
        <v>N/A</v>
      </c>
      <c r="J110" s="393">
        <f>VLOOKUP(Complete[[#This Row],[Code
(PAP)]],[1]Sheet1!$A:$AO,10,FALSE)</f>
        <v>45356</v>
      </c>
      <c r="K110" s="393">
        <f>VLOOKUP(Complete[[#This Row],[Code
(PAP)]],[1]Sheet1!$A:$AO,11,FALSE)</f>
        <v>45356</v>
      </c>
      <c r="L110" s="387"/>
      <c r="M110" s="393" t="str">
        <f>VLOOKUP(Complete[[#This Row],[Code
(PAP)]],[1]Sheet1!$A:$AO,13,FALSE)</f>
        <v>N/A</v>
      </c>
      <c r="N110" s="393" t="str">
        <f>VLOOKUP(Complete[[#This Row],[Code
(PAP)]],[1]Sheet1!$A:$AO,14,FALSE)</f>
        <v>N/A</v>
      </c>
      <c r="O110" s="393">
        <f>VLOOKUP(Complete[[#This Row],[Code
(PAP)]],[1]Sheet1!$A:$AO,15,FALSE)</f>
        <v>45357</v>
      </c>
      <c r="P110" s="387"/>
      <c r="Q110" s="387"/>
      <c r="R110" s="387"/>
      <c r="S110" s="576" t="str">
        <f>VLOOKUP(Complete[[#This Row],[Code
(PAP)]],[1]Sheet1!$A:$AO,19,FALSE)</f>
        <v>N/A</v>
      </c>
      <c r="T110" s="576">
        <f>VLOOKUP(Complete[[#This Row],[Code
(PAP)]],[1]Sheet1!$A:$AO,20,FALSE)</f>
        <v>45377</v>
      </c>
      <c r="U110" s="576">
        <f>VLOOKUP(Complete[[#This Row],[Code
(PAP)]],[1]Sheet1!$A:$AO,21,FALSE)</f>
        <v>45384</v>
      </c>
      <c r="V110" s="387"/>
      <c r="W110" s="387"/>
      <c r="X110" s="392">
        <f>VLOOKUP(Complete[[#This Row],[Code
(PAP)]],[1]Sheet1!$A:$AO,24,FALSE)</f>
        <v>45384</v>
      </c>
      <c r="Y110" s="392">
        <f>Complete[[#This Row],[Delivery/ Completion]]</f>
        <v>45384</v>
      </c>
      <c r="Z110" s="610" t="s">
        <v>1478</v>
      </c>
      <c r="AA110" s="462">
        <f>Complete[[#This Row],[MOOE]]+Complete[[#This Row],[CO]]</f>
        <v>21950</v>
      </c>
      <c r="AB110" s="466">
        <v>21950</v>
      </c>
      <c r="AC110" s="497"/>
      <c r="AD110" s="498">
        <f>IF(Complete[[#This Row],[Procurement Project]]="","",SUM(Complete[[#This Row],[MOOE2]]+Complete[[#This Row],[CO3]]))</f>
        <v>21950</v>
      </c>
      <c r="AE110" s="501">
        <v>21950</v>
      </c>
      <c r="AF110" s="541"/>
      <c r="AG110" s="400"/>
      <c r="AH110" s="380" t="s">
        <v>1205</v>
      </c>
      <c r="AI110" s="576" t="str">
        <f>VLOOKUP(Complete[[#This Row],[Code
(PAP)]],[1]Sheet1!$A:$AO,35,FALSE)</f>
        <v>N/A</v>
      </c>
      <c r="AJ110" s="576" t="str">
        <f>VLOOKUP(Complete[[#This Row],[Code
(PAP)]],[1]Sheet1!$A:$AO,36,FALSE)</f>
        <v>N/A</v>
      </c>
      <c r="AK110" s="576" t="str">
        <f>VLOOKUP(Complete[[#This Row],[Code
(PAP)]],[1]Sheet1!$A:$AO,37,FALSE)</f>
        <v>N/A</v>
      </c>
      <c r="AL110" s="576" t="str">
        <f>VLOOKUP(Complete[[#This Row],[Code
(PAP)]],[1]Sheet1!$A:$AO,38,FALSE)</f>
        <v>N/A</v>
      </c>
      <c r="AM110" s="576" t="str">
        <f>VLOOKUP(Complete[[#This Row],[Code
(PAP)]],[1]Sheet1!$A:$AO,38,FALSE)</f>
        <v>N/A</v>
      </c>
      <c r="AN110" s="595" t="s">
        <v>713</v>
      </c>
      <c r="AO110" s="303" t="s">
        <v>139</v>
      </c>
      <c r="AP110" s="389"/>
      <c r="AQ110" s="389"/>
    </row>
    <row r="111" spans="1:43" s="224" customFormat="1" ht="75" customHeight="1" x14ac:dyDescent="0.25">
      <c r="A111" s="385" t="s">
        <v>289</v>
      </c>
      <c r="B111" s="406" t="str">
        <f>VLOOKUP(Complete[[#This Row],[Code
(PAP)]],[1]Sheet1!$A:$AO,2,FALSE)</f>
        <v>DISTILLED WATER</v>
      </c>
      <c r="C111" s="408" t="str">
        <f>VLOOKUP(Complete[[#This Row],[Code
(PAP)]],[1]Sheet1!$A:$AO,3,FALSE)</f>
        <v>PAGRO</v>
      </c>
      <c r="D111" s="380" t="s">
        <v>712</v>
      </c>
      <c r="E111" s="409" t="str">
        <f>VLOOKUP(Complete[[#This Row],[Code
(PAP)]],[2]Sheet1!$A:$AO,5,FALSE)</f>
        <v>NP-53.9 - Small Value Procurement</v>
      </c>
      <c r="F111" s="393">
        <f>VLOOKUP(Complete[[#This Row],[Code
(PAP)]],[1]Sheet1!$A:$AO,6,FALSE)</f>
        <v>45272</v>
      </c>
      <c r="G111" s="393">
        <f>VLOOKUP(Complete[[#This Row],[Code
(PAP)]],[1]Sheet1!$A:$AO,7,FALSE)</f>
        <v>45316</v>
      </c>
      <c r="H111" s="374"/>
      <c r="I111" s="394" t="str">
        <f>VLOOKUP(Complete[[#This Row],[Code
(PAP)]],[1]Sheet1!$A:$AO,9,FALSE)</f>
        <v>N/A</v>
      </c>
      <c r="J111" s="393">
        <f>VLOOKUP(Complete[[#This Row],[Code
(PAP)]],[1]Sheet1!$A:$AO,10,FALSE)</f>
        <v>45356</v>
      </c>
      <c r="K111" s="393">
        <f>VLOOKUP(Complete[[#This Row],[Code
(PAP)]],[1]Sheet1!$A:$AO,11,FALSE)</f>
        <v>45356</v>
      </c>
      <c r="L111" s="387"/>
      <c r="M111" s="393" t="str">
        <f>VLOOKUP(Complete[[#This Row],[Code
(PAP)]],[1]Sheet1!$A:$AO,13,FALSE)</f>
        <v>N/A</v>
      </c>
      <c r="N111" s="393" t="str">
        <f>VLOOKUP(Complete[[#This Row],[Code
(PAP)]],[1]Sheet1!$A:$AO,14,FALSE)</f>
        <v>N/A</v>
      </c>
      <c r="O111" s="393">
        <f>VLOOKUP(Complete[[#This Row],[Code
(PAP)]],[1]Sheet1!$A:$AO,15,FALSE)</f>
        <v>45357</v>
      </c>
      <c r="P111" s="387"/>
      <c r="Q111" s="387"/>
      <c r="R111" s="387"/>
      <c r="S111" s="576" t="str">
        <f>VLOOKUP(Complete[[#This Row],[Code
(PAP)]],[1]Sheet1!$A:$AO,19,FALSE)</f>
        <v>N/A</v>
      </c>
      <c r="T111" s="576">
        <f>VLOOKUP(Complete[[#This Row],[Code
(PAP)]],[1]Sheet1!$A:$AO,20,FALSE)</f>
        <v>45369</v>
      </c>
      <c r="U111" s="576">
        <f>VLOOKUP(Complete[[#This Row],[Code
(PAP)]],[1]Sheet1!$A:$AO,21,FALSE)</f>
        <v>45372</v>
      </c>
      <c r="V111" s="387"/>
      <c r="W111" s="387"/>
      <c r="X111" s="392">
        <v>45383</v>
      </c>
      <c r="Y111" s="392">
        <f>Complete[[#This Row],[Delivery/ Completion]]</f>
        <v>45383</v>
      </c>
      <c r="Z111" s="610" t="s">
        <v>1478</v>
      </c>
      <c r="AA111" s="462">
        <f>Complete[[#This Row],[MOOE]]+Complete[[#This Row],[CO]]</f>
        <v>56371.5</v>
      </c>
      <c r="AB111" s="466">
        <f>VLOOKUP(Complete[[#This Row],[Code
(PAP)]],[1]Sheet1!$A:$AN,28,FALSE)</f>
        <v>9000</v>
      </c>
      <c r="AC111" s="497">
        <v>47371.5</v>
      </c>
      <c r="AD111" s="498">
        <f>IF(Complete[[#This Row],[Procurement Project]]="","",SUM(Complete[[#This Row],[MOOE2]]+Complete[[#This Row],[CO3]]))</f>
        <v>56212</v>
      </c>
      <c r="AE111" s="501">
        <f>VLOOKUP(Complete[[#This Row],[Code
(PAP)]],[1]Sheet1!$A:$AO,31,FALSE)</f>
        <v>9000</v>
      </c>
      <c r="AF111" s="541">
        <v>47212</v>
      </c>
      <c r="AG111" s="400"/>
      <c r="AH111" s="380" t="s">
        <v>1205</v>
      </c>
      <c r="AI111" s="576" t="str">
        <f>VLOOKUP(Complete[[#This Row],[Code
(PAP)]],[1]Sheet1!$A:$AO,35,FALSE)</f>
        <v>N/A</v>
      </c>
      <c r="AJ111" s="576" t="str">
        <f>VLOOKUP(Complete[[#This Row],[Code
(PAP)]],[1]Sheet1!$A:$AO,36,FALSE)</f>
        <v>N/A</v>
      </c>
      <c r="AK111" s="576" t="str">
        <f>VLOOKUP(Complete[[#This Row],[Code
(PAP)]],[1]Sheet1!$A:$AO,37,FALSE)</f>
        <v>N/A</v>
      </c>
      <c r="AL111" s="576" t="str">
        <f>VLOOKUP(Complete[[#This Row],[Code
(PAP)]],[1]Sheet1!$A:$AO,38,FALSE)</f>
        <v>N/A</v>
      </c>
      <c r="AM111" s="576" t="str">
        <f>VLOOKUP(Complete[[#This Row],[Code
(PAP)]],[1]Sheet1!$A:$AO,38,FALSE)</f>
        <v>N/A</v>
      </c>
      <c r="AN111" s="595" t="s">
        <v>713</v>
      </c>
      <c r="AO111" s="303" t="s">
        <v>139</v>
      </c>
      <c r="AP111" s="389"/>
      <c r="AQ111" s="389"/>
    </row>
    <row r="112" spans="1:43" s="224" customFormat="1" ht="75" customHeight="1" x14ac:dyDescent="0.25">
      <c r="A112" s="385" t="s">
        <v>290</v>
      </c>
      <c r="B112" s="406" t="str">
        <f>VLOOKUP(Complete[[#This Row],[Code
(PAP)]],[1]Sheet1!$A:$AO,2,FALSE)</f>
        <v>FOOD/CATERING SERVICES</v>
      </c>
      <c r="C112" s="408" t="str">
        <f>VLOOKUP(Complete[[#This Row],[Code
(PAP)]],[1]Sheet1!$A:$AO,3,FALSE)</f>
        <v>PBO</v>
      </c>
      <c r="D112" s="380" t="s">
        <v>712</v>
      </c>
      <c r="E112" s="409" t="str">
        <f>VLOOKUP(Complete[[#This Row],[Code
(PAP)]],[2]Sheet1!$A:$AO,5,FALSE)</f>
        <v>NP-53.9 - Small Value Procurement</v>
      </c>
      <c r="F112" s="393">
        <f>VLOOKUP(Complete[[#This Row],[Code
(PAP)]],[1]Sheet1!$A:$AO,6,FALSE)</f>
        <v>45272</v>
      </c>
      <c r="G112" s="393">
        <f>VLOOKUP(Complete[[#This Row],[Code
(PAP)]],[1]Sheet1!$A:$AO,7,FALSE)</f>
        <v>45316</v>
      </c>
      <c r="H112" s="374"/>
      <c r="I112" s="394" t="str">
        <f>VLOOKUP(Complete[[#This Row],[Code
(PAP)]],[1]Sheet1!$A:$AO,9,FALSE)</f>
        <v>N/A</v>
      </c>
      <c r="J112" s="393">
        <f>VLOOKUP(Complete[[#This Row],[Code
(PAP)]],[1]Sheet1!$A:$AO,10,FALSE)</f>
        <v>45356</v>
      </c>
      <c r="K112" s="393">
        <f>VLOOKUP(Complete[[#This Row],[Code
(PAP)]],[1]Sheet1!$A:$AO,11,FALSE)</f>
        <v>45356</v>
      </c>
      <c r="L112" s="387"/>
      <c r="M112" s="393" t="str">
        <f>VLOOKUP(Complete[[#This Row],[Code
(PAP)]],[1]Sheet1!$A:$AO,13,FALSE)</f>
        <v>N/A</v>
      </c>
      <c r="N112" s="393" t="str">
        <f>VLOOKUP(Complete[[#This Row],[Code
(PAP)]],[1]Sheet1!$A:$AO,14,FALSE)</f>
        <v>N/A</v>
      </c>
      <c r="O112" s="393">
        <f>VLOOKUP(Complete[[#This Row],[Code
(PAP)]],[1]Sheet1!$A:$AO,15,FALSE)</f>
        <v>45357</v>
      </c>
      <c r="P112" s="387"/>
      <c r="Q112" s="387"/>
      <c r="R112" s="387"/>
      <c r="S112" s="576" t="str">
        <f>VLOOKUP(Complete[[#This Row],[Code
(PAP)]],[1]Sheet1!$A:$AO,19,FALSE)</f>
        <v>N/A</v>
      </c>
      <c r="T112" s="576">
        <f>VLOOKUP(Complete[[#This Row],[Code
(PAP)]],[1]Sheet1!$A:$AO,20,FALSE)</f>
        <v>45369</v>
      </c>
      <c r="U112" s="576">
        <f>VLOOKUP(Complete[[#This Row],[Code
(PAP)]],[1]Sheet1!$A:$AO,21,FALSE)</f>
        <v>45371</v>
      </c>
      <c r="V112" s="387"/>
      <c r="W112" s="387"/>
      <c r="X112" s="392">
        <f>VLOOKUP(Complete[[#This Row],[Code
(PAP)]],[1]Sheet1!$A:$AO,24,FALSE)</f>
        <v>45429</v>
      </c>
      <c r="Y112" s="392">
        <f>Complete[[#This Row],[Delivery/ Completion]]</f>
        <v>45429</v>
      </c>
      <c r="Z112" s="610" t="s">
        <v>1478</v>
      </c>
      <c r="AA112" s="462">
        <f>Complete[[#This Row],[MOOE]]+Complete[[#This Row],[CO]]</f>
        <v>17000</v>
      </c>
      <c r="AB112" s="466">
        <v>17000</v>
      </c>
      <c r="AC112" s="497">
        <f>VLOOKUP(Complete[[#This Row],[Code
(PAP)]],[1]Sheet1!$A:$AO,29,FALSE)</f>
        <v>0</v>
      </c>
      <c r="AD112" s="498">
        <f>IF(Complete[[#This Row],[Procurement Project]]="","",SUM(Complete[[#This Row],[MOOE2]]+Complete[[#This Row],[CO3]]))</f>
        <v>16900</v>
      </c>
      <c r="AE112" s="501">
        <v>16900</v>
      </c>
      <c r="AF112" s="541">
        <f>VLOOKUP(Complete[[#This Row],[Code
(PAP)]],[1]Sheet1!$A:$AO,32,FALSE)</f>
        <v>0</v>
      </c>
      <c r="AG112" s="400"/>
      <c r="AH112" s="380" t="s">
        <v>1205</v>
      </c>
      <c r="AI112" s="576" t="str">
        <f>VLOOKUP(Complete[[#This Row],[Code
(PAP)]],[1]Sheet1!$A:$AO,35,FALSE)</f>
        <v>N/A</v>
      </c>
      <c r="AJ112" s="576" t="str">
        <f>VLOOKUP(Complete[[#This Row],[Code
(PAP)]],[1]Sheet1!$A:$AO,36,FALSE)</f>
        <v>N/A</v>
      </c>
      <c r="AK112" s="576" t="str">
        <f>VLOOKUP(Complete[[#This Row],[Code
(PAP)]],[1]Sheet1!$A:$AO,37,FALSE)</f>
        <v>N/A</v>
      </c>
      <c r="AL112" s="576" t="str">
        <f>VLOOKUP(Complete[[#This Row],[Code
(PAP)]],[1]Sheet1!$A:$AO,38,FALSE)</f>
        <v>N/A</v>
      </c>
      <c r="AM112" s="576" t="str">
        <f>VLOOKUP(Complete[[#This Row],[Code
(PAP)]],[1]Sheet1!$A:$AO,38,FALSE)</f>
        <v>N/A</v>
      </c>
      <c r="AN112" s="595" t="s">
        <v>713</v>
      </c>
      <c r="AO112" s="303" t="s">
        <v>139</v>
      </c>
      <c r="AP112" s="389"/>
      <c r="AQ112" s="389"/>
    </row>
    <row r="113" spans="1:43" s="224" customFormat="1" ht="75" customHeight="1" x14ac:dyDescent="0.25">
      <c r="A113" s="385" t="s">
        <v>291</v>
      </c>
      <c r="B113" s="406" t="str">
        <f>VLOOKUP(Complete[[#This Row],[Code
(PAP)]],[1]Sheet1!$A:$AO,2,FALSE)</f>
        <v>PAINTING MATERIALS</v>
      </c>
      <c r="C113" s="408" t="str">
        <f>VLOOKUP(Complete[[#This Row],[Code
(PAP)]],[1]Sheet1!$A:$AO,3,FALSE)</f>
        <v>SEF</v>
      </c>
      <c r="D113" s="380" t="s">
        <v>712</v>
      </c>
      <c r="E113" s="409" t="str">
        <f>VLOOKUP(Complete[[#This Row],[Code
(PAP)]],[2]Sheet1!$A:$AO,5,FALSE)</f>
        <v>NP-53.9 - Small Value Procurement</v>
      </c>
      <c r="F113" s="393">
        <f>VLOOKUP(Complete[[#This Row],[Code
(PAP)]],[1]Sheet1!$A:$AO,6,FALSE)</f>
        <v>45272</v>
      </c>
      <c r="G113" s="393">
        <f>VLOOKUP(Complete[[#This Row],[Code
(PAP)]],[1]Sheet1!$A:$AO,7,FALSE)</f>
        <v>45316</v>
      </c>
      <c r="H113" s="374"/>
      <c r="I113" s="394" t="str">
        <f>VLOOKUP(Complete[[#This Row],[Code
(PAP)]],[1]Sheet1!$A:$AO,9,FALSE)</f>
        <v>N/A</v>
      </c>
      <c r="J113" s="393">
        <f>VLOOKUP(Complete[[#This Row],[Code
(PAP)]],[1]Sheet1!$A:$AO,10,FALSE)</f>
        <v>45356</v>
      </c>
      <c r="K113" s="393">
        <f>VLOOKUP(Complete[[#This Row],[Code
(PAP)]],[1]Sheet1!$A:$AO,11,FALSE)</f>
        <v>45356</v>
      </c>
      <c r="L113" s="387"/>
      <c r="M113" s="393" t="str">
        <f>VLOOKUP(Complete[[#This Row],[Code
(PAP)]],[1]Sheet1!$A:$AO,13,FALSE)</f>
        <v>N/A</v>
      </c>
      <c r="N113" s="393" t="str">
        <f>VLOOKUP(Complete[[#This Row],[Code
(PAP)]],[1]Sheet1!$A:$AO,14,FALSE)</f>
        <v>N/A</v>
      </c>
      <c r="O113" s="393">
        <f>VLOOKUP(Complete[[#This Row],[Code
(PAP)]],[1]Sheet1!$A:$AO,15,FALSE)</f>
        <v>45357</v>
      </c>
      <c r="P113" s="387"/>
      <c r="Q113" s="387"/>
      <c r="R113" s="387"/>
      <c r="S113" s="576">
        <f>VLOOKUP(Complete[[#This Row],[Code
(PAP)]],[1]Sheet1!$A:$AO,19,FALSE)</f>
        <v>45357</v>
      </c>
      <c r="T113" s="576">
        <f>VLOOKUP(Complete[[#This Row],[Code
(PAP)]],[1]Sheet1!$A:$AO,20,FALSE)</f>
        <v>45373</v>
      </c>
      <c r="U113" s="576">
        <f>VLOOKUP(Complete[[#This Row],[Code
(PAP)]],[1]Sheet1!$A:$AO,21,FALSE)</f>
        <v>45377</v>
      </c>
      <c r="V113" s="387"/>
      <c r="W113" s="387"/>
      <c r="X113" s="392">
        <f>VLOOKUP(Complete[[#This Row],[Code
(PAP)]],[1]Sheet1!$A:$AO,24,FALSE)</f>
        <v>45394</v>
      </c>
      <c r="Y113" s="392">
        <f>Complete[[#This Row],[Delivery/ Completion]]</f>
        <v>45394</v>
      </c>
      <c r="Z113" s="610" t="s">
        <v>1478</v>
      </c>
      <c r="AA113" s="462">
        <f>Complete[[#This Row],[MOOE]]+Complete[[#This Row],[CO]]</f>
        <v>203766.44</v>
      </c>
      <c r="AB113" s="466">
        <f>VLOOKUP(Complete[[#This Row],[Code
(PAP)]],[1]Sheet1!$A:$AN,28,FALSE)</f>
        <v>84785</v>
      </c>
      <c r="AC113" s="497">
        <v>118981.44</v>
      </c>
      <c r="AD113" s="498">
        <f>IF(Complete[[#This Row],[Procurement Project]]="","",SUM(Complete[[#This Row],[MOOE2]]+Complete[[#This Row],[CO3]]))</f>
        <v>201994.5</v>
      </c>
      <c r="AE113" s="501">
        <f>VLOOKUP(Complete[[#This Row],[Code
(PAP)]],[1]Sheet1!$A:$AO,31,FALSE)</f>
        <v>83835</v>
      </c>
      <c r="AF113" s="541">
        <v>118159.5</v>
      </c>
      <c r="AG113" s="400"/>
      <c r="AH113" s="380" t="s">
        <v>1205</v>
      </c>
      <c r="AI113" s="576" t="str">
        <f>VLOOKUP(Complete[[#This Row],[Code
(PAP)]],[1]Sheet1!$A:$AO,35,FALSE)</f>
        <v>N/A</v>
      </c>
      <c r="AJ113" s="576" t="str">
        <f>VLOOKUP(Complete[[#This Row],[Code
(PAP)]],[1]Sheet1!$A:$AO,36,FALSE)</f>
        <v>N/A</v>
      </c>
      <c r="AK113" s="576" t="str">
        <f>VLOOKUP(Complete[[#This Row],[Code
(PAP)]],[1]Sheet1!$A:$AO,37,FALSE)</f>
        <v>N/A</v>
      </c>
      <c r="AL113" s="576" t="str">
        <f>VLOOKUP(Complete[[#This Row],[Code
(PAP)]],[1]Sheet1!$A:$AO,38,FALSE)</f>
        <v>N/A</v>
      </c>
      <c r="AM113" s="576" t="str">
        <f>VLOOKUP(Complete[[#This Row],[Code
(PAP)]],[1]Sheet1!$A:$AO,38,FALSE)</f>
        <v>N/A</v>
      </c>
      <c r="AN113" s="595" t="s">
        <v>713</v>
      </c>
      <c r="AO113" s="303" t="s">
        <v>139</v>
      </c>
      <c r="AP113" s="389"/>
      <c r="AQ113" s="389"/>
    </row>
    <row r="114" spans="1:43" s="224" customFormat="1" ht="75" customHeight="1" x14ac:dyDescent="0.25">
      <c r="A114" s="385" t="s">
        <v>292</v>
      </c>
      <c r="B114" s="406" t="str">
        <f>VLOOKUP(Complete[[#This Row],[Code
(PAP)]],[1]Sheet1!$A:$AO,2,FALSE)</f>
        <v>BINDER</v>
      </c>
      <c r="C114" s="408" t="str">
        <f>VLOOKUP(Complete[[#This Row],[Code
(PAP)]],[1]Sheet1!$A:$AO,3,FALSE)</f>
        <v>PACCO</v>
      </c>
      <c r="D114" s="380" t="s">
        <v>712</v>
      </c>
      <c r="E114" s="409" t="str">
        <f>VLOOKUP(Complete[[#This Row],[Code
(PAP)]],[2]Sheet1!$A:$AO,5,FALSE)</f>
        <v>NP-53.9 - Small Value Procurement</v>
      </c>
      <c r="F114" s="393" t="str">
        <f>VLOOKUP(Complete[[#This Row],[Code
(PAP)]],[1]Sheet1!$A:$AO,6,FALSE)</f>
        <v>N/A</v>
      </c>
      <c r="G114" s="393">
        <f>VLOOKUP(Complete[[#This Row],[Code
(PAP)]],[1]Sheet1!$A:$AO,7,FALSE)</f>
        <v>45318</v>
      </c>
      <c r="H114" s="374"/>
      <c r="I114" s="394" t="str">
        <f>VLOOKUP(Complete[[#This Row],[Code
(PAP)]],[1]Sheet1!$A:$AO,9,FALSE)</f>
        <v>N/A</v>
      </c>
      <c r="J114" s="393">
        <f>VLOOKUP(Complete[[#This Row],[Code
(PAP)]],[1]Sheet1!$A:$AO,10,FALSE)</f>
        <v>45356</v>
      </c>
      <c r="K114" s="393">
        <f>VLOOKUP(Complete[[#This Row],[Code
(PAP)]],[1]Sheet1!$A:$AO,11,FALSE)</f>
        <v>45356</v>
      </c>
      <c r="L114" s="387"/>
      <c r="M114" s="393" t="str">
        <f>VLOOKUP(Complete[[#This Row],[Code
(PAP)]],[1]Sheet1!$A:$AO,13,FALSE)</f>
        <v>N/A</v>
      </c>
      <c r="N114" s="393" t="str">
        <f>VLOOKUP(Complete[[#This Row],[Code
(PAP)]],[1]Sheet1!$A:$AO,14,FALSE)</f>
        <v>N/A</v>
      </c>
      <c r="O114" s="393">
        <f>VLOOKUP(Complete[[#This Row],[Code
(PAP)]],[1]Sheet1!$A:$AO,15,FALSE)</f>
        <v>45357</v>
      </c>
      <c r="P114" s="387"/>
      <c r="Q114" s="387"/>
      <c r="R114" s="387"/>
      <c r="S114" s="576" t="str">
        <f>VLOOKUP(Complete[[#This Row],[Code
(PAP)]],[1]Sheet1!$A:$AO,19,FALSE)</f>
        <v>N/A</v>
      </c>
      <c r="T114" s="576">
        <f>VLOOKUP(Complete[[#This Row],[Code
(PAP)]],[1]Sheet1!$A:$AO,20,FALSE)</f>
        <v>45372</v>
      </c>
      <c r="U114" s="576">
        <f>VLOOKUP(Complete[[#This Row],[Code
(PAP)]],[1]Sheet1!$A:$AO,21,FALSE)</f>
        <v>45377</v>
      </c>
      <c r="V114" s="387"/>
      <c r="W114" s="387"/>
      <c r="X114" s="392">
        <f>VLOOKUP(Complete[[#This Row],[Code
(PAP)]],[1]Sheet1!$A:$AO,24,FALSE)</f>
        <v>45394</v>
      </c>
      <c r="Y114" s="392">
        <f>Complete[[#This Row],[Delivery/ Completion]]</f>
        <v>45394</v>
      </c>
      <c r="Z114" s="610" t="s">
        <v>1478</v>
      </c>
      <c r="AA114" s="462">
        <f>Complete[[#This Row],[MOOE]]+Complete[[#This Row],[CO]]</f>
        <v>9000</v>
      </c>
      <c r="AB114" s="466">
        <v>9000</v>
      </c>
      <c r="AC114" s="497">
        <f>VLOOKUP(Complete[[#This Row],[Code
(PAP)]],[1]Sheet1!$A:$AO,29,FALSE)</f>
        <v>0</v>
      </c>
      <c r="AD114" s="498">
        <f>IF(Complete[[#This Row],[Procurement Project]]="","",SUM(Complete[[#This Row],[MOOE2]]+Complete[[#This Row],[CO3]]))</f>
        <v>9000</v>
      </c>
      <c r="AE114" s="501">
        <v>9000</v>
      </c>
      <c r="AF114" s="541">
        <f>VLOOKUP(Complete[[#This Row],[Code
(PAP)]],[1]Sheet1!$A:$AO,32,FALSE)</f>
        <v>0</v>
      </c>
      <c r="AG114" s="400"/>
      <c r="AH114" s="380" t="s">
        <v>1205</v>
      </c>
      <c r="AI114" s="576" t="str">
        <f>VLOOKUP(Complete[[#This Row],[Code
(PAP)]],[1]Sheet1!$A:$AO,35,FALSE)</f>
        <v>N/A</v>
      </c>
      <c r="AJ114" s="576" t="str">
        <f>VLOOKUP(Complete[[#This Row],[Code
(PAP)]],[1]Sheet1!$A:$AO,36,FALSE)</f>
        <v>N/A</v>
      </c>
      <c r="AK114" s="576" t="str">
        <f>VLOOKUP(Complete[[#This Row],[Code
(PAP)]],[1]Sheet1!$A:$AO,37,FALSE)</f>
        <v>N/A</v>
      </c>
      <c r="AL114" s="576" t="str">
        <f>VLOOKUP(Complete[[#This Row],[Code
(PAP)]],[1]Sheet1!$A:$AO,38,FALSE)</f>
        <v>N/A</v>
      </c>
      <c r="AM114" s="576" t="str">
        <f>VLOOKUP(Complete[[#This Row],[Code
(PAP)]],[1]Sheet1!$A:$AO,38,FALSE)</f>
        <v>N/A</v>
      </c>
      <c r="AN114" s="595" t="s">
        <v>713</v>
      </c>
      <c r="AO114" s="303" t="s">
        <v>139</v>
      </c>
      <c r="AP114" s="389"/>
      <c r="AQ114" s="389"/>
    </row>
    <row r="115" spans="1:43" s="224" customFormat="1" ht="75" customHeight="1" x14ac:dyDescent="0.25">
      <c r="A115" s="385" t="s">
        <v>293</v>
      </c>
      <c r="B115" s="406" t="str">
        <f>VLOOKUP(Complete[[#This Row],[Code
(PAP)]],[1]Sheet1!$A:$AO,2,FALSE)</f>
        <v>COSMETOLOGY SUPPLIES</v>
      </c>
      <c r="C115" s="408" t="str">
        <f>VLOOKUP(Complete[[#This Row],[Code
(PAP)]],[1]Sheet1!$A:$AO,3,FALSE)</f>
        <v>PAO-ADMIN</v>
      </c>
      <c r="D115" s="380" t="s">
        <v>712</v>
      </c>
      <c r="E115" s="409" t="str">
        <f>VLOOKUP(Complete[[#This Row],[Code
(PAP)]],[2]Sheet1!$A:$AO,5,FALSE)</f>
        <v>NP-53.9 - Small Value Procurement</v>
      </c>
      <c r="F115" s="393" t="str">
        <f>VLOOKUP(Complete[[#This Row],[Code
(PAP)]],[1]Sheet1!$A:$AO,6,FALSE)</f>
        <v>N/A</v>
      </c>
      <c r="G115" s="393">
        <f>VLOOKUP(Complete[[#This Row],[Code
(PAP)]],[1]Sheet1!$A:$AO,7,FALSE)</f>
        <v>45338</v>
      </c>
      <c r="H115" s="374"/>
      <c r="I115" s="394" t="str">
        <f>VLOOKUP(Complete[[#This Row],[Code
(PAP)]],[1]Sheet1!$A:$AO,9,FALSE)</f>
        <v>N/A</v>
      </c>
      <c r="J115" s="393">
        <f>VLOOKUP(Complete[[#This Row],[Code
(PAP)]],[1]Sheet1!$A:$AO,10,FALSE)</f>
        <v>45356</v>
      </c>
      <c r="K115" s="393">
        <f>VLOOKUP(Complete[[#This Row],[Code
(PAP)]],[1]Sheet1!$A:$AO,11,FALSE)</f>
        <v>45356</v>
      </c>
      <c r="L115" s="387"/>
      <c r="M115" s="393" t="str">
        <f>VLOOKUP(Complete[[#This Row],[Code
(PAP)]],[1]Sheet1!$A:$AO,13,FALSE)</f>
        <v>N/A</v>
      </c>
      <c r="N115" s="393" t="str">
        <f>VLOOKUP(Complete[[#This Row],[Code
(PAP)]],[1]Sheet1!$A:$AO,14,FALSE)</f>
        <v>N/A</v>
      </c>
      <c r="O115" s="393">
        <f>VLOOKUP(Complete[[#This Row],[Code
(PAP)]],[1]Sheet1!$A:$AO,15,FALSE)</f>
        <v>45357</v>
      </c>
      <c r="P115" s="387"/>
      <c r="Q115" s="387"/>
      <c r="R115" s="387"/>
      <c r="S115" s="576">
        <f>VLOOKUP(Complete[[#This Row],[Code
(PAP)]],[1]Sheet1!$A:$AO,19,FALSE)</f>
        <v>45357</v>
      </c>
      <c r="T115" s="576">
        <f>VLOOKUP(Complete[[#This Row],[Code
(PAP)]],[1]Sheet1!$A:$AO,20,FALSE)</f>
        <v>45371</v>
      </c>
      <c r="U115" s="576">
        <f>VLOOKUP(Complete[[#This Row],[Code
(PAP)]],[1]Sheet1!$A:$AO,21,FALSE)</f>
        <v>45372</v>
      </c>
      <c r="V115" s="387"/>
      <c r="W115" s="387"/>
      <c r="X115" s="392">
        <f>VLOOKUP(Complete[[#This Row],[Code
(PAP)]],[1]Sheet1!$A:$AO,24,FALSE)</f>
        <v>45376</v>
      </c>
      <c r="Y115" s="392">
        <f>Complete[[#This Row],[Delivery/ Completion]]</f>
        <v>45376</v>
      </c>
      <c r="Z115" s="610" t="s">
        <v>1478</v>
      </c>
      <c r="AA115" s="462">
        <f>Complete[[#This Row],[MOOE]]+Complete[[#This Row],[CO]]</f>
        <v>84785</v>
      </c>
      <c r="AB115" s="466"/>
      <c r="AC115" s="497">
        <v>84785</v>
      </c>
      <c r="AD115" s="498">
        <f>IF(Complete[[#This Row],[Procurement Project]]="","",SUM(Complete[[#This Row],[MOOE2]]+Complete[[#This Row],[CO3]]))</f>
        <v>83835</v>
      </c>
      <c r="AE115" s="501"/>
      <c r="AF115" s="541">
        <v>83835</v>
      </c>
      <c r="AG115" s="400"/>
      <c r="AH115" s="380" t="s">
        <v>1205</v>
      </c>
      <c r="AI115" s="576" t="str">
        <f>VLOOKUP(Complete[[#This Row],[Code
(PAP)]],[1]Sheet1!$A:$AO,35,FALSE)</f>
        <v>N/A</v>
      </c>
      <c r="AJ115" s="576" t="str">
        <f>VLOOKUP(Complete[[#This Row],[Code
(PAP)]],[1]Sheet1!$A:$AO,36,FALSE)</f>
        <v>N/A</v>
      </c>
      <c r="AK115" s="576" t="str">
        <f>VLOOKUP(Complete[[#This Row],[Code
(PAP)]],[1]Sheet1!$A:$AO,37,FALSE)</f>
        <v>N/A</v>
      </c>
      <c r="AL115" s="576" t="str">
        <f>VLOOKUP(Complete[[#This Row],[Code
(PAP)]],[1]Sheet1!$A:$AO,38,FALSE)</f>
        <v>N/A</v>
      </c>
      <c r="AM115" s="576" t="str">
        <f>VLOOKUP(Complete[[#This Row],[Code
(PAP)]],[1]Sheet1!$A:$AO,38,FALSE)</f>
        <v>N/A</v>
      </c>
      <c r="AN115" s="595" t="s">
        <v>713</v>
      </c>
      <c r="AO115" s="303" t="s">
        <v>139</v>
      </c>
      <c r="AP115" s="389"/>
      <c r="AQ115" s="389"/>
    </row>
    <row r="116" spans="1:43" s="224" customFormat="1" ht="75" customHeight="1" x14ac:dyDescent="0.25">
      <c r="A116" s="385" t="s">
        <v>294</v>
      </c>
      <c r="B116" s="406" t="str">
        <f>VLOOKUP(Complete[[#This Row],[Code
(PAP)]],[1]Sheet1!$A:$AO,2,FALSE)</f>
        <v>FIRE EXTINGUISHER &amp; REFILL</v>
      </c>
      <c r="C116" s="408" t="str">
        <f>VLOOKUP(Complete[[#This Row],[Code
(PAP)]],[1]Sheet1!$A:$AO,3,FALSE)</f>
        <v>PEEMO</v>
      </c>
      <c r="D116" s="380" t="s">
        <v>712</v>
      </c>
      <c r="E116" s="409" t="str">
        <f>VLOOKUP(Complete[[#This Row],[Code
(PAP)]],[2]Sheet1!$A:$AO,5,FALSE)</f>
        <v>NP-53.9 - Small Value Procurement</v>
      </c>
      <c r="F116" s="393" t="str">
        <f>VLOOKUP(Complete[[#This Row],[Code
(PAP)]],[1]Sheet1!$A:$AO,6,FALSE)</f>
        <v>N/A</v>
      </c>
      <c r="G116" s="393">
        <f>VLOOKUP(Complete[[#This Row],[Code
(PAP)]],[1]Sheet1!$A:$AO,7,FALSE)</f>
        <v>45338</v>
      </c>
      <c r="H116" s="374"/>
      <c r="I116" s="394" t="str">
        <f>VLOOKUP(Complete[[#This Row],[Code
(PAP)]],[1]Sheet1!$A:$AO,9,FALSE)</f>
        <v>N/A</v>
      </c>
      <c r="J116" s="393">
        <f>VLOOKUP(Complete[[#This Row],[Code
(PAP)]],[1]Sheet1!$A:$AO,10,FALSE)</f>
        <v>45356</v>
      </c>
      <c r="K116" s="393">
        <f>VLOOKUP(Complete[[#This Row],[Code
(PAP)]],[1]Sheet1!$A:$AO,11,FALSE)</f>
        <v>45356</v>
      </c>
      <c r="L116" s="387"/>
      <c r="M116" s="393" t="str">
        <f>VLOOKUP(Complete[[#This Row],[Code
(PAP)]],[1]Sheet1!$A:$AO,13,FALSE)</f>
        <v>N/A</v>
      </c>
      <c r="N116" s="393" t="str">
        <f>VLOOKUP(Complete[[#This Row],[Code
(PAP)]],[1]Sheet1!$A:$AO,14,FALSE)</f>
        <v>N/A</v>
      </c>
      <c r="O116" s="393">
        <f>VLOOKUP(Complete[[#This Row],[Code
(PAP)]],[1]Sheet1!$A:$AO,15,FALSE)</f>
        <v>45357</v>
      </c>
      <c r="P116" s="387"/>
      <c r="Q116" s="387"/>
      <c r="R116" s="387"/>
      <c r="S116" s="576">
        <f>VLOOKUP(Complete[[#This Row],[Code
(PAP)]],[1]Sheet1!$A:$AO,19,FALSE)</f>
        <v>45357</v>
      </c>
      <c r="T116" s="576">
        <f>VLOOKUP(Complete[[#This Row],[Code
(PAP)]],[1]Sheet1!$A:$AO,20,FALSE)</f>
        <v>45373</v>
      </c>
      <c r="U116" s="576">
        <f>VLOOKUP(Complete[[#This Row],[Code
(PAP)]],[1]Sheet1!$A:$AO,21,FALSE)</f>
        <v>45377</v>
      </c>
      <c r="V116" s="387"/>
      <c r="W116" s="387"/>
      <c r="X116" s="392">
        <f>VLOOKUP(Complete[[#This Row],[Code
(PAP)]],[1]Sheet1!$A:$AO,24,FALSE)</f>
        <v>45399</v>
      </c>
      <c r="Y116" s="392">
        <f>Complete[[#This Row],[Delivery/ Completion]]</f>
        <v>45399</v>
      </c>
      <c r="Z116" s="610" t="s">
        <v>1478</v>
      </c>
      <c r="AA116" s="462">
        <f>Complete[[#This Row],[MOOE]]+Complete[[#This Row],[CO]]</f>
        <v>264033</v>
      </c>
      <c r="AB116" s="466">
        <v>264033</v>
      </c>
      <c r="AC116" s="497"/>
      <c r="AD116" s="498">
        <f>IF(Complete[[#This Row],[Procurement Project]]="","",SUM(Complete[[#This Row],[MOOE2]]+Complete[[#This Row],[CO3]]))</f>
        <v>261540</v>
      </c>
      <c r="AE116" s="501">
        <v>261540</v>
      </c>
      <c r="AF116" s="541"/>
      <c r="AG116" s="400"/>
      <c r="AH116" s="380" t="s">
        <v>1205</v>
      </c>
      <c r="AI116" s="576" t="str">
        <f>VLOOKUP(Complete[[#This Row],[Code
(PAP)]],[1]Sheet1!$A:$AO,35,FALSE)</f>
        <v>N/A</v>
      </c>
      <c r="AJ116" s="576" t="str">
        <f>VLOOKUP(Complete[[#This Row],[Code
(PAP)]],[1]Sheet1!$A:$AO,36,FALSE)</f>
        <v>N/A</v>
      </c>
      <c r="AK116" s="576" t="str">
        <f>VLOOKUP(Complete[[#This Row],[Code
(PAP)]],[1]Sheet1!$A:$AO,37,FALSE)</f>
        <v>N/A</v>
      </c>
      <c r="AL116" s="576" t="str">
        <f>VLOOKUP(Complete[[#This Row],[Code
(PAP)]],[1]Sheet1!$A:$AO,38,FALSE)</f>
        <v>N/A</v>
      </c>
      <c r="AM116" s="576" t="str">
        <f>VLOOKUP(Complete[[#This Row],[Code
(PAP)]],[1]Sheet1!$A:$AO,38,FALSE)</f>
        <v>N/A</v>
      </c>
      <c r="AN116" s="595" t="s">
        <v>713</v>
      </c>
      <c r="AO116" s="303" t="s">
        <v>139</v>
      </c>
      <c r="AP116" s="389"/>
      <c r="AQ116" s="389"/>
    </row>
    <row r="117" spans="1:43" s="224" customFormat="1" ht="75" customHeight="1" x14ac:dyDescent="0.25">
      <c r="A117" s="385" t="s">
        <v>295</v>
      </c>
      <c r="B117" s="406" t="str">
        <f>VLOOKUP(Complete[[#This Row],[Code
(PAP)]],[1]Sheet1!$A:$AO,2,FALSE)</f>
        <v>JANITORIAL SUPPLIES/HOUSEKEEPING</v>
      </c>
      <c r="C117" s="408" t="str">
        <f>VLOOKUP(Complete[[#This Row],[Code
(PAP)]],[1]Sheet1!$A:$AO,3,FALSE)</f>
        <v>SPO</v>
      </c>
      <c r="D117" s="380" t="s">
        <v>712</v>
      </c>
      <c r="E117" s="409" t="str">
        <f>VLOOKUP(Complete[[#This Row],[Code
(PAP)]],[2]Sheet1!$A:$AO,5,FALSE)</f>
        <v>NP-53.9 - Small Value Procurement</v>
      </c>
      <c r="F117" s="393" t="str">
        <f>VLOOKUP(Complete[[#This Row],[Code
(PAP)]],[1]Sheet1!$A:$AO,6,FALSE)</f>
        <v>N/A</v>
      </c>
      <c r="G117" s="393">
        <f>VLOOKUP(Complete[[#This Row],[Code
(PAP)]],[1]Sheet1!$A:$AO,7,FALSE)</f>
        <v>45335</v>
      </c>
      <c r="H117" s="374"/>
      <c r="I117" s="394" t="str">
        <f>VLOOKUP(Complete[[#This Row],[Code
(PAP)]],[1]Sheet1!$A:$AO,9,FALSE)</f>
        <v>N/A</v>
      </c>
      <c r="J117" s="393">
        <f>VLOOKUP(Complete[[#This Row],[Code
(PAP)]],[1]Sheet1!$A:$AO,10,FALSE)</f>
        <v>45356</v>
      </c>
      <c r="K117" s="393">
        <f>VLOOKUP(Complete[[#This Row],[Code
(PAP)]],[1]Sheet1!$A:$AO,11,FALSE)</f>
        <v>45356</v>
      </c>
      <c r="L117" s="387"/>
      <c r="M117" s="393" t="str">
        <f>VLOOKUP(Complete[[#This Row],[Code
(PAP)]],[1]Sheet1!$A:$AO,13,FALSE)</f>
        <v>N/A</v>
      </c>
      <c r="N117" s="393" t="str">
        <f>VLOOKUP(Complete[[#This Row],[Code
(PAP)]],[1]Sheet1!$A:$AO,14,FALSE)</f>
        <v>N/A</v>
      </c>
      <c r="O117" s="393">
        <f>VLOOKUP(Complete[[#This Row],[Code
(PAP)]],[1]Sheet1!$A:$AO,15,FALSE)</f>
        <v>45357</v>
      </c>
      <c r="P117" s="387"/>
      <c r="Q117" s="387"/>
      <c r="R117" s="387"/>
      <c r="S117" s="576" t="str">
        <f>VLOOKUP(Complete[[#This Row],[Code
(PAP)]],[1]Sheet1!$A:$AO,19,FALSE)</f>
        <v>N/A</v>
      </c>
      <c r="T117" s="576">
        <f>VLOOKUP(Complete[[#This Row],[Code
(PAP)]],[1]Sheet1!$A:$AO,20,FALSE)</f>
        <v>45415</v>
      </c>
      <c r="U117" s="576">
        <f>VLOOKUP(Complete[[#This Row],[Code
(PAP)]],[1]Sheet1!$A:$AO,21,FALSE)</f>
        <v>45419</v>
      </c>
      <c r="V117" s="387"/>
      <c r="W117" s="387"/>
      <c r="X117" s="392">
        <f>VLOOKUP(Complete[[#This Row],[Code
(PAP)]],[1]Sheet1!$A:$AO,24,FALSE)</f>
        <v>45421</v>
      </c>
      <c r="Y117" s="392">
        <f>Complete[[#This Row],[Delivery/ Completion]]</f>
        <v>45421</v>
      </c>
      <c r="Z117" s="610" t="s">
        <v>1478</v>
      </c>
      <c r="AA117" s="462">
        <f>Complete[[#This Row],[MOOE]]+Complete[[#This Row],[CO]]</f>
        <v>39685</v>
      </c>
      <c r="AB117" s="466">
        <v>39685</v>
      </c>
      <c r="AC117" s="497"/>
      <c r="AD117" s="498">
        <f>IF(Complete[[#This Row],[Procurement Project]]="","",SUM(Complete[[#This Row],[MOOE2]]+Complete[[#This Row],[CO3]]))</f>
        <v>39685</v>
      </c>
      <c r="AE117" s="501">
        <v>39685</v>
      </c>
      <c r="AF117" s="541"/>
      <c r="AG117" s="400"/>
      <c r="AH117" s="380" t="s">
        <v>1205</v>
      </c>
      <c r="AI117" s="576" t="str">
        <f>VLOOKUP(Complete[[#This Row],[Code
(PAP)]],[1]Sheet1!$A:$AO,35,FALSE)</f>
        <v>N/A</v>
      </c>
      <c r="AJ117" s="576" t="str">
        <f>VLOOKUP(Complete[[#This Row],[Code
(PAP)]],[1]Sheet1!$A:$AO,36,FALSE)</f>
        <v>N/A</v>
      </c>
      <c r="AK117" s="576" t="str">
        <f>VLOOKUP(Complete[[#This Row],[Code
(PAP)]],[1]Sheet1!$A:$AO,37,FALSE)</f>
        <v>N/A</v>
      </c>
      <c r="AL117" s="576" t="str">
        <f>VLOOKUP(Complete[[#This Row],[Code
(PAP)]],[1]Sheet1!$A:$AO,38,FALSE)</f>
        <v>N/A</v>
      </c>
      <c r="AM117" s="576" t="str">
        <f>VLOOKUP(Complete[[#This Row],[Code
(PAP)]],[1]Sheet1!$A:$AO,38,FALSE)</f>
        <v>N/A</v>
      </c>
      <c r="AN117" s="595" t="s">
        <v>713</v>
      </c>
      <c r="AO117" s="303" t="s">
        <v>139</v>
      </c>
      <c r="AP117" s="389"/>
      <c r="AQ117" s="389"/>
    </row>
    <row r="118" spans="1:43" s="224" customFormat="1" ht="75" customHeight="1" x14ac:dyDescent="0.25">
      <c r="A118" s="385" t="s">
        <v>296</v>
      </c>
      <c r="B118" s="406" t="str">
        <f>VLOOKUP(Complete[[#This Row],[Code
(PAP)]],[1]Sheet1!$A:$AO,2,FALSE)</f>
        <v>COMPUTER SUPPLIES</v>
      </c>
      <c r="C118" s="408" t="str">
        <f>VLOOKUP(Complete[[#This Row],[Code
(PAP)]],[1]Sheet1!$A:$AO,3,FALSE)</f>
        <v>PBO</v>
      </c>
      <c r="D118" s="380" t="s">
        <v>712</v>
      </c>
      <c r="E118" s="409" t="str">
        <f>VLOOKUP(Complete[[#This Row],[Code
(PAP)]],[2]Sheet1!$A:$AO,5,FALSE)</f>
        <v>NP-53.9 - Small Value Procurement</v>
      </c>
      <c r="F118" s="393" t="str">
        <f>VLOOKUP(Complete[[#This Row],[Code
(PAP)]],[1]Sheet1!$A:$AO,6,FALSE)</f>
        <v>N/A</v>
      </c>
      <c r="G118" s="393">
        <f>VLOOKUP(Complete[[#This Row],[Code
(PAP)]],[1]Sheet1!$A:$AO,7,FALSE)</f>
        <v>45335</v>
      </c>
      <c r="H118" s="374"/>
      <c r="I118" s="394" t="str">
        <f>VLOOKUP(Complete[[#This Row],[Code
(PAP)]],[1]Sheet1!$A:$AO,9,FALSE)</f>
        <v>N/A</v>
      </c>
      <c r="J118" s="393">
        <f>VLOOKUP(Complete[[#This Row],[Code
(PAP)]],[1]Sheet1!$A:$AO,10,FALSE)</f>
        <v>45356</v>
      </c>
      <c r="K118" s="393">
        <f>VLOOKUP(Complete[[#This Row],[Code
(PAP)]],[1]Sheet1!$A:$AO,11,FALSE)</f>
        <v>45356</v>
      </c>
      <c r="L118" s="387"/>
      <c r="M118" s="393" t="str">
        <f>VLOOKUP(Complete[[#This Row],[Code
(PAP)]],[1]Sheet1!$A:$AO,13,FALSE)</f>
        <v>N/A</v>
      </c>
      <c r="N118" s="393" t="str">
        <f>VLOOKUP(Complete[[#This Row],[Code
(PAP)]],[1]Sheet1!$A:$AO,14,FALSE)</f>
        <v>N/A</v>
      </c>
      <c r="O118" s="393">
        <f>VLOOKUP(Complete[[#This Row],[Code
(PAP)]],[1]Sheet1!$A:$AO,15,FALSE)</f>
        <v>45357</v>
      </c>
      <c r="P118" s="387"/>
      <c r="Q118" s="387"/>
      <c r="R118" s="387"/>
      <c r="S118" s="576" t="str">
        <f>VLOOKUP(Complete[[#This Row],[Code
(PAP)]],[1]Sheet1!$A:$AO,19,FALSE)</f>
        <v>N/A</v>
      </c>
      <c r="T118" s="576">
        <f>VLOOKUP(Complete[[#This Row],[Code
(PAP)]],[1]Sheet1!$A:$AO,20,FALSE)</f>
        <v>45369</v>
      </c>
      <c r="U118" s="576">
        <f>VLOOKUP(Complete[[#This Row],[Code
(PAP)]],[1]Sheet1!$A:$AO,21,FALSE)</f>
        <v>45372</v>
      </c>
      <c r="V118" s="387"/>
      <c r="W118" s="387"/>
      <c r="X118" s="392">
        <f>VLOOKUP(Complete[[#This Row],[Code
(PAP)]],[1]Sheet1!$A:$AO,24,FALSE)</f>
        <v>45404</v>
      </c>
      <c r="Y118" s="392">
        <f>Complete[[#This Row],[Delivery/ Completion]]</f>
        <v>45404</v>
      </c>
      <c r="Z118" s="610" t="s">
        <v>1478</v>
      </c>
      <c r="AA118" s="462">
        <f>Complete[[#This Row],[MOOE]]+Complete[[#This Row],[CO]]</f>
        <v>1948</v>
      </c>
      <c r="AB118" s="466">
        <v>1948</v>
      </c>
      <c r="AC118" s="497"/>
      <c r="AD118" s="498">
        <f>IF(Complete[[#This Row],[Procurement Project]]="","",SUM(Complete[[#This Row],[MOOE2]]+Complete[[#This Row],[CO3]]))</f>
        <v>1948</v>
      </c>
      <c r="AE118" s="501">
        <v>1948</v>
      </c>
      <c r="AF118" s="541"/>
      <c r="AG118" s="400"/>
      <c r="AH118" s="380" t="s">
        <v>1205</v>
      </c>
      <c r="AI118" s="576" t="str">
        <f>VLOOKUP(Complete[[#This Row],[Code
(PAP)]],[1]Sheet1!$A:$AO,35,FALSE)</f>
        <v>N/A</v>
      </c>
      <c r="AJ118" s="576" t="str">
        <f>VLOOKUP(Complete[[#This Row],[Code
(PAP)]],[1]Sheet1!$A:$AO,36,FALSE)</f>
        <v>N/A</v>
      </c>
      <c r="AK118" s="576" t="str">
        <f>VLOOKUP(Complete[[#This Row],[Code
(PAP)]],[1]Sheet1!$A:$AO,37,FALSE)</f>
        <v>N/A</v>
      </c>
      <c r="AL118" s="576" t="str">
        <f>VLOOKUP(Complete[[#This Row],[Code
(PAP)]],[1]Sheet1!$A:$AO,38,FALSE)</f>
        <v>N/A</v>
      </c>
      <c r="AM118" s="576" t="str">
        <f>VLOOKUP(Complete[[#This Row],[Code
(PAP)]],[1]Sheet1!$A:$AO,38,FALSE)</f>
        <v>N/A</v>
      </c>
      <c r="AN118" s="595" t="s">
        <v>713</v>
      </c>
      <c r="AO118" s="303" t="s">
        <v>139</v>
      </c>
      <c r="AP118" s="389"/>
      <c r="AQ118" s="389"/>
    </row>
    <row r="119" spans="1:43" s="224" customFormat="1" ht="75" customHeight="1" x14ac:dyDescent="0.25">
      <c r="A119" s="385" t="s">
        <v>297</v>
      </c>
      <c r="B119" s="406" t="str">
        <f>VLOOKUP(Complete[[#This Row],[Code
(PAP)]],[1]Sheet1!$A:$AO,2,FALSE)</f>
        <v>JANITORIAL SUPPLIES/HOUSEKEEPING</v>
      </c>
      <c r="C119" s="408" t="str">
        <f>VLOOKUP(Complete[[#This Row],[Code
(PAP)]],[1]Sheet1!$A:$AO,3,FALSE)</f>
        <v>PAO-ADMIN</v>
      </c>
      <c r="D119" s="380" t="s">
        <v>712</v>
      </c>
      <c r="E119" s="409" t="str">
        <f>VLOOKUP(Complete[[#This Row],[Code
(PAP)]],[2]Sheet1!$A:$AO,5,FALSE)</f>
        <v>NP-53.9 - Small Value Procurement</v>
      </c>
      <c r="F119" s="393" t="str">
        <f>VLOOKUP(Complete[[#This Row],[Code
(PAP)]],[1]Sheet1!$A:$AO,6,FALSE)</f>
        <v>N/A</v>
      </c>
      <c r="G119" s="393">
        <f>VLOOKUP(Complete[[#This Row],[Code
(PAP)]],[1]Sheet1!$A:$AO,7,FALSE)</f>
        <v>45331</v>
      </c>
      <c r="H119" s="374"/>
      <c r="I119" s="394" t="str">
        <f>VLOOKUP(Complete[[#This Row],[Code
(PAP)]],[1]Sheet1!$A:$AO,9,FALSE)</f>
        <v>N/A</v>
      </c>
      <c r="J119" s="393">
        <f>VLOOKUP(Complete[[#This Row],[Code
(PAP)]],[1]Sheet1!$A:$AO,10,FALSE)</f>
        <v>45356</v>
      </c>
      <c r="K119" s="393">
        <f>VLOOKUP(Complete[[#This Row],[Code
(PAP)]],[1]Sheet1!$A:$AO,11,FALSE)</f>
        <v>45356</v>
      </c>
      <c r="L119" s="387"/>
      <c r="M119" s="393" t="str">
        <f>VLOOKUP(Complete[[#This Row],[Code
(PAP)]],[1]Sheet1!$A:$AO,13,FALSE)</f>
        <v>N/A</v>
      </c>
      <c r="N119" s="393" t="str">
        <f>VLOOKUP(Complete[[#This Row],[Code
(PAP)]],[1]Sheet1!$A:$AO,14,FALSE)</f>
        <v>N/A</v>
      </c>
      <c r="O119" s="393">
        <f>VLOOKUP(Complete[[#This Row],[Code
(PAP)]],[1]Sheet1!$A:$AO,15,FALSE)</f>
        <v>45357</v>
      </c>
      <c r="P119" s="387"/>
      <c r="Q119" s="387"/>
      <c r="R119" s="387"/>
      <c r="S119" s="576" t="str">
        <f>VLOOKUP(Complete[[#This Row],[Code
(PAP)]],[1]Sheet1!$A:$AO,19,FALSE)</f>
        <v>N/A</v>
      </c>
      <c r="T119" s="576">
        <f>VLOOKUP(Complete[[#This Row],[Code
(PAP)]],[1]Sheet1!$A:$AO,20,FALSE)</f>
        <v>45371</v>
      </c>
      <c r="U119" s="576">
        <f>VLOOKUP(Complete[[#This Row],[Code
(PAP)]],[1]Sheet1!$A:$AO,21,FALSE)</f>
        <v>45372</v>
      </c>
      <c r="V119" s="387"/>
      <c r="W119" s="387"/>
      <c r="X119" s="392">
        <f>VLOOKUP(Complete[[#This Row],[Code
(PAP)]],[1]Sheet1!$A:$AO,24,FALSE)</f>
        <v>45385</v>
      </c>
      <c r="Y119" s="392">
        <f>Complete[[#This Row],[Delivery/ Completion]]</f>
        <v>45385</v>
      </c>
      <c r="Z119" s="610" t="s">
        <v>1478</v>
      </c>
      <c r="AA119" s="462">
        <f>Complete[[#This Row],[MOOE]]+Complete[[#This Row],[CO]]</f>
        <v>17062</v>
      </c>
      <c r="AB119" s="466">
        <v>17062</v>
      </c>
      <c r="AC119" s="497"/>
      <c r="AD119" s="498">
        <f>IF(Complete[[#This Row],[Procurement Project]]="","",SUM(Complete[[#This Row],[MOOE2]]+Complete[[#This Row],[CO3]]))</f>
        <v>16912</v>
      </c>
      <c r="AE119" s="501">
        <v>16912</v>
      </c>
      <c r="AF119" s="541"/>
      <c r="AG119" s="400"/>
      <c r="AH119" s="380" t="s">
        <v>1205</v>
      </c>
      <c r="AI119" s="576" t="str">
        <f>VLOOKUP(Complete[[#This Row],[Code
(PAP)]],[1]Sheet1!$A:$AO,35,FALSE)</f>
        <v>N/A</v>
      </c>
      <c r="AJ119" s="576" t="str">
        <f>VLOOKUP(Complete[[#This Row],[Code
(PAP)]],[1]Sheet1!$A:$AO,36,FALSE)</f>
        <v>N/A</v>
      </c>
      <c r="AK119" s="576" t="str">
        <f>VLOOKUP(Complete[[#This Row],[Code
(PAP)]],[1]Sheet1!$A:$AO,37,FALSE)</f>
        <v>N/A</v>
      </c>
      <c r="AL119" s="576" t="str">
        <f>VLOOKUP(Complete[[#This Row],[Code
(PAP)]],[1]Sheet1!$A:$AO,38,FALSE)</f>
        <v>N/A</v>
      </c>
      <c r="AM119" s="576" t="str">
        <f>VLOOKUP(Complete[[#This Row],[Code
(PAP)]],[1]Sheet1!$A:$AO,38,FALSE)</f>
        <v>N/A</v>
      </c>
      <c r="AN119" s="595" t="s">
        <v>713</v>
      </c>
      <c r="AO119" s="303" t="s">
        <v>139</v>
      </c>
      <c r="AP119" s="389"/>
      <c r="AQ119" s="389"/>
    </row>
    <row r="120" spans="1:43" s="224" customFormat="1" ht="75" customHeight="1" x14ac:dyDescent="0.25">
      <c r="A120" s="385" t="s">
        <v>298</v>
      </c>
      <c r="B120" s="406" t="str">
        <f>VLOOKUP(Complete[[#This Row],[Code
(PAP)]],[1]Sheet1!$A:$AO,2,FALSE)</f>
        <v>KITCHENWARE &amp; UTENSILS</v>
      </c>
      <c r="C120" s="408" t="str">
        <f>VLOOKUP(Complete[[#This Row],[Code
(PAP)]],[1]Sheet1!$A:$AO,3,FALSE)</f>
        <v>PBO</v>
      </c>
      <c r="D120" s="380" t="s">
        <v>712</v>
      </c>
      <c r="E120" s="409" t="str">
        <f>VLOOKUP(Complete[[#This Row],[Code
(PAP)]],[2]Sheet1!$A:$AO,5,FALSE)</f>
        <v>NP-53.9 - Small Value Procurement</v>
      </c>
      <c r="F120" s="393" t="str">
        <f>VLOOKUP(Complete[[#This Row],[Code
(PAP)]],[1]Sheet1!$A:$AO,6,FALSE)</f>
        <v>N/A</v>
      </c>
      <c r="G120" s="393">
        <f>VLOOKUP(Complete[[#This Row],[Code
(PAP)]],[1]Sheet1!$A:$AO,7,FALSE)</f>
        <v>45324</v>
      </c>
      <c r="H120" s="374"/>
      <c r="I120" s="394" t="str">
        <f>VLOOKUP(Complete[[#This Row],[Code
(PAP)]],[1]Sheet1!$A:$AO,9,FALSE)</f>
        <v>N/A</v>
      </c>
      <c r="J120" s="393">
        <f>VLOOKUP(Complete[[#This Row],[Code
(PAP)]],[1]Sheet1!$A:$AO,10,FALSE)</f>
        <v>45356</v>
      </c>
      <c r="K120" s="393">
        <f>VLOOKUP(Complete[[#This Row],[Code
(PAP)]],[1]Sheet1!$A:$AO,11,FALSE)</f>
        <v>45356</v>
      </c>
      <c r="L120" s="387"/>
      <c r="M120" s="393" t="str">
        <f>VLOOKUP(Complete[[#This Row],[Code
(PAP)]],[1]Sheet1!$A:$AO,13,FALSE)</f>
        <v>N/A</v>
      </c>
      <c r="N120" s="393" t="str">
        <f>VLOOKUP(Complete[[#This Row],[Code
(PAP)]],[1]Sheet1!$A:$AO,14,FALSE)</f>
        <v>N/A</v>
      </c>
      <c r="O120" s="393">
        <f>VLOOKUP(Complete[[#This Row],[Code
(PAP)]],[1]Sheet1!$A:$AO,15,FALSE)</f>
        <v>45357</v>
      </c>
      <c r="P120" s="387"/>
      <c r="Q120" s="387"/>
      <c r="R120" s="387"/>
      <c r="S120" s="576" t="str">
        <f>VLOOKUP(Complete[[#This Row],[Code
(PAP)]],[1]Sheet1!$A:$AO,19,FALSE)</f>
        <v>N/A</v>
      </c>
      <c r="T120" s="576">
        <f>VLOOKUP(Complete[[#This Row],[Code
(PAP)]],[1]Sheet1!$A:$AO,20,FALSE)</f>
        <v>45369</v>
      </c>
      <c r="U120" s="576">
        <f>VLOOKUP(Complete[[#This Row],[Code
(PAP)]],[1]Sheet1!$A:$AO,21,FALSE)</f>
        <v>45370</v>
      </c>
      <c r="V120" s="387"/>
      <c r="W120" s="387"/>
      <c r="X120" s="392">
        <f>VLOOKUP(Complete[[#This Row],[Code
(PAP)]],[1]Sheet1!$A:$AO,24,FALSE)</f>
        <v>45376</v>
      </c>
      <c r="Y120" s="392">
        <f>Complete[[#This Row],[Delivery/ Completion]]</f>
        <v>45376</v>
      </c>
      <c r="Z120" s="610" t="s">
        <v>1478</v>
      </c>
      <c r="AA120" s="462">
        <f>Complete[[#This Row],[MOOE]]+Complete[[#This Row],[CO]]</f>
        <v>385</v>
      </c>
      <c r="AB120" s="466">
        <v>385</v>
      </c>
      <c r="AC120" s="497"/>
      <c r="AD120" s="498">
        <f>IF(Complete[[#This Row],[Procurement Project]]="","",SUM(Complete[[#This Row],[MOOE2]]+Complete[[#This Row],[CO3]]))</f>
        <v>378</v>
      </c>
      <c r="AE120" s="501">
        <v>378</v>
      </c>
      <c r="AF120" s="541"/>
      <c r="AG120" s="400"/>
      <c r="AH120" s="380" t="s">
        <v>1205</v>
      </c>
      <c r="AI120" s="576" t="str">
        <f>VLOOKUP(Complete[[#This Row],[Code
(PAP)]],[1]Sheet1!$A:$AO,35,FALSE)</f>
        <v>N/A</v>
      </c>
      <c r="AJ120" s="576" t="str">
        <f>VLOOKUP(Complete[[#This Row],[Code
(PAP)]],[1]Sheet1!$A:$AO,36,FALSE)</f>
        <v>N/A</v>
      </c>
      <c r="AK120" s="576" t="str">
        <f>VLOOKUP(Complete[[#This Row],[Code
(PAP)]],[1]Sheet1!$A:$AO,37,FALSE)</f>
        <v>N/A</v>
      </c>
      <c r="AL120" s="576" t="str">
        <f>VLOOKUP(Complete[[#This Row],[Code
(PAP)]],[1]Sheet1!$A:$AO,38,FALSE)</f>
        <v>N/A</v>
      </c>
      <c r="AM120" s="576" t="str">
        <f>VLOOKUP(Complete[[#This Row],[Code
(PAP)]],[1]Sheet1!$A:$AO,38,FALSE)</f>
        <v>N/A</v>
      </c>
      <c r="AN120" s="595" t="s">
        <v>713</v>
      </c>
      <c r="AO120" s="303" t="s">
        <v>139</v>
      </c>
      <c r="AP120" s="389"/>
      <c r="AQ120" s="389"/>
    </row>
    <row r="121" spans="1:43" s="224" customFormat="1" ht="75" customHeight="1" x14ac:dyDescent="0.25">
      <c r="A121" s="385" t="s">
        <v>299</v>
      </c>
      <c r="B121" s="406" t="str">
        <f>VLOOKUP(Complete[[#This Row],[Code
(PAP)]],[1]Sheet1!$A:$AO,2,FALSE)</f>
        <v>TONER</v>
      </c>
      <c r="C121" s="408" t="str">
        <f>VLOOKUP(Complete[[#This Row],[Code
(PAP)]],[1]Sheet1!$A:$AO,3,FALSE)</f>
        <v>PEO-GA</v>
      </c>
      <c r="D121" s="380" t="s">
        <v>712</v>
      </c>
      <c r="E121" s="409" t="str">
        <f>VLOOKUP(Complete[[#This Row],[Code
(PAP)]],[2]Sheet1!$A:$AO,5,FALSE)</f>
        <v>NP-53.9 - Small Value Procurement</v>
      </c>
      <c r="F121" s="393">
        <f>VLOOKUP(Complete[[#This Row],[Code
(PAP)]],[1]Sheet1!$A:$AO,6,FALSE)</f>
        <v>45335</v>
      </c>
      <c r="G121" s="393">
        <f>VLOOKUP(Complete[[#This Row],[Code
(PAP)]],[1]Sheet1!$A:$AO,7,FALSE)</f>
        <v>45337</v>
      </c>
      <c r="H121" s="374"/>
      <c r="I121" s="394" t="str">
        <f>VLOOKUP(Complete[[#This Row],[Code
(PAP)]],[1]Sheet1!$A:$AO,9,FALSE)</f>
        <v>N/A</v>
      </c>
      <c r="J121" s="393">
        <f>VLOOKUP(Complete[[#This Row],[Code
(PAP)]],[1]Sheet1!$A:$AO,10,FALSE)</f>
        <v>45356</v>
      </c>
      <c r="K121" s="393">
        <f>VLOOKUP(Complete[[#This Row],[Code
(PAP)]],[1]Sheet1!$A:$AO,11,FALSE)</f>
        <v>45356</v>
      </c>
      <c r="L121" s="387"/>
      <c r="M121" s="393" t="str">
        <f>VLOOKUP(Complete[[#This Row],[Code
(PAP)]],[1]Sheet1!$A:$AO,13,FALSE)</f>
        <v>N/A</v>
      </c>
      <c r="N121" s="393" t="str">
        <f>VLOOKUP(Complete[[#This Row],[Code
(PAP)]],[1]Sheet1!$A:$AO,14,FALSE)</f>
        <v>N/A</v>
      </c>
      <c r="O121" s="393">
        <f>VLOOKUP(Complete[[#This Row],[Code
(PAP)]],[1]Sheet1!$A:$AO,15,FALSE)</f>
        <v>45357</v>
      </c>
      <c r="P121" s="387"/>
      <c r="Q121" s="387"/>
      <c r="R121" s="387"/>
      <c r="S121" s="576">
        <f>VLOOKUP(Complete[[#This Row],[Code
(PAP)]],[1]Sheet1!$A:$AO,19,FALSE)</f>
        <v>45357</v>
      </c>
      <c r="T121" s="576">
        <f>VLOOKUP(Complete[[#This Row],[Code
(PAP)]],[1]Sheet1!$A:$AO,20,FALSE)</f>
        <v>45376</v>
      </c>
      <c r="U121" s="576">
        <f>VLOOKUP(Complete[[#This Row],[Code
(PAP)]],[1]Sheet1!$A:$AO,21,FALSE)</f>
        <v>45384</v>
      </c>
      <c r="V121" s="387"/>
      <c r="W121" s="387"/>
      <c r="X121" s="392">
        <f>VLOOKUP(Complete[[#This Row],[Code
(PAP)]],[1]Sheet1!$A:$AO,24,FALSE)</f>
        <v>45446</v>
      </c>
      <c r="Y121" s="392">
        <f>Complete[[#This Row],[Delivery/ Completion]]</f>
        <v>45446</v>
      </c>
      <c r="Z121" s="610" t="s">
        <v>1478</v>
      </c>
      <c r="AA121" s="462">
        <f>Complete[[#This Row],[MOOE]]+Complete[[#This Row],[CO]]</f>
        <v>80000</v>
      </c>
      <c r="AB121" s="466">
        <v>80000</v>
      </c>
      <c r="AC121" s="497"/>
      <c r="AD121" s="498">
        <f>IF(Complete[[#This Row],[Procurement Project]]="","",SUM(Complete[[#This Row],[MOOE2]]+Complete[[#This Row],[CO3]]))</f>
        <v>80000</v>
      </c>
      <c r="AE121" s="501">
        <v>80000</v>
      </c>
      <c r="AF121" s="541"/>
      <c r="AG121" s="400"/>
      <c r="AH121" s="380" t="s">
        <v>1205</v>
      </c>
      <c r="AI121" s="576" t="str">
        <f>VLOOKUP(Complete[[#This Row],[Code
(PAP)]],[1]Sheet1!$A:$AO,35,FALSE)</f>
        <v>N/A</v>
      </c>
      <c r="AJ121" s="576" t="str">
        <f>VLOOKUP(Complete[[#This Row],[Code
(PAP)]],[1]Sheet1!$A:$AO,36,FALSE)</f>
        <v>N/A</v>
      </c>
      <c r="AK121" s="576" t="str">
        <f>VLOOKUP(Complete[[#This Row],[Code
(PAP)]],[1]Sheet1!$A:$AO,37,FALSE)</f>
        <v>N/A</v>
      </c>
      <c r="AL121" s="576" t="str">
        <f>VLOOKUP(Complete[[#This Row],[Code
(PAP)]],[1]Sheet1!$A:$AO,38,FALSE)</f>
        <v>N/A</v>
      </c>
      <c r="AM121" s="576" t="str">
        <f>VLOOKUP(Complete[[#This Row],[Code
(PAP)]],[1]Sheet1!$A:$AO,38,FALSE)</f>
        <v>N/A</v>
      </c>
      <c r="AN121" s="595" t="s">
        <v>713</v>
      </c>
      <c r="AO121" s="303" t="s">
        <v>139</v>
      </c>
      <c r="AP121" s="389"/>
      <c r="AQ121" s="389"/>
    </row>
    <row r="122" spans="1:43" s="224" customFormat="1" ht="75" customHeight="1" x14ac:dyDescent="0.25">
      <c r="A122" s="385" t="s">
        <v>300</v>
      </c>
      <c r="B122" s="406" t="str">
        <f>VLOOKUP(Complete[[#This Row],[Code
(PAP)]],[1]Sheet1!$A:$AO,2,FALSE)</f>
        <v>BATTERY</v>
      </c>
      <c r="C122" s="408" t="str">
        <f>VLOOKUP(Complete[[#This Row],[Code
(PAP)]],[1]Sheet1!$A:$AO,3,FALSE)</f>
        <v>PEEMO</v>
      </c>
      <c r="D122" s="380" t="s">
        <v>712</v>
      </c>
      <c r="E122" s="409" t="str">
        <f>VLOOKUP(Complete[[#This Row],[Code
(PAP)]],[2]Sheet1!$A:$AO,5,FALSE)</f>
        <v>NP-53.9 - Small Value Procurement</v>
      </c>
      <c r="F122" s="393" t="str">
        <f>VLOOKUP(Complete[[#This Row],[Code
(PAP)]],[1]Sheet1!$A:$AO,6,FALSE)</f>
        <v>N/A</v>
      </c>
      <c r="G122" s="393">
        <f>VLOOKUP(Complete[[#This Row],[Code
(PAP)]],[1]Sheet1!$A:$AO,7,FALSE)</f>
        <v>45338</v>
      </c>
      <c r="H122" s="374"/>
      <c r="I122" s="394" t="str">
        <f>VLOOKUP(Complete[[#This Row],[Code
(PAP)]],[1]Sheet1!$A:$AO,9,FALSE)</f>
        <v>N/A</v>
      </c>
      <c r="J122" s="393">
        <f>VLOOKUP(Complete[[#This Row],[Code
(PAP)]],[1]Sheet1!$A:$AO,10,FALSE)</f>
        <v>45356</v>
      </c>
      <c r="K122" s="393">
        <f>VLOOKUP(Complete[[#This Row],[Code
(PAP)]],[1]Sheet1!$A:$AO,11,FALSE)</f>
        <v>45356</v>
      </c>
      <c r="L122" s="387"/>
      <c r="M122" s="393" t="str">
        <f>VLOOKUP(Complete[[#This Row],[Code
(PAP)]],[1]Sheet1!$A:$AO,13,FALSE)</f>
        <v>N/A</v>
      </c>
      <c r="N122" s="393" t="str">
        <f>VLOOKUP(Complete[[#This Row],[Code
(PAP)]],[1]Sheet1!$A:$AO,14,FALSE)</f>
        <v>N/A</v>
      </c>
      <c r="O122" s="393">
        <f>VLOOKUP(Complete[[#This Row],[Code
(PAP)]],[1]Sheet1!$A:$AO,15,FALSE)</f>
        <v>45357</v>
      </c>
      <c r="P122" s="387"/>
      <c r="Q122" s="387"/>
      <c r="R122" s="387"/>
      <c r="S122" s="576">
        <f>VLOOKUP(Complete[[#This Row],[Code
(PAP)]],[1]Sheet1!$A:$AO,19,FALSE)</f>
        <v>45357</v>
      </c>
      <c r="T122" s="576">
        <f>VLOOKUP(Complete[[#This Row],[Code
(PAP)]],[1]Sheet1!$A:$AO,20,FALSE)</f>
        <v>45373</v>
      </c>
      <c r="U122" s="576">
        <f>VLOOKUP(Complete[[#This Row],[Code
(PAP)]],[1]Sheet1!$A:$AO,21,FALSE)</f>
        <v>45377</v>
      </c>
      <c r="V122" s="387"/>
      <c r="W122" s="387"/>
      <c r="X122" s="392">
        <f>VLOOKUP(Complete[[#This Row],[Code
(PAP)]],[1]Sheet1!$A:$AO,24,FALSE)</f>
        <v>45385</v>
      </c>
      <c r="Y122" s="392">
        <f>Complete[[#This Row],[Delivery/ Completion]]</f>
        <v>45385</v>
      </c>
      <c r="Z122" s="610" t="s">
        <v>1478</v>
      </c>
      <c r="AA122" s="462">
        <f>Complete[[#This Row],[MOOE]]+Complete[[#This Row],[CO]]</f>
        <v>208785</v>
      </c>
      <c r="AB122" s="466">
        <v>208785</v>
      </c>
      <c r="AC122" s="497"/>
      <c r="AD122" s="498">
        <f>IF(Complete[[#This Row],[Procurement Project]]="","",SUM(Complete[[#This Row],[MOOE2]]+Complete[[#This Row],[CO3]]))</f>
        <v>171000</v>
      </c>
      <c r="AE122" s="501">
        <v>171000</v>
      </c>
      <c r="AF122" s="541"/>
      <c r="AG122" s="400"/>
      <c r="AH122" s="380" t="s">
        <v>1205</v>
      </c>
      <c r="AI122" s="576" t="str">
        <f>VLOOKUP(Complete[[#This Row],[Code
(PAP)]],[1]Sheet1!$A:$AO,35,FALSE)</f>
        <v>N/A</v>
      </c>
      <c r="AJ122" s="576" t="str">
        <f>VLOOKUP(Complete[[#This Row],[Code
(PAP)]],[1]Sheet1!$A:$AO,36,FALSE)</f>
        <v>N/A</v>
      </c>
      <c r="AK122" s="576" t="str">
        <f>VLOOKUP(Complete[[#This Row],[Code
(PAP)]],[1]Sheet1!$A:$AO,37,FALSE)</f>
        <v>N/A</v>
      </c>
      <c r="AL122" s="576" t="str">
        <f>VLOOKUP(Complete[[#This Row],[Code
(PAP)]],[1]Sheet1!$A:$AO,38,FALSE)</f>
        <v>N/A</v>
      </c>
      <c r="AM122" s="576" t="str">
        <f>VLOOKUP(Complete[[#This Row],[Code
(PAP)]],[1]Sheet1!$A:$AO,38,FALSE)</f>
        <v>N/A</v>
      </c>
      <c r="AN122" s="595" t="s">
        <v>713</v>
      </c>
      <c r="AO122" s="303" t="s">
        <v>139</v>
      </c>
      <c r="AP122" s="389"/>
      <c r="AQ122" s="389"/>
    </row>
    <row r="123" spans="1:43" s="224" customFormat="1" ht="75" customHeight="1" x14ac:dyDescent="0.25">
      <c r="A123" s="385" t="s">
        <v>301</v>
      </c>
      <c r="B123" s="406" t="str">
        <f>VLOOKUP(Complete[[#This Row],[Code
(PAP)]],[1]Sheet1!$A:$AO,2,FALSE)</f>
        <v>SPAREPARTS (LIGHT VEHICLES)</v>
      </c>
      <c r="C123" s="408" t="str">
        <f>VLOOKUP(Complete[[#This Row],[Code
(PAP)]],[1]Sheet1!$A:$AO,3,FALSE)</f>
        <v>PEEMO</v>
      </c>
      <c r="D123" s="380" t="s">
        <v>712</v>
      </c>
      <c r="E123" s="409" t="str">
        <f>VLOOKUP(Complete[[#This Row],[Code
(PAP)]],[2]Sheet1!$A:$AO,5,FALSE)</f>
        <v>NP-53.9 - Small Value Procurement</v>
      </c>
      <c r="F123" s="393" t="str">
        <f>VLOOKUP(Complete[[#This Row],[Code
(PAP)]],[1]Sheet1!$A:$AO,6,FALSE)</f>
        <v>N/A</v>
      </c>
      <c r="G123" s="393">
        <f>VLOOKUP(Complete[[#This Row],[Code
(PAP)]],[1]Sheet1!$A:$AO,7,FALSE)</f>
        <v>45338</v>
      </c>
      <c r="H123" s="374"/>
      <c r="I123" s="394" t="str">
        <f>VLOOKUP(Complete[[#This Row],[Code
(PAP)]],[1]Sheet1!$A:$AO,9,FALSE)</f>
        <v>N/A</v>
      </c>
      <c r="J123" s="393">
        <f>VLOOKUP(Complete[[#This Row],[Code
(PAP)]],[1]Sheet1!$A:$AO,10,FALSE)</f>
        <v>45356</v>
      </c>
      <c r="K123" s="393">
        <f>VLOOKUP(Complete[[#This Row],[Code
(PAP)]],[1]Sheet1!$A:$AO,11,FALSE)</f>
        <v>45356</v>
      </c>
      <c r="L123" s="387"/>
      <c r="M123" s="393" t="str">
        <f>VLOOKUP(Complete[[#This Row],[Code
(PAP)]],[1]Sheet1!$A:$AO,13,FALSE)</f>
        <v>N/A</v>
      </c>
      <c r="N123" s="393" t="str">
        <f>VLOOKUP(Complete[[#This Row],[Code
(PAP)]],[1]Sheet1!$A:$AO,14,FALSE)</f>
        <v>N/A</v>
      </c>
      <c r="O123" s="393">
        <f>VLOOKUP(Complete[[#This Row],[Code
(PAP)]],[1]Sheet1!$A:$AO,15,FALSE)</f>
        <v>45357</v>
      </c>
      <c r="P123" s="387"/>
      <c r="Q123" s="387"/>
      <c r="R123" s="387"/>
      <c r="S123" s="576">
        <f>VLOOKUP(Complete[[#This Row],[Code
(PAP)]],[1]Sheet1!$A:$AO,19,FALSE)</f>
        <v>45357</v>
      </c>
      <c r="T123" s="576">
        <f>VLOOKUP(Complete[[#This Row],[Code
(PAP)]],[1]Sheet1!$A:$AO,20,FALSE)</f>
        <v>45373</v>
      </c>
      <c r="U123" s="576">
        <f>VLOOKUP(Complete[[#This Row],[Code
(PAP)]],[1]Sheet1!$A:$AO,21,FALSE)</f>
        <v>45377</v>
      </c>
      <c r="V123" s="387"/>
      <c r="W123" s="387"/>
      <c r="X123" s="392">
        <f>VLOOKUP(Complete[[#This Row],[Code
(PAP)]],[1]Sheet1!$A:$AO,24,FALSE)</f>
        <v>45385</v>
      </c>
      <c r="Y123" s="392">
        <f>Complete[[#This Row],[Delivery/ Completion]]</f>
        <v>45385</v>
      </c>
      <c r="Z123" s="610" t="s">
        <v>1478</v>
      </c>
      <c r="AA123" s="462">
        <f>Complete[[#This Row],[MOOE]]+Complete[[#This Row],[CO]]</f>
        <v>165815</v>
      </c>
      <c r="AB123" s="466">
        <v>165815</v>
      </c>
      <c r="AC123" s="497"/>
      <c r="AD123" s="498">
        <f>IF(Complete[[#This Row],[Procurement Project]]="","",SUM(Complete[[#This Row],[MOOE2]]+Complete[[#This Row],[CO3]]))</f>
        <v>110150</v>
      </c>
      <c r="AE123" s="501">
        <v>110150</v>
      </c>
      <c r="AF123" s="541"/>
      <c r="AG123" s="400"/>
      <c r="AH123" s="380" t="s">
        <v>1205</v>
      </c>
      <c r="AI123" s="576" t="str">
        <f>VLOOKUP(Complete[[#This Row],[Code
(PAP)]],[1]Sheet1!$A:$AO,35,FALSE)</f>
        <v>N/A</v>
      </c>
      <c r="AJ123" s="576" t="str">
        <f>VLOOKUP(Complete[[#This Row],[Code
(PAP)]],[1]Sheet1!$A:$AO,36,FALSE)</f>
        <v>N/A</v>
      </c>
      <c r="AK123" s="576" t="str">
        <f>VLOOKUP(Complete[[#This Row],[Code
(PAP)]],[1]Sheet1!$A:$AO,37,FALSE)</f>
        <v>N/A</v>
      </c>
      <c r="AL123" s="576" t="str">
        <f>VLOOKUP(Complete[[#This Row],[Code
(PAP)]],[1]Sheet1!$A:$AO,38,FALSE)</f>
        <v>N/A</v>
      </c>
      <c r="AM123" s="576" t="str">
        <f>VLOOKUP(Complete[[#This Row],[Code
(PAP)]],[1]Sheet1!$A:$AO,38,FALSE)</f>
        <v>N/A</v>
      </c>
      <c r="AN123" s="595" t="s">
        <v>713</v>
      </c>
      <c r="AO123" s="303" t="s">
        <v>139</v>
      </c>
      <c r="AP123" s="389"/>
      <c r="AQ123" s="389"/>
    </row>
    <row r="124" spans="1:43" s="224" customFormat="1" ht="75" customHeight="1" x14ac:dyDescent="0.25">
      <c r="A124" s="385" t="s">
        <v>302</v>
      </c>
      <c r="B124" s="406" t="str">
        <f>VLOOKUP(Complete[[#This Row],[Code
(PAP)]],[1]Sheet1!$A:$AO,2,FALSE)</f>
        <v>BARCODE SCANNER &amp; COMPUTER DESKTOP</v>
      </c>
      <c r="C124" s="408" t="str">
        <f>VLOOKUP(Complete[[#This Row],[Code
(PAP)]],[1]Sheet1!$A:$AO,3,FALSE)</f>
        <v>PAO-ADMIN</v>
      </c>
      <c r="D124" s="380" t="s">
        <v>712</v>
      </c>
      <c r="E124" s="409" t="str">
        <f>VLOOKUP(Complete[[#This Row],[Code
(PAP)]],[2]Sheet1!$A:$AO,5,FALSE)</f>
        <v>NP-53.9 - Small Value Procurement</v>
      </c>
      <c r="F124" s="393">
        <f>VLOOKUP(Complete[[#This Row],[Code
(PAP)]],[1]Sheet1!$A:$AO,6,FALSE)</f>
        <v>45342</v>
      </c>
      <c r="G124" s="393">
        <f>VLOOKUP(Complete[[#This Row],[Code
(PAP)]],[1]Sheet1!$A:$AO,7,FALSE)</f>
        <v>45344</v>
      </c>
      <c r="H124" s="374"/>
      <c r="I124" s="394" t="str">
        <f>VLOOKUP(Complete[[#This Row],[Code
(PAP)]],[1]Sheet1!$A:$AO,9,FALSE)</f>
        <v>N/A</v>
      </c>
      <c r="J124" s="393">
        <f>VLOOKUP(Complete[[#This Row],[Code
(PAP)]],[1]Sheet1!$A:$AO,10,FALSE)</f>
        <v>45356</v>
      </c>
      <c r="K124" s="393">
        <f>VLOOKUP(Complete[[#This Row],[Code
(PAP)]],[1]Sheet1!$A:$AO,11,FALSE)</f>
        <v>45356</v>
      </c>
      <c r="L124" s="387"/>
      <c r="M124" s="393" t="str">
        <f>VLOOKUP(Complete[[#This Row],[Code
(PAP)]],[1]Sheet1!$A:$AO,13,FALSE)</f>
        <v>N/A</v>
      </c>
      <c r="N124" s="393" t="str">
        <f>VLOOKUP(Complete[[#This Row],[Code
(PAP)]],[1]Sheet1!$A:$AO,14,FALSE)</f>
        <v>N/A</v>
      </c>
      <c r="O124" s="393">
        <f>VLOOKUP(Complete[[#This Row],[Code
(PAP)]],[1]Sheet1!$A:$AO,15,FALSE)</f>
        <v>45357</v>
      </c>
      <c r="P124" s="387"/>
      <c r="Q124" s="387"/>
      <c r="R124" s="387"/>
      <c r="S124" s="576">
        <f>VLOOKUP(Complete[[#This Row],[Code
(PAP)]],[1]Sheet1!$A:$AO,19,FALSE)</f>
        <v>45357</v>
      </c>
      <c r="T124" s="576">
        <f>VLOOKUP(Complete[[#This Row],[Code
(PAP)]],[1]Sheet1!$A:$AO,20,FALSE)</f>
        <v>45371</v>
      </c>
      <c r="U124" s="576">
        <f>VLOOKUP(Complete[[#This Row],[Code
(PAP)]],[1]Sheet1!$A:$AO,21,FALSE)</f>
        <v>45377</v>
      </c>
      <c r="V124" s="387"/>
      <c r="W124" s="387"/>
      <c r="X124" s="392">
        <f>VLOOKUP(Complete[[#This Row],[Code
(PAP)]],[1]Sheet1!$A:$AO,24,FALSE)</f>
        <v>45397</v>
      </c>
      <c r="Y124" s="392">
        <f>Complete[[#This Row],[Delivery/ Completion]]</f>
        <v>45397</v>
      </c>
      <c r="Z124" s="610" t="s">
        <v>1478</v>
      </c>
      <c r="AA124" s="462">
        <f>Complete[[#This Row],[MOOE]]+Complete[[#This Row],[CO]]</f>
        <v>51600</v>
      </c>
      <c r="AB124" s="466">
        <v>51600</v>
      </c>
      <c r="AC124" s="497"/>
      <c r="AD124" s="498">
        <f>IF(Complete[[#This Row],[Procurement Project]]="","",SUM(Complete[[#This Row],[MOOE2]]+Complete[[#This Row],[CO3]]))</f>
        <v>51398</v>
      </c>
      <c r="AE124" s="501">
        <v>51398</v>
      </c>
      <c r="AF124" s="541"/>
      <c r="AG124" s="400"/>
      <c r="AH124" s="380" t="s">
        <v>1205</v>
      </c>
      <c r="AI124" s="576" t="str">
        <f>VLOOKUP(Complete[[#This Row],[Code
(PAP)]],[1]Sheet1!$A:$AO,35,FALSE)</f>
        <v>N/A</v>
      </c>
      <c r="AJ124" s="576" t="str">
        <f>VLOOKUP(Complete[[#This Row],[Code
(PAP)]],[1]Sheet1!$A:$AO,36,FALSE)</f>
        <v>N/A</v>
      </c>
      <c r="AK124" s="576" t="str">
        <f>VLOOKUP(Complete[[#This Row],[Code
(PAP)]],[1]Sheet1!$A:$AO,37,FALSE)</f>
        <v>N/A</v>
      </c>
      <c r="AL124" s="576" t="str">
        <f>VLOOKUP(Complete[[#This Row],[Code
(PAP)]],[1]Sheet1!$A:$AO,38,FALSE)</f>
        <v>N/A</v>
      </c>
      <c r="AM124" s="576" t="str">
        <f>VLOOKUP(Complete[[#This Row],[Code
(PAP)]],[1]Sheet1!$A:$AO,38,FALSE)</f>
        <v>N/A</v>
      </c>
      <c r="AN124" s="595" t="s">
        <v>713</v>
      </c>
      <c r="AO124" s="303" t="s">
        <v>139</v>
      </c>
      <c r="AP124" s="389"/>
      <c r="AQ124" s="389"/>
    </row>
    <row r="125" spans="1:43" s="224" customFormat="1" ht="75" customHeight="1" x14ac:dyDescent="0.25">
      <c r="A125" s="385" t="s">
        <v>303</v>
      </c>
      <c r="B125" s="406" t="str">
        <f>VLOOKUP(Complete[[#This Row],[Code
(PAP)]],[1]Sheet1!$A:$AO,2,FALSE)</f>
        <v>COMPUTERS SUPPLIES</v>
      </c>
      <c r="C125" s="408" t="str">
        <f>VLOOKUP(Complete[[#This Row],[Code
(PAP)]],[1]Sheet1!$A:$AO,3,FALSE)</f>
        <v>PHRMDO</v>
      </c>
      <c r="D125" s="380" t="s">
        <v>712</v>
      </c>
      <c r="E125" s="409" t="str">
        <f>VLOOKUP(Complete[[#This Row],[Code
(PAP)]],[2]Sheet1!$A:$AO,5,FALSE)</f>
        <v>NP-53.9 - Small Value Procurement</v>
      </c>
      <c r="F125" s="393" t="str">
        <f>VLOOKUP(Complete[[#This Row],[Code
(PAP)]],[1]Sheet1!$A:$AO,6,FALSE)</f>
        <v>N/A</v>
      </c>
      <c r="G125" s="393">
        <f>VLOOKUP(Complete[[#This Row],[Code
(PAP)]],[1]Sheet1!$A:$AO,7,FALSE)</f>
        <v>45344</v>
      </c>
      <c r="H125" s="374"/>
      <c r="I125" s="394" t="str">
        <f>VLOOKUP(Complete[[#This Row],[Code
(PAP)]],[1]Sheet1!$A:$AO,9,FALSE)</f>
        <v>N/A</v>
      </c>
      <c r="J125" s="393">
        <f>VLOOKUP(Complete[[#This Row],[Code
(PAP)]],[1]Sheet1!$A:$AO,10,FALSE)</f>
        <v>45356</v>
      </c>
      <c r="K125" s="393">
        <f>VLOOKUP(Complete[[#This Row],[Code
(PAP)]],[1]Sheet1!$A:$AO,11,FALSE)</f>
        <v>45356</v>
      </c>
      <c r="L125" s="387"/>
      <c r="M125" s="393" t="str">
        <f>VLOOKUP(Complete[[#This Row],[Code
(PAP)]],[1]Sheet1!$A:$AO,13,FALSE)</f>
        <v>N/A</v>
      </c>
      <c r="N125" s="393" t="str">
        <f>VLOOKUP(Complete[[#This Row],[Code
(PAP)]],[1]Sheet1!$A:$AO,14,FALSE)</f>
        <v>N/A</v>
      </c>
      <c r="O125" s="393">
        <f>VLOOKUP(Complete[[#This Row],[Code
(PAP)]],[1]Sheet1!$A:$AO,15,FALSE)</f>
        <v>45357</v>
      </c>
      <c r="P125" s="387"/>
      <c r="Q125" s="387"/>
      <c r="R125" s="387"/>
      <c r="S125" s="576">
        <f>VLOOKUP(Complete[[#This Row],[Code
(PAP)]],[1]Sheet1!$A:$AO,19,FALSE)</f>
        <v>45357</v>
      </c>
      <c r="T125" s="576">
        <f>VLOOKUP(Complete[[#This Row],[Code
(PAP)]],[1]Sheet1!$A:$AO,20,FALSE)</f>
        <v>45366</v>
      </c>
      <c r="U125" s="576">
        <f>VLOOKUP(Complete[[#This Row],[Code
(PAP)]],[1]Sheet1!$A:$AO,21,FALSE)</f>
        <v>45370</v>
      </c>
      <c r="V125" s="387"/>
      <c r="W125" s="387"/>
      <c r="X125" s="392">
        <f>VLOOKUP(Complete[[#This Row],[Code
(PAP)]],[1]Sheet1!$A:$AO,24,FALSE)</f>
        <v>45422</v>
      </c>
      <c r="Y125" s="392">
        <f>Complete[[#This Row],[Delivery/ Completion]]</f>
        <v>45422</v>
      </c>
      <c r="Z125" s="610" t="s">
        <v>1478</v>
      </c>
      <c r="AA125" s="462">
        <f>Complete[[#This Row],[MOOE]]+Complete[[#This Row],[CO]]</f>
        <v>148500</v>
      </c>
      <c r="AB125" s="466">
        <f>VLOOKUP(Complete[[#This Row],[Code
(PAP)]],[1]Sheet1!$A:$AN,28,FALSE)</f>
        <v>84000</v>
      </c>
      <c r="AC125" s="497">
        <v>64500</v>
      </c>
      <c r="AD125" s="498">
        <f>IF(Complete[[#This Row],[Procurement Project]]="","",SUM(Complete[[#This Row],[MOOE2]]+Complete[[#This Row],[CO3]]))</f>
        <v>132239</v>
      </c>
      <c r="AE125" s="501">
        <f>VLOOKUP(Complete[[#This Row],[Code
(PAP)]],[1]Sheet1!$A:$AO,31,FALSE)</f>
        <v>84000</v>
      </c>
      <c r="AF125" s="541">
        <v>48239</v>
      </c>
      <c r="AG125" s="400"/>
      <c r="AH125" s="380" t="s">
        <v>1205</v>
      </c>
      <c r="AI125" s="576" t="str">
        <f>VLOOKUP(Complete[[#This Row],[Code
(PAP)]],[1]Sheet1!$A:$AO,35,FALSE)</f>
        <v>N/A</v>
      </c>
      <c r="AJ125" s="576" t="str">
        <f>VLOOKUP(Complete[[#This Row],[Code
(PAP)]],[1]Sheet1!$A:$AO,36,FALSE)</f>
        <v>N/A</v>
      </c>
      <c r="AK125" s="576" t="str">
        <f>VLOOKUP(Complete[[#This Row],[Code
(PAP)]],[1]Sheet1!$A:$AO,37,FALSE)</f>
        <v>N/A</v>
      </c>
      <c r="AL125" s="576" t="str">
        <f>VLOOKUP(Complete[[#This Row],[Code
(PAP)]],[1]Sheet1!$A:$AO,38,FALSE)</f>
        <v>N/A</v>
      </c>
      <c r="AM125" s="576" t="str">
        <f>VLOOKUP(Complete[[#This Row],[Code
(PAP)]],[1]Sheet1!$A:$AO,38,FALSE)</f>
        <v>N/A</v>
      </c>
      <c r="AN125" s="595" t="s">
        <v>713</v>
      </c>
      <c r="AO125" s="303" t="s">
        <v>139</v>
      </c>
      <c r="AP125" s="389"/>
      <c r="AQ125" s="389"/>
    </row>
    <row r="126" spans="1:43" s="224" customFormat="1" ht="75" customHeight="1" x14ac:dyDescent="0.25">
      <c r="A126" s="385" t="s">
        <v>304</v>
      </c>
      <c r="B126" s="406" t="str">
        <f>VLOOKUP(Complete[[#This Row],[Code
(PAP)]],[1]Sheet1!$A:$AO,2,FALSE)</f>
        <v>COMPUTER SUPPLIES/SPAREPARTS</v>
      </c>
      <c r="C126" s="408" t="str">
        <f>VLOOKUP(Complete[[#This Row],[Code
(PAP)]],[1]Sheet1!$A:$AO,3,FALSE)</f>
        <v>PEO-GA</v>
      </c>
      <c r="D126" s="380" t="s">
        <v>712</v>
      </c>
      <c r="E126" s="409" t="str">
        <f>VLOOKUP(Complete[[#This Row],[Code
(PAP)]],[2]Sheet1!$A:$AO,5,FALSE)</f>
        <v>NP-53.9 - Small Value Procurement</v>
      </c>
      <c r="F126" s="393" t="str">
        <f>VLOOKUP(Complete[[#This Row],[Code
(PAP)]],[1]Sheet1!$A:$AO,6,FALSE)</f>
        <v>N/A</v>
      </c>
      <c r="G126" s="393">
        <f>VLOOKUP(Complete[[#This Row],[Code
(PAP)]],[1]Sheet1!$A:$AO,7,FALSE)</f>
        <v>45331</v>
      </c>
      <c r="H126" s="374"/>
      <c r="I126" s="394" t="str">
        <f>VLOOKUP(Complete[[#This Row],[Code
(PAP)]],[1]Sheet1!$A:$AO,9,FALSE)</f>
        <v>N/A</v>
      </c>
      <c r="J126" s="393">
        <f>VLOOKUP(Complete[[#This Row],[Code
(PAP)]],[1]Sheet1!$A:$AO,10,FALSE)</f>
        <v>45356</v>
      </c>
      <c r="K126" s="393">
        <f>VLOOKUP(Complete[[#This Row],[Code
(PAP)]],[1]Sheet1!$A:$AO,11,FALSE)</f>
        <v>45356</v>
      </c>
      <c r="L126" s="387"/>
      <c r="M126" s="393" t="str">
        <f>VLOOKUP(Complete[[#This Row],[Code
(PAP)]],[1]Sheet1!$A:$AO,13,FALSE)</f>
        <v>N/A</v>
      </c>
      <c r="N126" s="393" t="str">
        <f>VLOOKUP(Complete[[#This Row],[Code
(PAP)]],[1]Sheet1!$A:$AO,14,FALSE)</f>
        <v>N/A</v>
      </c>
      <c r="O126" s="393">
        <f>VLOOKUP(Complete[[#This Row],[Code
(PAP)]],[1]Sheet1!$A:$AO,15,FALSE)</f>
        <v>45357</v>
      </c>
      <c r="P126" s="387"/>
      <c r="Q126" s="387"/>
      <c r="R126" s="387"/>
      <c r="S126" s="576">
        <f>VLOOKUP(Complete[[#This Row],[Code
(PAP)]],[1]Sheet1!$A:$AO,19,FALSE)</f>
        <v>45357</v>
      </c>
      <c r="T126" s="576">
        <f>VLOOKUP(Complete[[#This Row],[Code
(PAP)]],[1]Sheet1!$A:$AO,20,FALSE)</f>
        <v>45372</v>
      </c>
      <c r="U126" s="576">
        <f>VLOOKUP(Complete[[#This Row],[Code
(PAP)]],[1]Sheet1!$A:$AO,21,FALSE)</f>
        <v>45377</v>
      </c>
      <c r="V126" s="387"/>
      <c r="W126" s="387"/>
      <c r="X126" s="392">
        <f>VLOOKUP(Complete[[#This Row],[Code
(PAP)]],[1]Sheet1!$A:$AO,24,FALSE)</f>
        <v>45393</v>
      </c>
      <c r="Y126" s="392">
        <f>Complete[[#This Row],[Delivery/ Completion]]</f>
        <v>45393</v>
      </c>
      <c r="Z126" s="610" t="s">
        <v>1478</v>
      </c>
      <c r="AA126" s="462">
        <f>Complete[[#This Row],[MOOE]]+Complete[[#This Row],[CO]]</f>
        <v>51316</v>
      </c>
      <c r="AB126" s="466">
        <v>51316</v>
      </c>
      <c r="AC126" s="497"/>
      <c r="AD126" s="498">
        <f>IF(Complete[[#This Row],[Procurement Project]]="","",SUM(Complete[[#This Row],[MOOE2]]+Complete[[#This Row],[CO3]]))</f>
        <v>47000</v>
      </c>
      <c r="AE126" s="501">
        <v>47000</v>
      </c>
      <c r="AF126" s="541"/>
      <c r="AG126" s="400"/>
      <c r="AH126" s="380" t="s">
        <v>1205</v>
      </c>
      <c r="AI126" s="576" t="str">
        <f>VLOOKUP(Complete[[#This Row],[Code
(PAP)]],[1]Sheet1!$A:$AO,35,FALSE)</f>
        <v>N/A</v>
      </c>
      <c r="AJ126" s="576" t="str">
        <f>VLOOKUP(Complete[[#This Row],[Code
(PAP)]],[1]Sheet1!$A:$AO,36,FALSE)</f>
        <v>N/A</v>
      </c>
      <c r="AK126" s="576" t="str">
        <f>VLOOKUP(Complete[[#This Row],[Code
(PAP)]],[1]Sheet1!$A:$AO,37,FALSE)</f>
        <v>N/A</v>
      </c>
      <c r="AL126" s="576" t="str">
        <f>VLOOKUP(Complete[[#This Row],[Code
(PAP)]],[1]Sheet1!$A:$AO,38,FALSE)</f>
        <v>N/A</v>
      </c>
      <c r="AM126" s="576" t="str">
        <f>VLOOKUP(Complete[[#This Row],[Code
(PAP)]],[1]Sheet1!$A:$AO,38,FALSE)</f>
        <v>N/A</v>
      </c>
      <c r="AN126" s="595" t="s">
        <v>713</v>
      </c>
      <c r="AO126" s="303" t="s">
        <v>139</v>
      </c>
      <c r="AP126" s="389"/>
      <c r="AQ126" s="389"/>
    </row>
    <row r="127" spans="1:43" s="224" customFormat="1" ht="75" customHeight="1" x14ac:dyDescent="0.25">
      <c r="A127" s="385" t="s">
        <v>305</v>
      </c>
      <c r="B127" s="406" t="str">
        <f>VLOOKUP(Complete[[#This Row],[Code
(PAP)]],[1]Sheet1!$A:$AO,2,FALSE)</f>
        <v>GARMENTS</v>
      </c>
      <c r="C127" s="408" t="str">
        <f>VLOOKUP(Complete[[#This Row],[Code
(PAP)]],[1]Sheet1!$A:$AO,3,FALSE)</f>
        <v>SEF</v>
      </c>
      <c r="D127" s="380" t="s">
        <v>712</v>
      </c>
      <c r="E127" s="409" t="str">
        <f>VLOOKUP(Complete[[#This Row],[Code
(PAP)]],[2]Sheet1!$A:$AO,5,FALSE)</f>
        <v>NP-53.9 - Small Value Procurement</v>
      </c>
      <c r="F127" s="393" t="str">
        <f>VLOOKUP(Complete[[#This Row],[Code
(PAP)]],[1]Sheet1!$A:$AO,6,FALSE)</f>
        <v>N/A</v>
      </c>
      <c r="G127" s="393">
        <f>VLOOKUP(Complete[[#This Row],[Code
(PAP)]],[1]Sheet1!$A:$AO,7,FALSE)</f>
        <v>45344</v>
      </c>
      <c r="H127" s="374"/>
      <c r="I127" s="394" t="str">
        <f>VLOOKUP(Complete[[#This Row],[Code
(PAP)]],[1]Sheet1!$A:$AO,9,FALSE)</f>
        <v>N/A</v>
      </c>
      <c r="J127" s="393">
        <f>VLOOKUP(Complete[[#This Row],[Code
(PAP)]],[1]Sheet1!$A:$AO,10,FALSE)</f>
        <v>45356</v>
      </c>
      <c r="K127" s="393">
        <f>VLOOKUP(Complete[[#This Row],[Code
(PAP)]],[1]Sheet1!$A:$AO,11,FALSE)</f>
        <v>45356</v>
      </c>
      <c r="L127" s="387"/>
      <c r="M127" s="393" t="str">
        <f>VLOOKUP(Complete[[#This Row],[Code
(PAP)]],[1]Sheet1!$A:$AO,13,FALSE)</f>
        <v>N/A</v>
      </c>
      <c r="N127" s="393" t="str">
        <f>VLOOKUP(Complete[[#This Row],[Code
(PAP)]],[1]Sheet1!$A:$AO,14,FALSE)</f>
        <v>N/A</v>
      </c>
      <c r="O127" s="393">
        <f>VLOOKUP(Complete[[#This Row],[Code
(PAP)]],[1]Sheet1!$A:$AO,15,FALSE)</f>
        <v>45357</v>
      </c>
      <c r="P127" s="387"/>
      <c r="Q127" s="387"/>
      <c r="R127" s="387"/>
      <c r="S127" s="576">
        <f>VLOOKUP(Complete[[#This Row],[Code
(PAP)]],[1]Sheet1!$A:$AO,19,FALSE)</f>
        <v>45358</v>
      </c>
      <c r="T127" s="576">
        <f>VLOOKUP(Complete[[#This Row],[Code
(PAP)]],[1]Sheet1!$A:$AO,20,FALSE)</f>
        <v>45373</v>
      </c>
      <c r="U127" s="576">
        <f>VLOOKUP(Complete[[#This Row],[Code
(PAP)]],[1]Sheet1!$A:$AO,21,FALSE)</f>
        <v>45390</v>
      </c>
      <c r="V127" s="387"/>
      <c r="W127" s="387"/>
      <c r="X127" s="392">
        <f>VLOOKUP(Complete[[#This Row],[Code
(PAP)]],[1]Sheet1!$A:$AO,24,FALSE)</f>
        <v>45405</v>
      </c>
      <c r="Y127" s="392">
        <f>Complete[[#This Row],[Delivery/ Completion]]</f>
        <v>45405</v>
      </c>
      <c r="Z127" s="610" t="s">
        <v>1478</v>
      </c>
      <c r="AA127" s="462">
        <f>Complete[[#This Row],[MOOE]]+Complete[[#This Row],[CO]]</f>
        <v>280800</v>
      </c>
      <c r="AB127" s="466"/>
      <c r="AC127" s="497">
        <v>280800</v>
      </c>
      <c r="AD127" s="498">
        <f>IF(Complete[[#This Row],[Procurement Project]]="","",SUM(Complete[[#This Row],[MOOE2]]+Complete[[#This Row],[CO3]]))</f>
        <v>280800</v>
      </c>
      <c r="AE127" s="501"/>
      <c r="AF127" s="541">
        <v>280800</v>
      </c>
      <c r="AG127" s="400"/>
      <c r="AH127" s="380" t="s">
        <v>1205</v>
      </c>
      <c r="AI127" s="576" t="str">
        <f>VLOOKUP(Complete[[#This Row],[Code
(PAP)]],[1]Sheet1!$A:$AO,35,FALSE)</f>
        <v>N/A</v>
      </c>
      <c r="AJ127" s="576" t="str">
        <f>VLOOKUP(Complete[[#This Row],[Code
(PAP)]],[1]Sheet1!$A:$AO,36,FALSE)</f>
        <v>N/A</v>
      </c>
      <c r="AK127" s="576" t="str">
        <f>VLOOKUP(Complete[[#This Row],[Code
(PAP)]],[1]Sheet1!$A:$AO,37,FALSE)</f>
        <v>N/A</v>
      </c>
      <c r="AL127" s="576" t="str">
        <f>VLOOKUP(Complete[[#This Row],[Code
(PAP)]],[1]Sheet1!$A:$AO,38,FALSE)</f>
        <v>N/A</v>
      </c>
      <c r="AM127" s="576" t="str">
        <f>VLOOKUP(Complete[[#This Row],[Code
(PAP)]],[1]Sheet1!$A:$AO,38,FALSE)</f>
        <v>N/A</v>
      </c>
      <c r="AN127" s="595" t="s">
        <v>713</v>
      </c>
      <c r="AO127" s="303" t="s">
        <v>139</v>
      </c>
      <c r="AP127" s="389"/>
      <c r="AQ127" s="389"/>
    </row>
    <row r="128" spans="1:43" s="224" customFormat="1" ht="75" customHeight="1" x14ac:dyDescent="0.25">
      <c r="A128" s="385" t="s">
        <v>306</v>
      </c>
      <c r="B128" s="406" t="str">
        <f>VLOOKUP(Complete[[#This Row],[Code
(PAP)]],[1]Sheet1!$A:$AO,2,FALSE)</f>
        <v>UNIFORM SUPPLIES</v>
      </c>
      <c r="C128" s="408" t="str">
        <f>VLOOKUP(Complete[[#This Row],[Code
(PAP)]],[1]Sheet1!$A:$AO,3,FALSE)</f>
        <v>SEF</v>
      </c>
      <c r="D128" s="380" t="s">
        <v>712</v>
      </c>
      <c r="E128" s="409" t="str">
        <f>VLOOKUP(Complete[[#This Row],[Code
(PAP)]],[2]Sheet1!$A:$AO,5,FALSE)</f>
        <v>NP-53.9 - Small Value Procurement</v>
      </c>
      <c r="F128" s="393">
        <f>VLOOKUP(Complete[[#This Row],[Code
(PAP)]],[1]Sheet1!$A:$AO,6,FALSE)</f>
        <v>45342</v>
      </c>
      <c r="G128" s="393">
        <f>VLOOKUP(Complete[[#This Row],[Code
(PAP)]],[1]Sheet1!$A:$AO,7,FALSE)</f>
        <v>45344</v>
      </c>
      <c r="H128" s="374"/>
      <c r="I128" s="394" t="str">
        <f>VLOOKUP(Complete[[#This Row],[Code
(PAP)]],[1]Sheet1!$A:$AO,9,FALSE)</f>
        <v>N/A</v>
      </c>
      <c r="J128" s="393">
        <f>VLOOKUP(Complete[[#This Row],[Code
(PAP)]],[1]Sheet1!$A:$AO,10,FALSE)</f>
        <v>45356</v>
      </c>
      <c r="K128" s="393">
        <f>VLOOKUP(Complete[[#This Row],[Code
(PAP)]],[1]Sheet1!$A:$AO,11,FALSE)</f>
        <v>45356</v>
      </c>
      <c r="L128" s="387"/>
      <c r="M128" s="393" t="str">
        <f>VLOOKUP(Complete[[#This Row],[Code
(PAP)]],[1]Sheet1!$A:$AO,13,FALSE)</f>
        <v>N/A</v>
      </c>
      <c r="N128" s="393" t="str">
        <f>VLOOKUP(Complete[[#This Row],[Code
(PAP)]],[1]Sheet1!$A:$AO,14,FALSE)</f>
        <v>N/A</v>
      </c>
      <c r="O128" s="393">
        <f>VLOOKUP(Complete[[#This Row],[Code
(PAP)]],[1]Sheet1!$A:$AO,15,FALSE)</f>
        <v>45357</v>
      </c>
      <c r="P128" s="387"/>
      <c r="Q128" s="387"/>
      <c r="R128" s="387"/>
      <c r="S128" s="576">
        <f>VLOOKUP(Complete[[#This Row],[Code
(PAP)]],[1]Sheet1!$A:$AO,19,FALSE)</f>
        <v>45358</v>
      </c>
      <c r="T128" s="576">
        <f>VLOOKUP(Complete[[#This Row],[Code
(PAP)]],[1]Sheet1!$A:$AO,20,FALSE)</f>
        <v>45372</v>
      </c>
      <c r="U128" s="576">
        <f>VLOOKUP(Complete[[#This Row],[Code
(PAP)]],[1]Sheet1!$A:$AO,21,FALSE)</f>
        <v>45378</v>
      </c>
      <c r="V128" s="387"/>
      <c r="W128" s="387"/>
      <c r="X128" s="392">
        <f>VLOOKUP(Complete[[#This Row],[Code
(PAP)]],[1]Sheet1!$A:$AO,24,FALSE)</f>
        <v>45378</v>
      </c>
      <c r="Y128" s="392">
        <f>Complete[[#This Row],[Delivery/ Completion]]</f>
        <v>45378</v>
      </c>
      <c r="Z128" s="610" t="s">
        <v>1478</v>
      </c>
      <c r="AA128" s="462">
        <f>Complete[[#This Row],[MOOE]]+Complete[[#This Row],[CO]]</f>
        <v>84000</v>
      </c>
      <c r="AB128" s="466"/>
      <c r="AC128" s="497">
        <v>84000</v>
      </c>
      <c r="AD128" s="498">
        <f>IF(Complete[[#This Row],[Procurement Project]]="","",SUM(Complete[[#This Row],[MOOE2]]+Complete[[#This Row],[CO3]]))</f>
        <v>84000</v>
      </c>
      <c r="AE128" s="501"/>
      <c r="AF128" s="541">
        <v>84000</v>
      </c>
      <c r="AG128" s="400"/>
      <c r="AH128" s="380" t="s">
        <v>1205</v>
      </c>
      <c r="AI128" s="576" t="str">
        <f>VLOOKUP(Complete[[#This Row],[Code
(PAP)]],[1]Sheet1!$A:$AO,35,FALSE)</f>
        <v>N/A</v>
      </c>
      <c r="AJ128" s="576" t="str">
        <f>VLOOKUP(Complete[[#This Row],[Code
(PAP)]],[1]Sheet1!$A:$AO,36,FALSE)</f>
        <v>N/A</v>
      </c>
      <c r="AK128" s="576" t="str">
        <f>VLOOKUP(Complete[[#This Row],[Code
(PAP)]],[1]Sheet1!$A:$AO,37,FALSE)</f>
        <v>N/A</v>
      </c>
      <c r="AL128" s="576" t="str">
        <f>VLOOKUP(Complete[[#This Row],[Code
(PAP)]],[1]Sheet1!$A:$AO,38,FALSE)</f>
        <v>N/A</v>
      </c>
      <c r="AM128" s="576" t="str">
        <f>VLOOKUP(Complete[[#This Row],[Code
(PAP)]],[1]Sheet1!$A:$AO,38,FALSE)</f>
        <v>N/A</v>
      </c>
      <c r="AN128" s="595" t="s">
        <v>713</v>
      </c>
      <c r="AO128" s="303" t="s">
        <v>139</v>
      </c>
      <c r="AP128" s="389"/>
      <c r="AQ128" s="389"/>
    </row>
    <row r="129" spans="1:43" s="224" customFormat="1" ht="75" customHeight="1" x14ac:dyDescent="0.25">
      <c r="A129" s="385" t="s">
        <v>307</v>
      </c>
      <c r="B129" s="406" t="str">
        <f>VLOOKUP(Complete[[#This Row],[Code
(PAP)]],[1]Sheet1!$A:$AO,2,FALSE)</f>
        <v>FOOD/CATERING SERVICES</v>
      </c>
      <c r="C129" s="408" t="str">
        <f>VLOOKUP(Complete[[#This Row],[Code
(PAP)]],[1]Sheet1!$A:$AO,3,FALSE)</f>
        <v>PGSO</v>
      </c>
      <c r="D129" s="380" t="s">
        <v>712</v>
      </c>
      <c r="E129" s="409" t="str">
        <f>VLOOKUP(Complete[[#This Row],[Code
(PAP)]],[2]Sheet1!$A:$AO,5,FALSE)</f>
        <v>NP-53.9 - Small Value Procurement</v>
      </c>
      <c r="F129" s="393" t="str">
        <f>VLOOKUP(Complete[[#This Row],[Code
(PAP)]],[1]Sheet1!$A:$AO,6,FALSE)</f>
        <v>N/A</v>
      </c>
      <c r="G129" s="393">
        <f>VLOOKUP(Complete[[#This Row],[Code
(PAP)]],[1]Sheet1!$A:$AO,7,FALSE)</f>
        <v>45344</v>
      </c>
      <c r="H129" s="374"/>
      <c r="I129" s="394" t="str">
        <f>VLOOKUP(Complete[[#This Row],[Code
(PAP)]],[1]Sheet1!$A:$AO,9,FALSE)</f>
        <v>N/A</v>
      </c>
      <c r="J129" s="393">
        <f>VLOOKUP(Complete[[#This Row],[Code
(PAP)]],[1]Sheet1!$A:$AO,10,FALSE)</f>
        <v>45356</v>
      </c>
      <c r="K129" s="393">
        <f>VLOOKUP(Complete[[#This Row],[Code
(PAP)]],[1]Sheet1!$A:$AO,11,FALSE)</f>
        <v>45356</v>
      </c>
      <c r="L129" s="387"/>
      <c r="M129" s="393" t="str">
        <f>VLOOKUP(Complete[[#This Row],[Code
(PAP)]],[1]Sheet1!$A:$AO,13,FALSE)</f>
        <v>N/A</v>
      </c>
      <c r="N129" s="393" t="str">
        <f>VLOOKUP(Complete[[#This Row],[Code
(PAP)]],[1]Sheet1!$A:$AO,14,FALSE)</f>
        <v>N/A</v>
      </c>
      <c r="O129" s="393">
        <f>VLOOKUP(Complete[[#This Row],[Code
(PAP)]],[1]Sheet1!$A:$AO,15,FALSE)</f>
        <v>45357</v>
      </c>
      <c r="P129" s="387"/>
      <c r="Q129" s="387"/>
      <c r="R129" s="387"/>
      <c r="S129" s="576" t="str">
        <f>VLOOKUP(Complete[[#This Row],[Code
(PAP)]],[1]Sheet1!$A:$AO,19,FALSE)</f>
        <v>N/A</v>
      </c>
      <c r="T129" s="576">
        <f>VLOOKUP(Complete[[#This Row],[Code
(PAP)]],[1]Sheet1!$A:$AO,20,FALSE)</f>
        <v>45376</v>
      </c>
      <c r="U129" s="576">
        <f>VLOOKUP(Complete[[#This Row],[Code
(PAP)]],[1]Sheet1!$A:$AO,21,FALSE)</f>
        <v>45384</v>
      </c>
      <c r="V129" s="387"/>
      <c r="W129" s="387"/>
      <c r="X129" s="392">
        <f>VLOOKUP(Complete[[#This Row],[Code
(PAP)]],[1]Sheet1!$A:$AO,24,FALSE)</f>
        <v>45418</v>
      </c>
      <c r="Y129" s="392">
        <f>Complete[[#This Row],[Delivery/ Completion]]</f>
        <v>45418</v>
      </c>
      <c r="Z129" s="610" t="s">
        <v>1478</v>
      </c>
      <c r="AA129" s="462">
        <f>Complete[[#This Row],[MOOE]]+Complete[[#This Row],[CO]]</f>
        <v>12500</v>
      </c>
      <c r="AB129" s="466">
        <v>12500</v>
      </c>
      <c r="AC129" s="497"/>
      <c r="AD129" s="498">
        <f>IF(Complete[[#This Row],[Procurement Project]]="","",SUM(Complete[[#This Row],[MOOE2]]+Complete[[#This Row],[CO3]]))</f>
        <v>12150</v>
      </c>
      <c r="AE129" s="501">
        <v>12150</v>
      </c>
      <c r="AF129" s="541"/>
      <c r="AG129" s="400"/>
      <c r="AH129" s="380" t="s">
        <v>1205</v>
      </c>
      <c r="AI129" s="576" t="str">
        <f>VLOOKUP(Complete[[#This Row],[Code
(PAP)]],[1]Sheet1!$A:$AO,35,FALSE)</f>
        <v>N/A</v>
      </c>
      <c r="AJ129" s="576" t="str">
        <f>VLOOKUP(Complete[[#This Row],[Code
(PAP)]],[1]Sheet1!$A:$AO,36,FALSE)</f>
        <v>N/A</v>
      </c>
      <c r="AK129" s="576" t="str">
        <f>VLOOKUP(Complete[[#This Row],[Code
(PAP)]],[1]Sheet1!$A:$AO,37,FALSE)</f>
        <v>N/A</v>
      </c>
      <c r="AL129" s="576" t="str">
        <f>VLOOKUP(Complete[[#This Row],[Code
(PAP)]],[1]Sheet1!$A:$AO,38,FALSE)</f>
        <v>N/A</v>
      </c>
      <c r="AM129" s="576" t="str">
        <f>VLOOKUP(Complete[[#This Row],[Code
(PAP)]],[1]Sheet1!$A:$AO,38,FALSE)</f>
        <v>N/A</v>
      </c>
      <c r="AN129" s="595" t="s">
        <v>713</v>
      </c>
      <c r="AO129" s="303" t="s">
        <v>139</v>
      </c>
      <c r="AP129" s="389"/>
      <c r="AQ129" s="389"/>
    </row>
    <row r="130" spans="1:43" s="224" customFormat="1" ht="75" customHeight="1" x14ac:dyDescent="0.25">
      <c r="A130" s="385" t="s">
        <v>308</v>
      </c>
      <c r="B130" s="406" t="str">
        <f>VLOOKUP(Complete[[#This Row],[Code
(PAP)]],[1]Sheet1!$A:$AO,2,FALSE)</f>
        <v>COMPUTER SUPPLIES/SPAREPARTS</v>
      </c>
      <c r="C130" s="408" t="str">
        <f>VLOOKUP(Complete[[#This Row],[Code
(PAP)]],[1]Sheet1!$A:$AO,3,FALSE)</f>
        <v>PGO</v>
      </c>
      <c r="D130" s="380" t="s">
        <v>712</v>
      </c>
      <c r="E130" s="409" t="str">
        <f>VLOOKUP(Complete[[#This Row],[Code
(PAP)]],[2]Sheet1!$A:$AO,5,FALSE)</f>
        <v>NP-53.9 - Small Value Procurement</v>
      </c>
      <c r="F130" s="393" t="str">
        <f>VLOOKUP(Complete[[#This Row],[Code
(PAP)]],[1]Sheet1!$A:$AO,6,FALSE)</f>
        <v>N/A</v>
      </c>
      <c r="G130" s="393">
        <f>VLOOKUP(Complete[[#This Row],[Code
(PAP)]],[1]Sheet1!$A:$AO,7,FALSE)</f>
        <v>45344</v>
      </c>
      <c r="H130" s="374"/>
      <c r="I130" s="394" t="str">
        <f>VLOOKUP(Complete[[#This Row],[Code
(PAP)]],[1]Sheet1!$A:$AO,9,FALSE)</f>
        <v>N/A</v>
      </c>
      <c r="J130" s="393">
        <f>VLOOKUP(Complete[[#This Row],[Code
(PAP)]],[1]Sheet1!$A:$AO,10,FALSE)</f>
        <v>45356</v>
      </c>
      <c r="K130" s="393">
        <f>VLOOKUP(Complete[[#This Row],[Code
(PAP)]],[1]Sheet1!$A:$AO,11,FALSE)</f>
        <v>45356</v>
      </c>
      <c r="L130" s="387"/>
      <c r="M130" s="393" t="str">
        <f>VLOOKUP(Complete[[#This Row],[Code
(PAP)]],[1]Sheet1!$A:$AO,13,FALSE)</f>
        <v>N/A</v>
      </c>
      <c r="N130" s="393" t="str">
        <f>VLOOKUP(Complete[[#This Row],[Code
(PAP)]],[1]Sheet1!$A:$AO,14,FALSE)</f>
        <v>N/A</v>
      </c>
      <c r="O130" s="393">
        <f>VLOOKUP(Complete[[#This Row],[Code
(PAP)]],[1]Sheet1!$A:$AO,15,FALSE)</f>
        <v>45357</v>
      </c>
      <c r="P130" s="387"/>
      <c r="Q130" s="387"/>
      <c r="R130" s="387"/>
      <c r="S130" s="576" t="str">
        <f>VLOOKUP(Complete[[#This Row],[Code
(PAP)]],[1]Sheet1!$A:$AO,19,FALSE)</f>
        <v>N/A</v>
      </c>
      <c r="T130" s="576">
        <f>VLOOKUP(Complete[[#This Row],[Code
(PAP)]],[1]Sheet1!$A:$AO,20,FALSE)</f>
        <v>45371</v>
      </c>
      <c r="U130" s="576">
        <f>VLOOKUP(Complete[[#This Row],[Code
(PAP)]],[1]Sheet1!$A:$AO,21,FALSE)</f>
        <v>45372</v>
      </c>
      <c r="V130" s="387"/>
      <c r="W130" s="387"/>
      <c r="X130" s="392">
        <f>VLOOKUP(Complete[[#This Row],[Code
(PAP)]],[1]Sheet1!$A:$AO,24,FALSE)</f>
        <v>45398</v>
      </c>
      <c r="Y130" s="392">
        <f>Complete[[#This Row],[Delivery/ Completion]]</f>
        <v>45398</v>
      </c>
      <c r="Z130" s="610" t="s">
        <v>1478</v>
      </c>
      <c r="AA130" s="462">
        <f>Complete[[#This Row],[MOOE]]+Complete[[#This Row],[CO]]</f>
        <v>7950</v>
      </c>
      <c r="AB130" s="466"/>
      <c r="AC130" s="497">
        <v>7950</v>
      </c>
      <c r="AD130" s="498">
        <f>IF(Complete[[#This Row],[Procurement Project]]="","",SUM(Complete[[#This Row],[MOOE2]]+Complete[[#This Row],[CO3]]))</f>
        <v>7875</v>
      </c>
      <c r="AE130" s="501"/>
      <c r="AF130" s="541">
        <v>7875</v>
      </c>
      <c r="AG130" s="400"/>
      <c r="AH130" s="380" t="s">
        <v>1205</v>
      </c>
      <c r="AI130" s="576" t="str">
        <f>VLOOKUP(Complete[[#This Row],[Code
(PAP)]],[1]Sheet1!$A:$AO,35,FALSE)</f>
        <v>N/A</v>
      </c>
      <c r="AJ130" s="576" t="str">
        <f>VLOOKUP(Complete[[#This Row],[Code
(PAP)]],[1]Sheet1!$A:$AO,36,FALSE)</f>
        <v>N/A</v>
      </c>
      <c r="AK130" s="576" t="str">
        <f>VLOOKUP(Complete[[#This Row],[Code
(PAP)]],[1]Sheet1!$A:$AO,37,FALSE)</f>
        <v>N/A</v>
      </c>
      <c r="AL130" s="576" t="str">
        <f>VLOOKUP(Complete[[#This Row],[Code
(PAP)]],[1]Sheet1!$A:$AO,38,FALSE)</f>
        <v>N/A</v>
      </c>
      <c r="AM130" s="576" t="str">
        <f>VLOOKUP(Complete[[#This Row],[Code
(PAP)]],[1]Sheet1!$A:$AO,38,FALSE)</f>
        <v>N/A</v>
      </c>
      <c r="AN130" s="595" t="s">
        <v>713</v>
      </c>
      <c r="AO130" s="303" t="s">
        <v>139</v>
      </c>
      <c r="AP130" s="389"/>
      <c r="AQ130" s="389"/>
    </row>
    <row r="131" spans="1:43" s="224" customFormat="1" ht="75" customHeight="1" x14ac:dyDescent="0.25">
      <c r="A131" s="385" t="s">
        <v>309</v>
      </c>
      <c r="B131" s="406" t="str">
        <f>VLOOKUP(Complete[[#This Row],[Code
(PAP)]],[1]Sheet1!$A:$AO,2,FALSE)</f>
        <v>GARMENTS</v>
      </c>
      <c r="C131" s="408" t="str">
        <f>VLOOKUP(Complete[[#This Row],[Code
(PAP)]],[1]Sheet1!$A:$AO,3,FALSE)</f>
        <v>PTO</v>
      </c>
      <c r="D131" s="380" t="s">
        <v>712</v>
      </c>
      <c r="E131" s="409" t="str">
        <f>VLOOKUP(Complete[[#This Row],[Code
(PAP)]],[2]Sheet1!$A:$AO,5,FALSE)</f>
        <v>NP-53.9 - Small Value Procurement</v>
      </c>
      <c r="F131" s="393" t="str">
        <f>VLOOKUP(Complete[[#This Row],[Code
(PAP)]],[1]Sheet1!$A:$AO,6,FALSE)</f>
        <v>N/A</v>
      </c>
      <c r="G131" s="393">
        <f>VLOOKUP(Complete[[#This Row],[Code
(PAP)]],[1]Sheet1!$A:$AO,7,FALSE)</f>
        <v>45344</v>
      </c>
      <c r="H131" s="374"/>
      <c r="I131" s="394" t="str">
        <f>VLOOKUP(Complete[[#This Row],[Code
(PAP)]],[1]Sheet1!$A:$AO,9,FALSE)</f>
        <v>N/A</v>
      </c>
      <c r="J131" s="393">
        <f>VLOOKUP(Complete[[#This Row],[Code
(PAP)]],[1]Sheet1!$A:$AO,10,FALSE)</f>
        <v>45356</v>
      </c>
      <c r="K131" s="393">
        <f>VLOOKUP(Complete[[#This Row],[Code
(PAP)]],[1]Sheet1!$A:$AO,11,FALSE)</f>
        <v>45356</v>
      </c>
      <c r="L131" s="387"/>
      <c r="M131" s="393" t="str">
        <f>VLOOKUP(Complete[[#This Row],[Code
(PAP)]],[1]Sheet1!$A:$AO,13,FALSE)</f>
        <v>N/A</v>
      </c>
      <c r="N131" s="393" t="str">
        <f>VLOOKUP(Complete[[#This Row],[Code
(PAP)]],[1]Sheet1!$A:$AO,14,FALSE)</f>
        <v>N/A</v>
      </c>
      <c r="O131" s="393">
        <f>VLOOKUP(Complete[[#This Row],[Code
(PAP)]],[1]Sheet1!$A:$AO,15,FALSE)</f>
        <v>45357</v>
      </c>
      <c r="P131" s="387"/>
      <c r="Q131" s="387"/>
      <c r="R131" s="387"/>
      <c r="S131" s="576" t="str">
        <f>VLOOKUP(Complete[[#This Row],[Code
(PAP)]],[1]Sheet1!$A:$AO,19,FALSE)</f>
        <v>N/A</v>
      </c>
      <c r="T131" s="576">
        <f>VLOOKUP(Complete[[#This Row],[Code
(PAP)]],[1]Sheet1!$A:$AO,20,FALSE)</f>
        <v>45370</v>
      </c>
      <c r="U131" s="576">
        <f>VLOOKUP(Complete[[#This Row],[Code
(PAP)]],[1]Sheet1!$A:$AO,21,FALSE)</f>
        <v>45377</v>
      </c>
      <c r="V131" s="387"/>
      <c r="W131" s="387"/>
      <c r="X131" s="392">
        <f>VLOOKUP(Complete[[#This Row],[Code
(PAP)]],[1]Sheet1!$A:$AO,24,FALSE)</f>
        <v>45407</v>
      </c>
      <c r="Y131" s="392">
        <f>Complete[[#This Row],[Delivery/ Completion]]</f>
        <v>45407</v>
      </c>
      <c r="Z131" s="610" t="s">
        <v>1478</v>
      </c>
      <c r="AA131" s="462">
        <f>Complete[[#This Row],[MOOE]]+Complete[[#This Row],[CO]]</f>
        <v>35000</v>
      </c>
      <c r="AB131" s="466">
        <v>35000</v>
      </c>
      <c r="AC131" s="497"/>
      <c r="AD131" s="498">
        <f>IF(Complete[[#This Row],[Procurement Project]]="","",SUM(Complete[[#This Row],[MOOE2]]+Complete[[#This Row],[CO3]]))</f>
        <v>32900</v>
      </c>
      <c r="AE131" s="501">
        <v>32900</v>
      </c>
      <c r="AF131" s="541"/>
      <c r="AG131" s="400"/>
      <c r="AH131" s="380" t="s">
        <v>1205</v>
      </c>
      <c r="AI131" s="576" t="str">
        <f>VLOOKUP(Complete[[#This Row],[Code
(PAP)]],[1]Sheet1!$A:$AO,35,FALSE)</f>
        <v>N/A</v>
      </c>
      <c r="AJ131" s="576" t="str">
        <f>VLOOKUP(Complete[[#This Row],[Code
(PAP)]],[1]Sheet1!$A:$AO,36,FALSE)</f>
        <v>N/A</v>
      </c>
      <c r="AK131" s="576" t="str">
        <f>VLOOKUP(Complete[[#This Row],[Code
(PAP)]],[1]Sheet1!$A:$AO,37,FALSE)</f>
        <v>N/A</v>
      </c>
      <c r="AL131" s="576" t="str">
        <f>VLOOKUP(Complete[[#This Row],[Code
(PAP)]],[1]Sheet1!$A:$AO,38,FALSE)</f>
        <v>N/A</v>
      </c>
      <c r="AM131" s="576" t="str">
        <f>VLOOKUP(Complete[[#This Row],[Code
(PAP)]],[1]Sheet1!$A:$AO,38,FALSE)</f>
        <v>N/A</v>
      </c>
      <c r="AN131" s="595" t="s">
        <v>713</v>
      </c>
      <c r="AO131" s="303" t="s">
        <v>139</v>
      </c>
      <c r="AP131" s="389"/>
      <c r="AQ131" s="389"/>
    </row>
    <row r="132" spans="1:43" s="224" customFormat="1" ht="75" customHeight="1" x14ac:dyDescent="0.25">
      <c r="A132" s="385" t="s">
        <v>310</v>
      </c>
      <c r="B132" s="406" t="str">
        <f>VLOOKUP(Complete[[#This Row],[Code
(PAP)]],[1]Sheet1!$A:$AO,2,FALSE)</f>
        <v>LUMBER</v>
      </c>
      <c r="C132" s="408" t="str">
        <f>VLOOKUP(Complete[[#This Row],[Code
(PAP)]],[1]Sheet1!$A:$AO,3,FALSE)</f>
        <v>SEF</v>
      </c>
      <c r="D132" s="380" t="s">
        <v>712</v>
      </c>
      <c r="E132" s="409" t="str">
        <f>VLOOKUP(Complete[[#This Row],[Code
(PAP)]],[2]Sheet1!$A:$AO,5,FALSE)</f>
        <v>NP-53.9 - Small Value Procurement</v>
      </c>
      <c r="F132" s="393">
        <f>VLOOKUP(Complete[[#This Row],[Code
(PAP)]],[1]Sheet1!$A:$AO,6,FALSE)</f>
        <v>45322</v>
      </c>
      <c r="G132" s="393">
        <f>VLOOKUP(Complete[[#This Row],[Code
(PAP)]],[1]Sheet1!$A:$AO,7,FALSE)</f>
        <v>45324</v>
      </c>
      <c r="H132" s="374"/>
      <c r="I132" s="394" t="str">
        <f>VLOOKUP(Complete[[#This Row],[Code
(PAP)]],[1]Sheet1!$A:$AO,9,FALSE)</f>
        <v>N/A</v>
      </c>
      <c r="J132" s="393">
        <f>VLOOKUP(Complete[[#This Row],[Code
(PAP)]],[1]Sheet1!$A:$AO,10,FALSE)</f>
        <v>45356</v>
      </c>
      <c r="K132" s="393">
        <f>VLOOKUP(Complete[[#This Row],[Code
(PAP)]],[1]Sheet1!$A:$AO,11,FALSE)</f>
        <v>45356</v>
      </c>
      <c r="L132" s="387"/>
      <c r="M132" s="393" t="str">
        <f>VLOOKUP(Complete[[#This Row],[Code
(PAP)]],[1]Sheet1!$A:$AO,13,FALSE)</f>
        <v>N/A</v>
      </c>
      <c r="N132" s="393" t="str">
        <f>VLOOKUP(Complete[[#This Row],[Code
(PAP)]],[1]Sheet1!$A:$AO,14,FALSE)</f>
        <v>N/A</v>
      </c>
      <c r="O132" s="393">
        <f>VLOOKUP(Complete[[#This Row],[Code
(PAP)]],[1]Sheet1!$A:$AO,15,FALSE)</f>
        <v>45357</v>
      </c>
      <c r="P132" s="387"/>
      <c r="Q132" s="387"/>
      <c r="R132" s="387"/>
      <c r="S132" s="576" t="str">
        <f>VLOOKUP(Complete[[#This Row],[Code
(PAP)]],[1]Sheet1!$A:$AO,19,FALSE)</f>
        <v>N/A</v>
      </c>
      <c r="T132" s="576">
        <f>VLOOKUP(Complete[[#This Row],[Code
(PAP)]],[1]Sheet1!$A:$AO,20,FALSE)</f>
        <v>45372</v>
      </c>
      <c r="U132" s="576">
        <f>VLOOKUP(Complete[[#This Row],[Code
(PAP)]],[1]Sheet1!$A:$AO,21,FALSE)</f>
        <v>45377</v>
      </c>
      <c r="V132" s="387"/>
      <c r="W132" s="387"/>
      <c r="X132" s="392">
        <f>VLOOKUP(Complete[[#This Row],[Code
(PAP)]],[1]Sheet1!$A:$AO,24,FALSE)</f>
        <v>45457</v>
      </c>
      <c r="Y132" s="392">
        <f>Complete[[#This Row],[Delivery/ Completion]]</f>
        <v>45457</v>
      </c>
      <c r="Z132" s="610" t="s">
        <v>1478</v>
      </c>
      <c r="AA132" s="462">
        <f>Complete[[#This Row],[MOOE]]+Complete[[#This Row],[CO]]</f>
        <v>2256</v>
      </c>
      <c r="AB132" s="466"/>
      <c r="AC132" s="497">
        <v>2256</v>
      </c>
      <c r="AD132" s="498">
        <f>IF(Complete[[#This Row],[Procurement Project]]="","",SUM(Complete[[#This Row],[MOOE2]]+Complete[[#This Row],[CO3]]))</f>
        <v>2256</v>
      </c>
      <c r="AE132" s="501"/>
      <c r="AF132" s="541">
        <v>2256</v>
      </c>
      <c r="AG132" s="400"/>
      <c r="AH132" s="380" t="s">
        <v>1205</v>
      </c>
      <c r="AI132" s="576" t="str">
        <f>VLOOKUP(Complete[[#This Row],[Code
(PAP)]],[1]Sheet1!$A:$AO,35,FALSE)</f>
        <v>N/A</v>
      </c>
      <c r="AJ132" s="576" t="str">
        <f>VLOOKUP(Complete[[#This Row],[Code
(PAP)]],[1]Sheet1!$A:$AO,36,FALSE)</f>
        <v>N/A</v>
      </c>
      <c r="AK132" s="576" t="str">
        <f>VLOOKUP(Complete[[#This Row],[Code
(PAP)]],[1]Sheet1!$A:$AO,37,FALSE)</f>
        <v>N/A</v>
      </c>
      <c r="AL132" s="576" t="str">
        <f>VLOOKUP(Complete[[#This Row],[Code
(PAP)]],[1]Sheet1!$A:$AO,38,FALSE)</f>
        <v>N/A</v>
      </c>
      <c r="AM132" s="576" t="str">
        <f>VLOOKUP(Complete[[#This Row],[Code
(PAP)]],[1]Sheet1!$A:$AO,38,FALSE)</f>
        <v>N/A</v>
      </c>
      <c r="AN132" s="595" t="s">
        <v>713</v>
      </c>
      <c r="AO132" s="303" t="s">
        <v>139</v>
      </c>
      <c r="AP132" s="389"/>
      <c r="AQ132" s="389"/>
    </row>
    <row r="133" spans="1:43" s="224" customFormat="1" ht="75" customHeight="1" x14ac:dyDescent="0.25">
      <c r="A133" s="385" t="s">
        <v>311</v>
      </c>
      <c r="B133" s="406" t="str">
        <f>VLOOKUP(Complete[[#This Row],[Code
(PAP)]],[1]Sheet1!$A:$AO,2,FALSE)</f>
        <v>SPAREPARTS (FARM MACHINERIES AND EQUIPMENT)</v>
      </c>
      <c r="C133" s="408" t="str">
        <f>VLOOKUP(Complete[[#This Row],[Code
(PAP)]],[1]Sheet1!$A:$AO,3,FALSE)</f>
        <v>PVO</v>
      </c>
      <c r="D133" s="380" t="s">
        <v>712</v>
      </c>
      <c r="E133" s="409" t="str">
        <f>VLOOKUP(Complete[[#This Row],[Code
(PAP)]],[2]Sheet1!$A:$AO,5,FALSE)</f>
        <v>NP-53.9 - Small Value Procurement</v>
      </c>
      <c r="F133" s="393" t="str">
        <f>VLOOKUP(Complete[[#This Row],[Code
(PAP)]],[1]Sheet1!$A:$AO,6,FALSE)</f>
        <v>N/A</v>
      </c>
      <c r="G133" s="393">
        <f>VLOOKUP(Complete[[#This Row],[Code
(PAP)]],[1]Sheet1!$A:$AO,7,FALSE)</f>
        <v>45331</v>
      </c>
      <c r="H133" s="374"/>
      <c r="I133" s="394" t="str">
        <f>VLOOKUP(Complete[[#This Row],[Code
(PAP)]],[1]Sheet1!$A:$AO,9,FALSE)</f>
        <v>N/A</v>
      </c>
      <c r="J133" s="393">
        <f>VLOOKUP(Complete[[#This Row],[Code
(PAP)]],[1]Sheet1!$A:$AO,10,FALSE)</f>
        <v>45356</v>
      </c>
      <c r="K133" s="393">
        <f>VLOOKUP(Complete[[#This Row],[Code
(PAP)]],[1]Sheet1!$A:$AO,11,FALSE)</f>
        <v>45356</v>
      </c>
      <c r="L133" s="387"/>
      <c r="M133" s="393" t="str">
        <f>VLOOKUP(Complete[[#This Row],[Code
(PAP)]],[1]Sheet1!$A:$AO,13,FALSE)</f>
        <v>N/A</v>
      </c>
      <c r="N133" s="393" t="str">
        <f>VLOOKUP(Complete[[#This Row],[Code
(PAP)]],[1]Sheet1!$A:$AO,14,FALSE)</f>
        <v>N/A</v>
      </c>
      <c r="O133" s="393">
        <f>VLOOKUP(Complete[[#This Row],[Code
(PAP)]],[1]Sheet1!$A:$AO,15,FALSE)</f>
        <v>45357</v>
      </c>
      <c r="P133" s="387"/>
      <c r="Q133" s="387"/>
      <c r="R133" s="387"/>
      <c r="S133" s="576" t="str">
        <f>VLOOKUP(Complete[[#This Row],[Code
(PAP)]],[1]Sheet1!$A:$AO,19,FALSE)</f>
        <v>N/A</v>
      </c>
      <c r="T133" s="576">
        <f>VLOOKUP(Complete[[#This Row],[Code
(PAP)]],[1]Sheet1!$A:$AO,20,FALSE)</f>
        <v>45370</v>
      </c>
      <c r="U133" s="576">
        <f>VLOOKUP(Complete[[#This Row],[Code
(PAP)]],[1]Sheet1!$A:$AO,21,FALSE)</f>
        <v>45376</v>
      </c>
      <c r="V133" s="387"/>
      <c r="W133" s="387"/>
      <c r="X133" s="392">
        <f>VLOOKUP(Complete[[#This Row],[Code
(PAP)]],[1]Sheet1!$A:$AO,24,FALSE)</f>
        <v>45415</v>
      </c>
      <c r="Y133" s="392">
        <f>Complete[[#This Row],[Delivery/ Completion]]</f>
        <v>45415</v>
      </c>
      <c r="Z133" s="610" t="s">
        <v>1478</v>
      </c>
      <c r="AA133" s="462">
        <f>Complete[[#This Row],[MOOE]]+Complete[[#This Row],[CO]]</f>
        <v>2932</v>
      </c>
      <c r="AB133" s="466">
        <v>2932</v>
      </c>
      <c r="AC133" s="497"/>
      <c r="AD133" s="498">
        <f>IF(Complete[[#This Row],[Procurement Project]]="","",SUM(Complete[[#This Row],[MOOE2]]+Complete[[#This Row],[CO3]]))</f>
        <v>2930</v>
      </c>
      <c r="AE133" s="501">
        <v>2930</v>
      </c>
      <c r="AF133" s="541"/>
      <c r="AG133" s="400"/>
      <c r="AH133" s="380" t="s">
        <v>1205</v>
      </c>
      <c r="AI133" s="576" t="str">
        <f>VLOOKUP(Complete[[#This Row],[Code
(PAP)]],[1]Sheet1!$A:$AO,35,FALSE)</f>
        <v>N/A</v>
      </c>
      <c r="AJ133" s="576" t="str">
        <f>VLOOKUP(Complete[[#This Row],[Code
(PAP)]],[1]Sheet1!$A:$AO,36,FALSE)</f>
        <v>N/A</v>
      </c>
      <c r="AK133" s="576" t="str">
        <f>VLOOKUP(Complete[[#This Row],[Code
(PAP)]],[1]Sheet1!$A:$AO,37,FALSE)</f>
        <v>N/A</v>
      </c>
      <c r="AL133" s="576" t="str">
        <f>VLOOKUP(Complete[[#This Row],[Code
(PAP)]],[1]Sheet1!$A:$AO,38,FALSE)</f>
        <v>N/A</v>
      </c>
      <c r="AM133" s="576" t="str">
        <f>VLOOKUP(Complete[[#This Row],[Code
(PAP)]],[1]Sheet1!$A:$AO,38,FALSE)</f>
        <v>N/A</v>
      </c>
      <c r="AN133" s="595" t="s">
        <v>713</v>
      </c>
      <c r="AO133" s="303" t="s">
        <v>139</v>
      </c>
      <c r="AP133" s="389"/>
      <c r="AQ133" s="389"/>
    </row>
    <row r="134" spans="1:43" s="224" customFormat="1" ht="75" customHeight="1" x14ac:dyDescent="0.25">
      <c r="A134" s="385" t="s">
        <v>312</v>
      </c>
      <c r="B134" s="406" t="str">
        <f>VLOOKUP(Complete[[#This Row],[Code
(PAP)]],[1]Sheet1!$A:$AO,2,FALSE)</f>
        <v>FURNITURE &amp; FIXTURES</v>
      </c>
      <c r="C134" s="408" t="str">
        <f>VLOOKUP(Complete[[#This Row],[Code
(PAP)]],[1]Sheet1!$A:$AO,3,FALSE)</f>
        <v>PICTO</v>
      </c>
      <c r="D134" s="380" t="s">
        <v>712</v>
      </c>
      <c r="E134" s="409" t="str">
        <f>VLOOKUP(Complete[[#This Row],[Code
(PAP)]],[2]Sheet1!$A:$AO,5,FALSE)</f>
        <v>NP-53.9 - Small Value Procurement</v>
      </c>
      <c r="F134" s="393" t="str">
        <f>VLOOKUP(Complete[[#This Row],[Code
(PAP)]],[1]Sheet1!$A:$AO,6,FALSE)</f>
        <v>N/A</v>
      </c>
      <c r="G134" s="393">
        <f>VLOOKUP(Complete[[#This Row],[Code
(PAP)]],[1]Sheet1!$A:$AO,7,FALSE)</f>
        <v>45335</v>
      </c>
      <c r="H134" s="374"/>
      <c r="I134" s="394" t="str">
        <f>VLOOKUP(Complete[[#This Row],[Code
(PAP)]],[1]Sheet1!$A:$AO,9,FALSE)</f>
        <v>N/A</v>
      </c>
      <c r="J134" s="393">
        <f>VLOOKUP(Complete[[#This Row],[Code
(PAP)]],[1]Sheet1!$A:$AO,10,FALSE)</f>
        <v>45356</v>
      </c>
      <c r="K134" s="393">
        <f>VLOOKUP(Complete[[#This Row],[Code
(PAP)]],[1]Sheet1!$A:$AO,11,FALSE)</f>
        <v>45356</v>
      </c>
      <c r="L134" s="387"/>
      <c r="M134" s="393" t="str">
        <f>VLOOKUP(Complete[[#This Row],[Code
(PAP)]],[1]Sheet1!$A:$AO,13,FALSE)</f>
        <v>N/A</v>
      </c>
      <c r="N134" s="393" t="str">
        <f>VLOOKUP(Complete[[#This Row],[Code
(PAP)]],[1]Sheet1!$A:$AO,14,FALSE)</f>
        <v>N/A</v>
      </c>
      <c r="O134" s="393">
        <f>VLOOKUP(Complete[[#This Row],[Code
(PAP)]],[1]Sheet1!$A:$AO,15,FALSE)</f>
        <v>45357</v>
      </c>
      <c r="P134" s="387"/>
      <c r="Q134" s="387"/>
      <c r="R134" s="387"/>
      <c r="S134" s="576" t="str">
        <f>VLOOKUP(Complete[[#This Row],[Code
(PAP)]],[1]Sheet1!$A:$AO,19,FALSE)</f>
        <v>N/A</v>
      </c>
      <c r="T134" s="576">
        <f>VLOOKUP(Complete[[#This Row],[Code
(PAP)]],[1]Sheet1!$A:$AO,20,FALSE)</f>
        <v>45369</v>
      </c>
      <c r="U134" s="576">
        <f>VLOOKUP(Complete[[#This Row],[Code
(PAP)]],[1]Sheet1!$A:$AO,21,FALSE)</f>
        <v>45370</v>
      </c>
      <c r="V134" s="387"/>
      <c r="W134" s="387"/>
      <c r="X134" s="392">
        <f>VLOOKUP(Complete[[#This Row],[Code
(PAP)]],[1]Sheet1!$A:$AO,24,FALSE)</f>
        <v>45384</v>
      </c>
      <c r="Y134" s="392">
        <f>Complete[[#This Row],[Delivery/ Completion]]</f>
        <v>45384</v>
      </c>
      <c r="Z134" s="610" t="s">
        <v>1478</v>
      </c>
      <c r="AA134" s="462">
        <f>Complete[[#This Row],[MOOE]]+Complete[[#This Row],[CO]]</f>
        <v>48600</v>
      </c>
      <c r="AB134" s="466">
        <v>48600</v>
      </c>
      <c r="AC134" s="497"/>
      <c r="AD134" s="498">
        <f>IF(Complete[[#This Row],[Procurement Project]]="","",SUM(Complete[[#This Row],[MOOE2]]+Complete[[#This Row],[CO3]]))</f>
        <v>47630</v>
      </c>
      <c r="AE134" s="501">
        <v>47630</v>
      </c>
      <c r="AF134" s="541"/>
      <c r="AG134" s="400"/>
      <c r="AH134" s="380" t="s">
        <v>1205</v>
      </c>
      <c r="AI134" s="576" t="str">
        <f>VLOOKUP(Complete[[#This Row],[Code
(PAP)]],[1]Sheet1!$A:$AO,35,FALSE)</f>
        <v>N/A</v>
      </c>
      <c r="AJ134" s="576" t="str">
        <f>VLOOKUP(Complete[[#This Row],[Code
(PAP)]],[1]Sheet1!$A:$AO,36,FALSE)</f>
        <v>N/A</v>
      </c>
      <c r="AK134" s="576" t="str">
        <f>VLOOKUP(Complete[[#This Row],[Code
(PAP)]],[1]Sheet1!$A:$AO,37,FALSE)</f>
        <v>N/A</v>
      </c>
      <c r="AL134" s="576" t="str">
        <f>VLOOKUP(Complete[[#This Row],[Code
(PAP)]],[1]Sheet1!$A:$AO,38,FALSE)</f>
        <v>N/A</v>
      </c>
      <c r="AM134" s="576" t="str">
        <f>VLOOKUP(Complete[[#This Row],[Code
(PAP)]],[1]Sheet1!$A:$AO,38,FALSE)</f>
        <v>N/A</v>
      </c>
      <c r="AN134" s="595" t="s">
        <v>713</v>
      </c>
      <c r="AO134" s="303" t="s">
        <v>139</v>
      </c>
      <c r="AP134" s="389"/>
      <c r="AQ134" s="389"/>
    </row>
    <row r="135" spans="1:43" s="224" customFormat="1" ht="75" customHeight="1" x14ac:dyDescent="0.25">
      <c r="A135" s="385" t="s">
        <v>313</v>
      </c>
      <c r="B135" s="406" t="str">
        <f>VLOOKUP(Complete[[#This Row],[Code
(PAP)]],[1]Sheet1!$A:$AO,2,FALSE)</f>
        <v>SAFETY GEARS &amp; EQUIPMENT</v>
      </c>
      <c r="C135" s="408" t="str">
        <f>VLOOKUP(Complete[[#This Row],[Code
(PAP)]],[1]Sheet1!$A:$AO,3,FALSE)</f>
        <v>SEF</v>
      </c>
      <c r="D135" s="380" t="s">
        <v>712</v>
      </c>
      <c r="E135" s="409" t="str">
        <f>VLOOKUP(Complete[[#This Row],[Code
(PAP)]],[2]Sheet1!$A:$AO,5,FALSE)</f>
        <v>NP-53.9 - Small Value Procurement</v>
      </c>
      <c r="F135" s="393">
        <f>VLOOKUP(Complete[[#This Row],[Code
(PAP)]],[1]Sheet1!$A:$AO,6,FALSE)</f>
        <v>45322</v>
      </c>
      <c r="G135" s="393">
        <f>VLOOKUP(Complete[[#This Row],[Code
(PAP)]],[1]Sheet1!$A:$AO,7,FALSE)</f>
        <v>45324</v>
      </c>
      <c r="H135" s="374"/>
      <c r="I135" s="394" t="str">
        <f>VLOOKUP(Complete[[#This Row],[Code
(PAP)]],[1]Sheet1!$A:$AO,9,FALSE)</f>
        <v>N/A</v>
      </c>
      <c r="J135" s="393">
        <f>VLOOKUP(Complete[[#This Row],[Code
(PAP)]],[1]Sheet1!$A:$AO,10,FALSE)</f>
        <v>45356</v>
      </c>
      <c r="K135" s="393">
        <f>VLOOKUP(Complete[[#This Row],[Code
(PAP)]],[1]Sheet1!$A:$AO,11,FALSE)</f>
        <v>45356</v>
      </c>
      <c r="L135" s="387"/>
      <c r="M135" s="393" t="str">
        <f>VLOOKUP(Complete[[#This Row],[Code
(PAP)]],[1]Sheet1!$A:$AO,13,FALSE)</f>
        <v>N/A</v>
      </c>
      <c r="N135" s="393" t="str">
        <f>VLOOKUP(Complete[[#This Row],[Code
(PAP)]],[1]Sheet1!$A:$AO,14,FALSE)</f>
        <v>N/A</v>
      </c>
      <c r="O135" s="393">
        <f>VLOOKUP(Complete[[#This Row],[Code
(PAP)]],[1]Sheet1!$A:$AO,15,FALSE)</f>
        <v>45357</v>
      </c>
      <c r="P135" s="387"/>
      <c r="Q135" s="387"/>
      <c r="R135" s="387"/>
      <c r="S135" s="576" t="str">
        <f>VLOOKUP(Complete[[#This Row],[Code
(PAP)]],[1]Sheet1!$A:$AO,19,FALSE)</f>
        <v>N/A</v>
      </c>
      <c r="T135" s="576">
        <f>VLOOKUP(Complete[[#This Row],[Code
(PAP)]],[1]Sheet1!$A:$AO,20,FALSE)</f>
        <v>45373</v>
      </c>
      <c r="U135" s="576">
        <f>VLOOKUP(Complete[[#This Row],[Code
(PAP)]],[1]Sheet1!$A:$AO,21,FALSE)</f>
        <v>45377</v>
      </c>
      <c r="V135" s="387"/>
      <c r="W135" s="387"/>
      <c r="X135" s="392">
        <f>VLOOKUP(Complete[[#This Row],[Code
(PAP)]],[1]Sheet1!$A:$AO,24,FALSE)</f>
        <v>45384</v>
      </c>
      <c r="Y135" s="392">
        <f>Complete[[#This Row],[Delivery/ Completion]]</f>
        <v>45384</v>
      </c>
      <c r="Z135" s="610" t="s">
        <v>1478</v>
      </c>
      <c r="AA135" s="462">
        <f>Complete[[#This Row],[MOOE]]+Complete[[#This Row],[CO]]</f>
        <v>1925</v>
      </c>
      <c r="AB135" s="466"/>
      <c r="AC135" s="497">
        <v>1925</v>
      </c>
      <c r="AD135" s="498">
        <f>IF(Complete[[#This Row],[Procurement Project]]="","",SUM(Complete[[#This Row],[MOOE2]]+Complete[[#This Row],[CO3]]))</f>
        <v>1895</v>
      </c>
      <c r="AE135" s="501"/>
      <c r="AF135" s="541">
        <v>1895</v>
      </c>
      <c r="AG135" s="400"/>
      <c r="AH135" s="380" t="s">
        <v>1205</v>
      </c>
      <c r="AI135" s="576" t="str">
        <f>VLOOKUP(Complete[[#This Row],[Code
(PAP)]],[1]Sheet1!$A:$AO,35,FALSE)</f>
        <v>N/A</v>
      </c>
      <c r="AJ135" s="576" t="str">
        <f>VLOOKUP(Complete[[#This Row],[Code
(PAP)]],[1]Sheet1!$A:$AO,36,FALSE)</f>
        <v>N/A</v>
      </c>
      <c r="AK135" s="576" t="str">
        <f>VLOOKUP(Complete[[#This Row],[Code
(PAP)]],[1]Sheet1!$A:$AO,37,FALSE)</f>
        <v>N/A</v>
      </c>
      <c r="AL135" s="576" t="str">
        <f>VLOOKUP(Complete[[#This Row],[Code
(PAP)]],[1]Sheet1!$A:$AO,38,FALSE)</f>
        <v>N/A</v>
      </c>
      <c r="AM135" s="576" t="str">
        <f>VLOOKUP(Complete[[#This Row],[Code
(PAP)]],[1]Sheet1!$A:$AO,38,FALSE)</f>
        <v>N/A</v>
      </c>
      <c r="AN135" s="595" t="s">
        <v>713</v>
      </c>
      <c r="AO135" s="303" t="s">
        <v>139</v>
      </c>
      <c r="AP135" s="389"/>
      <c r="AQ135" s="389"/>
    </row>
    <row r="136" spans="1:43" s="224" customFormat="1" ht="75" customHeight="1" x14ac:dyDescent="0.25">
      <c r="A136" s="385" t="s">
        <v>314</v>
      </c>
      <c r="B136" s="406" t="str">
        <f>VLOOKUP(Complete[[#This Row],[Code
(PAP)]],[1]Sheet1!$A:$AO,2,FALSE)</f>
        <v>SAFETY GEARS &amp; EQUIPMENT</v>
      </c>
      <c r="C136" s="408" t="str">
        <f>VLOOKUP(Complete[[#This Row],[Code
(PAP)]],[1]Sheet1!$A:$AO,3,FALSE)</f>
        <v>PEO</v>
      </c>
      <c r="D136" s="380" t="s">
        <v>712</v>
      </c>
      <c r="E136" s="409" t="str">
        <f>VLOOKUP(Complete[[#This Row],[Code
(PAP)]],[2]Sheet1!$A:$AO,5,FALSE)</f>
        <v>NP-53.9 - Small Value Procurement</v>
      </c>
      <c r="F136" s="393">
        <f>VLOOKUP(Complete[[#This Row],[Code
(PAP)]],[1]Sheet1!$A:$AO,6,FALSE)</f>
        <v>45330</v>
      </c>
      <c r="G136" s="393">
        <f>VLOOKUP(Complete[[#This Row],[Code
(PAP)]],[1]Sheet1!$A:$AO,7,FALSE)</f>
        <v>45335</v>
      </c>
      <c r="H136" s="374"/>
      <c r="I136" s="394" t="str">
        <f>VLOOKUP(Complete[[#This Row],[Code
(PAP)]],[1]Sheet1!$A:$AO,9,FALSE)</f>
        <v>N/A</v>
      </c>
      <c r="J136" s="393">
        <f>VLOOKUP(Complete[[#This Row],[Code
(PAP)]],[1]Sheet1!$A:$AO,10,FALSE)</f>
        <v>45356</v>
      </c>
      <c r="K136" s="393">
        <f>VLOOKUP(Complete[[#This Row],[Code
(PAP)]],[1]Sheet1!$A:$AO,11,FALSE)</f>
        <v>45356</v>
      </c>
      <c r="L136" s="387"/>
      <c r="M136" s="393" t="str">
        <f>VLOOKUP(Complete[[#This Row],[Code
(PAP)]],[1]Sheet1!$A:$AO,13,FALSE)</f>
        <v>N/A</v>
      </c>
      <c r="N136" s="393" t="str">
        <f>VLOOKUP(Complete[[#This Row],[Code
(PAP)]],[1]Sheet1!$A:$AO,14,FALSE)</f>
        <v>N/A</v>
      </c>
      <c r="O136" s="393">
        <f>VLOOKUP(Complete[[#This Row],[Code
(PAP)]],[1]Sheet1!$A:$AO,15,FALSE)</f>
        <v>45357</v>
      </c>
      <c r="P136" s="387"/>
      <c r="Q136" s="387"/>
      <c r="R136" s="387"/>
      <c r="S136" s="576" t="str">
        <f>VLOOKUP(Complete[[#This Row],[Code
(PAP)]],[1]Sheet1!$A:$AO,19,FALSE)</f>
        <v>N/A</v>
      </c>
      <c r="T136" s="576">
        <f>VLOOKUP(Complete[[#This Row],[Code
(PAP)]],[1]Sheet1!$A:$AO,20,FALSE)</f>
        <v>45372</v>
      </c>
      <c r="U136" s="576">
        <f>VLOOKUP(Complete[[#This Row],[Code
(PAP)]],[1]Sheet1!$A:$AO,21,FALSE)</f>
        <v>45377</v>
      </c>
      <c r="V136" s="387"/>
      <c r="W136" s="387"/>
      <c r="X136" s="392">
        <f>VLOOKUP(Complete[[#This Row],[Code
(PAP)]],[1]Sheet1!$A:$AO,24,FALSE)</f>
        <v>45384</v>
      </c>
      <c r="Y136" s="392">
        <f>Complete[[#This Row],[Delivery/ Completion]]</f>
        <v>45384</v>
      </c>
      <c r="Z136" s="610" t="s">
        <v>1478</v>
      </c>
      <c r="AA136" s="462">
        <f>Complete[[#This Row],[MOOE]]+Complete[[#This Row],[CO]]</f>
        <v>1925</v>
      </c>
      <c r="AB136" s="466"/>
      <c r="AC136" s="497">
        <v>1925</v>
      </c>
      <c r="AD136" s="498">
        <f>IF(Complete[[#This Row],[Procurement Project]]="","",SUM(Complete[[#This Row],[MOOE2]]+Complete[[#This Row],[CO3]]))</f>
        <v>1895</v>
      </c>
      <c r="AE136" s="501"/>
      <c r="AF136" s="541">
        <v>1895</v>
      </c>
      <c r="AG136" s="400"/>
      <c r="AH136" s="380" t="s">
        <v>1205</v>
      </c>
      <c r="AI136" s="576" t="str">
        <f>VLOOKUP(Complete[[#This Row],[Code
(PAP)]],[1]Sheet1!$A:$AO,35,FALSE)</f>
        <v>N/A</v>
      </c>
      <c r="AJ136" s="576" t="str">
        <f>VLOOKUP(Complete[[#This Row],[Code
(PAP)]],[1]Sheet1!$A:$AO,36,FALSE)</f>
        <v>N/A</v>
      </c>
      <c r="AK136" s="576" t="str">
        <f>VLOOKUP(Complete[[#This Row],[Code
(PAP)]],[1]Sheet1!$A:$AO,37,FALSE)</f>
        <v>N/A</v>
      </c>
      <c r="AL136" s="576" t="str">
        <f>VLOOKUP(Complete[[#This Row],[Code
(PAP)]],[1]Sheet1!$A:$AO,38,FALSE)</f>
        <v>N/A</v>
      </c>
      <c r="AM136" s="576" t="str">
        <f>VLOOKUP(Complete[[#This Row],[Code
(PAP)]],[1]Sheet1!$A:$AO,38,FALSE)</f>
        <v>N/A</v>
      </c>
      <c r="AN136" s="595" t="s">
        <v>713</v>
      </c>
      <c r="AO136" s="303" t="s">
        <v>139</v>
      </c>
      <c r="AP136" s="389"/>
      <c r="AQ136" s="389"/>
    </row>
    <row r="137" spans="1:43" s="224" customFormat="1" ht="75" customHeight="1" x14ac:dyDescent="0.25">
      <c r="A137" s="385" t="s">
        <v>315</v>
      </c>
      <c r="B137" s="406" t="str">
        <f>VLOOKUP(Complete[[#This Row],[Code
(PAP)]],[1]Sheet1!$A:$AO,2,FALSE)</f>
        <v>LUMBER</v>
      </c>
      <c r="C137" s="408" t="str">
        <f>VLOOKUP(Complete[[#This Row],[Code
(PAP)]],[1]Sheet1!$A:$AO,3,FALSE)</f>
        <v>SEF</v>
      </c>
      <c r="D137" s="380" t="s">
        <v>712</v>
      </c>
      <c r="E137" s="409" t="str">
        <f>VLOOKUP(Complete[[#This Row],[Code
(PAP)]],[2]Sheet1!$A:$AO,5,FALSE)</f>
        <v>NP-53.9 - Small Value Procurement</v>
      </c>
      <c r="F137" s="393">
        <f>VLOOKUP(Complete[[#This Row],[Code
(PAP)]],[1]Sheet1!$A:$AO,6,FALSE)</f>
        <v>45322</v>
      </c>
      <c r="G137" s="393">
        <f>VLOOKUP(Complete[[#This Row],[Code
(PAP)]],[1]Sheet1!$A:$AO,7,FALSE)</f>
        <v>45324</v>
      </c>
      <c r="H137" s="374"/>
      <c r="I137" s="394" t="str">
        <f>VLOOKUP(Complete[[#This Row],[Code
(PAP)]],[1]Sheet1!$A:$AO,9,FALSE)</f>
        <v>N/A</v>
      </c>
      <c r="J137" s="393">
        <f>VLOOKUP(Complete[[#This Row],[Code
(PAP)]],[1]Sheet1!$A:$AO,10,FALSE)</f>
        <v>45356</v>
      </c>
      <c r="K137" s="393">
        <f>VLOOKUP(Complete[[#This Row],[Code
(PAP)]],[1]Sheet1!$A:$AO,11,FALSE)</f>
        <v>45356</v>
      </c>
      <c r="L137" s="387"/>
      <c r="M137" s="393" t="str">
        <f>VLOOKUP(Complete[[#This Row],[Code
(PAP)]],[1]Sheet1!$A:$AO,13,FALSE)</f>
        <v>N/A</v>
      </c>
      <c r="N137" s="393" t="str">
        <f>VLOOKUP(Complete[[#This Row],[Code
(PAP)]],[1]Sheet1!$A:$AO,14,FALSE)</f>
        <v>N/A</v>
      </c>
      <c r="O137" s="393">
        <f>VLOOKUP(Complete[[#This Row],[Code
(PAP)]],[1]Sheet1!$A:$AO,15,FALSE)</f>
        <v>45357</v>
      </c>
      <c r="P137" s="387"/>
      <c r="Q137" s="387"/>
      <c r="R137" s="387"/>
      <c r="S137" s="576" t="str">
        <f>VLOOKUP(Complete[[#This Row],[Code
(PAP)]],[1]Sheet1!$A:$AO,19,FALSE)</f>
        <v>N/A</v>
      </c>
      <c r="T137" s="576">
        <f>VLOOKUP(Complete[[#This Row],[Code
(PAP)]],[1]Sheet1!$A:$AO,20,FALSE)</f>
        <v>45372</v>
      </c>
      <c r="U137" s="576">
        <f>VLOOKUP(Complete[[#This Row],[Code
(PAP)]],[1]Sheet1!$A:$AO,21,FALSE)</f>
        <v>45377</v>
      </c>
      <c r="V137" s="387"/>
      <c r="W137" s="387"/>
      <c r="X137" s="392">
        <f>VLOOKUP(Complete[[#This Row],[Code
(PAP)]],[1]Sheet1!$A:$AO,24,FALSE)</f>
        <v>45429</v>
      </c>
      <c r="Y137" s="392">
        <f>Complete[[#This Row],[Delivery/ Completion]]</f>
        <v>45429</v>
      </c>
      <c r="Z137" s="610" t="s">
        <v>1478</v>
      </c>
      <c r="AA137" s="462">
        <f>Complete[[#This Row],[MOOE]]+Complete[[#This Row],[CO]]</f>
        <v>3552</v>
      </c>
      <c r="AB137" s="466"/>
      <c r="AC137" s="497">
        <v>3552</v>
      </c>
      <c r="AD137" s="498">
        <f>IF(Complete[[#This Row],[Procurement Project]]="","",SUM(Complete[[#This Row],[MOOE2]]+Complete[[#This Row],[CO3]]))</f>
        <v>3552</v>
      </c>
      <c r="AE137" s="501"/>
      <c r="AF137" s="541">
        <v>3552</v>
      </c>
      <c r="AG137" s="400"/>
      <c r="AH137" s="380" t="s">
        <v>1205</v>
      </c>
      <c r="AI137" s="576" t="str">
        <f>VLOOKUP(Complete[[#This Row],[Code
(PAP)]],[1]Sheet1!$A:$AO,35,FALSE)</f>
        <v>N/A</v>
      </c>
      <c r="AJ137" s="576" t="str">
        <f>VLOOKUP(Complete[[#This Row],[Code
(PAP)]],[1]Sheet1!$A:$AO,36,FALSE)</f>
        <v>N/A</v>
      </c>
      <c r="AK137" s="576" t="str">
        <f>VLOOKUP(Complete[[#This Row],[Code
(PAP)]],[1]Sheet1!$A:$AO,37,FALSE)</f>
        <v>N/A</v>
      </c>
      <c r="AL137" s="576" t="str">
        <f>VLOOKUP(Complete[[#This Row],[Code
(PAP)]],[1]Sheet1!$A:$AO,38,FALSE)</f>
        <v>N/A</v>
      </c>
      <c r="AM137" s="576" t="str">
        <f>VLOOKUP(Complete[[#This Row],[Code
(PAP)]],[1]Sheet1!$A:$AO,38,FALSE)</f>
        <v>N/A</v>
      </c>
      <c r="AN137" s="595" t="s">
        <v>713</v>
      </c>
      <c r="AO137" s="303" t="s">
        <v>139</v>
      </c>
      <c r="AP137" s="389"/>
      <c r="AQ137" s="389"/>
    </row>
    <row r="138" spans="1:43" s="224" customFormat="1" ht="75" customHeight="1" x14ac:dyDescent="0.25">
      <c r="A138" s="385" t="s">
        <v>316</v>
      </c>
      <c r="B138" s="406" t="str">
        <f>VLOOKUP(Complete[[#This Row],[Code
(PAP)]],[1]Sheet1!$A:$AO,2,FALSE)</f>
        <v>FOOD SUPPLIES</v>
      </c>
      <c r="C138" s="408" t="str">
        <f>VLOOKUP(Complete[[#This Row],[Code
(PAP)]],[1]Sheet1!$A:$AO,3,FALSE)</f>
        <v>PEEMO</v>
      </c>
      <c r="D138" s="380" t="s">
        <v>712</v>
      </c>
      <c r="E138" s="409" t="str">
        <f>VLOOKUP(Complete[[#This Row],[Code
(PAP)]],[2]Sheet1!$A:$AO,5,FALSE)</f>
        <v>NP-53.9 - Small Value Procurement</v>
      </c>
      <c r="F138" s="393">
        <f>VLOOKUP(Complete[[#This Row],[Code
(PAP)]],[1]Sheet1!$A:$AO,6,FALSE)</f>
        <v>45335</v>
      </c>
      <c r="G138" s="393">
        <f>VLOOKUP(Complete[[#This Row],[Code
(PAP)]],[1]Sheet1!$A:$AO,7,FALSE)</f>
        <v>45337</v>
      </c>
      <c r="H138" s="374"/>
      <c r="I138" s="394" t="str">
        <f>VLOOKUP(Complete[[#This Row],[Code
(PAP)]],[1]Sheet1!$A:$AO,9,FALSE)</f>
        <v>N/A</v>
      </c>
      <c r="J138" s="393">
        <f>VLOOKUP(Complete[[#This Row],[Code
(PAP)]],[1]Sheet1!$A:$AO,10,FALSE)</f>
        <v>45356</v>
      </c>
      <c r="K138" s="393">
        <f>VLOOKUP(Complete[[#This Row],[Code
(PAP)]],[1]Sheet1!$A:$AO,11,FALSE)</f>
        <v>45356</v>
      </c>
      <c r="L138" s="387"/>
      <c r="M138" s="393" t="str">
        <f>VLOOKUP(Complete[[#This Row],[Code
(PAP)]],[1]Sheet1!$A:$AO,13,FALSE)</f>
        <v>N/A</v>
      </c>
      <c r="N138" s="393" t="str">
        <f>VLOOKUP(Complete[[#This Row],[Code
(PAP)]],[1]Sheet1!$A:$AO,14,FALSE)</f>
        <v>N/A</v>
      </c>
      <c r="O138" s="393">
        <f>VLOOKUP(Complete[[#This Row],[Code
(PAP)]],[1]Sheet1!$A:$AO,15,FALSE)</f>
        <v>45357</v>
      </c>
      <c r="P138" s="387"/>
      <c r="Q138" s="387"/>
      <c r="R138" s="387"/>
      <c r="S138" s="576">
        <f>VLOOKUP(Complete[[#This Row],[Code
(PAP)]],[1]Sheet1!$A:$AO,19,FALSE)</f>
        <v>45357</v>
      </c>
      <c r="T138" s="576">
        <f>VLOOKUP(Complete[[#This Row],[Code
(PAP)]],[1]Sheet1!$A:$AO,20,FALSE)</f>
        <v>45373</v>
      </c>
      <c r="U138" s="576">
        <f>VLOOKUP(Complete[[#This Row],[Code
(PAP)]],[1]Sheet1!$A:$AO,21,FALSE)</f>
        <v>45373</v>
      </c>
      <c r="V138" s="387"/>
      <c r="W138" s="387"/>
      <c r="X138" s="392">
        <f>VLOOKUP(Complete[[#This Row],[Code
(PAP)]],[1]Sheet1!$A:$AO,24,FALSE)</f>
        <v>45399</v>
      </c>
      <c r="Y138" s="392">
        <f>Complete[[#This Row],[Delivery/ Completion]]</f>
        <v>45399</v>
      </c>
      <c r="Z138" s="610" t="s">
        <v>1478</v>
      </c>
      <c r="AA138" s="462">
        <f>Complete[[#This Row],[MOOE]]+Complete[[#This Row],[CO]]</f>
        <v>134344</v>
      </c>
      <c r="AB138" s="466">
        <v>134344</v>
      </c>
      <c r="AC138" s="497"/>
      <c r="AD138" s="498">
        <f>IF(Complete[[#This Row],[Procurement Project]]="","",SUM(Complete[[#This Row],[MOOE2]]+Complete[[#This Row],[CO3]]))</f>
        <v>133132</v>
      </c>
      <c r="AE138" s="501">
        <v>133132</v>
      </c>
      <c r="AF138" s="541"/>
      <c r="AG138" s="400"/>
      <c r="AH138" s="380" t="s">
        <v>1205</v>
      </c>
      <c r="AI138" s="576" t="str">
        <f>VLOOKUP(Complete[[#This Row],[Code
(PAP)]],[1]Sheet1!$A:$AO,35,FALSE)</f>
        <v>N/A</v>
      </c>
      <c r="AJ138" s="576" t="str">
        <f>VLOOKUP(Complete[[#This Row],[Code
(PAP)]],[1]Sheet1!$A:$AO,36,FALSE)</f>
        <v>N/A</v>
      </c>
      <c r="AK138" s="576" t="str">
        <f>VLOOKUP(Complete[[#This Row],[Code
(PAP)]],[1]Sheet1!$A:$AO,37,FALSE)</f>
        <v>N/A</v>
      </c>
      <c r="AL138" s="576" t="str">
        <f>VLOOKUP(Complete[[#This Row],[Code
(PAP)]],[1]Sheet1!$A:$AO,38,FALSE)</f>
        <v>N/A</v>
      </c>
      <c r="AM138" s="576" t="str">
        <f>VLOOKUP(Complete[[#This Row],[Code
(PAP)]],[1]Sheet1!$A:$AO,38,FALSE)</f>
        <v>N/A</v>
      </c>
      <c r="AN138" s="595" t="s">
        <v>713</v>
      </c>
      <c r="AO138" s="303" t="s">
        <v>139</v>
      </c>
      <c r="AP138" s="389"/>
      <c r="AQ138" s="389"/>
    </row>
    <row r="139" spans="1:43" s="224" customFormat="1" ht="75" customHeight="1" x14ac:dyDescent="0.25">
      <c r="A139" s="385" t="s">
        <v>317</v>
      </c>
      <c r="B139" s="406" t="str">
        <f>VLOOKUP(Complete[[#This Row],[Code
(PAP)]],[1]Sheet1!$A:$AO,2,FALSE)</f>
        <v>FUEL, OIL, AND LUBRICANTS</v>
      </c>
      <c r="C139" s="408" t="str">
        <f>VLOOKUP(Complete[[#This Row],[Code
(PAP)]],[1]Sheet1!$A:$AO,3,FALSE)</f>
        <v>PEEMO</v>
      </c>
      <c r="D139" s="380" t="s">
        <v>712</v>
      </c>
      <c r="E139" s="409" t="str">
        <f>VLOOKUP(Complete[[#This Row],[Code
(PAP)]],[2]Sheet1!$A:$AO,5,FALSE)</f>
        <v>NP-53.9 - Small Value Procurement</v>
      </c>
      <c r="F139" s="393">
        <f>VLOOKUP(Complete[[#This Row],[Code
(PAP)]],[1]Sheet1!$A:$AO,6,FALSE)</f>
        <v>45342</v>
      </c>
      <c r="G139" s="393">
        <f>VLOOKUP(Complete[[#This Row],[Code
(PAP)]],[1]Sheet1!$A:$AO,7,FALSE)</f>
        <v>45344</v>
      </c>
      <c r="H139" s="374"/>
      <c r="I139" s="394" t="str">
        <f>VLOOKUP(Complete[[#This Row],[Code
(PAP)]],[1]Sheet1!$A:$AO,9,FALSE)</f>
        <v>N/A</v>
      </c>
      <c r="J139" s="393">
        <f>VLOOKUP(Complete[[#This Row],[Code
(PAP)]],[1]Sheet1!$A:$AO,10,FALSE)</f>
        <v>45356</v>
      </c>
      <c r="K139" s="393">
        <f>VLOOKUP(Complete[[#This Row],[Code
(PAP)]],[1]Sheet1!$A:$AO,11,FALSE)</f>
        <v>45356</v>
      </c>
      <c r="L139" s="387"/>
      <c r="M139" s="393" t="str">
        <f>VLOOKUP(Complete[[#This Row],[Code
(PAP)]],[1]Sheet1!$A:$AO,13,FALSE)</f>
        <v>N/A</v>
      </c>
      <c r="N139" s="393" t="str">
        <f>VLOOKUP(Complete[[#This Row],[Code
(PAP)]],[1]Sheet1!$A:$AO,14,FALSE)</f>
        <v>N/A</v>
      </c>
      <c r="O139" s="393">
        <f>VLOOKUP(Complete[[#This Row],[Code
(PAP)]],[1]Sheet1!$A:$AO,15,FALSE)</f>
        <v>45357</v>
      </c>
      <c r="P139" s="387"/>
      <c r="Q139" s="387"/>
      <c r="R139" s="387"/>
      <c r="S139" s="576">
        <f>VLOOKUP(Complete[[#This Row],[Code
(PAP)]],[1]Sheet1!$A:$AO,19,FALSE)</f>
        <v>45357</v>
      </c>
      <c r="T139" s="576">
        <f>VLOOKUP(Complete[[#This Row],[Code
(PAP)]],[1]Sheet1!$A:$AO,20,FALSE)</f>
        <v>45387</v>
      </c>
      <c r="U139" s="576">
        <f>VLOOKUP(Complete[[#This Row],[Code
(PAP)]],[1]Sheet1!$A:$AO,21,FALSE)</f>
        <v>45390</v>
      </c>
      <c r="V139" s="387"/>
      <c r="W139" s="387"/>
      <c r="X139" s="392">
        <f>VLOOKUP(Complete[[#This Row],[Code
(PAP)]],[1]Sheet1!$A:$AO,24,FALSE)</f>
        <v>45390</v>
      </c>
      <c r="Y139" s="392">
        <f>Complete[[#This Row],[Delivery/ Completion]]</f>
        <v>45390</v>
      </c>
      <c r="Z139" s="610" t="s">
        <v>1478</v>
      </c>
      <c r="AA139" s="462">
        <f>Complete[[#This Row],[MOOE]]+Complete[[#This Row],[CO]]</f>
        <v>153240.79999999999</v>
      </c>
      <c r="AB139" s="466">
        <v>153240.79999999999</v>
      </c>
      <c r="AC139" s="497"/>
      <c r="AD139" s="498">
        <f>IF(Complete[[#This Row],[Procurement Project]]="","",SUM(Complete[[#This Row],[MOOE2]]+Complete[[#This Row],[CO3]]))</f>
        <v>147415</v>
      </c>
      <c r="AE139" s="501">
        <v>147415</v>
      </c>
      <c r="AF139" s="541"/>
      <c r="AG139" s="400"/>
      <c r="AH139" s="380" t="s">
        <v>1205</v>
      </c>
      <c r="AI139" s="576" t="str">
        <f>VLOOKUP(Complete[[#This Row],[Code
(PAP)]],[1]Sheet1!$A:$AO,35,FALSE)</f>
        <v>N/A</v>
      </c>
      <c r="AJ139" s="576" t="str">
        <f>VLOOKUP(Complete[[#This Row],[Code
(PAP)]],[1]Sheet1!$A:$AO,36,FALSE)</f>
        <v>N/A</v>
      </c>
      <c r="AK139" s="576" t="str">
        <f>VLOOKUP(Complete[[#This Row],[Code
(PAP)]],[1]Sheet1!$A:$AO,37,FALSE)</f>
        <v>N/A</v>
      </c>
      <c r="AL139" s="576" t="str">
        <f>VLOOKUP(Complete[[#This Row],[Code
(PAP)]],[1]Sheet1!$A:$AO,38,FALSE)</f>
        <v>N/A</v>
      </c>
      <c r="AM139" s="576" t="str">
        <f>VLOOKUP(Complete[[#This Row],[Code
(PAP)]],[1]Sheet1!$A:$AO,38,FALSE)</f>
        <v>N/A</v>
      </c>
      <c r="AN139" s="595" t="s">
        <v>713</v>
      </c>
      <c r="AO139" s="303" t="s">
        <v>139</v>
      </c>
      <c r="AP139" s="389"/>
      <c r="AQ139" s="389"/>
    </row>
    <row r="140" spans="1:43" s="224" customFormat="1" ht="75" customHeight="1" x14ac:dyDescent="0.25">
      <c r="A140" s="385" t="s">
        <v>318</v>
      </c>
      <c r="B140" s="406" t="str">
        <f>VLOOKUP(Complete[[#This Row],[Code
(PAP)]],[1]Sheet1!$A:$AO,2,FALSE)</f>
        <v>SAFETY GEARS</v>
      </c>
      <c r="C140" s="408" t="str">
        <f>VLOOKUP(Complete[[#This Row],[Code
(PAP)]],[1]Sheet1!$A:$AO,3,FALSE)</f>
        <v>PEEMO</v>
      </c>
      <c r="D140" s="380" t="s">
        <v>712</v>
      </c>
      <c r="E140" s="409" t="str">
        <f>VLOOKUP(Complete[[#This Row],[Code
(PAP)]],[2]Sheet1!$A:$AO,5,FALSE)</f>
        <v>NP-53.9 - Small Value Procurement</v>
      </c>
      <c r="F140" s="393">
        <f>VLOOKUP(Complete[[#This Row],[Code
(PAP)]],[1]Sheet1!$A:$AO,6,FALSE)</f>
        <v>45342</v>
      </c>
      <c r="G140" s="393">
        <f>VLOOKUP(Complete[[#This Row],[Code
(PAP)]],[1]Sheet1!$A:$AO,7,FALSE)</f>
        <v>45344</v>
      </c>
      <c r="H140" s="374"/>
      <c r="I140" s="394" t="str">
        <f>VLOOKUP(Complete[[#This Row],[Code
(PAP)]],[1]Sheet1!$A:$AO,9,FALSE)</f>
        <v>N/A</v>
      </c>
      <c r="J140" s="393">
        <f>VLOOKUP(Complete[[#This Row],[Code
(PAP)]],[1]Sheet1!$A:$AO,10,FALSE)</f>
        <v>45356</v>
      </c>
      <c r="K140" s="393">
        <f>VLOOKUP(Complete[[#This Row],[Code
(PAP)]],[1]Sheet1!$A:$AO,11,FALSE)</f>
        <v>45356</v>
      </c>
      <c r="L140" s="387"/>
      <c r="M140" s="393" t="str">
        <f>VLOOKUP(Complete[[#This Row],[Code
(PAP)]],[1]Sheet1!$A:$AO,13,FALSE)</f>
        <v>N/A</v>
      </c>
      <c r="N140" s="393" t="str">
        <f>VLOOKUP(Complete[[#This Row],[Code
(PAP)]],[1]Sheet1!$A:$AO,14,FALSE)</f>
        <v>N/A</v>
      </c>
      <c r="O140" s="393">
        <f>VLOOKUP(Complete[[#This Row],[Code
(PAP)]],[1]Sheet1!$A:$AO,15,FALSE)</f>
        <v>45357</v>
      </c>
      <c r="P140" s="387"/>
      <c r="Q140" s="387"/>
      <c r="R140" s="387"/>
      <c r="S140" s="576" t="str">
        <f>VLOOKUP(Complete[[#This Row],[Code
(PAP)]],[1]Sheet1!$A:$AO,19,FALSE)</f>
        <v>N/A</v>
      </c>
      <c r="T140" s="576">
        <f>VLOOKUP(Complete[[#This Row],[Code
(PAP)]],[1]Sheet1!$A:$AO,20,FALSE)</f>
        <v>45372</v>
      </c>
      <c r="U140" s="576">
        <f>VLOOKUP(Complete[[#This Row],[Code
(PAP)]],[1]Sheet1!$A:$AO,21,FALSE)</f>
        <v>45373</v>
      </c>
      <c r="V140" s="387"/>
      <c r="W140" s="387"/>
      <c r="X140" s="392">
        <f>VLOOKUP(Complete[[#This Row],[Code
(PAP)]],[1]Sheet1!$A:$AO,24,FALSE)</f>
        <v>45386</v>
      </c>
      <c r="Y140" s="392">
        <f>Complete[[#This Row],[Delivery/ Completion]]</f>
        <v>45386</v>
      </c>
      <c r="Z140" s="610" t="s">
        <v>1478</v>
      </c>
      <c r="AA140" s="462">
        <f>Complete[[#This Row],[MOOE]]+Complete[[#This Row],[CO]]</f>
        <v>8690</v>
      </c>
      <c r="AB140" s="466">
        <v>8690</v>
      </c>
      <c r="AC140" s="497"/>
      <c r="AD140" s="498">
        <f>IF(Complete[[#This Row],[Procurement Project]]="","",SUM(Complete[[#This Row],[MOOE2]]+Complete[[#This Row],[CO3]]))</f>
        <v>8660</v>
      </c>
      <c r="AE140" s="501">
        <v>8660</v>
      </c>
      <c r="AF140" s="541"/>
      <c r="AG140" s="400"/>
      <c r="AH140" s="380" t="s">
        <v>1205</v>
      </c>
      <c r="AI140" s="576" t="str">
        <f>VLOOKUP(Complete[[#This Row],[Code
(PAP)]],[1]Sheet1!$A:$AO,35,FALSE)</f>
        <v>N/A</v>
      </c>
      <c r="AJ140" s="576" t="str">
        <f>VLOOKUP(Complete[[#This Row],[Code
(PAP)]],[1]Sheet1!$A:$AO,36,FALSE)</f>
        <v>N/A</v>
      </c>
      <c r="AK140" s="576" t="str">
        <f>VLOOKUP(Complete[[#This Row],[Code
(PAP)]],[1]Sheet1!$A:$AO,37,FALSE)</f>
        <v>N/A</v>
      </c>
      <c r="AL140" s="576" t="str">
        <f>VLOOKUP(Complete[[#This Row],[Code
(PAP)]],[1]Sheet1!$A:$AO,38,FALSE)</f>
        <v>N/A</v>
      </c>
      <c r="AM140" s="576" t="str">
        <f>VLOOKUP(Complete[[#This Row],[Code
(PAP)]],[1]Sheet1!$A:$AO,38,FALSE)</f>
        <v>N/A</v>
      </c>
      <c r="AN140" s="595" t="s">
        <v>713</v>
      </c>
      <c r="AO140" s="303" t="s">
        <v>139</v>
      </c>
      <c r="AP140" s="389"/>
      <c r="AQ140" s="389"/>
    </row>
    <row r="141" spans="1:43" s="224" customFormat="1" ht="75" customHeight="1" x14ac:dyDescent="0.25">
      <c r="A141" s="385" t="s">
        <v>319</v>
      </c>
      <c r="B141" s="406" t="str">
        <f>VLOOKUP(Complete[[#This Row],[Code
(PAP)]],[1]Sheet1!$A:$AO,2,FALSE)</f>
        <v>SPAREPARTS (LIGHT VEHICLES)</v>
      </c>
      <c r="C141" s="408" t="str">
        <f>VLOOKUP(Complete[[#This Row],[Code
(PAP)]],[1]Sheet1!$A:$AO,3,FALSE)</f>
        <v>PEEMO</v>
      </c>
      <c r="D141" s="380" t="s">
        <v>712</v>
      </c>
      <c r="E141" s="409" t="str">
        <f>VLOOKUP(Complete[[#This Row],[Code
(PAP)]],[2]Sheet1!$A:$AO,5,FALSE)</f>
        <v>NP-53.9 - Small Value Procurement</v>
      </c>
      <c r="F141" s="393">
        <f>VLOOKUP(Complete[[#This Row],[Code
(PAP)]],[1]Sheet1!$A:$AO,6,FALSE)</f>
        <v>45342</v>
      </c>
      <c r="G141" s="393">
        <f>VLOOKUP(Complete[[#This Row],[Code
(PAP)]],[1]Sheet1!$A:$AO,7,FALSE)</f>
        <v>45344</v>
      </c>
      <c r="H141" s="374"/>
      <c r="I141" s="394" t="str">
        <f>VLOOKUP(Complete[[#This Row],[Code
(PAP)]],[1]Sheet1!$A:$AO,9,FALSE)</f>
        <v>N/A</v>
      </c>
      <c r="J141" s="393">
        <f>VLOOKUP(Complete[[#This Row],[Code
(PAP)]],[1]Sheet1!$A:$AO,10,FALSE)</f>
        <v>45356</v>
      </c>
      <c r="K141" s="393">
        <f>VLOOKUP(Complete[[#This Row],[Code
(PAP)]],[1]Sheet1!$A:$AO,11,FALSE)</f>
        <v>45356</v>
      </c>
      <c r="L141" s="387"/>
      <c r="M141" s="393" t="str">
        <f>VLOOKUP(Complete[[#This Row],[Code
(PAP)]],[1]Sheet1!$A:$AO,13,FALSE)</f>
        <v>N/A</v>
      </c>
      <c r="N141" s="393" t="str">
        <f>VLOOKUP(Complete[[#This Row],[Code
(PAP)]],[1]Sheet1!$A:$AO,14,FALSE)</f>
        <v>N/A</v>
      </c>
      <c r="O141" s="393">
        <f>VLOOKUP(Complete[[#This Row],[Code
(PAP)]],[1]Sheet1!$A:$AO,15,FALSE)</f>
        <v>45357</v>
      </c>
      <c r="P141" s="387"/>
      <c r="Q141" s="387"/>
      <c r="R141" s="387"/>
      <c r="S141" s="576">
        <f>VLOOKUP(Complete[[#This Row],[Code
(PAP)]],[1]Sheet1!$A:$AO,19,FALSE)</f>
        <v>45357</v>
      </c>
      <c r="T141" s="576">
        <f>VLOOKUP(Complete[[#This Row],[Code
(PAP)]],[1]Sheet1!$A:$AO,20,FALSE)</f>
        <v>45373</v>
      </c>
      <c r="U141" s="576">
        <f>VLOOKUP(Complete[[#This Row],[Code
(PAP)]],[1]Sheet1!$A:$AO,21,FALSE)</f>
        <v>45373</v>
      </c>
      <c r="V141" s="387"/>
      <c r="W141" s="387"/>
      <c r="X141" s="392">
        <f>VLOOKUP(Complete[[#This Row],[Code
(PAP)]],[1]Sheet1!$A:$AO,24,FALSE)</f>
        <v>45385</v>
      </c>
      <c r="Y141" s="392">
        <f>Complete[[#This Row],[Delivery/ Completion]]</f>
        <v>45385</v>
      </c>
      <c r="Z141" s="610" t="s">
        <v>1478</v>
      </c>
      <c r="AA141" s="462">
        <f>Complete[[#This Row],[MOOE]]+Complete[[#This Row],[CO]]</f>
        <v>185720</v>
      </c>
      <c r="AB141" s="466">
        <v>185720</v>
      </c>
      <c r="AC141" s="497"/>
      <c r="AD141" s="498">
        <f>IF(Complete[[#This Row],[Procurement Project]]="","",SUM(Complete[[#This Row],[MOOE2]]+Complete[[#This Row],[CO3]]))</f>
        <v>174760</v>
      </c>
      <c r="AE141" s="501">
        <v>174760</v>
      </c>
      <c r="AF141" s="541"/>
      <c r="AG141" s="400"/>
      <c r="AH141" s="380" t="s">
        <v>1205</v>
      </c>
      <c r="AI141" s="576" t="str">
        <f>VLOOKUP(Complete[[#This Row],[Code
(PAP)]],[1]Sheet1!$A:$AO,35,FALSE)</f>
        <v>N/A</v>
      </c>
      <c r="AJ141" s="576" t="str">
        <f>VLOOKUP(Complete[[#This Row],[Code
(PAP)]],[1]Sheet1!$A:$AO,36,FALSE)</f>
        <v>N/A</v>
      </c>
      <c r="AK141" s="576" t="str">
        <f>VLOOKUP(Complete[[#This Row],[Code
(PAP)]],[1]Sheet1!$A:$AO,37,FALSE)</f>
        <v>N/A</v>
      </c>
      <c r="AL141" s="576" t="str">
        <f>VLOOKUP(Complete[[#This Row],[Code
(PAP)]],[1]Sheet1!$A:$AO,38,FALSE)</f>
        <v>N/A</v>
      </c>
      <c r="AM141" s="576" t="str">
        <f>VLOOKUP(Complete[[#This Row],[Code
(PAP)]],[1]Sheet1!$A:$AO,38,FALSE)</f>
        <v>N/A</v>
      </c>
      <c r="AN141" s="595" t="s">
        <v>713</v>
      </c>
      <c r="AO141" s="303" t="s">
        <v>139</v>
      </c>
      <c r="AP141" s="389"/>
      <c r="AQ141" s="389"/>
    </row>
    <row r="142" spans="1:43" s="224" customFormat="1" ht="75" customHeight="1" x14ac:dyDescent="0.25">
      <c r="A142" s="385" t="s">
        <v>320</v>
      </c>
      <c r="B142" s="406" t="str">
        <f>VLOOKUP(Complete[[#This Row],[Code
(PAP)]],[1]Sheet1!$A:$AO,2,FALSE)</f>
        <v>OFFICE SUPPLIES</v>
      </c>
      <c r="C142" s="408" t="str">
        <f>VLOOKUP(Complete[[#This Row],[Code
(PAP)]],[1]Sheet1!$A:$AO,3,FALSE)</f>
        <v>PGO</v>
      </c>
      <c r="D142" s="380" t="s">
        <v>712</v>
      </c>
      <c r="E142" s="409" t="str">
        <f>VLOOKUP(Complete[[#This Row],[Code
(PAP)]],[2]Sheet1!$A:$AO,5,FALSE)</f>
        <v>Shopping 52.1(b) - Regular Office Supplies and Equipment no available in PS</v>
      </c>
      <c r="F142" s="393" t="str">
        <f>VLOOKUP(Complete[[#This Row],[Code
(PAP)]],[1]Sheet1!$A:$AO,6,FALSE)</f>
        <v>N/A</v>
      </c>
      <c r="G142" s="393">
        <f>VLOOKUP(Complete[[#This Row],[Code
(PAP)]],[1]Sheet1!$A:$AO,7,FALSE)</f>
        <v>45344</v>
      </c>
      <c r="H142" s="374"/>
      <c r="I142" s="394" t="str">
        <f>VLOOKUP(Complete[[#This Row],[Code
(PAP)]],[1]Sheet1!$A:$AO,9,FALSE)</f>
        <v>N/A</v>
      </c>
      <c r="J142" s="393">
        <f>VLOOKUP(Complete[[#This Row],[Code
(PAP)]],[1]Sheet1!$A:$AO,10,FALSE)</f>
        <v>45356</v>
      </c>
      <c r="K142" s="393">
        <f>VLOOKUP(Complete[[#This Row],[Code
(PAP)]],[1]Sheet1!$A:$AO,11,FALSE)</f>
        <v>45356</v>
      </c>
      <c r="L142" s="387"/>
      <c r="M142" s="393" t="str">
        <f>VLOOKUP(Complete[[#This Row],[Code
(PAP)]],[1]Sheet1!$A:$AO,13,FALSE)</f>
        <v>N/A</v>
      </c>
      <c r="N142" s="393" t="str">
        <f>VLOOKUP(Complete[[#This Row],[Code
(PAP)]],[1]Sheet1!$A:$AO,14,FALSE)</f>
        <v>N/A</v>
      </c>
      <c r="O142" s="393">
        <f>VLOOKUP(Complete[[#This Row],[Code
(PAP)]],[1]Sheet1!$A:$AO,15,FALSE)</f>
        <v>45357</v>
      </c>
      <c r="P142" s="387"/>
      <c r="Q142" s="387"/>
      <c r="R142" s="387"/>
      <c r="S142" s="576">
        <f>VLOOKUP(Complete[[#This Row],[Code
(PAP)]],[1]Sheet1!$A:$AO,19,FALSE)</f>
        <v>45357</v>
      </c>
      <c r="T142" s="576">
        <f>VLOOKUP(Complete[[#This Row],[Code
(PAP)]],[1]Sheet1!$A:$AO,20,FALSE)</f>
        <v>45371</v>
      </c>
      <c r="U142" s="576">
        <f>VLOOKUP(Complete[[#This Row],[Code
(PAP)]],[1]Sheet1!$A:$AO,21,FALSE)</f>
        <v>45372</v>
      </c>
      <c r="V142" s="387"/>
      <c r="W142" s="387"/>
      <c r="X142" s="392">
        <f>VLOOKUP(Complete[[#This Row],[Code
(PAP)]],[1]Sheet1!$A:$AO,24,FALSE)</f>
        <v>45401</v>
      </c>
      <c r="Y142" s="392">
        <f>Complete[[#This Row],[Delivery/ Completion]]</f>
        <v>45401</v>
      </c>
      <c r="Z142" s="610" t="s">
        <v>1478</v>
      </c>
      <c r="AA142" s="462">
        <f>Complete[[#This Row],[MOOE]]+Complete[[#This Row],[CO]]</f>
        <v>234117</v>
      </c>
      <c r="AB142" s="466"/>
      <c r="AC142" s="497">
        <v>234117</v>
      </c>
      <c r="AD142" s="498">
        <f>IF(Complete[[#This Row],[Procurement Project]]="","",SUM(Complete[[#This Row],[MOOE2]]+Complete[[#This Row],[CO3]]))</f>
        <v>229455</v>
      </c>
      <c r="AE142" s="501"/>
      <c r="AF142" s="541">
        <v>229455</v>
      </c>
      <c r="AG142" s="400"/>
      <c r="AH142" s="380" t="s">
        <v>1205</v>
      </c>
      <c r="AI142" s="576" t="str">
        <f>VLOOKUP(Complete[[#This Row],[Code
(PAP)]],[1]Sheet1!$A:$AO,35,FALSE)</f>
        <v>N/A</v>
      </c>
      <c r="AJ142" s="576" t="str">
        <f>VLOOKUP(Complete[[#This Row],[Code
(PAP)]],[1]Sheet1!$A:$AO,36,FALSE)</f>
        <v>N/A</v>
      </c>
      <c r="AK142" s="576" t="str">
        <f>VLOOKUP(Complete[[#This Row],[Code
(PAP)]],[1]Sheet1!$A:$AO,37,FALSE)</f>
        <v>N/A</v>
      </c>
      <c r="AL142" s="576" t="str">
        <f>VLOOKUP(Complete[[#This Row],[Code
(PAP)]],[1]Sheet1!$A:$AO,38,FALSE)</f>
        <v>N/A</v>
      </c>
      <c r="AM142" s="576" t="str">
        <f>VLOOKUP(Complete[[#This Row],[Code
(PAP)]],[1]Sheet1!$A:$AO,38,FALSE)</f>
        <v>N/A</v>
      </c>
      <c r="AN142" s="595" t="s">
        <v>713</v>
      </c>
      <c r="AO142" s="303" t="s">
        <v>139</v>
      </c>
      <c r="AP142" s="389"/>
      <c r="AQ142" s="389"/>
    </row>
    <row r="143" spans="1:43" s="224" customFormat="1" ht="75" customHeight="1" x14ac:dyDescent="0.25">
      <c r="A143" s="385" t="s">
        <v>321</v>
      </c>
      <c r="B143" s="406" t="str">
        <f>VLOOKUP(Complete[[#This Row],[Code
(PAP)]],[1]Sheet1!$A:$AO,2,FALSE)</f>
        <v>OFFICE SUPPLIES</v>
      </c>
      <c r="C143" s="408" t="str">
        <f>VLOOKUP(Complete[[#This Row],[Code
(PAP)]],[1]Sheet1!$A:$AO,3,FALSE)</f>
        <v>PEEMO</v>
      </c>
      <c r="D143" s="380" t="s">
        <v>712</v>
      </c>
      <c r="E143" s="409" t="str">
        <f>VLOOKUP(Complete[[#This Row],[Code
(PAP)]],[2]Sheet1!$A:$AO,5,FALSE)</f>
        <v>Shopping 52.1(b) - Regular Office Supplies and Equipment no available in PS</v>
      </c>
      <c r="F143" s="393">
        <f>VLOOKUP(Complete[[#This Row],[Code
(PAP)]],[1]Sheet1!$A:$AO,6,FALSE)</f>
        <v>45342</v>
      </c>
      <c r="G143" s="393">
        <f>VLOOKUP(Complete[[#This Row],[Code
(PAP)]],[1]Sheet1!$A:$AO,7,FALSE)</f>
        <v>45344</v>
      </c>
      <c r="H143" s="374"/>
      <c r="I143" s="394" t="str">
        <f>VLOOKUP(Complete[[#This Row],[Code
(PAP)]],[1]Sheet1!$A:$AO,9,FALSE)</f>
        <v>N/A</v>
      </c>
      <c r="J143" s="393">
        <f>VLOOKUP(Complete[[#This Row],[Code
(PAP)]],[1]Sheet1!$A:$AO,10,FALSE)</f>
        <v>45356</v>
      </c>
      <c r="K143" s="393">
        <f>VLOOKUP(Complete[[#This Row],[Code
(PAP)]],[1]Sheet1!$A:$AO,11,FALSE)</f>
        <v>45356</v>
      </c>
      <c r="L143" s="387"/>
      <c r="M143" s="393" t="str">
        <f>VLOOKUP(Complete[[#This Row],[Code
(PAP)]],[1]Sheet1!$A:$AO,13,FALSE)</f>
        <v>N/A</v>
      </c>
      <c r="N143" s="393" t="str">
        <f>VLOOKUP(Complete[[#This Row],[Code
(PAP)]],[1]Sheet1!$A:$AO,14,FALSE)</f>
        <v>N/A</v>
      </c>
      <c r="O143" s="393">
        <f>VLOOKUP(Complete[[#This Row],[Code
(PAP)]],[1]Sheet1!$A:$AO,15,FALSE)</f>
        <v>45357</v>
      </c>
      <c r="P143" s="387"/>
      <c r="Q143" s="387"/>
      <c r="R143" s="387"/>
      <c r="S143" s="576">
        <f>VLOOKUP(Complete[[#This Row],[Code
(PAP)]],[1]Sheet1!$A:$AO,19,FALSE)</f>
        <v>45357</v>
      </c>
      <c r="T143" s="576">
        <f>VLOOKUP(Complete[[#This Row],[Code
(PAP)]],[1]Sheet1!$A:$AO,20,FALSE)</f>
        <v>45372</v>
      </c>
      <c r="U143" s="576">
        <f>VLOOKUP(Complete[[#This Row],[Code
(PAP)]],[1]Sheet1!$A:$AO,21,FALSE)</f>
        <v>45373</v>
      </c>
      <c r="V143" s="387"/>
      <c r="W143" s="387"/>
      <c r="X143" s="392">
        <f>VLOOKUP(Complete[[#This Row],[Code
(PAP)]],[1]Sheet1!$A:$AO,24,FALSE)</f>
        <v>45386</v>
      </c>
      <c r="Y143" s="392">
        <f>Complete[[#This Row],[Delivery/ Completion]]</f>
        <v>45386</v>
      </c>
      <c r="Z143" s="610" t="s">
        <v>1478</v>
      </c>
      <c r="AA143" s="462">
        <f>Complete[[#This Row],[MOOE]]+Complete[[#This Row],[CO]]</f>
        <v>77598</v>
      </c>
      <c r="AB143" s="466">
        <v>77598</v>
      </c>
      <c r="AC143" s="497"/>
      <c r="AD143" s="498">
        <f>IF(Complete[[#This Row],[Procurement Project]]="","",SUM(Complete[[#This Row],[MOOE2]]+Complete[[#This Row],[CO3]]))</f>
        <v>76920</v>
      </c>
      <c r="AE143" s="501">
        <v>76920</v>
      </c>
      <c r="AF143" s="541"/>
      <c r="AG143" s="400"/>
      <c r="AH143" s="380" t="s">
        <v>1205</v>
      </c>
      <c r="AI143" s="576" t="str">
        <f>VLOOKUP(Complete[[#This Row],[Code
(PAP)]],[1]Sheet1!$A:$AO,35,FALSE)</f>
        <v>N/A</v>
      </c>
      <c r="AJ143" s="576" t="str">
        <f>VLOOKUP(Complete[[#This Row],[Code
(PAP)]],[1]Sheet1!$A:$AO,36,FALSE)</f>
        <v>N/A</v>
      </c>
      <c r="AK143" s="576" t="str">
        <f>VLOOKUP(Complete[[#This Row],[Code
(PAP)]],[1]Sheet1!$A:$AO,37,FALSE)</f>
        <v>N/A</v>
      </c>
      <c r="AL143" s="576" t="str">
        <f>VLOOKUP(Complete[[#This Row],[Code
(PAP)]],[1]Sheet1!$A:$AO,38,FALSE)</f>
        <v>N/A</v>
      </c>
      <c r="AM143" s="576" t="str">
        <f>VLOOKUP(Complete[[#This Row],[Code
(PAP)]],[1]Sheet1!$A:$AO,38,FALSE)</f>
        <v>N/A</v>
      </c>
      <c r="AN143" s="595" t="s">
        <v>713</v>
      </c>
      <c r="AO143" s="303" t="s">
        <v>139</v>
      </c>
      <c r="AP143" s="389"/>
      <c r="AQ143" s="389"/>
    </row>
    <row r="144" spans="1:43" s="224" customFormat="1" ht="75" customHeight="1" x14ac:dyDescent="0.25">
      <c r="A144" s="385" t="s">
        <v>322</v>
      </c>
      <c r="B144" s="406" t="str">
        <f>VLOOKUP(Complete[[#This Row],[Code
(PAP)]],[1]Sheet1!$A:$AO,2,FALSE)</f>
        <v>OFFICE SUPPLIES</v>
      </c>
      <c r="C144" s="408" t="str">
        <f>VLOOKUP(Complete[[#This Row],[Code
(PAP)]],[1]Sheet1!$A:$AO,3,FALSE)</f>
        <v>PTO</v>
      </c>
      <c r="D144" s="380" t="s">
        <v>712</v>
      </c>
      <c r="E144" s="409" t="str">
        <f>VLOOKUP(Complete[[#This Row],[Code
(PAP)]],[2]Sheet1!$A:$AO,5,FALSE)</f>
        <v>Shopping 52.1(b) - Regular Office Supplies and Equipment no available in PS</v>
      </c>
      <c r="F144" s="393">
        <f>VLOOKUP(Complete[[#This Row],[Code
(PAP)]],[1]Sheet1!$A:$AO,6,FALSE)</f>
        <v>45342</v>
      </c>
      <c r="G144" s="393">
        <f>VLOOKUP(Complete[[#This Row],[Code
(PAP)]],[1]Sheet1!$A:$AO,7,FALSE)</f>
        <v>45344</v>
      </c>
      <c r="H144" s="374"/>
      <c r="I144" s="394" t="str">
        <f>VLOOKUP(Complete[[#This Row],[Code
(PAP)]],[1]Sheet1!$A:$AO,9,FALSE)</f>
        <v>N/A</v>
      </c>
      <c r="J144" s="393">
        <f>VLOOKUP(Complete[[#This Row],[Code
(PAP)]],[1]Sheet1!$A:$AO,10,FALSE)</f>
        <v>45356</v>
      </c>
      <c r="K144" s="393">
        <f>VLOOKUP(Complete[[#This Row],[Code
(PAP)]],[1]Sheet1!$A:$AO,11,FALSE)</f>
        <v>45356</v>
      </c>
      <c r="L144" s="387"/>
      <c r="M144" s="393" t="str">
        <f>VLOOKUP(Complete[[#This Row],[Code
(PAP)]],[1]Sheet1!$A:$AO,13,FALSE)</f>
        <v>N/A</v>
      </c>
      <c r="N144" s="393" t="str">
        <f>VLOOKUP(Complete[[#This Row],[Code
(PAP)]],[1]Sheet1!$A:$AO,14,FALSE)</f>
        <v>N/A</v>
      </c>
      <c r="O144" s="393">
        <f>VLOOKUP(Complete[[#This Row],[Code
(PAP)]],[1]Sheet1!$A:$AO,15,FALSE)</f>
        <v>45357</v>
      </c>
      <c r="P144" s="387"/>
      <c r="Q144" s="387"/>
      <c r="R144" s="387"/>
      <c r="S144" s="576">
        <f>VLOOKUP(Complete[[#This Row],[Code
(PAP)]],[1]Sheet1!$A:$AO,19,FALSE)</f>
        <v>45357</v>
      </c>
      <c r="T144" s="576">
        <f>VLOOKUP(Complete[[#This Row],[Code
(PAP)]],[1]Sheet1!$A:$AO,20,FALSE)</f>
        <v>45373</v>
      </c>
      <c r="U144" s="576">
        <f>VLOOKUP(Complete[[#This Row],[Code
(PAP)]],[1]Sheet1!$A:$AO,21,FALSE)</f>
        <v>45383</v>
      </c>
      <c r="V144" s="387"/>
      <c r="W144" s="387"/>
      <c r="X144" s="392">
        <f>VLOOKUP(Complete[[#This Row],[Code
(PAP)]],[1]Sheet1!$A:$AO,24,FALSE)</f>
        <v>45390</v>
      </c>
      <c r="Y144" s="392">
        <f>Complete[[#This Row],[Delivery/ Completion]]</f>
        <v>45390</v>
      </c>
      <c r="Z144" s="610" t="s">
        <v>1478</v>
      </c>
      <c r="AA144" s="462">
        <f>Complete[[#This Row],[MOOE]]+Complete[[#This Row],[CO]]</f>
        <v>167603</v>
      </c>
      <c r="AB144" s="466">
        <v>167603</v>
      </c>
      <c r="AC144" s="497"/>
      <c r="AD144" s="498">
        <f>IF(Complete[[#This Row],[Procurement Project]]="","",SUM(Complete[[#This Row],[MOOE2]]+Complete[[#This Row],[CO3]]))</f>
        <v>162834</v>
      </c>
      <c r="AE144" s="501">
        <v>162834</v>
      </c>
      <c r="AF144" s="541"/>
      <c r="AG144" s="400"/>
      <c r="AH144" s="380" t="s">
        <v>1205</v>
      </c>
      <c r="AI144" s="576" t="str">
        <f>VLOOKUP(Complete[[#This Row],[Code
(PAP)]],[1]Sheet1!$A:$AO,35,FALSE)</f>
        <v>N/A</v>
      </c>
      <c r="AJ144" s="576" t="str">
        <f>VLOOKUP(Complete[[#This Row],[Code
(PAP)]],[1]Sheet1!$A:$AO,36,FALSE)</f>
        <v>N/A</v>
      </c>
      <c r="AK144" s="576" t="str">
        <f>VLOOKUP(Complete[[#This Row],[Code
(PAP)]],[1]Sheet1!$A:$AO,37,FALSE)</f>
        <v>N/A</v>
      </c>
      <c r="AL144" s="576" t="str">
        <f>VLOOKUP(Complete[[#This Row],[Code
(PAP)]],[1]Sheet1!$A:$AO,38,FALSE)</f>
        <v>N/A</v>
      </c>
      <c r="AM144" s="576" t="str">
        <f>VLOOKUP(Complete[[#This Row],[Code
(PAP)]],[1]Sheet1!$A:$AO,38,FALSE)</f>
        <v>N/A</v>
      </c>
      <c r="AN144" s="595" t="s">
        <v>713</v>
      </c>
      <c r="AO144" s="303" t="s">
        <v>139</v>
      </c>
      <c r="AP144" s="389"/>
      <c r="AQ144" s="389"/>
    </row>
    <row r="145" spans="1:43" s="224" customFormat="1" ht="75" customHeight="1" x14ac:dyDescent="0.25">
      <c r="A145" s="385" t="s">
        <v>323</v>
      </c>
      <c r="B145" s="406" t="str">
        <f>VLOOKUP(Complete[[#This Row],[Code
(PAP)]],[1]Sheet1!$A:$AO,2,FALSE)</f>
        <v>INK &amp; MASTER ROLL</v>
      </c>
      <c r="C145" s="408" t="str">
        <f>VLOOKUP(Complete[[#This Row],[Code
(PAP)]],[1]Sheet1!$A:$AO,3,FALSE)</f>
        <v>PEEMO</v>
      </c>
      <c r="D145" s="380" t="s">
        <v>712</v>
      </c>
      <c r="E145" s="409" t="str">
        <f>VLOOKUP(Complete[[#This Row],[Code
(PAP)]],[2]Sheet1!$A:$AO,5,FALSE)</f>
        <v>Direct Contracting</v>
      </c>
      <c r="F145" s="393" t="str">
        <f>VLOOKUP(Complete[[#This Row],[Code
(PAP)]],[1]Sheet1!$A:$AO,6,FALSE)</f>
        <v>N/A</v>
      </c>
      <c r="G145" s="393">
        <f>VLOOKUP(Complete[[#This Row],[Code
(PAP)]],[1]Sheet1!$A:$AO,7,FALSE)</f>
        <v>45338</v>
      </c>
      <c r="H145" s="374"/>
      <c r="I145" s="394" t="str">
        <f>VLOOKUP(Complete[[#This Row],[Code
(PAP)]],[1]Sheet1!$A:$AO,9,FALSE)</f>
        <v>N/A</v>
      </c>
      <c r="J145" s="393">
        <f>VLOOKUP(Complete[[#This Row],[Code
(PAP)]],[1]Sheet1!$A:$AO,10,FALSE)</f>
        <v>45356</v>
      </c>
      <c r="K145" s="393">
        <f>VLOOKUP(Complete[[#This Row],[Code
(PAP)]],[1]Sheet1!$A:$AO,11,FALSE)</f>
        <v>45356</v>
      </c>
      <c r="L145" s="387"/>
      <c r="M145" s="393" t="str">
        <f>VLOOKUP(Complete[[#This Row],[Code
(PAP)]],[1]Sheet1!$A:$AO,13,FALSE)</f>
        <v>N/A</v>
      </c>
      <c r="N145" s="393" t="str">
        <f>VLOOKUP(Complete[[#This Row],[Code
(PAP)]],[1]Sheet1!$A:$AO,14,FALSE)</f>
        <v>N/A</v>
      </c>
      <c r="O145" s="393">
        <f>VLOOKUP(Complete[[#This Row],[Code
(PAP)]],[1]Sheet1!$A:$AO,15,FALSE)</f>
        <v>45357</v>
      </c>
      <c r="P145" s="387"/>
      <c r="Q145" s="387"/>
      <c r="R145" s="387"/>
      <c r="S145" s="576" t="str">
        <f>VLOOKUP(Complete[[#This Row],[Code
(PAP)]],[1]Sheet1!$A:$AO,19,FALSE)</f>
        <v>N/A</v>
      </c>
      <c r="T145" s="576">
        <f>VLOOKUP(Complete[[#This Row],[Code
(PAP)]],[1]Sheet1!$A:$AO,20,FALSE)</f>
        <v>45372</v>
      </c>
      <c r="U145" s="576">
        <f>VLOOKUP(Complete[[#This Row],[Code
(PAP)]],[1]Sheet1!$A:$AO,21,FALSE)</f>
        <v>45385</v>
      </c>
      <c r="V145" s="387"/>
      <c r="W145" s="387"/>
      <c r="X145" s="392">
        <f>VLOOKUP(Complete[[#This Row],[Code
(PAP)]],[1]Sheet1!$A:$AO,24,FALSE)</f>
        <v>45393</v>
      </c>
      <c r="Y145" s="392">
        <f>Complete[[#This Row],[Delivery/ Completion]]</f>
        <v>45393</v>
      </c>
      <c r="Z145" s="610" t="s">
        <v>1478</v>
      </c>
      <c r="AA145" s="462">
        <f>Complete[[#This Row],[MOOE]]+Complete[[#This Row],[CO]]</f>
        <v>8015</v>
      </c>
      <c r="AB145" s="466">
        <v>8015</v>
      </c>
      <c r="AC145" s="497"/>
      <c r="AD145" s="498">
        <f>IF(Complete[[#This Row],[Procurement Project]]="","",SUM(Complete[[#This Row],[MOOE2]]+Complete[[#This Row],[CO3]]))</f>
        <v>8015</v>
      </c>
      <c r="AE145" s="501">
        <v>8015</v>
      </c>
      <c r="AF145" s="541"/>
      <c r="AG145" s="400"/>
      <c r="AH145" s="380" t="s">
        <v>1205</v>
      </c>
      <c r="AI145" s="576" t="str">
        <f>VLOOKUP(Complete[[#This Row],[Code
(PAP)]],[1]Sheet1!$A:$AO,35,FALSE)</f>
        <v>N/A</v>
      </c>
      <c r="AJ145" s="576" t="str">
        <f>VLOOKUP(Complete[[#This Row],[Code
(PAP)]],[1]Sheet1!$A:$AO,36,FALSE)</f>
        <v>N/A</v>
      </c>
      <c r="AK145" s="576" t="str">
        <f>VLOOKUP(Complete[[#This Row],[Code
(PAP)]],[1]Sheet1!$A:$AO,37,FALSE)</f>
        <v>N/A</v>
      </c>
      <c r="AL145" s="576" t="str">
        <f>VLOOKUP(Complete[[#This Row],[Code
(PAP)]],[1]Sheet1!$A:$AO,38,FALSE)</f>
        <v>N/A</v>
      </c>
      <c r="AM145" s="576" t="str">
        <f>VLOOKUP(Complete[[#This Row],[Code
(PAP)]],[1]Sheet1!$A:$AO,38,FALSE)</f>
        <v>N/A</v>
      </c>
      <c r="AN145" s="595" t="s">
        <v>713</v>
      </c>
      <c r="AO145" s="303" t="s">
        <v>139</v>
      </c>
      <c r="AP145" s="389"/>
      <c r="AQ145" s="389"/>
    </row>
    <row r="146" spans="1:43" s="224" customFormat="1" ht="75" customHeight="1" x14ac:dyDescent="0.25">
      <c r="A146" s="385" t="s">
        <v>324</v>
      </c>
      <c r="B146" s="406" t="str">
        <f>VLOOKUP(Complete[[#This Row],[Code
(PAP)]],[1]Sheet1!$A:$AO,2,FALSE)</f>
        <v>SPAREPARTS &amp; TONER FOR DUPLICATING MACHINE</v>
      </c>
      <c r="C146" s="408" t="str">
        <f>VLOOKUP(Complete[[#This Row],[Code
(PAP)]],[1]Sheet1!$A:$AO,3,FALSE)</f>
        <v>PEEMO</v>
      </c>
      <c r="D146" s="380" t="s">
        <v>712</v>
      </c>
      <c r="E146" s="409" t="str">
        <f>VLOOKUP(Complete[[#This Row],[Code
(PAP)]],[2]Sheet1!$A:$AO,5,FALSE)</f>
        <v>Direct Contracting</v>
      </c>
      <c r="F146" s="393" t="str">
        <f>VLOOKUP(Complete[[#This Row],[Code
(PAP)]],[1]Sheet1!$A:$AO,6,FALSE)</f>
        <v>N/A</v>
      </c>
      <c r="G146" s="393">
        <f>VLOOKUP(Complete[[#This Row],[Code
(PAP)]],[1]Sheet1!$A:$AO,7,FALSE)</f>
        <v>45338</v>
      </c>
      <c r="H146" s="374"/>
      <c r="I146" s="394" t="str">
        <f>VLOOKUP(Complete[[#This Row],[Code
(PAP)]],[1]Sheet1!$A:$AO,9,FALSE)</f>
        <v>N/A</v>
      </c>
      <c r="J146" s="393">
        <f>VLOOKUP(Complete[[#This Row],[Code
(PAP)]],[1]Sheet1!$A:$AO,10,FALSE)</f>
        <v>45356</v>
      </c>
      <c r="K146" s="393">
        <f>VLOOKUP(Complete[[#This Row],[Code
(PAP)]],[1]Sheet1!$A:$AO,11,FALSE)</f>
        <v>45356</v>
      </c>
      <c r="L146" s="387"/>
      <c r="M146" s="393" t="str">
        <f>VLOOKUP(Complete[[#This Row],[Code
(PAP)]],[1]Sheet1!$A:$AO,13,FALSE)</f>
        <v>N/A</v>
      </c>
      <c r="N146" s="393" t="str">
        <f>VLOOKUP(Complete[[#This Row],[Code
(PAP)]],[1]Sheet1!$A:$AO,14,FALSE)</f>
        <v>N/A</v>
      </c>
      <c r="O146" s="393">
        <f>VLOOKUP(Complete[[#This Row],[Code
(PAP)]],[1]Sheet1!$A:$AO,15,FALSE)</f>
        <v>45357</v>
      </c>
      <c r="P146" s="387"/>
      <c r="Q146" s="387"/>
      <c r="R146" s="387"/>
      <c r="S146" s="576" t="str">
        <f>VLOOKUP(Complete[[#This Row],[Code
(PAP)]],[1]Sheet1!$A:$AO,19,FALSE)</f>
        <v>N/A</v>
      </c>
      <c r="T146" s="576">
        <f>VLOOKUP(Complete[[#This Row],[Code
(PAP)]],[1]Sheet1!$A:$AO,20,FALSE)</f>
        <v>45372</v>
      </c>
      <c r="U146" s="576">
        <f>VLOOKUP(Complete[[#This Row],[Code
(PAP)]],[1]Sheet1!$A:$AO,21,FALSE)</f>
        <v>45385</v>
      </c>
      <c r="V146" s="387"/>
      <c r="W146" s="387"/>
      <c r="X146" s="392">
        <f>VLOOKUP(Complete[[#This Row],[Code
(PAP)]],[1]Sheet1!$A:$AO,24,FALSE)</f>
        <v>45400</v>
      </c>
      <c r="Y146" s="392">
        <f>Complete[[#This Row],[Delivery/ Completion]]</f>
        <v>45400</v>
      </c>
      <c r="Z146" s="610" t="s">
        <v>1478</v>
      </c>
      <c r="AA146" s="462">
        <f>Complete[[#This Row],[MOOE]]+Complete[[#This Row],[CO]]</f>
        <v>29703.599999999999</v>
      </c>
      <c r="AB146" s="466">
        <v>29703.599999999999</v>
      </c>
      <c r="AC146" s="497"/>
      <c r="AD146" s="498">
        <f>IF(Complete[[#This Row],[Procurement Project]]="","",SUM(Complete[[#This Row],[MOOE2]]+Complete[[#This Row],[CO3]]))</f>
        <v>29703.599999999999</v>
      </c>
      <c r="AE146" s="501">
        <v>29703.599999999999</v>
      </c>
      <c r="AF146" s="541"/>
      <c r="AG146" s="400"/>
      <c r="AH146" s="380" t="s">
        <v>1205</v>
      </c>
      <c r="AI146" s="576" t="str">
        <f>VLOOKUP(Complete[[#This Row],[Code
(PAP)]],[1]Sheet1!$A:$AO,35,FALSE)</f>
        <v>N/A</v>
      </c>
      <c r="AJ146" s="576" t="str">
        <f>VLOOKUP(Complete[[#This Row],[Code
(PAP)]],[1]Sheet1!$A:$AO,36,FALSE)</f>
        <v>N/A</v>
      </c>
      <c r="AK146" s="576" t="str">
        <f>VLOOKUP(Complete[[#This Row],[Code
(PAP)]],[1]Sheet1!$A:$AO,37,FALSE)</f>
        <v>N/A</v>
      </c>
      <c r="AL146" s="576" t="str">
        <f>VLOOKUP(Complete[[#This Row],[Code
(PAP)]],[1]Sheet1!$A:$AO,38,FALSE)</f>
        <v>N/A</v>
      </c>
      <c r="AM146" s="576" t="str">
        <f>VLOOKUP(Complete[[#This Row],[Code
(PAP)]],[1]Sheet1!$A:$AO,38,FALSE)</f>
        <v>N/A</v>
      </c>
      <c r="AN146" s="595" t="s">
        <v>713</v>
      </c>
      <c r="AO146" s="303" t="s">
        <v>139</v>
      </c>
      <c r="AP146" s="389"/>
      <c r="AQ146" s="389"/>
    </row>
    <row r="147" spans="1:43" s="224" customFormat="1" ht="75" customHeight="1" x14ac:dyDescent="0.25">
      <c r="A147" s="385" t="s">
        <v>325</v>
      </c>
      <c r="B147" s="406" t="str">
        <f>VLOOKUP(Complete[[#This Row],[Code
(PAP)]],[1]Sheet1!$A:$AO,2,FALSE)</f>
        <v xml:space="preserve">JOB ORDER (LABOR &amp; MATERIALS) </v>
      </c>
      <c r="C147" s="408" t="str">
        <f>VLOOKUP(Complete[[#This Row],[Code
(PAP)]],[1]Sheet1!$A:$AO,3,FALSE)</f>
        <v>PGO</v>
      </c>
      <c r="D147" s="380" t="s">
        <v>712</v>
      </c>
      <c r="E147" s="409" t="str">
        <f>VLOOKUP(Complete[[#This Row],[Code
(PAP)]],[2]Sheet1!$A:$AO,5,FALSE)</f>
        <v>Direct Contracting</v>
      </c>
      <c r="F147" s="393" t="str">
        <f>VLOOKUP(Complete[[#This Row],[Code
(PAP)]],[1]Sheet1!$A:$AO,6,FALSE)</f>
        <v>N/A</v>
      </c>
      <c r="G147" s="393">
        <f>VLOOKUP(Complete[[#This Row],[Code
(PAP)]],[1]Sheet1!$A:$AO,7,FALSE)</f>
        <v>45344</v>
      </c>
      <c r="H147" s="374"/>
      <c r="I147" s="394" t="str">
        <f>VLOOKUP(Complete[[#This Row],[Code
(PAP)]],[1]Sheet1!$A:$AO,9,FALSE)</f>
        <v>N/A</v>
      </c>
      <c r="J147" s="393">
        <f>VLOOKUP(Complete[[#This Row],[Code
(PAP)]],[1]Sheet1!$A:$AO,10,FALSE)</f>
        <v>45356</v>
      </c>
      <c r="K147" s="393">
        <f>VLOOKUP(Complete[[#This Row],[Code
(PAP)]],[1]Sheet1!$A:$AO,11,FALSE)</f>
        <v>45356</v>
      </c>
      <c r="L147" s="387"/>
      <c r="M147" s="393" t="str">
        <f>VLOOKUP(Complete[[#This Row],[Code
(PAP)]],[1]Sheet1!$A:$AO,13,FALSE)</f>
        <v>N/A</v>
      </c>
      <c r="N147" s="393" t="str">
        <f>VLOOKUP(Complete[[#This Row],[Code
(PAP)]],[1]Sheet1!$A:$AO,14,FALSE)</f>
        <v>N/A</v>
      </c>
      <c r="O147" s="393">
        <f>VLOOKUP(Complete[[#This Row],[Code
(PAP)]],[1]Sheet1!$A:$AO,15,FALSE)</f>
        <v>45357</v>
      </c>
      <c r="P147" s="387"/>
      <c r="Q147" s="387"/>
      <c r="R147" s="387"/>
      <c r="S147" s="576" t="str">
        <f>VLOOKUP(Complete[[#This Row],[Code
(PAP)]],[1]Sheet1!$A:$AO,19,FALSE)</f>
        <v>N/A</v>
      </c>
      <c r="T147" s="576">
        <f>VLOOKUP(Complete[[#This Row],[Code
(PAP)]],[1]Sheet1!$A:$AO,20,FALSE)</f>
        <v>45365</v>
      </c>
      <c r="U147" s="576">
        <f>VLOOKUP(Complete[[#This Row],[Code
(PAP)]],[1]Sheet1!$A:$AO,21,FALSE)</f>
        <v>45365</v>
      </c>
      <c r="V147" s="387"/>
      <c r="W147" s="387"/>
      <c r="X147" s="392">
        <f>VLOOKUP(Complete[[#This Row],[Code
(PAP)]],[1]Sheet1!$A:$AO,24,FALSE)</f>
        <v>45393</v>
      </c>
      <c r="Y147" s="392">
        <f>Complete[[#This Row],[Delivery/ Completion]]</f>
        <v>45393</v>
      </c>
      <c r="Z147" s="610" t="s">
        <v>1478</v>
      </c>
      <c r="AA147" s="462">
        <f>Complete[[#This Row],[MOOE]]+Complete[[#This Row],[CO]]</f>
        <v>20000</v>
      </c>
      <c r="AB147" s="466">
        <v>20000</v>
      </c>
      <c r="AC147" s="497"/>
      <c r="AD147" s="498">
        <f>IF(Complete[[#This Row],[Procurement Project]]="","",SUM(Complete[[#This Row],[MOOE2]]+Complete[[#This Row],[CO3]]))</f>
        <v>20000</v>
      </c>
      <c r="AE147" s="501">
        <v>20000</v>
      </c>
      <c r="AF147" s="541"/>
      <c r="AG147" s="400"/>
      <c r="AH147" s="380" t="s">
        <v>1205</v>
      </c>
      <c r="AI147" s="576" t="str">
        <f>VLOOKUP(Complete[[#This Row],[Code
(PAP)]],[1]Sheet1!$A:$AO,35,FALSE)</f>
        <v>N/A</v>
      </c>
      <c r="AJ147" s="576" t="str">
        <f>VLOOKUP(Complete[[#This Row],[Code
(PAP)]],[1]Sheet1!$A:$AO,36,FALSE)</f>
        <v>N/A</v>
      </c>
      <c r="AK147" s="576" t="str">
        <f>VLOOKUP(Complete[[#This Row],[Code
(PAP)]],[1]Sheet1!$A:$AO,37,FALSE)</f>
        <v>N/A</v>
      </c>
      <c r="AL147" s="576" t="str">
        <f>VLOOKUP(Complete[[#This Row],[Code
(PAP)]],[1]Sheet1!$A:$AO,38,FALSE)</f>
        <v>N/A</v>
      </c>
      <c r="AM147" s="576" t="str">
        <f>VLOOKUP(Complete[[#This Row],[Code
(PAP)]],[1]Sheet1!$A:$AO,38,FALSE)</f>
        <v>N/A</v>
      </c>
      <c r="AN147" s="595" t="s">
        <v>713</v>
      </c>
      <c r="AO147" s="303" t="s">
        <v>139</v>
      </c>
      <c r="AP147" s="389"/>
      <c r="AQ147" s="389"/>
    </row>
    <row r="148" spans="1:43" s="224" customFormat="1" ht="75" customHeight="1" x14ac:dyDescent="0.25">
      <c r="A148" s="385" t="s">
        <v>326</v>
      </c>
      <c r="B148" s="406" t="str">
        <f>VLOOKUP(Complete[[#This Row],[Code
(PAP)]],[1]Sheet1!$A:$AO,2,FALSE)</f>
        <v>DUPLICATING PRODUCTS/SPAREPARTS</v>
      </c>
      <c r="C148" s="408" t="str">
        <f>VLOOKUP(Complete[[#This Row],[Code
(PAP)]],[1]Sheet1!$A:$AO,3,FALSE)</f>
        <v>PTO</v>
      </c>
      <c r="D148" s="380" t="s">
        <v>712</v>
      </c>
      <c r="E148" s="409" t="str">
        <f>VLOOKUP(Complete[[#This Row],[Code
(PAP)]],[2]Sheet1!$A:$AO,5,FALSE)</f>
        <v>Direct Contracting</v>
      </c>
      <c r="F148" s="393">
        <f>VLOOKUP(Complete[[#This Row],[Code
(PAP)]],[1]Sheet1!$A:$AO,6,FALSE)</f>
        <v>45342</v>
      </c>
      <c r="G148" s="393">
        <f>VLOOKUP(Complete[[#This Row],[Code
(PAP)]],[1]Sheet1!$A:$AO,7,FALSE)</f>
        <v>45344</v>
      </c>
      <c r="H148" s="374"/>
      <c r="I148" s="394" t="str">
        <f>VLOOKUP(Complete[[#This Row],[Code
(PAP)]],[1]Sheet1!$A:$AO,9,FALSE)</f>
        <v>N/A</v>
      </c>
      <c r="J148" s="393">
        <f>VLOOKUP(Complete[[#This Row],[Code
(PAP)]],[1]Sheet1!$A:$AO,10,FALSE)</f>
        <v>45356</v>
      </c>
      <c r="K148" s="393">
        <f>VLOOKUP(Complete[[#This Row],[Code
(PAP)]],[1]Sheet1!$A:$AO,11,FALSE)</f>
        <v>45356</v>
      </c>
      <c r="L148" s="387"/>
      <c r="M148" s="393" t="str">
        <f>VLOOKUP(Complete[[#This Row],[Code
(PAP)]],[1]Sheet1!$A:$AO,13,FALSE)</f>
        <v>N/A</v>
      </c>
      <c r="N148" s="393" t="str">
        <f>VLOOKUP(Complete[[#This Row],[Code
(PAP)]],[1]Sheet1!$A:$AO,14,FALSE)</f>
        <v>N/A</v>
      </c>
      <c r="O148" s="393">
        <f>VLOOKUP(Complete[[#This Row],[Code
(PAP)]],[1]Sheet1!$A:$AO,15,FALSE)</f>
        <v>45357</v>
      </c>
      <c r="P148" s="387"/>
      <c r="Q148" s="387"/>
      <c r="R148" s="387"/>
      <c r="S148" s="576" t="str">
        <f>VLOOKUP(Complete[[#This Row],[Code
(PAP)]],[1]Sheet1!$A:$AO,19,FALSE)</f>
        <v>N/A</v>
      </c>
      <c r="T148" s="576">
        <f>VLOOKUP(Complete[[#This Row],[Code
(PAP)]],[1]Sheet1!$A:$AO,20,FALSE)</f>
        <v>45370</v>
      </c>
      <c r="U148" s="576">
        <f>VLOOKUP(Complete[[#This Row],[Code
(PAP)]],[1]Sheet1!$A:$AO,21,FALSE)</f>
        <v>45385</v>
      </c>
      <c r="V148" s="387"/>
      <c r="W148" s="387"/>
      <c r="X148" s="392">
        <f>VLOOKUP(Complete[[#This Row],[Code
(PAP)]],[1]Sheet1!$A:$AO,24,FALSE)</f>
        <v>45400</v>
      </c>
      <c r="Y148" s="392">
        <f>Complete[[#This Row],[Delivery/ Completion]]</f>
        <v>45400</v>
      </c>
      <c r="Z148" s="610" t="s">
        <v>1478</v>
      </c>
      <c r="AA148" s="462">
        <f>Complete[[#This Row],[MOOE]]+Complete[[#This Row],[CO]]</f>
        <v>12046</v>
      </c>
      <c r="AB148" s="466">
        <v>12046</v>
      </c>
      <c r="AC148" s="497"/>
      <c r="AD148" s="498">
        <f>IF(Complete[[#This Row],[Procurement Project]]="","",SUM(Complete[[#This Row],[MOOE2]]+Complete[[#This Row],[CO3]]))</f>
        <v>10950</v>
      </c>
      <c r="AE148" s="501">
        <v>10950</v>
      </c>
      <c r="AF148" s="541"/>
      <c r="AG148" s="400"/>
      <c r="AH148" s="380" t="s">
        <v>1205</v>
      </c>
      <c r="AI148" s="576" t="str">
        <f>VLOOKUP(Complete[[#This Row],[Code
(PAP)]],[1]Sheet1!$A:$AO,35,FALSE)</f>
        <v>N/A</v>
      </c>
      <c r="AJ148" s="576" t="str">
        <f>VLOOKUP(Complete[[#This Row],[Code
(PAP)]],[1]Sheet1!$A:$AO,36,FALSE)</f>
        <v>N/A</v>
      </c>
      <c r="AK148" s="576" t="str">
        <f>VLOOKUP(Complete[[#This Row],[Code
(PAP)]],[1]Sheet1!$A:$AO,37,FALSE)</f>
        <v>N/A</v>
      </c>
      <c r="AL148" s="576" t="str">
        <f>VLOOKUP(Complete[[#This Row],[Code
(PAP)]],[1]Sheet1!$A:$AO,38,FALSE)</f>
        <v>N/A</v>
      </c>
      <c r="AM148" s="576" t="str">
        <f>VLOOKUP(Complete[[#This Row],[Code
(PAP)]],[1]Sheet1!$A:$AO,38,FALSE)</f>
        <v>N/A</v>
      </c>
      <c r="AN148" s="595" t="s">
        <v>713</v>
      </c>
      <c r="AO148" s="303" t="s">
        <v>139</v>
      </c>
      <c r="AP148" s="389"/>
      <c r="AQ148" s="389"/>
    </row>
    <row r="149" spans="1:43" s="224" customFormat="1" ht="75" customHeight="1" x14ac:dyDescent="0.25">
      <c r="A149" s="385" t="s">
        <v>327</v>
      </c>
      <c r="B149" s="406" t="str">
        <f>VLOOKUP(Complete[[#This Row],[Code
(PAP)]],[1]Sheet1!$A:$AO,2,FALSE)</f>
        <v>SUPPLY AND DELIVERY OF OFFICE SUPPLIES</v>
      </c>
      <c r="C149" s="408" t="str">
        <f>VLOOKUP(Complete[[#This Row],[Code
(PAP)]],[1]Sheet1!$A:$AO,3,FALSE)</f>
        <v>PEO</v>
      </c>
      <c r="D149" s="380" t="s">
        <v>712</v>
      </c>
      <c r="E149" s="409" t="str">
        <f>VLOOKUP(Complete[[#This Row],[Code
(PAP)]],[2]Sheet1!$A:$AO,5,FALSE)</f>
        <v>Competitive Bidding</v>
      </c>
      <c r="F149" s="393" t="str">
        <f>VLOOKUP(Complete[[#This Row],[Code
(PAP)]],[1]Sheet1!$A:$AO,6,FALSE)</f>
        <v>N/A</v>
      </c>
      <c r="G149" s="393">
        <f>VLOOKUP(Complete[[#This Row],[Code
(PAP)]],[1]Sheet1!$A:$AO,7,FALSE)</f>
        <v>45334</v>
      </c>
      <c r="H149" s="374"/>
      <c r="I149" s="394" t="str">
        <f>VLOOKUP(Complete[[#This Row],[Code
(PAP)]],[1]Sheet1!$A:$AO,9,FALSE)</f>
        <v>N/A</v>
      </c>
      <c r="J149" s="393">
        <f>VLOOKUP(Complete[[#This Row],[Code
(PAP)]],[1]Sheet1!$A:$AO,10,FALSE)</f>
        <v>45342</v>
      </c>
      <c r="K149" s="393">
        <f>VLOOKUP(Complete[[#This Row],[Code
(PAP)]],[1]Sheet1!$A:$AO,11,FALSE)</f>
        <v>45342</v>
      </c>
      <c r="L149" s="387"/>
      <c r="M149" s="393">
        <f>VLOOKUP(Complete[[#This Row],[Code
(PAP)]],[1]Sheet1!$A:$AO,13,FALSE)</f>
        <v>45342</v>
      </c>
      <c r="N149" s="393">
        <f>VLOOKUP(Complete[[#This Row],[Code
(PAP)]],[1]Sheet1!$A:$AO,14,FALSE)</f>
        <v>45349</v>
      </c>
      <c r="O149" s="393">
        <f>VLOOKUP(Complete[[#This Row],[Code
(PAP)]],[1]Sheet1!$A:$AO,15,FALSE)</f>
        <v>45357</v>
      </c>
      <c r="P149" s="387"/>
      <c r="Q149" s="387"/>
      <c r="R149" s="387"/>
      <c r="S149" s="576">
        <f>VLOOKUP(Complete[[#This Row],[Code
(PAP)]],[1]Sheet1!$A:$AO,19,FALSE)</f>
        <v>45363</v>
      </c>
      <c r="T149" s="576">
        <f>VLOOKUP(Complete[[#This Row],[Code
(PAP)]],[1]Sheet1!$A:$AO,20,FALSE)</f>
        <v>45376</v>
      </c>
      <c r="U149" s="576">
        <f>VLOOKUP(Complete[[#This Row],[Code
(PAP)]],[1]Sheet1!$A:$AO,21,FALSE)</f>
        <v>45384</v>
      </c>
      <c r="V149" s="387"/>
      <c r="W149" s="387"/>
      <c r="X149" s="392">
        <f>VLOOKUP(Complete[[#This Row],[Code
(PAP)]],[1]Sheet1!$A:$AO,24,FALSE)</f>
        <v>45387</v>
      </c>
      <c r="Y149" s="392">
        <f>Complete[[#This Row],[Delivery/ Completion]]</f>
        <v>45387</v>
      </c>
      <c r="Z149" s="610" t="s">
        <v>1478</v>
      </c>
      <c r="AA149" s="462">
        <f>Complete[[#This Row],[MOOE]]+Complete[[#This Row],[CO]]</f>
        <v>459114</v>
      </c>
      <c r="AB149" s="466">
        <v>459114</v>
      </c>
      <c r="AC149" s="497"/>
      <c r="AD149" s="498">
        <f>IF(Complete[[#This Row],[Procurement Project]]="","",SUM(Complete[[#This Row],[MOOE2]]+Complete[[#This Row],[CO3]]))</f>
        <v>390169</v>
      </c>
      <c r="AE149" s="501">
        <v>390169</v>
      </c>
      <c r="AF149" s="541"/>
      <c r="AG149" s="400"/>
      <c r="AH149" s="380" t="s">
        <v>1205</v>
      </c>
      <c r="AI149" s="576" t="str">
        <f>VLOOKUP(Complete[[#This Row],[Code
(PAP)]],[1]Sheet1!$A:$AO,35,FALSE)</f>
        <v>N/A</v>
      </c>
      <c r="AJ149" s="576">
        <f>VLOOKUP(Complete[[#This Row],[Code
(PAP)]],[1]Sheet1!$A:$AO,36,FALSE)</f>
        <v>45341</v>
      </c>
      <c r="AK149" s="576">
        <f>VLOOKUP(Complete[[#This Row],[Code
(PAP)]],[1]Sheet1!$A:$AO,37,FALSE)</f>
        <v>45341</v>
      </c>
      <c r="AL149" s="576">
        <f>VLOOKUP(Complete[[#This Row],[Code
(PAP)]],[1]Sheet1!$A:$AO,38,FALSE)</f>
        <v>45341</v>
      </c>
      <c r="AM149" s="576">
        <f>VLOOKUP(Complete[[#This Row],[Code
(PAP)]],[1]Sheet1!$A:$AO,38,FALSE)</f>
        <v>45341</v>
      </c>
      <c r="AN149" s="595" t="s">
        <v>713</v>
      </c>
      <c r="AO149" s="303" t="s">
        <v>139</v>
      </c>
      <c r="AP149" s="389"/>
      <c r="AQ149" s="389"/>
    </row>
    <row r="150" spans="1:43" s="224" customFormat="1" ht="75" customHeight="1" x14ac:dyDescent="0.25">
      <c r="A150" s="385" t="s">
        <v>328</v>
      </c>
      <c r="B150" s="406" t="str">
        <f>VLOOKUP(Complete[[#This Row],[Code
(PAP)]],[1]Sheet1!$A:$AO,2,FALSE)</f>
        <v>SUPPLY AND DELIVEY OF MEALS AND SNACKS</v>
      </c>
      <c r="C150" s="408" t="str">
        <f>VLOOKUP(Complete[[#This Row],[Code
(PAP)]],[1]Sheet1!$A:$AO,3,FALSE)</f>
        <v>PEEMO</v>
      </c>
      <c r="D150" s="380" t="s">
        <v>712</v>
      </c>
      <c r="E150" s="409" t="str">
        <f>VLOOKUP(Complete[[#This Row],[Code
(PAP)]],[2]Sheet1!$A:$AO,5,FALSE)</f>
        <v>Competitive Bidding</v>
      </c>
      <c r="F150" s="393" t="str">
        <f>VLOOKUP(Complete[[#This Row],[Code
(PAP)]],[1]Sheet1!$A:$AO,6,FALSE)</f>
        <v>N/A</v>
      </c>
      <c r="G150" s="393">
        <f>VLOOKUP(Complete[[#This Row],[Code
(PAP)]],[1]Sheet1!$A:$AO,7,FALSE)</f>
        <v>45320</v>
      </c>
      <c r="H150" s="374"/>
      <c r="I150" s="394" t="str">
        <f>VLOOKUP(Complete[[#This Row],[Code
(PAP)]],[1]Sheet1!$A:$AO,9,FALSE)</f>
        <v>N/A</v>
      </c>
      <c r="J150" s="393">
        <f>VLOOKUP(Complete[[#This Row],[Code
(PAP)]],[1]Sheet1!$A:$AO,10,FALSE)</f>
        <v>45342</v>
      </c>
      <c r="K150" s="393">
        <f>VLOOKUP(Complete[[#This Row],[Code
(PAP)]],[1]Sheet1!$A:$AO,11,FALSE)</f>
        <v>45342</v>
      </c>
      <c r="L150" s="387"/>
      <c r="M150" s="393">
        <f>VLOOKUP(Complete[[#This Row],[Code
(PAP)]],[1]Sheet1!$A:$AO,13,FALSE)</f>
        <v>45342</v>
      </c>
      <c r="N150" s="393">
        <f>VLOOKUP(Complete[[#This Row],[Code
(PAP)]],[1]Sheet1!$A:$AO,14,FALSE)</f>
        <v>45349</v>
      </c>
      <c r="O150" s="393">
        <f>VLOOKUP(Complete[[#This Row],[Code
(PAP)]],[1]Sheet1!$A:$AO,15,FALSE)</f>
        <v>45357</v>
      </c>
      <c r="P150" s="387"/>
      <c r="Q150" s="387"/>
      <c r="R150" s="387"/>
      <c r="S150" s="576">
        <f>VLOOKUP(Complete[[#This Row],[Code
(PAP)]],[1]Sheet1!$A:$AO,19,FALSE)</f>
        <v>45357</v>
      </c>
      <c r="T150" s="576">
        <f>VLOOKUP(Complete[[#This Row],[Code
(PAP)]],[1]Sheet1!$A:$AO,20,FALSE)</f>
        <v>45357</v>
      </c>
      <c r="U150" s="576">
        <f>VLOOKUP(Complete[[#This Row],[Code
(PAP)]],[1]Sheet1!$A:$AO,21,FALSE)</f>
        <v>45358</v>
      </c>
      <c r="V150" s="387"/>
      <c r="W150" s="387"/>
      <c r="X150" s="392">
        <f>VLOOKUP(Complete[[#This Row],[Code
(PAP)]],[1]Sheet1!$A:$AO,24,FALSE)</f>
        <v>45359</v>
      </c>
      <c r="Y150" s="392">
        <f>Complete[[#This Row],[Delivery/ Completion]]</f>
        <v>45359</v>
      </c>
      <c r="Z150" s="610" t="s">
        <v>1478</v>
      </c>
      <c r="AA150" s="462">
        <f>Complete[[#This Row],[MOOE]]+Complete[[#This Row],[CO]]</f>
        <v>433440</v>
      </c>
      <c r="AB150" s="466"/>
      <c r="AC150" s="497">
        <v>433440</v>
      </c>
      <c r="AD150" s="498">
        <f>IF(Complete[[#This Row],[Procurement Project]]="","",SUM(Complete[[#This Row],[MOOE2]]+Complete[[#This Row],[CO3]]))</f>
        <v>425736</v>
      </c>
      <c r="AE150" s="501"/>
      <c r="AF150" s="541">
        <v>425736</v>
      </c>
      <c r="AG150" s="400"/>
      <c r="AH150" s="380" t="s">
        <v>1205</v>
      </c>
      <c r="AI150" s="576" t="str">
        <f>VLOOKUP(Complete[[#This Row],[Code
(PAP)]],[1]Sheet1!$A:$AO,35,FALSE)</f>
        <v>N/A</v>
      </c>
      <c r="AJ150" s="576">
        <f>VLOOKUP(Complete[[#This Row],[Code
(PAP)]],[1]Sheet1!$A:$AO,36,FALSE)</f>
        <v>45341</v>
      </c>
      <c r="AK150" s="576">
        <f>VLOOKUP(Complete[[#This Row],[Code
(PAP)]],[1]Sheet1!$A:$AO,37,FALSE)</f>
        <v>45341</v>
      </c>
      <c r="AL150" s="576">
        <f>VLOOKUP(Complete[[#This Row],[Code
(PAP)]],[1]Sheet1!$A:$AO,38,FALSE)</f>
        <v>45341</v>
      </c>
      <c r="AM150" s="576">
        <f>VLOOKUP(Complete[[#This Row],[Code
(PAP)]],[1]Sheet1!$A:$AO,38,FALSE)</f>
        <v>45341</v>
      </c>
      <c r="AN150" s="595" t="s">
        <v>713</v>
      </c>
      <c r="AO150" s="303" t="s">
        <v>139</v>
      </c>
      <c r="AP150" s="389"/>
      <c r="AQ150" s="389"/>
    </row>
    <row r="151" spans="1:43" s="224" customFormat="1" ht="75" customHeight="1" x14ac:dyDescent="0.25">
      <c r="A151" s="385" t="s">
        <v>329</v>
      </c>
      <c r="B151" s="406" t="str">
        <f>VLOOKUP(Complete[[#This Row],[Code
(PAP)]],[1]Sheet1!$A:$AO,2,FALSE)</f>
        <v>SUPPLY AND DELIVERY OF FOOD SUPPLIES</v>
      </c>
      <c r="C151" s="408" t="str">
        <f>VLOOKUP(Complete[[#This Row],[Code
(PAP)]],[1]Sheet1!$A:$AO,3,FALSE)</f>
        <v>PSWDO</v>
      </c>
      <c r="D151" s="380" t="s">
        <v>712</v>
      </c>
      <c r="E151" s="409" t="str">
        <f>VLOOKUP(Complete[[#This Row],[Code
(PAP)]],[2]Sheet1!$A:$AO,5,FALSE)</f>
        <v>Competitive Bidding</v>
      </c>
      <c r="F151" s="393" t="str">
        <f>VLOOKUP(Complete[[#This Row],[Code
(PAP)]],[1]Sheet1!$A:$AO,6,FALSE)</f>
        <v>N/A</v>
      </c>
      <c r="G151" s="393">
        <f>VLOOKUP(Complete[[#This Row],[Code
(PAP)]],[1]Sheet1!$A:$AO,7,FALSE)</f>
        <v>45334</v>
      </c>
      <c r="H151" s="374"/>
      <c r="I151" s="394" t="str">
        <f>VLOOKUP(Complete[[#This Row],[Code
(PAP)]],[1]Sheet1!$A:$AO,9,FALSE)</f>
        <v>N/A</v>
      </c>
      <c r="J151" s="393">
        <f>VLOOKUP(Complete[[#This Row],[Code
(PAP)]],[1]Sheet1!$A:$AO,10,FALSE)</f>
        <v>45342</v>
      </c>
      <c r="K151" s="393">
        <f>VLOOKUP(Complete[[#This Row],[Code
(PAP)]],[1]Sheet1!$A:$AO,11,FALSE)</f>
        <v>45342</v>
      </c>
      <c r="L151" s="387"/>
      <c r="M151" s="393">
        <f>VLOOKUP(Complete[[#This Row],[Code
(PAP)]],[1]Sheet1!$A:$AO,13,FALSE)</f>
        <v>45342</v>
      </c>
      <c r="N151" s="393">
        <f>VLOOKUP(Complete[[#This Row],[Code
(PAP)]],[1]Sheet1!$A:$AO,14,FALSE)</f>
        <v>45364</v>
      </c>
      <c r="O151" s="393">
        <f>VLOOKUP(Complete[[#This Row],[Code
(PAP)]],[1]Sheet1!$A:$AO,15,FALSE)</f>
        <v>45372</v>
      </c>
      <c r="P151" s="387"/>
      <c r="Q151" s="387"/>
      <c r="R151" s="387"/>
      <c r="S151" s="576">
        <f>VLOOKUP(Complete[[#This Row],[Code
(PAP)]],[1]Sheet1!$A:$AO,19,FALSE)</f>
        <v>45376</v>
      </c>
      <c r="T151" s="576">
        <f>VLOOKUP(Complete[[#This Row],[Code
(PAP)]],[1]Sheet1!$A:$AO,20,FALSE)</f>
        <v>45393</v>
      </c>
      <c r="U151" s="576">
        <f>VLOOKUP(Complete[[#This Row],[Code
(PAP)]],[1]Sheet1!$A:$AO,21,FALSE)</f>
        <v>45397</v>
      </c>
      <c r="V151" s="387"/>
      <c r="W151" s="387"/>
      <c r="X151" s="392">
        <f>VLOOKUP(Complete[[#This Row],[Code
(PAP)]],[1]Sheet1!$A:$AO,24,FALSE)</f>
        <v>45404</v>
      </c>
      <c r="Y151" s="392">
        <f>Complete[[#This Row],[Delivery/ Completion]]</f>
        <v>45404</v>
      </c>
      <c r="Z151" s="610" t="s">
        <v>1478</v>
      </c>
      <c r="AA151" s="462">
        <f>Complete[[#This Row],[MOOE]]+Complete[[#This Row],[CO]]</f>
        <v>790240</v>
      </c>
      <c r="AB151" s="466"/>
      <c r="AC151" s="497">
        <f>VLOOKUP(Complete[[#This Row],[Code
(PAP)]],[1]Sheet1!$A:$AO,29,FALSE)</f>
        <v>790240</v>
      </c>
      <c r="AD151" s="498">
        <f>IF(Complete[[#This Row],[Procurement Project]]="","",SUM(Complete[[#This Row],[MOOE2]]+Complete[[#This Row],[CO3]]))</f>
        <v>585969.5</v>
      </c>
      <c r="AE151" s="501"/>
      <c r="AF151" s="541">
        <v>585969.5</v>
      </c>
      <c r="AG151" s="400"/>
      <c r="AH151" s="380" t="s">
        <v>1205</v>
      </c>
      <c r="AI151" s="576">
        <f>VLOOKUP(Complete[[#This Row],[Code
(PAP)]],[1]Sheet1!$A:$AO,35,FALSE)</f>
        <v>45327</v>
      </c>
      <c r="AJ151" s="576">
        <f>VLOOKUP(Complete[[#This Row],[Code
(PAP)]],[1]Sheet1!$A:$AO,36,FALSE)</f>
        <v>45341</v>
      </c>
      <c r="AK151" s="576">
        <f>VLOOKUP(Complete[[#This Row],[Code
(PAP)]],[1]Sheet1!$A:$AO,37,FALSE)</f>
        <v>45341</v>
      </c>
      <c r="AL151" s="576">
        <f>VLOOKUP(Complete[[#This Row],[Code
(PAP)]],[1]Sheet1!$A:$AO,38,FALSE)</f>
        <v>45341</v>
      </c>
      <c r="AM151" s="576">
        <f>VLOOKUP(Complete[[#This Row],[Code
(PAP)]],[1]Sheet1!$A:$AO,38,FALSE)</f>
        <v>45341</v>
      </c>
      <c r="AN151" s="595" t="s">
        <v>713</v>
      </c>
      <c r="AO151" s="303" t="s">
        <v>139</v>
      </c>
      <c r="AP151" s="389"/>
      <c r="AQ151" s="389"/>
    </row>
    <row r="152" spans="1:43" s="224" customFormat="1" ht="75" customHeight="1" x14ac:dyDescent="0.25">
      <c r="A152" s="385" t="s">
        <v>330</v>
      </c>
      <c r="B152" s="406" t="str">
        <f>VLOOKUP(Complete[[#This Row],[Code
(PAP)]],[1]Sheet1!$A:$AO,2,FALSE)</f>
        <v>SUPPLY AND DELIVERY OF OFFICE SUPPLIES</v>
      </c>
      <c r="C152" s="408" t="str">
        <f>VLOOKUP(Complete[[#This Row],[Code
(PAP)]],[1]Sheet1!$A:$AO,3,FALSE)</f>
        <v>PEEMO</v>
      </c>
      <c r="D152" s="380" t="s">
        <v>712</v>
      </c>
      <c r="E152" s="409" t="str">
        <f>VLOOKUP(Complete[[#This Row],[Code
(PAP)]],[2]Sheet1!$A:$AO,5,FALSE)</f>
        <v>Competitive Bidding</v>
      </c>
      <c r="F152" s="393" t="str">
        <f>VLOOKUP(Complete[[#This Row],[Code
(PAP)]],[1]Sheet1!$A:$AO,6,FALSE)</f>
        <v>N/A</v>
      </c>
      <c r="G152" s="393">
        <f>VLOOKUP(Complete[[#This Row],[Code
(PAP)]],[1]Sheet1!$A:$AO,7,FALSE)</f>
        <v>45341</v>
      </c>
      <c r="H152" s="374"/>
      <c r="I152" s="394" t="str">
        <f>VLOOKUP(Complete[[#This Row],[Code
(PAP)]],[1]Sheet1!$A:$AO,9,FALSE)</f>
        <v>N/A</v>
      </c>
      <c r="J152" s="393">
        <f>VLOOKUP(Complete[[#This Row],[Code
(PAP)]],[1]Sheet1!$A:$AO,10,FALSE)</f>
        <v>45356</v>
      </c>
      <c r="K152" s="393">
        <f>VLOOKUP(Complete[[#This Row],[Code
(PAP)]],[1]Sheet1!$A:$AO,11,FALSE)</f>
        <v>45356</v>
      </c>
      <c r="L152" s="387"/>
      <c r="M152" s="393">
        <f>VLOOKUP(Complete[[#This Row],[Code
(PAP)]],[1]Sheet1!$A:$AO,13,FALSE)</f>
        <v>45356</v>
      </c>
      <c r="N152" s="393">
        <f>VLOOKUP(Complete[[#This Row],[Code
(PAP)]],[1]Sheet1!$A:$AO,14,FALSE)</f>
        <v>45364</v>
      </c>
      <c r="O152" s="393">
        <f>VLOOKUP(Complete[[#This Row],[Code
(PAP)]],[1]Sheet1!$A:$AO,15,FALSE)</f>
        <v>45373</v>
      </c>
      <c r="P152" s="387"/>
      <c r="Q152" s="387"/>
      <c r="R152" s="387"/>
      <c r="S152" s="576">
        <f>VLOOKUP(Complete[[#This Row],[Code
(PAP)]],[1]Sheet1!$A:$AO,19,FALSE)</f>
        <v>45377</v>
      </c>
      <c r="T152" s="576">
        <f>VLOOKUP(Complete[[#This Row],[Code
(PAP)]],[1]Sheet1!$A:$AO,20,FALSE)</f>
        <v>45393</v>
      </c>
      <c r="U152" s="576">
        <f>VLOOKUP(Complete[[#This Row],[Code
(PAP)]],[1]Sheet1!$A:$AO,21,FALSE)</f>
        <v>45398</v>
      </c>
      <c r="V152" s="387"/>
      <c r="W152" s="387"/>
      <c r="X152" s="392">
        <f>VLOOKUP(Complete[[#This Row],[Code
(PAP)]],[1]Sheet1!$A:$AO,24,FALSE)</f>
        <v>45407</v>
      </c>
      <c r="Y152" s="392">
        <f>Complete[[#This Row],[Delivery/ Completion]]</f>
        <v>45407</v>
      </c>
      <c r="Z152" s="610" t="s">
        <v>1478</v>
      </c>
      <c r="AA152" s="462">
        <f>Complete[[#This Row],[MOOE]]+Complete[[#This Row],[CO]]</f>
        <v>839080</v>
      </c>
      <c r="AB152" s="466">
        <v>839080</v>
      </c>
      <c r="AC152" s="497"/>
      <c r="AD152" s="498">
        <f>IF(Complete[[#This Row],[Procurement Project]]="","",SUM(Complete[[#This Row],[MOOE2]]+Complete[[#This Row],[CO3]]))</f>
        <v>631974</v>
      </c>
      <c r="AE152" s="501">
        <v>631974</v>
      </c>
      <c r="AF152" s="541"/>
      <c r="AG152" s="400"/>
      <c r="AH152" s="380" t="s">
        <v>1205</v>
      </c>
      <c r="AI152" s="576" t="str">
        <f>VLOOKUP(Complete[[#This Row],[Code
(PAP)]],[1]Sheet1!$A:$AO,35,FALSE)</f>
        <v>N/A</v>
      </c>
      <c r="AJ152" s="576">
        <f>VLOOKUP(Complete[[#This Row],[Code
(PAP)]],[1]Sheet1!$A:$AO,36,FALSE)</f>
        <v>45352</v>
      </c>
      <c r="AK152" s="576">
        <f>VLOOKUP(Complete[[#This Row],[Code
(PAP)]],[1]Sheet1!$A:$AO,37,FALSE)</f>
        <v>45352</v>
      </c>
      <c r="AL152" s="576">
        <f>VLOOKUP(Complete[[#This Row],[Code
(PAP)]],[1]Sheet1!$A:$AO,38,FALSE)</f>
        <v>45352</v>
      </c>
      <c r="AM152" s="576">
        <f>VLOOKUP(Complete[[#This Row],[Code
(PAP)]],[1]Sheet1!$A:$AO,38,FALSE)</f>
        <v>45352</v>
      </c>
      <c r="AN152" s="595" t="s">
        <v>713</v>
      </c>
      <c r="AO152" s="303" t="s">
        <v>139</v>
      </c>
      <c r="AP152" s="389"/>
      <c r="AQ152" s="389"/>
    </row>
    <row r="153" spans="1:43" s="224" customFormat="1" ht="75" customHeight="1" x14ac:dyDescent="0.25">
      <c r="A153" s="385" t="s">
        <v>331</v>
      </c>
      <c r="B153" s="406" t="str">
        <f>VLOOKUP(Complete[[#This Row],[Code
(PAP)]],[1]Sheet1!$A:$AO,2,FALSE)</f>
        <v>SUPPLY AND DELIVERY OF CONSTRUCTION MATERIALS</v>
      </c>
      <c r="C153" s="408" t="str">
        <f>VLOOKUP(Complete[[#This Row],[Code
(PAP)]],[1]Sheet1!$A:$AO,3,FALSE)</f>
        <v>PEO</v>
      </c>
      <c r="D153" s="380" t="s">
        <v>712</v>
      </c>
      <c r="E153" s="409" t="str">
        <f>VLOOKUP(Complete[[#This Row],[Code
(PAP)]],[2]Sheet1!$A:$AO,5,FALSE)</f>
        <v>Competitive Bidding</v>
      </c>
      <c r="F153" s="393" t="str">
        <f>VLOOKUP(Complete[[#This Row],[Code
(PAP)]],[1]Sheet1!$A:$AO,6,FALSE)</f>
        <v>N/A</v>
      </c>
      <c r="G153" s="393">
        <f>VLOOKUP(Complete[[#This Row],[Code
(PAP)]],[1]Sheet1!$A:$AO,7,FALSE)</f>
        <v>45348</v>
      </c>
      <c r="H153" s="374"/>
      <c r="I153" s="394" t="str">
        <f>VLOOKUP(Complete[[#This Row],[Code
(PAP)]],[1]Sheet1!$A:$AO,9,FALSE)</f>
        <v>N/A</v>
      </c>
      <c r="J153" s="393">
        <f>VLOOKUP(Complete[[#This Row],[Code
(PAP)]],[1]Sheet1!$A:$AO,10,FALSE)</f>
        <v>45356</v>
      </c>
      <c r="K153" s="393">
        <f>VLOOKUP(Complete[[#This Row],[Code
(PAP)]],[1]Sheet1!$A:$AO,11,FALSE)</f>
        <v>45356</v>
      </c>
      <c r="L153" s="387"/>
      <c r="M153" s="393">
        <f>VLOOKUP(Complete[[#This Row],[Code
(PAP)]],[1]Sheet1!$A:$AO,13,FALSE)</f>
        <v>45356</v>
      </c>
      <c r="N153" s="393">
        <f>VLOOKUP(Complete[[#This Row],[Code
(PAP)]],[1]Sheet1!$A:$AO,14,FALSE)</f>
        <v>45364</v>
      </c>
      <c r="O153" s="393">
        <f>VLOOKUP(Complete[[#This Row],[Code
(PAP)]],[1]Sheet1!$A:$AO,15,FALSE)</f>
        <v>45372</v>
      </c>
      <c r="P153" s="387"/>
      <c r="Q153" s="387"/>
      <c r="R153" s="387"/>
      <c r="S153" s="576">
        <f>VLOOKUP(Complete[[#This Row],[Code
(PAP)]],[1]Sheet1!$A:$AO,19,FALSE)</f>
        <v>45378</v>
      </c>
      <c r="T153" s="576">
        <f>VLOOKUP(Complete[[#This Row],[Code
(PAP)]],[1]Sheet1!$A:$AO,20,FALSE)</f>
        <v>45394</v>
      </c>
      <c r="U153" s="576">
        <f>VLOOKUP(Complete[[#This Row],[Code
(PAP)]],[1]Sheet1!$A:$AO,21,FALSE)</f>
        <v>45404</v>
      </c>
      <c r="V153" s="387"/>
      <c r="W153" s="387"/>
      <c r="X153" s="392">
        <f>VLOOKUP(Complete[[#This Row],[Code
(PAP)]],[1]Sheet1!$A:$AO,24,FALSE)</f>
        <v>45412</v>
      </c>
      <c r="Y153" s="392">
        <f>Complete[[#This Row],[Delivery/ Completion]]</f>
        <v>45412</v>
      </c>
      <c r="Z153" s="610" t="s">
        <v>1478</v>
      </c>
      <c r="AA153" s="462">
        <f>Complete[[#This Row],[MOOE]]+Complete[[#This Row],[CO]]</f>
        <v>505747.94</v>
      </c>
      <c r="AB153" s="466"/>
      <c r="AC153" s="497">
        <v>505747.94</v>
      </c>
      <c r="AD153" s="498">
        <f>IF(Complete[[#This Row],[Procurement Project]]="","",SUM(Complete[[#This Row],[MOOE2]]+Complete[[#This Row],[CO3]]))</f>
        <v>503824.5</v>
      </c>
      <c r="AE153" s="501"/>
      <c r="AF153" s="541">
        <v>503824.5</v>
      </c>
      <c r="AG153" s="400"/>
      <c r="AH153" s="380" t="s">
        <v>1205</v>
      </c>
      <c r="AI153" s="576" t="str">
        <f>VLOOKUP(Complete[[#This Row],[Code
(PAP)]],[1]Sheet1!$A:$AO,35,FALSE)</f>
        <v>N/A</v>
      </c>
      <c r="AJ153" s="576">
        <f>VLOOKUP(Complete[[#This Row],[Code
(PAP)]],[1]Sheet1!$A:$AO,36,FALSE)</f>
        <v>45352</v>
      </c>
      <c r="AK153" s="576">
        <f>VLOOKUP(Complete[[#This Row],[Code
(PAP)]],[1]Sheet1!$A:$AO,37,FALSE)</f>
        <v>45352</v>
      </c>
      <c r="AL153" s="576">
        <f>VLOOKUP(Complete[[#This Row],[Code
(PAP)]],[1]Sheet1!$A:$AO,38,FALSE)</f>
        <v>45352</v>
      </c>
      <c r="AM153" s="576">
        <f>VLOOKUP(Complete[[#This Row],[Code
(PAP)]],[1]Sheet1!$A:$AO,38,FALSE)</f>
        <v>45352</v>
      </c>
      <c r="AN153" s="595" t="s">
        <v>713</v>
      </c>
      <c r="AO153" s="303" t="s">
        <v>139</v>
      </c>
      <c r="AP153" s="389"/>
      <c r="AQ153" s="389"/>
    </row>
    <row r="154" spans="1:43" s="224" customFormat="1" ht="75" customHeight="1" x14ac:dyDescent="0.25">
      <c r="A154" s="385" t="s">
        <v>332</v>
      </c>
      <c r="B154" s="406" t="str">
        <f>VLOOKUP(Complete[[#This Row],[Code
(PAP)]],[1]Sheet1!$A:$AO,2,FALSE)</f>
        <v>SUPPLY AND DELIVERY OF RICE (WELL-MILLED) 50KG/SACK</v>
      </c>
      <c r="C154" s="408" t="str">
        <f>VLOOKUP(Complete[[#This Row],[Code
(PAP)]],[1]Sheet1!$A:$AO,3,FALSE)</f>
        <v>PSWDO</v>
      </c>
      <c r="D154" s="380" t="s">
        <v>712</v>
      </c>
      <c r="E154" s="409" t="str">
        <f>VLOOKUP(Complete[[#This Row],[Code
(PAP)]],[2]Sheet1!$A:$AO,5,FALSE)</f>
        <v>Competitive Bidding</v>
      </c>
      <c r="F154" s="393" t="str">
        <f>VLOOKUP(Complete[[#This Row],[Code
(PAP)]],[1]Sheet1!$A:$AO,6,FALSE)</f>
        <v>N/A</v>
      </c>
      <c r="G154" s="393">
        <f>VLOOKUP(Complete[[#This Row],[Code
(PAP)]],[1]Sheet1!$A:$AO,7,FALSE)</f>
        <v>45334</v>
      </c>
      <c r="H154" s="374"/>
      <c r="I154" s="394">
        <f>VLOOKUP(Complete[[#This Row],[Code
(PAP)]],[1]Sheet1!$A:$AO,9,FALSE)</f>
        <v>45342</v>
      </c>
      <c r="J154" s="393">
        <f>VLOOKUP(Complete[[#This Row],[Code
(PAP)]],[1]Sheet1!$A:$AO,10,FALSE)</f>
        <v>45356</v>
      </c>
      <c r="K154" s="393">
        <f>VLOOKUP(Complete[[#This Row],[Code
(PAP)]],[1]Sheet1!$A:$AO,11,FALSE)</f>
        <v>45356</v>
      </c>
      <c r="L154" s="387"/>
      <c r="M154" s="393">
        <f>VLOOKUP(Complete[[#This Row],[Code
(PAP)]],[1]Sheet1!$A:$AO,13,FALSE)</f>
        <v>45442</v>
      </c>
      <c r="N154" s="393">
        <f>VLOOKUP(Complete[[#This Row],[Code
(PAP)]],[1]Sheet1!$A:$AO,14,FALSE)</f>
        <v>45364</v>
      </c>
      <c r="O154" s="393">
        <f>VLOOKUP(Complete[[#This Row],[Code
(PAP)]],[1]Sheet1!$A:$AO,15,FALSE)</f>
        <v>45372</v>
      </c>
      <c r="P154" s="387"/>
      <c r="Q154" s="387"/>
      <c r="R154" s="387"/>
      <c r="S154" s="576">
        <f>VLOOKUP(Complete[[#This Row],[Code
(PAP)]],[1]Sheet1!$A:$AO,19,FALSE)</f>
        <v>45373</v>
      </c>
      <c r="T154" s="576">
        <f>VLOOKUP(Complete[[#This Row],[Code
(PAP)]],[1]Sheet1!$A:$AO,20,FALSE)</f>
        <v>45386</v>
      </c>
      <c r="U154" s="576">
        <f>VLOOKUP(Complete[[#This Row],[Code
(PAP)]],[1]Sheet1!$A:$AO,21,FALSE)</f>
        <v>45393</v>
      </c>
      <c r="V154" s="387"/>
      <c r="W154" s="387"/>
      <c r="X154" s="392">
        <f>VLOOKUP(Complete[[#This Row],[Code
(PAP)]],[1]Sheet1!$A:$AO,24,FALSE)</f>
        <v>45399</v>
      </c>
      <c r="Y154" s="392">
        <f>Complete[[#This Row],[Delivery/ Completion]]</f>
        <v>45399</v>
      </c>
      <c r="Z154" s="610" t="s">
        <v>1478</v>
      </c>
      <c r="AA154" s="462">
        <f>Complete[[#This Row],[MOOE]]+Complete[[#This Row],[CO]]</f>
        <v>1348050</v>
      </c>
      <c r="AB154" s="466"/>
      <c r="AC154" s="497">
        <v>1348050</v>
      </c>
      <c r="AD154" s="498">
        <f>IF(Complete[[#This Row],[Procurement Project]]="","",SUM(Complete[[#This Row],[MOOE2]]+Complete[[#This Row],[CO3]]))</f>
        <v>1290000</v>
      </c>
      <c r="AE154" s="501"/>
      <c r="AF154" s="541">
        <v>1290000</v>
      </c>
      <c r="AG154" s="400"/>
      <c r="AH154" s="380" t="s">
        <v>1205</v>
      </c>
      <c r="AI154" s="576">
        <f>VLOOKUP(Complete[[#This Row],[Code
(PAP)]],[1]Sheet1!$A:$AO,35,FALSE)</f>
        <v>45341</v>
      </c>
      <c r="AJ154" s="576">
        <f>VLOOKUP(Complete[[#This Row],[Code
(PAP)]],[1]Sheet1!$A:$AO,36,FALSE)</f>
        <v>45352</v>
      </c>
      <c r="AK154" s="576">
        <f>VLOOKUP(Complete[[#This Row],[Code
(PAP)]],[1]Sheet1!$A:$AO,37,FALSE)</f>
        <v>45352</v>
      </c>
      <c r="AL154" s="576">
        <f>VLOOKUP(Complete[[#This Row],[Code
(PAP)]],[1]Sheet1!$A:$AO,38,FALSE)</f>
        <v>45352</v>
      </c>
      <c r="AM154" s="576">
        <f>VLOOKUP(Complete[[#This Row],[Code
(PAP)]],[1]Sheet1!$A:$AO,38,FALSE)</f>
        <v>45352</v>
      </c>
      <c r="AN154" s="595" t="s">
        <v>713</v>
      </c>
      <c r="AO154" s="303" t="s">
        <v>139</v>
      </c>
      <c r="AP154" s="389"/>
      <c r="AQ154" s="389"/>
    </row>
    <row r="155" spans="1:43" s="224" customFormat="1" ht="75" customHeight="1" x14ac:dyDescent="0.25">
      <c r="A155" s="385" t="s">
        <v>333</v>
      </c>
      <c r="B155" s="406" t="str">
        <f>VLOOKUP(Complete[[#This Row],[Code
(PAP)]],[1]Sheet1!$A:$AO,2,FALSE)</f>
        <v>SUPPLY AND DELIVERY OF RICE (WELL-MILLED) 50KG/SACK</v>
      </c>
      <c r="C155" s="408" t="str">
        <f>VLOOKUP(Complete[[#This Row],[Code
(PAP)]],[1]Sheet1!$A:$AO,3,FALSE)</f>
        <v>PEEMO</v>
      </c>
      <c r="D155" s="380" t="s">
        <v>712</v>
      </c>
      <c r="E155" s="409" t="str">
        <f>VLOOKUP(Complete[[#This Row],[Code
(PAP)]],[2]Sheet1!$A:$AO,5,FALSE)</f>
        <v>Competitive Bidding</v>
      </c>
      <c r="F155" s="393">
        <f>VLOOKUP(Complete[[#This Row],[Code
(PAP)]],[1]Sheet1!$A:$AO,6,FALSE)</f>
        <v>45322</v>
      </c>
      <c r="G155" s="393">
        <f>VLOOKUP(Complete[[#This Row],[Code
(PAP)]],[1]Sheet1!$A:$AO,7,FALSE)</f>
        <v>45334</v>
      </c>
      <c r="H155" s="374"/>
      <c r="I155" s="394">
        <f>VLOOKUP(Complete[[#This Row],[Code
(PAP)]],[1]Sheet1!$A:$AO,9,FALSE)</f>
        <v>45342</v>
      </c>
      <c r="J155" s="393">
        <f>VLOOKUP(Complete[[#This Row],[Code
(PAP)]],[1]Sheet1!$A:$AO,10,FALSE)</f>
        <v>45356</v>
      </c>
      <c r="K155" s="393">
        <f>VLOOKUP(Complete[[#This Row],[Code
(PAP)]],[1]Sheet1!$A:$AO,11,FALSE)</f>
        <v>45356</v>
      </c>
      <c r="L155" s="387"/>
      <c r="M155" s="393">
        <f>VLOOKUP(Complete[[#This Row],[Code
(PAP)]],[1]Sheet1!$A:$AO,13,FALSE)</f>
        <v>45356</v>
      </c>
      <c r="N155" s="393">
        <f>VLOOKUP(Complete[[#This Row],[Code
(PAP)]],[1]Sheet1!$A:$AO,14,FALSE)</f>
        <v>45364</v>
      </c>
      <c r="O155" s="393">
        <f>VLOOKUP(Complete[[#This Row],[Code
(PAP)]],[1]Sheet1!$A:$AO,15,FALSE)</f>
        <v>45372</v>
      </c>
      <c r="P155" s="387"/>
      <c r="Q155" s="387"/>
      <c r="R155" s="387"/>
      <c r="S155" s="576">
        <f>VLOOKUP(Complete[[#This Row],[Code
(PAP)]],[1]Sheet1!$A:$AO,19,FALSE)</f>
        <v>45373</v>
      </c>
      <c r="T155" s="576">
        <f>VLOOKUP(Complete[[#This Row],[Code
(PAP)]],[1]Sheet1!$A:$AO,20,FALSE)</f>
        <v>45373</v>
      </c>
      <c r="U155" s="576">
        <f>VLOOKUP(Complete[[#This Row],[Code
(PAP)]],[1]Sheet1!$A:$AO,21,FALSE)</f>
        <v>45384</v>
      </c>
      <c r="V155" s="387"/>
      <c r="W155" s="387"/>
      <c r="X155" s="392">
        <f>VLOOKUP(Complete[[#This Row],[Code
(PAP)]],[1]Sheet1!$A:$AO,24,FALSE)</f>
        <v>45386</v>
      </c>
      <c r="Y155" s="392">
        <f>Complete[[#This Row],[Delivery/ Completion]]</f>
        <v>45386</v>
      </c>
      <c r="Z155" s="610" t="s">
        <v>1478</v>
      </c>
      <c r="AA155" s="462">
        <f>Complete[[#This Row],[MOOE]]+Complete[[#This Row],[CO]]</f>
        <v>1059630</v>
      </c>
      <c r="AB155" s="466">
        <v>1059630</v>
      </c>
      <c r="AC155" s="497"/>
      <c r="AD155" s="498">
        <f>IF(Complete[[#This Row],[Procurement Project]]="","",SUM(Complete[[#This Row],[MOOE2]]+Complete[[#This Row],[CO3]]))</f>
        <v>1014000</v>
      </c>
      <c r="AE155" s="501">
        <v>1014000</v>
      </c>
      <c r="AF155" s="541"/>
      <c r="AG155" s="400"/>
      <c r="AH155" s="380" t="s">
        <v>1205</v>
      </c>
      <c r="AI155" s="576">
        <f>VLOOKUP(Complete[[#This Row],[Code
(PAP)]],[1]Sheet1!$A:$AO,35,FALSE)</f>
        <v>45341</v>
      </c>
      <c r="AJ155" s="576">
        <f>VLOOKUP(Complete[[#This Row],[Code
(PAP)]],[1]Sheet1!$A:$AO,36,FALSE)</f>
        <v>45352</v>
      </c>
      <c r="AK155" s="576">
        <f>VLOOKUP(Complete[[#This Row],[Code
(PAP)]],[1]Sheet1!$A:$AO,37,FALSE)</f>
        <v>45352</v>
      </c>
      <c r="AL155" s="576">
        <f>VLOOKUP(Complete[[#This Row],[Code
(PAP)]],[1]Sheet1!$A:$AO,38,FALSE)</f>
        <v>45352</v>
      </c>
      <c r="AM155" s="576">
        <f>VLOOKUP(Complete[[#This Row],[Code
(PAP)]],[1]Sheet1!$A:$AO,38,FALSE)</f>
        <v>45352</v>
      </c>
      <c r="AN155" s="595" t="s">
        <v>713</v>
      </c>
      <c r="AO155" s="303" t="s">
        <v>139</v>
      </c>
      <c r="AP155" s="389"/>
      <c r="AQ155" s="389"/>
    </row>
    <row r="156" spans="1:43" s="224" customFormat="1" ht="75" customHeight="1" x14ac:dyDescent="0.25">
      <c r="A156" s="385" t="s">
        <v>334</v>
      </c>
      <c r="B156" s="406" t="str">
        <f>VLOOKUP(Complete[[#This Row],[Code
(PAP)]],[1]Sheet1!$A:$AO,2,FALSE)</f>
        <v>SUPPLY AND DELIVERY OF MEALS AND SNACKS</v>
      </c>
      <c r="C156" s="408" t="str">
        <f>VLOOKUP(Complete[[#This Row],[Code
(PAP)]],[1]Sheet1!$A:$AO,3,FALSE)</f>
        <v>PDRRMO</v>
      </c>
      <c r="D156" s="380" t="s">
        <v>712</v>
      </c>
      <c r="E156" s="409" t="str">
        <f>VLOOKUP(Complete[[#This Row],[Code
(PAP)]],[2]Sheet1!$A:$AO,5,FALSE)</f>
        <v>Competitive Bidding</v>
      </c>
      <c r="F156" s="393" t="str">
        <f>VLOOKUP(Complete[[#This Row],[Code
(PAP)]],[1]Sheet1!$A:$AO,6,FALSE)</f>
        <v>N/A</v>
      </c>
      <c r="G156" s="393">
        <f>VLOOKUP(Complete[[#This Row],[Code
(PAP)]],[1]Sheet1!$A:$AO,7,FALSE)</f>
        <v>45334</v>
      </c>
      <c r="H156" s="374"/>
      <c r="I156" s="394">
        <f>VLOOKUP(Complete[[#This Row],[Code
(PAP)]],[1]Sheet1!$A:$AO,9,FALSE)</f>
        <v>45342</v>
      </c>
      <c r="J156" s="393">
        <f>VLOOKUP(Complete[[#This Row],[Code
(PAP)]],[1]Sheet1!$A:$AO,10,FALSE)</f>
        <v>45373</v>
      </c>
      <c r="K156" s="393">
        <f>VLOOKUP(Complete[[#This Row],[Code
(PAP)]],[1]Sheet1!$A:$AO,11,FALSE)</f>
        <v>45373</v>
      </c>
      <c r="L156" s="387"/>
      <c r="M156" s="393">
        <f>VLOOKUP(Complete[[#This Row],[Code
(PAP)]],[1]Sheet1!$A:$AO,13,FALSE)</f>
        <v>45373</v>
      </c>
      <c r="N156" s="393">
        <f>VLOOKUP(Complete[[#This Row],[Code
(PAP)]],[1]Sheet1!$A:$AO,14,FALSE)</f>
        <v>45364</v>
      </c>
      <c r="O156" s="393">
        <f>VLOOKUP(Complete[[#This Row],[Code
(PAP)]],[1]Sheet1!$A:$AO,15,FALSE)</f>
        <v>45372</v>
      </c>
      <c r="P156" s="387"/>
      <c r="Q156" s="387"/>
      <c r="R156" s="387"/>
      <c r="S156" s="576">
        <f>VLOOKUP(Complete[[#This Row],[Code
(PAP)]],[1]Sheet1!$A:$AO,19,FALSE)</f>
        <v>45373</v>
      </c>
      <c r="T156" s="576">
        <f>VLOOKUP(Complete[[#This Row],[Code
(PAP)]],[1]Sheet1!$A:$AO,20,FALSE)</f>
        <v>45377</v>
      </c>
      <c r="U156" s="576">
        <f>VLOOKUP(Complete[[#This Row],[Code
(PAP)]],[1]Sheet1!$A:$AO,21,FALSE)</f>
        <v>45393</v>
      </c>
      <c r="V156" s="387"/>
      <c r="W156" s="387"/>
      <c r="X156" s="392">
        <v>45461</v>
      </c>
      <c r="Y156" s="392">
        <f>Complete[[#This Row],[Delivery/ Completion]]</f>
        <v>45461</v>
      </c>
      <c r="Z156" s="610" t="s">
        <v>1478</v>
      </c>
      <c r="AA156" s="462">
        <f>Complete[[#This Row],[MOOE]]+Complete[[#This Row],[CO]]</f>
        <v>1505000</v>
      </c>
      <c r="AB156" s="466"/>
      <c r="AC156" s="497">
        <v>1505000</v>
      </c>
      <c r="AD156" s="498">
        <f>IF(Complete[[#This Row],[Procurement Project]]="","",SUM(Complete[[#This Row],[MOOE2]]+Complete[[#This Row],[CO3]]))</f>
        <v>1484000</v>
      </c>
      <c r="AE156" s="501"/>
      <c r="AF156" s="541">
        <v>1484000</v>
      </c>
      <c r="AG156" s="400"/>
      <c r="AH156" s="380" t="s">
        <v>1205</v>
      </c>
      <c r="AI156" s="576">
        <f>VLOOKUP(Complete[[#This Row],[Code
(PAP)]],[1]Sheet1!$A:$AO,35,FALSE)</f>
        <v>45341</v>
      </c>
      <c r="AJ156" s="576">
        <f>VLOOKUP(Complete[[#This Row],[Code
(PAP)]],[1]Sheet1!$A:$AO,36,FALSE)</f>
        <v>45372</v>
      </c>
      <c r="AK156" s="576">
        <f>VLOOKUP(Complete[[#This Row],[Code
(PAP)]],[1]Sheet1!$A:$AO,37,FALSE)</f>
        <v>45372</v>
      </c>
      <c r="AL156" s="576">
        <f>VLOOKUP(Complete[[#This Row],[Code
(PAP)]],[1]Sheet1!$A:$AO,38,FALSE)</f>
        <v>45372</v>
      </c>
      <c r="AM156" s="576">
        <f>VLOOKUP(Complete[[#This Row],[Code
(PAP)]],[1]Sheet1!$A:$AO,38,FALSE)</f>
        <v>45372</v>
      </c>
      <c r="AN156" s="595" t="s">
        <v>713</v>
      </c>
      <c r="AO156" s="303" t="s">
        <v>139</v>
      </c>
      <c r="AP156" s="389"/>
      <c r="AQ156" s="389"/>
    </row>
    <row r="157" spans="1:43" s="224" customFormat="1" ht="75" customHeight="1" x14ac:dyDescent="0.25">
      <c r="A157" s="385" t="s">
        <v>335</v>
      </c>
      <c r="B157" s="406" t="str">
        <f>VLOOKUP(Complete[[#This Row],[Code
(PAP)]],[1]Sheet1!$A:$AO,2,FALSE)</f>
        <v>SUPPLY AND DELIVERY OF RICE (WELL-MILLED) 50KG/SACK</v>
      </c>
      <c r="C157" s="408" t="str">
        <f>VLOOKUP(Complete[[#This Row],[Code
(PAP)]],[1]Sheet1!$A:$AO,3,FALSE)</f>
        <v>PGO</v>
      </c>
      <c r="D157" s="380" t="s">
        <v>712</v>
      </c>
      <c r="E157" s="409" t="str">
        <f>VLOOKUP(Complete[[#This Row],[Code
(PAP)]],[2]Sheet1!$A:$AO,5,FALSE)</f>
        <v>Competitive Bidding</v>
      </c>
      <c r="F157" s="393" t="str">
        <f>VLOOKUP(Complete[[#This Row],[Code
(PAP)]],[1]Sheet1!$A:$AO,6,FALSE)</f>
        <v>N/A</v>
      </c>
      <c r="G157" s="393">
        <f>VLOOKUP(Complete[[#This Row],[Code
(PAP)]],[1]Sheet1!$A:$AO,7,FALSE)</f>
        <v>45334</v>
      </c>
      <c r="H157" s="374"/>
      <c r="I157" s="394">
        <f>VLOOKUP(Complete[[#This Row],[Code
(PAP)]],[1]Sheet1!$A:$AO,9,FALSE)</f>
        <v>45342</v>
      </c>
      <c r="J157" s="393">
        <f>VLOOKUP(Complete[[#This Row],[Code
(PAP)]],[1]Sheet1!$A:$AO,10,FALSE)</f>
        <v>45356</v>
      </c>
      <c r="K157" s="393">
        <f>VLOOKUP(Complete[[#This Row],[Code
(PAP)]],[1]Sheet1!$A:$AO,11,FALSE)</f>
        <v>45356</v>
      </c>
      <c r="L157" s="387"/>
      <c r="M157" s="393">
        <f>VLOOKUP(Complete[[#This Row],[Code
(PAP)]],[1]Sheet1!$A:$AO,13,FALSE)</f>
        <v>45356</v>
      </c>
      <c r="N157" s="393">
        <f>VLOOKUP(Complete[[#This Row],[Code
(PAP)]],[1]Sheet1!$A:$AO,14,FALSE)</f>
        <v>45364</v>
      </c>
      <c r="O157" s="393">
        <f>VLOOKUP(Complete[[#This Row],[Code
(PAP)]],[1]Sheet1!$A:$AO,15,FALSE)</f>
        <v>45372</v>
      </c>
      <c r="P157" s="387"/>
      <c r="Q157" s="387"/>
      <c r="R157" s="387"/>
      <c r="S157" s="576">
        <f>VLOOKUP(Complete[[#This Row],[Code
(PAP)]],[1]Sheet1!$A:$AO,19,FALSE)</f>
        <v>45373</v>
      </c>
      <c r="T157" s="576">
        <f>VLOOKUP(Complete[[#This Row],[Code
(PAP)]],[1]Sheet1!$A:$AO,20,FALSE)</f>
        <v>45386</v>
      </c>
      <c r="U157" s="576">
        <f>VLOOKUP(Complete[[#This Row],[Code
(PAP)]],[1]Sheet1!$A:$AO,21,FALSE)</f>
        <v>45397</v>
      </c>
      <c r="V157" s="387"/>
      <c r="W157" s="387"/>
      <c r="X157" s="392">
        <f>VLOOKUP(Complete[[#This Row],[Code
(PAP)]],[1]Sheet1!$A:$AO,24,FALSE)</f>
        <v>45406</v>
      </c>
      <c r="Y157" s="392">
        <f>Complete[[#This Row],[Delivery/ Completion]]</f>
        <v>45406</v>
      </c>
      <c r="Z157" s="610" t="s">
        <v>1478</v>
      </c>
      <c r="AA157" s="462">
        <f>Complete[[#This Row],[MOOE]]+Complete[[#This Row],[CO]]</f>
        <v>1485990</v>
      </c>
      <c r="AB157" s="466"/>
      <c r="AC157" s="497">
        <v>1485990</v>
      </c>
      <c r="AD157" s="498">
        <f>IF(Complete[[#This Row],[Procurement Project]]="","",SUM(Complete[[#This Row],[MOOE2]]+Complete[[#This Row],[CO3]]))</f>
        <v>1422000</v>
      </c>
      <c r="AE157" s="501"/>
      <c r="AF157" s="541">
        <v>1422000</v>
      </c>
      <c r="AG157" s="400"/>
      <c r="AH157" s="380" t="s">
        <v>1205</v>
      </c>
      <c r="AI157" s="576">
        <f>VLOOKUP(Complete[[#This Row],[Code
(PAP)]],[1]Sheet1!$A:$AO,35,FALSE)</f>
        <v>45341</v>
      </c>
      <c r="AJ157" s="576">
        <f>VLOOKUP(Complete[[#This Row],[Code
(PAP)]],[1]Sheet1!$A:$AO,36,FALSE)</f>
        <v>45352</v>
      </c>
      <c r="AK157" s="576">
        <f>VLOOKUP(Complete[[#This Row],[Code
(PAP)]],[1]Sheet1!$A:$AO,37,FALSE)</f>
        <v>45352</v>
      </c>
      <c r="AL157" s="576">
        <f>VLOOKUP(Complete[[#This Row],[Code
(PAP)]],[1]Sheet1!$A:$AO,38,FALSE)</f>
        <v>45352</v>
      </c>
      <c r="AM157" s="576">
        <f>VLOOKUP(Complete[[#This Row],[Code
(PAP)]],[1]Sheet1!$A:$AO,38,FALSE)</f>
        <v>45352</v>
      </c>
      <c r="AN157" s="595" t="s">
        <v>713</v>
      </c>
      <c r="AO157" s="303" t="s">
        <v>139</v>
      </c>
      <c r="AP157" s="389"/>
      <c r="AQ157" s="389"/>
    </row>
    <row r="158" spans="1:43" s="224" customFormat="1" ht="75" customHeight="1" x14ac:dyDescent="0.25">
      <c r="A158" s="385" t="s">
        <v>336</v>
      </c>
      <c r="B158" s="406" t="str">
        <f>VLOOKUP(Complete[[#This Row],[Code
(PAP)]],[1]Sheet1!$A:$AO,2,FALSE)</f>
        <v>SUPPLY AND DELIVERY OF SPARE PARST</v>
      </c>
      <c r="C158" s="408" t="str">
        <f>VLOOKUP(Complete[[#This Row],[Code
(PAP)]],[1]Sheet1!$A:$AO,3,FALSE)</f>
        <v>PGSO</v>
      </c>
      <c r="D158" s="380" t="s">
        <v>712</v>
      </c>
      <c r="E158" s="409" t="str">
        <f>VLOOKUP(Complete[[#This Row],[Code
(PAP)]],[2]Sheet1!$A:$AO,5,FALSE)</f>
        <v>Competitive Bidding</v>
      </c>
      <c r="F158" s="393" t="str">
        <f>VLOOKUP(Complete[[#This Row],[Code
(PAP)]],[1]Sheet1!$A:$AO,6,FALSE)</f>
        <v>N/A</v>
      </c>
      <c r="G158" s="393">
        <f>VLOOKUP(Complete[[#This Row],[Code
(PAP)]],[1]Sheet1!$A:$AO,7,FALSE)</f>
        <v>45341</v>
      </c>
      <c r="H158" s="374"/>
      <c r="I158" s="394" t="str">
        <f>VLOOKUP(Complete[[#This Row],[Code
(PAP)]],[1]Sheet1!$A:$AO,9,FALSE)</f>
        <v>N/A</v>
      </c>
      <c r="J158" s="393">
        <f>VLOOKUP(Complete[[#This Row],[Code
(PAP)]],[1]Sheet1!$A:$AO,10,FALSE)</f>
        <v>45356</v>
      </c>
      <c r="K158" s="393">
        <f>VLOOKUP(Complete[[#This Row],[Code
(PAP)]],[1]Sheet1!$A:$AO,11,FALSE)</f>
        <v>45356</v>
      </c>
      <c r="L158" s="387"/>
      <c r="M158" s="393">
        <f>VLOOKUP(Complete[[#This Row],[Code
(PAP)]],[1]Sheet1!$A:$AO,13,FALSE)</f>
        <v>45356</v>
      </c>
      <c r="N158" s="393">
        <f>VLOOKUP(Complete[[#This Row],[Code
(PAP)]],[1]Sheet1!$A:$AO,14,FALSE)</f>
        <v>45364</v>
      </c>
      <c r="O158" s="393">
        <f>VLOOKUP(Complete[[#This Row],[Code
(PAP)]],[1]Sheet1!$A:$AO,15,FALSE)</f>
        <v>45372</v>
      </c>
      <c r="P158" s="387"/>
      <c r="Q158" s="387"/>
      <c r="R158" s="387"/>
      <c r="S158" s="576">
        <f>VLOOKUP(Complete[[#This Row],[Code
(PAP)]],[1]Sheet1!$A:$AO,19,FALSE)</f>
        <v>45378</v>
      </c>
      <c r="T158" s="576">
        <f>VLOOKUP(Complete[[#This Row],[Code
(PAP)]],[1]Sheet1!$A:$AO,20,FALSE)</f>
        <v>45399</v>
      </c>
      <c r="U158" s="576">
        <f>VLOOKUP(Complete[[#This Row],[Code
(PAP)]],[1]Sheet1!$A:$AO,21,FALSE)</f>
        <v>45407</v>
      </c>
      <c r="V158" s="387"/>
      <c r="W158" s="387"/>
      <c r="X158" s="392">
        <f>VLOOKUP(Complete[[#This Row],[Code
(PAP)]],[1]Sheet1!$A:$AO,24,FALSE)</f>
        <v>45411</v>
      </c>
      <c r="Y158" s="392">
        <f>Complete[[#This Row],[Delivery/ Completion]]</f>
        <v>45411</v>
      </c>
      <c r="Z158" s="610" t="s">
        <v>1478</v>
      </c>
      <c r="AA158" s="462">
        <f>Complete[[#This Row],[MOOE]]+Complete[[#This Row],[CO]]</f>
        <v>547615</v>
      </c>
      <c r="AB158" s="466">
        <v>547615</v>
      </c>
      <c r="AC158" s="497"/>
      <c r="AD158" s="498">
        <f>IF(Complete[[#This Row],[Procurement Project]]="","",SUM(Complete[[#This Row],[MOOE2]]+Complete[[#This Row],[CO3]]))</f>
        <v>394660</v>
      </c>
      <c r="AE158" s="501">
        <v>394660</v>
      </c>
      <c r="AF158" s="541"/>
      <c r="AG158" s="400"/>
      <c r="AH158" s="380" t="s">
        <v>1205</v>
      </c>
      <c r="AI158" s="576" t="str">
        <f>VLOOKUP(Complete[[#This Row],[Code
(PAP)]],[1]Sheet1!$A:$AO,35,FALSE)</f>
        <v>N/A</v>
      </c>
      <c r="AJ158" s="576">
        <f>VLOOKUP(Complete[[#This Row],[Code
(PAP)]],[1]Sheet1!$A:$AO,36,FALSE)</f>
        <v>45352</v>
      </c>
      <c r="AK158" s="576">
        <f>VLOOKUP(Complete[[#This Row],[Code
(PAP)]],[1]Sheet1!$A:$AO,37,FALSE)</f>
        <v>45352</v>
      </c>
      <c r="AL158" s="576">
        <f>VLOOKUP(Complete[[#This Row],[Code
(PAP)]],[1]Sheet1!$A:$AO,38,FALSE)</f>
        <v>45352</v>
      </c>
      <c r="AM158" s="576">
        <f>VLOOKUP(Complete[[#This Row],[Code
(PAP)]],[1]Sheet1!$A:$AO,38,FALSE)</f>
        <v>45352</v>
      </c>
      <c r="AN158" s="595" t="s">
        <v>713</v>
      </c>
      <c r="AO158" s="303" t="s">
        <v>139</v>
      </c>
      <c r="AP158" s="389"/>
      <c r="AQ158" s="389"/>
    </row>
    <row r="159" spans="1:43" s="224" customFormat="1" ht="75" customHeight="1" x14ac:dyDescent="0.25">
      <c r="A159" s="385" t="s">
        <v>337</v>
      </c>
      <c r="B159" s="406" t="str">
        <f>VLOOKUP(Complete[[#This Row],[Code
(PAP)]],[1]Sheet1!$A:$AO,2,FALSE)</f>
        <v>SUPPLY AND DELIVERY OF SPARE PARTS (TIRES AND BATTERY)</v>
      </c>
      <c r="C159" s="408" t="str">
        <f>VLOOKUP(Complete[[#This Row],[Code
(PAP)]],[1]Sheet1!$A:$AO,3,FALSE)</f>
        <v>PDRRMO</v>
      </c>
      <c r="D159" s="380" t="s">
        <v>712</v>
      </c>
      <c r="E159" s="409" t="str">
        <f>VLOOKUP(Complete[[#This Row],[Code
(PAP)]],[2]Sheet1!$A:$AO,5,FALSE)</f>
        <v>Competitive Bidding</v>
      </c>
      <c r="F159" s="393" t="str">
        <f>VLOOKUP(Complete[[#This Row],[Code
(PAP)]],[1]Sheet1!$A:$AO,6,FALSE)</f>
        <v>N/A</v>
      </c>
      <c r="G159" s="393">
        <f>VLOOKUP(Complete[[#This Row],[Code
(PAP)]],[1]Sheet1!$A:$AO,7,FALSE)</f>
        <v>45341</v>
      </c>
      <c r="H159" s="374"/>
      <c r="I159" s="394" t="str">
        <f>VLOOKUP(Complete[[#This Row],[Code
(PAP)]],[1]Sheet1!$A:$AO,9,FALSE)</f>
        <v>N/A</v>
      </c>
      <c r="J159" s="393">
        <f>VLOOKUP(Complete[[#This Row],[Code
(PAP)]],[1]Sheet1!$A:$AO,10,FALSE)</f>
        <v>45356</v>
      </c>
      <c r="K159" s="393">
        <f>VLOOKUP(Complete[[#This Row],[Code
(PAP)]],[1]Sheet1!$A:$AO,11,FALSE)</f>
        <v>45356</v>
      </c>
      <c r="L159" s="387"/>
      <c r="M159" s="393">
        <f>VLOOKUP(Complete[[#This Row],[Code
(PAP)]],[1]Sheet1!$A:$AO,13,FALSE)</f>
        <v>45356</v>
      </c>
      <c r="N159" s="393">
        <f>VLOOKUP(Complete[[#This Row],[Code
(PAP)]],[1]Sheet1!$A:$AO,14,FALSE)</f>
        <v>45364</v>
      </c>
      <c r="O159" s="393">
        <f>VLOOKUP(Complete[[#This Row],[Code
(PAP)]],[1]Sheet1!$A:$AO,15,FALSE)</f>
        <v>45372</v>
      </c>
      <c r="P159" s="387"/>
      <c r="Q159" s="387"/>
      <c r="R159" s="387"/>
      <c r="S159" s="576">
        <f>VLOOKUP(Complete[[#This Row],[Code
(PAP)]],[1]Sheet1!$A:$AO,19,FALSE)</f>
        <v>45378</v>
      </c>
      <c r="T159" s="576">
        <f>VLOOKUP(Complete[[#This Row],[Code
(PAP)]],[1]Sheet1!$A:$AO,20,FALSE)</f>
        <v>45387</v>
      </c>
      <c r="U159" s="576">
        <f>VLOOKUP(Complete[[#This Row],[Code
(PAP)]],[1]Sheet1!$A:$AO,21,FALSE)</f>
        <v>45394</v>
      </c>
      <c r="V159" s="387"/>
      <c r="W159" s="387"/>
      <c r="X159" s="392">
        <f>VLOOKUP(Complete[[#This Row],[Code
(PAP)]],[1]Sheet1!$A:$AO,24,FALSE)</f>
        <v>45397</v>
      </c>
      <c r="Y159" s="392">
        <f>Complete[[#This Row],[Delivery/ Completion]]</f>
        <v>45397</v>
      </c>
      <c r="Z159" s="610" t="s">
        <v>1478</v>
      </c>
      <c r="AA159" s="462">
        <f>Complete[[#This Row],[MOOE]]+Complete[[#This Row],[CO]]</f>
        <v>558824</v>
      </c>
      <c r="AB159" s="466">
        <v>558824</v>
      </c>
      <c r="AC159" s="497"/>
      <c r="AD159" s="498">
        <f>IF(Complete[[#This Row],[Procurement Project]]="","",SUM(Complete[[#This Row],[MOOE2]]+Complete[[#This Row],[CO3]]))</f>
        <v>329400</v>
      </c>
      <c r="AE159" s="501">
        <v>329400</v>
      </c>
      <c r="AF159" s="541"/>
      <c r="AG159" s="400"/>
      <c r="AH159" s="380" t="s">
        <v>1205</v>
      </c>
      <c r="AI159" s="576" t="str">
        <f>VLOOKUP(Complete[[#This Row],[Code
(PAP)]],[1]Sheet1!$A:$AO,35,FALSE)</f>
        <v>N/A</v>
      </c>
      <c r="AJ159" s="576">
        <f>VLOOKUP(Complete[[#This Row],[Code
(PAP)]],[1]Sheet1!$A:$AO,36,FALSE)</f>
        <v>45352</v>
      </c>
      <c r="AK159" s="576">
        <f>VLOOKUP(Complete[[#This Row],[Code
(PAP)]],[1]Sheet1!$A:$AO,37,FALSE)</f>
        <v>45352</v>
      </c>
      <c r="AL159" s="576">
        <f>VLOOKUP(Complete[[#This Row],[Code
(PAP)]],[1]Sheet1!$A:$AO,38,FALSE)</f>
        <v>45352</v>
      </c>
      <c r="AM159" s="576">
        <f>VLOOKUP(Complete[[#This Row],[Code
(PAP)]],[1]Sheet1!$A:$AO,38,FALSE)</f>
        <v>45352</v>
      </c>
      <c r="AN159" s="595" t="s">
        <v>713</v>
      </c>
      <c r="AO159" s="303" t="s">
        <v>139</v>
      </c>
      <c r="AP159" s="389"/>
      <c r="AQ159" s="389"/>
    </row>
    <row r="160" spans="1:43" s="224" customFormat="1" ht="75" customHeight="1" x14ac:dyDescent="0.25">
      <c r="A160" s="385" t="s">
        <v>338</v>
      </c>
      <c r="B160" s="406" t="str">
        <f>VLOOKUP(Complete[[#This Row],[Code
(PAP)]],[1]Sheet1!$A:$AO,2,FALSE)</f>
        <v>SUPPLY AND DELIVERY OF SPARE PARTS/BATTERY</v>
      </c>
      <c r="C160" s="408" t="str">
        <f>VLOOKUP(Complete[[#This Row],[Code
(PAP)]],[1]Sheet1!$A:$AO,3,FALSE)</f>
        <v>PEEMO</v>
      </c>
      <c r="D160" s="380" t="s">
        <v>712</v>
      </c>
      <c r="E160" s="409" t="str">
        <f>VLOOKUP(Complete[[#This Row],[Code
(PAP)]],[2]Sheet1!$A:$AO,5,FALSE)</f>
        <v>Competitive Bidding</v>
      </c>
      <c r="F160" s="393">
        <f>VLOOKUP(Complete[[#This Row],[Code
(PAP)]],[1]Sheet1!$A:$AO,6,FALSE)</f>
        <v>45342</v>
      </c>
      <c r="G160" s="393">
        <f>VLOOKUP(Complete[[#This Row],[Code
(PAP)]],[1]Sheet1!$A:$AO,7,FALSE)</f>
        <v>45348</v>
      </c>
      <c r="H160" s="374"/>
      <c r="I160" s="394" t="str">
        <f>VLOOKUP(Complete[[#This Row],[Code
(PAP)]],[1]Sheet1!$A:$AO,9,FALSE)</f>
        <v>N/A</v>
      </c>
      <c r="J160" s="393">
        <f>VLOOKUP(Complete[[#This Row],[Code
(PAP)]],[1]Sheet1!$A:$AO,10,FALSE)</f>
        <v>45356</v>
      </c>
      <c r="K160" s="393">
        <f>VLOOKUP(Complete[[#This Row],[Code
(PAP)]],[1]Sheet1!$A:$AO,11,FALSE)</f>
        <v>45356</v>
      </c>
      <c r="L160" s="387"/>
      <c r="M160" s="393">
        <f>VLOOKUP(Complete[[#This Row],[Code
(PAP)]],[1]Sheet1!$A:$AO,13,FALSE)</f>
        <v>45442</v>
      </c>
      <c r="N160" s="393">
        <f>VLOOKUP(Complete[[#This Row],[Code
(PAP)]],[1]Sheet1!$A:$AO,14,FALSE)</f>
        <v>45364</v>
      </c>
      <c r="O160" s="393">
        <f>VLOOKUP(Complete[[#This Row],[Code
(PAP)]],[1]Sheet1!$A:$AO,15,FALSE)</f>
        <v>45372</v>
      </c>
      <c r="P160" s="387"/>
      <c r="Q160" s="387"/>
      <c r="R160" s="387"/>
      <c r="S160" s="576">
        <f>VLOOKUP(Complete[[#This Row],[Code
(PAP)]],[1]Sheet1!$A:$AO,19,FALSE)</f>
        <v>45378</v>
      </c>
      <c r="T160" s="576">
        <f>VLOOKUP(Complete[[#This Row],[Code
(PAP)]],[1]Sheet1!$A:$AO,20,FALSE)</f>
        <v>45394</v>
      </c>
      <c r="U160" s="576">
        <f>VLOOKUP(Complete[[#This Row],[Code
(PAP)]],[1]Sheet1!$A:$AO,21,FALSE)</f>
        <v>45404</v>
      </c>
      <c r="V160" s="387"/>
      <c r="W160" s="387"/>
      <c r="X160" s="392">
        <f>VLOOKUP(Complete[[#This Row],[Code
(PAP)]],[1]Sheet1!$A:$AO,24,FALSE)</f>
        <v>45407</v>
      </c>
      <c r="Y160" s="392">
        <f>Complete[[#This Row],[Delivery/ Completion]]</f>
        <v>45407</v>
      </c>
      <c r="Z160" s="610" t="s">
        <v>1478</v>
      </c>
      <c r="AA160" s="462">
        <f>Complete[[#This Row],[MOOE]]+Complete[[#This Row],[CO]]</f>
        <v>790600</v>
      </c>
      <c r="AB160" s="466">
        <v>790600</v>
      </c>
      <c r="AC160" s="497"/>
      <c r="AD160" s="498">
        <f>IF(Complete[[#This Row],[Procurement Project]]="","",SUM(Complete[[#This Row],[MOOE2]]+Complete[[#This Row],[CO3]]))</f>
        <v>552000</v>
      </c>
      <c r="AE160" s="501">
        <v>552000</v>
      </c>
      <c r="AF160" s="541"/>
      <c r="AG160" s="400"/>
      <c r="AH160" s="380" t="s">
        <v>1205</v>
      </c>
      <c r="AI160" s="576" t="str">
        <f>VLOOKUP(Complete[[#This Row],[Code
(PAP)]],[1]Sheet1!$A:$AO,35,FALSE)</f>
        <v>N/A</v>
      </c>
      <c r="AJ160" s="576">
        <f>VLOOKUP(Complete[[#This Row],[Code
(PAP)]],[1]Sheet1!$A:$AO,36,FALSE)</f>
        <v>45352</v>
      </c>
      <c r="AK160" s="576">
        <f>VLOOKUP(Complete[[#This Row],[Code
(PAP)]],[1]Sheet1!$A:$AO,37,FALSE)</f>
        <v>45352</v>
      </c>
      <c r="AL160" s="576">
        <f>VLOOKUP(Complete[[#This Row],[Code
(PAP)]],[1]Sheet1!$A:$AO,38,FALSE)</f>
        <v>45352</v>
      </c>
      <c r="AM160" s="576">
        <f>VLOOKUP(Complete[[#This Row],[Code
(PAP)]],[1]Sheet1!$A:$AO,38,FALSE)</f>
        <v>45352</v>
      </c>
      <c r="AN160" s="595" t="s">
        <v>713</v>
      </c>
      <c r="AO160" s="303" t="s">
        <v>139</v>
      </c>
      <c r="AP160" s="389"/>
      <c r="AQ160" s="389"/>
    </row>
    <row r="161" spans="1:43" s="224" customFormat="1" ht="75" customHeight="1" x14ac:dyDescent="0.25">
      <c r="A161" s="385" t="s">
        <v>339</v>
      </c>
      <c r="B161" s="406" t="str">
        <f>VLOOKUP(Complete[[#This Row],[Code
(PAP)]],[1]Sheet1!$A:$AO,2,FALSE)</f>
        <v>SUPPLY AND DELIVERY OF MEDICAL SUPPLIES</v>
      </c>
      <c r="C161" s="408" t="str">
        <f>VLOOKUP(Complete[[#This Row],[Code
(PAP)]],[1]Sheet1!$A:$AO,3,FALSE)</f>
        <v>PEEMO</v>
      </c>
      <c r="D161" s="380" t="s">
        <v>712</v>
      </c>
      <c r="E161" s="409" t="str">
        <f>VLOOKUP(Complete[[#This Row],[Code
(PAP)]],[2]Sheet1!$A:$AO,5,FALSE)</f>
        <v>Competitive Bidding</v>
      </c>
      <c r="F161" s="393">
        <f>VLOOKUP(Complete[[#This Row],[Code
(PAP)]],[1]Sheet1!$A:$AO,6,FALSE)</f>
        <v>45342</v>
      </c>
      <c r="G161" s="393">
        <f>VLOOKUP(Complete[[#This Row],[Code
(PAP)]],[1]Sheet1!$A:$AO,7,FALSE)</f>
        <v>45348</v>
      </c>
      <c r="H161" s="374"/>
      <c r="I161" s="394" t="str">
        <f>VLOOKUP(Complete[[#This Row],[Code
(PAP)]],[1]Sheet1!$A:$AO,9,FALSE)</f>
        <v>N/A</v>
      </c>
      <c r="J161" s="393">
        <f>VLOOKUP(Complete[[#This Row],[Code
(PAP)]],[1]Sheet1!$A:$AO,10,FALSE)</f>
        <v>45356</v>
      </c>
      <c r="K161" s="393">
        <f>VLOOKUP(Complete[[#This Row],[Code
(PAP)]],[1]Sheet1!$A:$AO,11,FALSE)</f>
        <v>45356</v>
      </c>
      <c r="L161" s="387"/>
      <c r="M161" s="393">
        <f>VLOOKUP(Complete[[#This Row],[Code
(PAP)]],[1]Sheet1!$A:$AO,13,FALSE)</f>
        <v>45356</v>
      </c>
      <c r="N161" s="393">
        <f>VLOOKUP(Complete[[#This Row],[Code
(PAP)]],[1]Sheet1!$A:$AO,14,FALSE)</f>
        <v>45364</v>
      </c>
      <c r="O161" s="393">
        <f>VLOOKUP(Complete[[#This Row],[Code
(PAP)]],[1]Sheet1!$A:$AO,15,FALSE)</f>
        <v>45372</v>
      </c>
      <c r="P161" s="387"/>
      <c r="Q161" s="387"/>
      <c r="R161" s="387"/>
      <c r="S161" s="576">
        <f>VLOOKUP(Complete[[#This Row],[Code
(PAP)]],[1]Sheet1!$A:$AO,19,FALSE)</f>
        <v>45377</v>
      </c>
      <c r="T161" s="576">
        <f>VLOOKUP(Complete[[#This Row],[Code
(PAP)]],[1]Sheet1!$A:$AO,20,FALSE)</f>
        <v>45393</v>
      </c>
      <c r="U161" s="576">
        <f>VLOOKUP(Complete[[#This Row],[Code
(PAP)]],[1]Sheet1!$A:$AO,21,FALSE)</f>
        <v>45405</v>
      </c>
      <c r="V161" s="387"/>
      <c r="W161" s="387"/>
      <c r="X161" s="392">
        <f>VLOOKUP(Complete[[#This Row],[Code
(PAP)]],[1]Sheet1!$A:$AO,24,FALSE)</f>
        <v>45412</v>
      </c>
      <c r="Y161" s="392">
        <f>Complete[[#This Row],[Delivery/ Completion]]</f>
        <v>45412</v>
      </c>
      <c r="Z161" s="610" t="s">
        <v>1478</v>
      </c>
      <c r="AA161" s="462">
        <f>Complete[[#This Row],[MOOE]]+Complete[[#This Row],[CO]]</f>
        <v>564043</v>
      </c>
      <c r="AB161" s="466">
        <v>564043</v>
      </c>
      <c r="AC161" s="497"/>
      <c r="AD161" s="498">
        <f>IF(Complete[[#This Row],[Procurement Project]]="","",SUM(Complete[[#This Row],[MOOE2]]+Complete[[#This Row],[CO3]]))</f>
        <v>343226</v>
      </c>
      <c r="AE161" s="501">
        <v>343226</v>
      </c>
      <c r="AF161" s="541"/>
      <c r="AG161" s="400"/>
      <c r="AH161" s="380" t="s">
        <v>1205</v>
      </c>
      <c r="AI161" s="576" t="str">
        <f>VLOOKUP(Complete[[#This Row],[Code
(PAP)]],[1]Sheet1!$A:$AO,35,FALSE)</f>
        <v>N/A</v>
      </c>
      <c r="AJ161" s="576">
        <f>VLOOKUP(Complete[[#This Row],[Code
(PAP)]],[1]Sheet1!$A:$AO,36,FALSE)</f>
        <v>45352</v>
      </c>
      <c r="AK161" s="576">
        <f>VLOOKUP(Complete[[#This Row],[Code
(PAP)]],[1]Sheet1!$A:$AO,37,FALSE)</f>
        <v>45352</v>
      </c>
      <c r="AL161" s="576">
        <f>VLOOKUP(Complete[[#This Row],[Code
(PAP)]],[1]Sheet1!$A:$AO,38,FALSE)</f>
        <v>45352</v>
      </c>
      <c r="AM161" s="576">
        <f>VLOOKUP(Complete[[#This Row],[Code
(PAP)]],[1]Sheet1!$A:$AO,38,FALSE)</f>
        <v>45352</v>
      </c>
      <c r="AN161" s="595" t="s">
        <v>713</v>
      </c>
      <c r="AO161" s="303" t="s">
        <v>139</v>
      </c>
      <c r="AP161" s="389"/>
      <c r="AQ161" s="389"/>
    </row>
    <row r="162" spans="1:43" s="224" customFormat="1" ht="75" customHeight="1" x14ac:dyDescent="0.25">
      <c r="A162" s="385" t="s">
        <v>340</v>
      </c>
      <c r="B162" s="406" t="str">
        <f>VLOOKUP(Complete[[#This Row],[Code
(PAP)]],[1]Sheet1!$A:$AO,2,FALSE)</f>
        <v>SPAREPARTS (LIGHT VEHICLES)</v>
      </c>
      <c r="C162" s="408" t="str">
        <f>VLOOKUP(Complete[[#This Row],[Code
(PAP)]],[1]Sheet1!$A:$AO,3,FALSE)</f>
        <v>PGSO</v>
      </c>
      <c r="D162" s="380" t="s">
        <v>712</v>
      </c>
      <c r="E162" s="409" t="str">
        <f>VLOOKUP(Complete[[#This Row],[Code
(PAP)]],[2]Sheet1!$A:$AO,5,FALSE)</f>
        <v>Shopping 52.1(a) - Unforeseen Contingency</v>
      </c>
      <c r="F162" s="393" t="str">
        <f>VLOOKUP(Complete[[#This Row],[Code
(PAP)]],[1]Sheet1!$A:$AO,6,FALSE)</f>
        <v>N/A</v>
      </c>
      <c r="G162" s="393">
        <f>VLOOKUP(Complete[[#This Row],[Code
(PAP)]],[1]Sheet1!$A:$AO,7,FALSE)</f>
        <v>45352</v>
      </c>
      <c r="H162" s="374"/>
      <c r="I162" s="394" t="str">
        <f>VLOOKUP(Complete[[#This Row],[Code
(PAP)]],[1]Sheet1!$A:$AO,9,FALSE)</f>
        <v>N/A</v>
      </c>
      <c r="J162" s="393" t="str">
        <f>VLOOKUP(Complete[[#This Row],[Code
(PAP)]],[1]Sheet1!$A:$AO,10,FALSE)</f>
        <v xml:space="preserve"> </v>
      </c>
      <c r="K162" s="393">
        <f>VLOOKUP(Complete[[#This Row],[Code
(PAP)]],[1]Sheet1!$A:$AO,11,FALSE)</f>
        <v>45370</v>
      </c>
      <c r="L162" s="387"/>
      <c r="M162" s="393" t="str">
        <f>VLOOKUP(Complete[[#This Row],[Code
(PAP)]],[1]Sheet1!$A:$AO,13,FALSE)</f>
        <v>N/A</v>
      </c>
      <c r="N162" s="393" t="str">
        <f>VLOOKUP(Complete[[#This Row],[Code
(PAP)]],[1]Sheet1!$A:$AO,14,FALSE)</f>
        <v>N/A</v>
      </c>
      <c r="O162" s="393">
        <f>VLOOKUP(Complete[[#This Row],[Code
(PAP)]],[1]Sheet1!$A:$AO,15,FALSE)</f>
        <v>45372</v>
      </c>
      <c r="P162" s="387"/>
      <c r="Q162" s="387"/>
      <c r="R162" s="387"/>
      <c r="S162" s="576" t="str">
        <f>VLOOKUP(Complete[[#This Row],[Code
(PAP)]],[1]Sheet1!$A:$AO,19,FALSE)</f>
        <v>N/A</v>
      </c>
      <c r="T162" s="576">
        <f>VLOOKUP(Complete[[#This Row],[Code
(PAP)]],[1]Sheet1!$A:$AO,20,FALSE)</f>
        <v>45405</v>
      </c>
      <c r="U162" s="576">
        <f>VLOOKUP(Complete[[#This Row],[Code
(PAP)]],[1]Sheet1!$A:$AO,21,FALSE)</f>
        <v>45422</v>
      </c>
      <c r="V162" s="387"/>
      <c r="W162" s="387"/>
      <c r="X162" s="392">
        <f>VLOOKUP(Complete[[#This Row],[Code
(PAP)]],[1]Sheet1!$A:$AO,24,FALSE)</f>
        <v>45422</v>
      </c>
      <c r="Y162" s="392">
        <f>Complete[[#This Row],[Delivery/ Completion]]</f>
        <v>45422</v>
      </c>
      <c r="Z162" s="610" t="s">
        <v>1478</v>
      </c>
      <c r="AA162" s="462">
        <f>Complete[[#This Row],[MOOE]]+Complete[[#This Row],[CO]]</f>
        <v>44000</v>
      </c>
      <c r="AB162" s="466">
        <v>44000</v>
      </c>
      <c r="AC162" s="497"/>
      <c r="AD162" s="498">
        <f>IF(Complete[[#This Row],[Procurement Project]]="","",SUM(Complete[[#This Row],[MOOE2]]+Complete[[#This Row],[CO3]]))</f>
        <v>44000</v>
      </c>
      <c r="AE162" s="501">
        <v>44000</v>
      </c>
      <c r="AF162" s="541"/>
      <c r="AG162" s="400"/>
      <c r="AH162" s="380" t="s">
        <v>1205</v>
      </c>
      <c r="AI162" s="576" t="str">
        <f>VLOOKUP(Complete[[#This Row],[Code
(PAP)]],[1]Sheet1!$A:$AO,35,FALSE)</f>
        <v>N/A</v>
      </c>
      <c r="AJ162" s="576" t="str">
        <f>VLOOKUP(Complete[[#This Row],[Code
(PAP)]],[1]Sheet1!$A:$AO,36,FALSE)</f>
        <v>N/A</v>
      </c>
      <c r="AK162" s="576" t="str">
        <f>VLOOKUP(Complete[[#This Row],[Code
(PAP)]],[1]Sheet1!$A:$AO,37,FALSE)</f>
        <v>N/A</v>
      </c>
      <c r="AL162" s="576" t="str">
        <f>VLOOKUP(Complete[[#This Row],[Code
(PAP)]],[1]Sheet1!$A:$AO,38,FALSE)</f>
        <v>N/A</v>
      </c>
      <c r="AM162" s="576" t="str">
        <f>VLOOKUP(Complete[[#This Row],[Code
(PAP)]],[1]Sheet1!$A:$AO,38,FALSE)</f>
        <v>N/A</v>
      </c>
      <c r="AN162" s="595" t="s">
        <v>713</v>
      </c>
      <c r="AO162" s="303" t="s">
        <v>139</v>
      </c>
      <c r="AP162" s="389"/>
      <c r="AQ162" s="389"/>
    </row>
    <row r="163" spans="1:43" s="224" customFormat="1" ht="75" customHeight="1" x14ac:dyDescent="0.25">
      <c r="A163" s="385" t="s">
        <v>341</v>
      </c>
      <c r="B163" s="406" t="str">
        <f>VLOOKUP(Complete[[#This Row],[Code
(PAP)]],[1]Sheet1!$A:$AO,2,FALSE)</f>
        <v>SPAREPARTS (LIGHT VEHICLES)</v>
      </c>
      <c r="C163" s="408" t="str">
        <f>VLOOKUP(Complete[[#This Row],[Code
(PAP)]],[1]Sheet1!$A:$AO,3,FALSE)</f>
        <v>PGSO</v>
      </c>
      <c r="D163" s="380" t="s">
        <v>712</v>
      </c>
      <c r="E163" s="409" t="str">
        <f>VLOOKUP(Complete[[#This Row],[Code
(PAP)]],[2]Sheet1!$A:$AO,5,FALSE)</f>
        <v>Shopping 52.1(a) - Unforeseen Contingency</v>
      </c>
      <c r="F163" s="393" t="str">
        <f>VLOOKUP(Complete[[#This Row],[Code
(PAP)]],[1]Sheet1!$A:$AO,6,FALSE)</f>
        <v>N/A</v>
      </c>
      <c r="G163" s="393">
        <f>VLOOKUP(Complete[[#This Row],[Code
(PAP)]],[1]Sheet1!$A:$AO,7,FALSE)</f>
        <v>45352</v>
      </c>
      <c r="H163" s="374"/>
      <c r="I163" s="394" t="str">
        <f>VLOOKUP(Complete[[#This Row],[Code
(PAP)]],[1]Sheet1!$A:$AO,9,FALSE)</f>
        <v>N/A</v>
      </c>
      <c r="J163" s="393">
        <f>VLOOKUP(Complete[[#This Row],[Code
(PAP)]],[1]Sheet1!$A:$AO,10,FALSE)</f>
        <v>45370</v>
      </c>
      <c r="K163" s="393">
        <f>VLOOKUP(Complete[[#This Row],[Code
(PAP)]],[1]Sheet1!$A:$AO,11,FALSE)</f>
        <v>45370</v>
      </c>
      <c r="L163" s="387"/>
      <c r="M163" s="393" t="str">
        <f>VLOOKUP(Complete[[#This Row],[Code
(PAP)]],[1]Sheet1!$A:$AO,13,FALSE)</f>
        <v>N/A</v>
      </c>
      <c r="N163" s="393" t="str">
        <f>VLOOKUP(Complete[[#This Row],[Code
(PAP)]],[1]Sheet1!$A:$AO,14,FALSE)</f>
        <v>N/A</v>
      </c>
      <c r="O163" s="393">
        <f>VLOOKUP(Complete[[#This Row],[Code
(PAP)]],[1]Sheet1!$A:$AO,15,FALSE)</f>
        <v>45372</v>
      </c>
      <c r="P163" s="387"/>
      <c r="Q163" s="387"/>
      <c r="R163" s="387"/>
      <c r="S163" s="576" t="str">
        <f>VLOOKUP(Complete[[#This Row],[Code
(PAP)]],[1]Sheet1!$A:$AO,19,FALSE)</f>
        <v>N/A</v>
      </c>
      <c r="T163" s="576">
        <f>VLOOKUP(Complete[[#This Row],[Code
(PAP)]],[1]Sheet1!$A:$AO,20,FALSE)</f>
        <v>45405</v>
      </c>
      <c r="U163" s="576">
        <f>VLOOKUP(Complete[[#This Row],[Code
(PAP)]],[1]Sheet1!$A:$AO,21,FALSE)</f>
        <v>45407</v>
      </c>
      <c r="V163" s="387"/>
      <c r="W163" s="387"/>
      <c r="X163" s="392">
        <f>VLOOKUP(Complete[[#This Row],[Code
(PAP)]],[1]Sheet1!$A:$AO,24,FALSE)</f>
        <v>45407</v>
      </c>
      <c r="Y163" s="392">
        <f>Complete[[#This Row],[Delivery/ Completion]]</f>
        <v>45407</v>
      </c>
      <c r="Z163" s="610" t="s">
        <v>1478</v>
      </c>
      <c r="AA163" s="462">
        <f>Complete[[#This Row],[MOOE]]+Complete[[#This Row],[CO]]</f>
        <v>38230</v>
      </c>
      <c r="AB163" s="466">
        <v>38230</v>
      </c>
      <c r="AC163" s="497"/>
      <c r="AD163" s="498">
        <f>IF(Complete[[#This Row],[Procurement Project]]="","",SUM(Complete[[#This Row],[MOOE2]]+Complete[[#This Row],[CO3]]))</f>
        <v>38230</v>
      </c>
      <c r="AE163" s="501">
        <v>38230</v>
      </c>
      <c r="AF163" s="541"/>
      <c r="AG163" s="400"/>
      <c r="AH163" s="380" t="s">
        <v>1205</v>
      </c>
      <c r="AI163" s="576" t="str">
        <f>VLOOKUP(Complete[[#This Row],[Code
(PAP)]],[1]Sheet1!$A:$AO,35,FALSE)</f>
        <v>N/A</v>
      </c>
      <c r="AJ163" s="576" t="str">
        <f>VLOOKUP(Complete[[#This Row],[Code
(PAP)]],[1]Sheet1!$A:$AO,36,FALSE)</f>
        <v>N/A</v>
      </c>
      <c r="AK163" s="576" t="str">
        <f>VLOOKUP(Complete[[#This Row],[Code
(PAP)]],[1]Sheet1!$A:$AO,37,FALSE)</f>
        <v>N/A</v>
      </c>
      <c r="AL163" s="576" t="str">
        <f>VLOOKUP(Complete[[#This Row],[Code
(PAP)]],[1]Sheet1!$A:$AO,38,FALSE)</f>
        <v>N/A</v>
      </c>
      <c r="AM163" s="576" t="str">
        <f>VLOOKUP(Complete[[#This Row],[Code
(PAP)]],[1]Sheet1!$A:$AO,38,FALSE)</f>
        <v>N/A</v>
      </c>
      <c r="AN163" s="595" t="s">
        <v>713</v>
      </c>
      <c r="AO163" s="303" t="s">
        <v>139</v>
      </c>
      <c r="AP163" s="389"/>
      <c r="AQ163" s="389"/>
    </row>
    <row r="164" spans="1:43" s="224" customFormat="1" ht="75" customHeight="1" x14ac:dyDescent="0.25">
      <c r="A164" s="385" t="s">
        <v>342</v>
      </c>
      <c r="B164" s="406" t="str">
        <f>VLOOKUP(Complete[[#This Row],[Code
(PAP)]],[1]Sheet1!$A:$AO,2,FALSE)</f>
        <v>SPAREPARTS (LIGHT VEHICLES)</v>
      </c>
      <c r="C164" s="408" t="str">
        <f>VLOOKUP(Complete[[#This Row],[Code
(PAP)]],[1]Sheet1!$A:$AO,3,FALSE)</f>
        <v>PGSO</v>
      </c>
      <c r="D164" s="380" t="s">
        <v>712</v>
      </c>
      <c r="E164" s="409" t="str">
        <f>VLOOKUP(Complete[[#This Row],[Code
(PAP)]],[2]Sheet1!$A:$AO,5,FALSE)</f>
        <v>Shopping 52.1(a) - Unforeseen Contingency</v>
      </c>
      <c r="F164" s="393" t="str">
        <f>VLOOKUP(Complete[[#This Row],[Code
(PAP)]],[1]Sheet1!$A:$AO,6,FALSE)</f>
        <v>N/A</v>
      </c>
      <c r="G164" s="393">
        <f>VLOOKUP(Complete[[#This Row],[Code
(PAP)]],[1]Sheet1!$A:$AO,7,FALSE)</f>
        <v>45352</v>
      </c>
      <c r="H164" s="374"/>
      <c r="I164" s="394" t="str">
        <f>VLOOKUP(Complete[[#This Row],[Code
(PAP)]],[1]Sheet1!$A:$AO,9,FALSE)</f>
        <v>N/A</v>
      </c>
      <c r="J164" s="393">
        <f>VLOOKUP(Complete[[#This Row],[Code
(PAP)]],[1]Sheet1!$A:$AO,10,FALSE)</f>
        <v>45370</v>
      </c>
      <c r="K164" s="393">
        <f>VLOOKUP(Complete[[#This Row],[Code
(PAP)]],[1]Sheet1!$A:$AO,11,FALSE)</f>
        <v>45370</v>
      </c>
      <c r="L164" s="387"/>
      <c r="M164" s="393" t="str">
        <f>VLOOKUP(Complete[[#This Row],[Code
(PAP)]],[1]Sheet1!$A:$AO,13,FALSE)</f>
        <v>N/A</v>
      </c>
      <c r="N164" s="393" t="str">
        <f>VLOOKUP(Complete[[#This Row],[Code
(PAP)]],[1]Sheet1!$A:$AO,14,FALSE)</f>
        <v>N/A</v>
      </c>
      <c r="O164" s="393">
        <f>VLOOKUP(Complete[[#This Row],[Code
(PAP)]],[1]Sheet1!$A:$AO,15,FALSE)</f>
        <v>45372</v>
      </c>
      <c r="P164" s="387"/>
      <c r="Q164" s="387"/>
      <c r="R164" s="387"/>
      <c r="S164" s="576" t="str">
        <f>VLOOKUP(Complete[[#This Row],[Code
(PAP)]],[1]Sheet1!$A:$AO,19,FALSE)</f>
        <v>N/A</v>
      </c>
      <c r="T164" s="576">
        <f>VLOOKUP(Complete[[#This Row],[Code
(PAP)]],[1]Sheet1!$A:$AO,20,FALSE)</f>
        <v>45405</v>
      </c>
      <c r="U164" s="576">
        <f>VLOOKUP(Complete[[#This Row],[Code
(PAP)]],[1]Sheet1!$A:$AO,21,FALSE)</f>
        <v>45407</v>
      </c>
      <c r="V164" s="387"/>
      <c r="W164" s="387"/>
      <c r="X164" s="392">
        <f>VLOOKUP(Complete[[#This Row],[Code
(PAP)]],[1]Sheet1!$A:$AO,24,FALSE)</f>
        <v>45407</v>
      </c>
      <c r="Y164" s="392">
        <f>Complete[[#This Row],[Delivery/ Completion]]</f>
        <v>45407</v>
      </c>
      <c r="Z164" s="610" t="s">
        <v>1478</v>
      </c>
      <c r="AA164" s="462">
        <f>Complete[[#This Row],[MOOE]]+Complete[[#This Row],[CO]]</f>
        <v>49000</v>
      </c>
      <c r="AB164" s="466">
        <v>49000</v>
      </c>
      <c r="AC164" s="497"/>
      <c r="AD164" s="498">
        <f>IF(Complete[[#This Row],[Procurement Project]]="","",SUM(Complete[[#This Row],[MOOE2]]+Complete[[#This Row],[CO3]]))</f>
        <v>49000</v>
      </c>
      <c r="AE164" s="501">
        <v>49000</v>
      </c>
      <c r="AF164" s="541"/>
      <c r="AG164" s="400"/>
      <c r="AH164" s="380" t="s">
        <v>1205</v>
      </c>
      <c r="AI164" s="576" t="str">
        <f>VLOOKUP(Complete[[#This Row],[Code
(PAP)]],[1]Sheet1!$A:$AO,35,FALSE)</f>
        <v>N/A</v>
      </c>
      <c r="AJ164" s="576" t="str">
        <f>VLOOKUP(Complete[[#This Row],[Code
(PAP)]],[1]Sheet1!$A:$AO,36,FALSE)</f>
        <v>N/A</v>
      </c>
      <c r="AK164" s="576" t="str">
        <f>VLOOKUP(Complete[[#This Row],[Code
(PAP)]],[1]Sheet1!$A:$AO,37,FALSE)</f>
        <v>N/A</v>
      </c>
      <c r="AL164" s="576" t="str">
        <f>VLOOKUP(Complete[[#This Row],[Code
(PAP)]],[1]Sheet1!$A:$AO,38,FALSE)</f>
        <v>N/A</v>
      </c>
      <c r="AM164" s="576" t="str">
        <f>VLOOKUP(Complete[[#This Row],[Code
(PAP)]],[1]Sheet1!$A:$AO,38,FALSE)</f>
        <v>N/A</v>
      </c>
      <c r="AN164" s="595" t="s">
        <v>713</v>
      </c>
      <c r="AO164" s="303" t="s">
        <v>139</v>
      </c>
      <c r="AP164" s="389"/>
      <c r="AQ164" s="389"/>
    </row>
    <row r="165" spans="1:43" s="224" customFormat="1" ht="75" customHeight="1" x14ac:dyDescent="0.25">
      <c r="A165" s="385" t="s">
        <v>343</v>
      </c>
      <c r="B165" s="406" t="str">
        <f>VLOOKUP(Complete[[#This Row],[Code
(PAP)]],[1]Sheet1!$A:$AO,2,FALSE)</f>
        <v>SPAREPARTS (MOTORCYCLE)</v>
      </c>
      <c r="C165" s="408" t="str">
        <f>VLOOKUP(Complete[[#This Row],[Code
(PAP)]],[1]Sheet1!$A:$AO,3,FALSE)</f>
        <v>PGSO</v>
      </c>
      <c r="D165" s="380" t="s">
        <v>712</v>
      </c>
      <c r="E165" s="409" t="str">
        <f>VLOOKUP(Complete[[#This Row],[Code
(PAP)]],[2]Sheet1!$A:$AO,5,FALSE)</f>
        <v>Shopping 52.1(a) - Unforeseen Contingency</v>
      </c>
      <c r="F165" s="393" t="str">
        <f>VLOOKUP(Complete[[#This Row],[Code
(PAP)]],[1]Sheet1!$A:$AO,6,FALSE)</f>
        <v>N/A</v>
      </c>
      <c r="G165" s="393">
        <f>VLOOKUP(Complete[[#This Row],[Code
(PAP)]],[1]Sheet1!$A:$AO,7,FALSE)</f>
        <v>45352</v>
      </c>
      <c r="H165" s="374"/>
      <c r="I165" s="394" t="str">
        <f>VLOOKUP(Complete[[#This Row],[Code
(PAP)]],[1]Sheet1!$A:$AO,9,FALSE)</f>
        <v>N/A</v>
      </c>
      <c r="J165" s="393">
        <f>VLOOKUP(Complete[[#This Row],[Code
(PAP)]],[1]Sheet1!$A:$AO,10,FALSE)</f>
        <v>45370</v>
      </c>
      <c r="K165" s="393">
        <f>VLOOKUP(Complete[[#This Row],[Code
(PAP)]],[1]Sheet1!$A:$AO,11,FALSE)</f>
        <v>45370</v>
      </c>
      <c r="L165" s="387"/>
      <c r="M165" s="393" t="str">
        <f>VLOOKUP(Complete[[#This Row],[Code
(PAP)]],[1]Sheet1!$A:$AO,13,FALSE)</f>
        <v>N/A</v>
      </c>
      <c r="N165" s="393" t="str">
        <f>VLOOKUP(Complete[[#This Row],[Code
(PAP)]],[1]Sheet1!$A:$AO,14,FALSE)</f>
        <v>N/A</v>
      </c>
      <c r="O165" s="393">
        <f>VLOOKUP(Complete[[#This Row],[Code
(PAP)]],[1]Sheet1!$A:$AO,15,FALSE)</f>
        <v>45372</v>
      </c>
      <c r="P165" s="387"/>
      <c r="Q165" s="387"/>
      <c r="R165" s="387"/>
      <c r="S165" s="576" t="str">
        <f>VLOOKUP(Complete[[#This Row],[Code
(PAP)]],[1]Sheet1!$A:$AO,19,FALSE)</f>
        <v>N/A</v>
      </c>
      <c r="T165" s="576">
        <f>VLOOKUP(Complete[[#This Row],[Code
(PAP)]],[1]Sheet1!$A:$AO,20,FALSE)</f>
        <v>45405</v>
      </c>
      <c r="U165" s="576">
        <f>VLOOKUP(Complete[[#This Row],[Code
(PAP)]],[1]Sheet1!$A:$AO,21,FALSE)</f>
        <v>45408</v>
      </c>
      <c r="V165" s="387"/>
      <c r="W165" s="387"/>
      <c r="X165" s="392">
        <f>VLOOKUP(Complete[[#This Row],[Code
(PAP)]],[1]Sheet1!$A:$AO,24,FALSE)</f>
        <v>45408</v>
      </c>
      <c r="Y165" s="392">
        <f>Complete[[#This Row],[Delivery/ Completion]]</f>
        <v>45408</v>
      </c>
      <c r="Z165" s="610" t="s">
        <v>1478</v>
      </c>
      <c r="AA165" s="462">
        <f>Complete[[#This Row],[MOOE]]+Complete[[#This Row],[CO]]</f>
        <v>8650</v>
      </c>
      <c r="AB165" s="466">
        <v>8650</v>
      </c>
      <c r="AC165" s="497"/>
      <c r="AD165" s="498">
        <f>IF(Complete[[#This Row],[Procurement Project]]="","",SUM(Complete[[#This Row],[MOOE2]]+Complete[[#This Row],[CO3]]))</f>
        <v>8650</v>
      </c>
      <c r="AE165" s="501">
        <v>8650</v>
      </c>
      <c r="AF165" s="541"/>
      <c r="AG165" s="400"/>
      <c r="AH165" s="380" t="s">
        <v>1205</v>
      </c>
      <c r="AI165" s="576" t="str">
        <f>VLOOKUP(Complete[[#This Row],[Code
(PAP)]],[1]Sheet1!$A:$AO,35,FALSE)</f>
        <v>N/A</v>
      </c>
      <c r="AJ165" s="576" t="str">
        <f>VLOOKUP(Complete[[#This Row],[Code
(PAP)]],[1]Sheet1!$A:$AO,36,FALSE)</f>
        <v>N/A</v>
      </c>
      <c r="AK165" s="576" t="str">
        <f>VLOOKUP(Complete[[#This Row],[Code
(PAP)]],[1]Sheet1!$A:$AO,37,FALSE)</f>
        <v>N/A</v>
      </c>
      <c r="AL165" s="576" t="str">
        <f>VLOOKUP(Complete[[#This Row],[Code
(PAP)]],[1]Sheet1!$A:$AO,38,FALSE)</f>
        <v>N/A</v>
      </c>
      <c r="AM165" s="576" t="str">
        <f>VLOOKUP(Complete[[#This Row],[Code
(PAP)]],[1]Sheet1!$A:$AO,38,FALSE)</f>
        <v>N/A</v>
      </c>
      <c r="AN165" s="595" t="s">
        <v>713</v>
      </c>
      <c r="AO165" s="303" t="s">
        <v>139</v>
      </c>
      <c r="AP165" s="389"/>
      <c r="AQ165" s="389"/>
    </row>
    <row r="166" spans="1:43" s="224" customFormat="1" ht="75" customHeight="1" x14ac:dyDescent="0.25">
      <c r="A166" s="385" t="s">
        <v>344</v>
      </c>
      <c r="B166" s="406" t="str">
        <f>VLOOKUP(Complete[[#This Row],[Code
(PAP)]],[1]Sheet1!$A:$AO,2,FALSE)</f>
        <v>SPAREPARTS (MOTORCYCLE)</v>
      </c>
      <c r="C166" s="408" t="str">
        <f>VLOOKUP(Complete[[#This Row],[Code
(PAP)]],[1]Sheet1!$A:$AO,3,FALSE)</f>
        <v>PGSO</v>
      </c>
      <c r="D166" s="380" t="s">
        <v>712</v>
      </c>
      <c r="E166" s="409" t="str">
        <f>VLOOKUP(Complete[[#This Row],[Code
(PAP)]],[2]Sheet1!$A:$AO,5,FALSE)</f>
        <v>Shopping 52.1(a) - Unforeseen Contingency</v>
      </c>
      <c r="F166" s="393" t="str">
        <f>VLOOKUP(Complete[[#This Row],[Code
(PAP)]],[1]Sheet1!$A:$AO,6,FALSE)</f>
        <v>N/A</v>
      </c>
      <c r="G166" s="393">
        <f>VLOOKUP(Complete[[#This Row],[Code
(PAP)]],[1]Sheet1!$A:$AO,7,FALSE)</f>
        <v>45352</v>
      </c>
      <c r="H166" s="374"/>
      <c r="I166" s="394" t="str">
        <f>VLOOKUP(Complete[[#This Row],[Code
(PAP)]],[1]Sheet1!$A:$AO,9,FALSE)</f>
        <v>N/A</v>
      </c>
      <c r="J166" s="393">
        <f>VLOOKUP(Complete[[#This Row],[Code
(PAP)]],[1]Sheet1!$A:$AO,10,FALSE)</f>
        <v>45370</v>
      </c>
      <c r="K166" s="393">
        <f>VLOOKUP(Complete[[#This Row],[Code
(PAP)]],[1]Sheet1!$A:$AO,11,FALSE)</f>
        <v>45370</v>
      </c>
      <c r="L166" s="387"/>
      <c r="M166" s="393" t="str">
        <f>VLOOKUP(Complete[[#This Row],[Code
(PAP)]],[1]Sheet1!$A:$AO,13,FALSE)</f>
        <v>N/A</v>
      </c>
      <c r="N166" s="393" t="str">
        <f>VLOOKUP(Complete[[#This Row],[Code
(PAP)]],[1]Sheet1!$A:$AO,14,FALSE)</f>
        <v>N/A</v>
      </c>
      <c r="O166" s="393">
        <f>VLOOKUP(Complete[[#This Row],[Code
(PAP)]],[1]Sheet1!$A:$AO,15,FALSE)</f>
        <v>45372</v>
      </c>
      <c r="P166" s="387"/>
      <c r="Q166" s="387"/>
      <c r="R166" s="387"/>
      <c r="S166" s="576" t="str">
        <f>VLOOKUP(Complete[[#This Row],[Code
(PAP)]],[1]Sheet1!$A:$AO,19,FALSE)</f>
        <v>N/A</v>
      </c>
      <c r="T166" s="576">
        <f>VLOOKUP(Complete[[#This Row],[Code
(PAP)]],[1]Sheet1!$A:$AO,20,FALSE)</f>
        <v>45407</v>
      </c>
      <c r="U166" s="576">
        <f>VLOOKUP(Complete[[#This Row],[Code
(PAP)]],[1]Sheet1!$A:$AO,21,FALSE)</f>
        <v>45412</v>
      </c>
      <c r="V166" s="387"/>
      <c r="W166" s="387"/>
      <c r="X166" s="392">
        <f>VLOOKUP(Complete[[#This Row],[Code
(PAP)]],[1]Sheet1!$A:$AO,24,FALSE)</f>
        <v>45412</v>
      </c>
      <c r="Y166" s="392">
        <f>Complete[[#This Row],[Delivery/ Completion]]</f>
        <v>45412</v>
      </c>
      <c r="Z166" s="610" t="s">
        <v>1478</v>
      </c>
      <c r="AA166" s="462">
        <f>Complete[[#This Row],[MOOE]]+Complete[[#This Row],[CO]]</f>
        <v>3180</v>
      </c>
      <c r="AB166" s="466">
        <v>3180</v>
      </c>
      <c r="AC166" s="497"/>
      <c r="AD166" s="498">
        <f>IF(Complete[[#This Row],[Procurement Project]]="","",SUM(Complete[[#This Row],[MOOE2]]+Complete[[#This Row],[CO3]]))</f>
        <v>3180</v>
      </c>
      <c r="AE166" s="501">
        <v>3180</v>
      </c>
      <c r="AF166" s="541"/>
      <c r="AG166" s="400"/>
      <c r="AH166" s="380" t="s">
        <v>1205</v>
      </c>
      <c r="AI166" s="576" t="str">
        <f>VLOOKUP(Complete[[#This Row],[Code
(PAP)]],[1]Sheet1!$A:$AO,35,FALSE)</f>
        <v>N/A</v>
      </c>
      <c r="AJ166" s="576" t="str">
        <f>VLOOKUP(Complete[[#This Row],[Code
(PAP)]],[1]Sheet1!$A:$AO,36,FALSE)</f>
        <v>N/A</v>
      </c>
      <c r="AK166" s="576" t="str">
        <f>VLOOKUP(Complete[[#This Row],[Code
(PAP)]],[1]Sheet1!$A:$AO,37,FALSE)</f>
        <v>N/A</v>
      </c>
      <c r="AL166" s="576" t="str">
        <f>VLOOKUP(Complete[[#This Row],[Code
(PAP)]],[1]Sheet1!$A:$AO,38,FALSE)</f>
        <v>N/A</v>
      </c>
      <c r="AM166" s="576" t="str">
        <f>VLOOKUP(Complete[[#This Row],[Code
(PAP)]],[1]Sheet1!$A:$AO,38,FALSE)</f>
        <v>N/A</v>
      </c>
      <c r="AN166" s="595" t="s">
        <v>713</v>
      </c>
      <c r="AO166" s="303" t="s">
        <v>139</v>
      </c>
      <c r="AP166" s="389"/>
      <c r="AQ166" s="389"/>
    </row>
    <row r="167" spans="1:43" s="224" customFormat="1" ht="75" customHeight="1" x14ac:dyDescent="0.25">
      <c r="A167" s="385" t="s">
        <v>345</v>
      </c>
      <c r="B167" s="406" t="str">
        <f>VLOOKUP(Complete[[#This Row],[Code
(PAP)]],[1]Sheet1!$A:$AO,2,FALSE)</f>
        <v>SPAREPARTS (LIGHT VEHICLES)</v>
      </c>
      <c r="C167" s="408" t="str">
        <f>VLOOKUP(Complete[[#This Row],[Code
(PAP)]],[1]Sheet1!$A:$AO,3,FALSE)</f>
        <v>PGSO</v>
      </c>
      <c r="D167" s="380" t="s">
        <v>712</v>
      </c>
      <c r="E167" s="409" t="str">
        <f>VLOOKUP(Complete[[#This Row],[Code
(PAP)]],[2]Sheet1!$A:$AO,5,FALSE)</f>
        <v>Shopping 52.1(a) - Unforeseen Contingency</v>
      </c>
      <c r="F167" s="393" t="str">
        <f>VLOOKUP(Complete[[#This Row],[Code
(PAP)]],[1]Sheet1!$A:$AO,6,FALSE)</f>
        <v>N/A</v>
      </c>
      <c r="G167" s="393">
        <f>VLOOKUP(Complete[[#This Row],[Code
(PAP)]],[1]Sheet1!$A:$AO,7,FALSE)</f>
        <v>45352</v>
      </c>
      <c r="H167" s="374"/>
      <c r="I167" s="394" t="str">
        <f>VLOOKUP(Complete[[#This Row],[Code
(PAP)]],[1]Sheet1!$A:$AO,9,FALSE)</f>
        <v>N/A</v>
      </c>
      <c r="J167" s="393">
        <f>VLOOKUP(Complete[[#This Row],[Code
(PAP)]],[1]Sheet1!$A:$AO,10,FALSE)</f>
        <v>45370</v>
      </c>
      <c r="K167" s="393">
        <f>VLOOKUP(Complete[[#This Row],[Code
(PAP)]],[1]Sheet1!$A:$AO,11,FALSE)</f>
        <v>45370</v>
      </c>
      <c r="L167" s="387"/>
      <c r="M167" s="393" t="str">
        <f>VLOOKUP(Complete[[#This Row],[Code
(PAP)]],[1]Sheet1!$A:$AO,13,FALSE)</f>
        <v>N/A</v>
      </c>
      <c r="N167" s="393" t="str">
        <f>VLOOKUP(Complete[[#This Row],[Code
(PAP)]],[1]Sheet1!$A:$AO,14,FALSE)</f>
        <v>N/A</v>
      </c>
      <c r="O167" s="393">
        <f>VLOOKUP(Complete[[#This Row],[Code
(PAP)]],[1]Sheet1!$A:$AO,15,FALSE)</f>
        <v>45372</v>
      </c>
      <c r="P167" s="387"/>
      <c r="Q167" s="387"/>
      <c r="R167" s="387"/>
      <c r="S167" s="576" t="str">
        <f>VLOOKUP(Complete[[#This Row],[Code
(PAP)]],[1]Sheet1!$A:$AO,19,FALSE)</f>
        <v>N/A</v>
      </c>
      <c r="T167" s="576">
        <f>VLOOKUP(Complete[[#This Row],[Code
(PAP)]],[1]Sheet1!$A:$AO,20,FALSE)</f>
        <v>45407</v>
      </c>
      <c r="U167" s="576">
        <f>VLOOKUP(Complete[[#This Row],[Code
(PAP)]],[1]Sheet1!$A:$AO,21,FALSE)</f>
        <v>45411</v>
      </c>
      <c r="V167" s="387"/>
      <c r="W167" s="387"/>
      <c r="X167" s="392">
        <f>VLOOKUP(Complete[[#This Row],[Code
(PAP)]],[1]Sheet1!$A:$AO,24,FALSE)</f>
        <v>45411</v>
      </c>
      <c r="Y167" s="392">
        <f>Complete[[#This Row],[Delivery/ Completion]]</f>
        <v>45411</v>
      </c>
      <c r="Z167" s="610" t="s">
        <v>1478</v>
      </c>
      <c r="AA167" s="462">
        <f>Complete[[#This Row],[MOOE]]+Complete[[#This Row],[CO]]</f>
        <v>30750</v>
      </c>
      <c r="AB167" s="466">
        <v>30750</v>
      </c>
      <c r="AC167" s="497"/>
      <c r="AD167" s="498">
        <f>IF(Complete[[#This Row],[Procurement Project]]="","",SUM(Complete[[#This Row],[MOOE2]]+Complete[[#This Row],[CO3]]))</f>
        <v>30750</v>
      </c>
      <c r="AE167" s="501">
        <v>30750</v>
      </c>
      <c r="AF167" s="541"/>
      <c r="AG167" s="400"/>
      <c r="AH167" s="380" t="s">
        <v>1205</v>
      </c>
      <c r="AI167" s="576" t="str">
        <f>VLOOKUP(Complete[[#This Row],[Code
(PAP)]],[1]Sheet1!$A:$AO,35,FALSE)</f>
        <v>N/A</v>
      </c>
      <c r="AJ167" s="576" t="str">
        <f>VLOOKUP(Complete[[#This Row],[Code
(PAP)]],[1]Sheet1!$A:$AO,36,FALSE)</f>
        <v>N/A</v>
      </c>
      <c r="AK167" s="576" t="str">
        <f>VLOOKUP(Complete[[#This Row],[Code
(PAP)]],[1]Sheet1!$A:$AO,37,FALSE)</f>
        <v>N/A</v>
      </c>
      <c r="AL167" s="576" t="str">
        <f>VLOOKUP(Complete[[#This Row],[Code
(PAP)]],[1]Sheet1!$A:$AO,38,FALSE)</f>
        <v>N/A</v>
      </c>
      <c r="AM167" s="576" t="str">
        <f>VLOOKUP(Complete[[#This Row],[Code
(PAP)]],[1]Sheet1!$A:$AO,38,FALSE)</f>
        <v>N/A</v>
      </c>
      <c r="AN167" s="595" t="s">
        <v>713</v>
      </c>
      <c r="AO167" s="303" t="s">
        <v>139</v>
      </c>
      <c r="AP167" s="389"/>
      <c r="AQ167" s="389"/>
    </row>
    <row r="168" spans="1:43" s="224" customFormat="1" ht="75" customHeight="1" x14ac:dyDescent="0.25">
      <c r="A168" s="385" t="s">
        <v>346</v>
      </c>
      <c r="B168" s="406" t="str">
        <f>VLOOKUP(Complete[[#This Row],[Code
(PAP)]],[1]Sheet1!$A:$AO,2,FALSE)</f>
        <v>SPAREPARTS (LIGHT VEHICLES)</v>
      </c>
      <c r="C168" s="408" t="str">
        <f>VLOOKUP(Complete[[#This Row],[Code
(PAP)]],[1]Sheet1!$A:$AO,3,FALSE)</f>
        <v>PGSO</v>
      </c>
      <c r="D168" s="380" t="s">
        <v>712</v>
      </c>
      <c r="E168" s="409" t="str">
        <f>VLOOKUP(Complete[[#This Row],[Code
(PAP)]],[2]Sheet1!$A:$AO,5,FALSE)</f>
        <v>Shopping 52.1(a) - Unforeseen Contingency</v>
      </c>
      <c r="F168" s="393" t="str">
        <f>VLOOKUP(Complete[[#This Row],[Code
(PAP)]],[1]Sheet1!$A:$AO,6,FALSE)</f>
        <v>N/A</v>
      </c>
      <c r="G168" s="393">
        <f>VLOOKUP(Complete[[#This Row],[Code
(PAP)]],[1]Sheet1!$A:$AO,7,FALSE)</f>
        <v>45352</v>
      </c>
      <c r="H168" s="374"/>
      <c r="I168" s="394" t="str">
        <f>VLOOKUP(Complete[[#This Row],[Code
(PAP)]],[1]Sheet1!$A:$AO,9,FALSE)</f>
        <v>N/A</v>
      </c>
      <c r="J168" s="393">
        <f>VLOOKUP(Complete[[#This Row],[Code
(PAP)]],[1]Sheet1!$A:$AO,10,FALSE)</f>
        <v>45370</v>
      </c>
      <c r="K168" s="393">
        <f>VLOOKUP(Complete[[#This Row],[Code
(PAP)]],[1]Sheet1!$A:$AO,11,FALSE)</f>
        <v>45370</v>
      </c>
      <c r="L168" s="387"/>
      <c r="M168" s="393" t="str">
        <f>VLOOKUP(Complete[[#This Row],[Code
(PAP)]],[1]Sheet1!$A:$AO,13,FALSE)</f>
        <v>N/A</v>
      </c>
      <c r="N168" s="393" t="str">
        <f>VLOOKUP(Complete[[#This Row],[Code
(PAP)]],[1]Sheet1!$A:$AO,14,FALSE)</f>
        <v>N/A</v>
      </c>
      <c r="O168" s="393">
        <f>VLOOKUP(Complete[[#This Row],[Code
(PAP)]],[1]Sheet1!$A:$AO,15,FALSE)</f>
        <v>45372</v>
      </c>
      <c r="P168" s="387"/>
      <c r="Q168" s="387"/>
      <c r="R168" s="387"/>
      <c r="S168" s="576" t="str">
        <f>VLOOKUP(Complete[[#This Row],[Code
(PAP)]],[1]Sheet1!$A:$AO,19,FALSE)</f>
        <v>N/A</v>
      </c>
      <c r="T168" s="576">
        <f>VLOOKUP(Complete[[#This Row],[Code
(PAP)]],[1]Sheet1!$A:$AO,20,FALSE)</f>
        <v>45407</v>
      </c>
      <c r="U168" s="576">
        <f>VLOOKUP(Complete[[#This Row],[Code
(PAP)]],[1]Sheet1!$A:$AO,21,FALSE)</f>
        <v>45411</v>
      </c>
      <c r="V168" s="387"/>
      <c r="W168" s="387"/>
      <c r="X168" s="392">
        <f>VLOOKUP(Complete[[#This Row],[Code
(PAP)]],[1]Sheet1!$A:$AO,24,FALSE)</f>
        <v>45411</v>
      </c>
      <c r="Y168" s="392">
        <f>Complete[[#This Row],[Delivery/ Completion]]</f>
        <v>45411</v>
      </c>
      <c r="Z168" s="610" t="s">
        <v>1478</v>
      </c>
      <c r="AA168" s="462">
        <f>Complete[[#This Row],[MOOE]]+Complete[[#This Row],[CO]]</f>
        <v>28600</v>
      </c>
      <c r="AB168" s="466">
        <v>28600</v>
      </c>
      <c r="AC168" s="497"/>
      <c r="AD168" s="498">
        <f>IF(Complete[[#This Row],[Procurement Project]]="","",SUM(Complete[[#This Row],[MOOE2]]+Complete[[#This Row],[CO3]]))</f>
        <v>28600</v>
      </c>
      <c r="AE168" s="501">
        <v>28600</v>
      </c>
      <c r="AF168" s="541"/>
      <c r="AG168" s="400"/>
      <c r="AH168" s="380" t="s">
        <v>1205</v>
      </c>
      <c r="AI168" s="576" t="str">
        <f>VLOOKUP(Complete[[#This Row],[Code
(PAP)]],[1]Sheet1!$A:$AO,35,FALSE)</f>
        <v>N/A</v>
      </c>
      <c r="AJ168" s="576" t="str">
        <f>VLOOKUP(Complete[[#This Row],[Code
(PAP)]],[1]Sheet1!$A:$AO,36,FALSE)</f>
        <v>N/A</v>
      </c>
      <c r="AK168" s="576" t="str">
        <f>VLOOKUP(Complete[[#This Row],[Code
(PAP)]],[1]Sheet1!$A:$AO,37,FALSE)</f>
        <v>N/A</v>
      </c>
      <c r="AL168" s="576" t="str">
        <f>VLOOKUP(Complete[[#This Row],[Code
(PAP)]],[1]Sheet1!$A:$AO,38,FALSE)</f>
        <v>N/A</v>
      </c>
      <c r="AM168" s="576" t="str">
        <f>VLOOKUP(Complete[[#This Row],[Code
(PAP)]],[1]Sheet1!$A:$AO,38,FALSE)</f>
        <v>N/A</v>
      </c>
      <c r="AN168" s="595" t="s">
        <v>713</v>
      </c>
      <c r="AO168" s="303" t="s">
        <v>139</v>
      </c>
      <c r="AP168" s="389"/>
      <c r="AQ168" s="389"/>
    </row>
    <row r="169" spans="1:43" s="224" customFormat="1" ht="75" customHeight="1" x14ac:dyDescent="0.25">
      <c r="A169" s="385" t="s">
        <v>347</v>
      </c>
      <c r="B169" s="406" t="str">
        <f>VLOOKUP(Complete[[#This Row],[Code
(PAP)]],[1]Sheet1!$A:$AO,2,FALSE)</f>
        <v>SPAREPARTS (LIGHT VEHICLES)</v>
      </c>
      <c r="C169" s="408" t="str">
        <f>VLOOKUP(Complete[[#This Row],[Code
(PAP)]],[1]Sheet1!$A:$AO,3,FALSE)</f>
        <v>PGSO</v>
      </c>
      <c r="D169" s="380" t="s">
        <v>712</v>
      </c>
      <c r="E169" s="409" t="str">
        <f>VLOOKUP(Complete[[#This Row],[Code
(PAP)]],[2]Sheet1!$A:$AO,5,FALSE)</f>
        <v>Shopping 52.1(a) - Unforeseen Contingency</v>
      </c>
      <c r="F169" s="393" t="str">
        <f>VLOOKUP(Complete[[#This Row],[Code
(PAP)]],[1]Sheet1!$A:$AO,6,FALSE)</f>
        <v>N/A</v>
      </c>
      <c r="G169" s="393">
        <f>VLOOKUP(Complete[[#This Row],[Code
(PAP)]],[1]Sheet1!$A:$AO,7,FALSE)</f>
        <v>45352</v>
      </c>
      <c r="H169" s="374"/>
      <c r="I169" s="394" t="str">
        <f>VLOOKUP(Complete[[#This Row],[Code
(PAP)]],[1]Sheet1!$A:$AO,9,FALSE)</f>
        <v>N/A</v>
      </c>
      <c r="J169" s="393">
        <f>VLOOKUP(Complete[[#This Row],[Code
(PAP)]],[1]Sheet1!$A:$AO,10,FALSE)</f>
        <v>45370</v>
      </c>
      <c r="K169" s="393">
        <f>VLOOKUP(Complete[[#This Row],[Code
(PAP)]],[1]Sheet1!$A:$AO,11,FALSE)</f>
        <v>45370</v>
      </c>
      <c r="L169" s="387"/>
      <c r="M169" s="393" t="str">
        <f>VLOOKUP(Complete[[#This Row],[Code
(PAP)]],[1]Sheet1!$A:$AO,13,FALSE)</f>
        <v>N/A</v>
      </c>
      <c r="N169" s="393" t="str">
        <f>VLOOKUP(Complete[[#This Row],[Code
(PAP)]],[1]Sheet1!$A:$AO,14,FALSE)</f>
        <v>N/A</v>
      </c>
      <c r="O169" s="393">
        <f>VLOOKUP(Complete[[#This Row],[Code
(PAP)]],[1]Sheet1!$A:$AO,15,FALSE)</f>
        <v>45372</v>
      </c>
      <c r="P169" s="387"/>
      <c r="Q169" s="387"/>
      <c r="R169" s="387"/>
      <c r="S169" s="576" t="str">
        <f>VLOOKUP(Complete[[#This Row],[Code
(PAP)]],[1]Sheet1!$A:$AO,19,FALSE)</f>
        <v>N/A</v>
      </c>
      <c r="T169" s="576">
        <f>VLOOKUP(Complete[[#This Row],[Code
(PAP)]],[1]Sheet1!$A:$AO,20,FALSE)</f>
        <v>45407</v>
      </c>
      <c r="U169" s="576">
        <f>VLOOKUP(Complete[[#This Row],[Code
(PAP)]],[1]Sheet1!$A:$AO,21,FALSE)</f>
        <v>45411</v>
      </c>
      <c r="V169" s="387"/>
      <c r="W169" s="387"/>
      <c r="X169" s="392">
        <f>VLOOKUP(Complete[[#This Row],[Code
(PAP)]],[1]Sheet1!$A:$AO,24,FALSE)</f>
        <v>45411</v>
      </c>
      <c r="Y169" s="392">
        <f>Complete[[#This Row],[Delivery/ Completion]]</f>
        <v>45411</v>
      </c>
      <c r="Z169" s="610" t="s">
        <v>1478</v>
      </c>
      <c r="AA169" s="462">
        <f>Complete[[#This Row],[MOOE]]+Complete[[#This Row],[CO]]</f>
        <v>10000</v>
      </c>
      <c r="AB169" s="466">
        <v>10000</v>
      </c>
      <c r="AC169" s="497"/>
      <c r="AD169" s="498">
        <f>IF(Complete[[#This Row],[Procurement Project]]="","",SUM(Complete[[#This Row],[MOOE2]]+Complete[[#This Row],[CO3]]))</f>
        <v>10000</v>
      </c>
      <c r="AE169" s="501">
        <v>10000</v>
      </c>
      <c r="AF169" s="541"/>
      <c r="AG169" s="400"/>
      <c r="AH169" s="380" t="s">
        <v>1205</v>
      </c>
      <c r="AI169" s="576" t="str">
        <f>VLOOKUP(Complete[[#This Row],[Code
(PAP)]],[1]Sheet1!$A:$AO,35,FALSE)</f>
        <v>N/A</v>
      </c>
      <c r="AJ169" s="576" t="str">
        <f>VLOOKUP(Complete[[#This Row],[Code
(PAP)]],[1]Sheet1!$A:$AO,36,FALSE)</f>
        <v>N/A</v>
      </c>
      <c r="AK169" s="576" t="str">
        <f>VLOOKUP(Complete[[#This Row],[Code
(PAP)]],[1]Sheet1!$A:$AO,37,FALSE)</f>
        <v>N/A</v>
      </c>
      <c r="AL169" s="576" t="str">
        <f>VLOOKUP(Complete[[#This Row],[Code
(PAP)]],[1]Sheet1!$A:$AO,38,FALSE)</f>
        <v>N/A</v>
      </c>
      <c r="AM169" s="576" t="str">
        <f>VLOOKUP(Complete[[#This Row],[Code
(PAP)]],[1]Sheet1!$A:$AO,38,FALSE)</f>
        <v>N/A</v>
      </c>
      <c r="AN169" s="595" t="s">
        <v>713</v>
      </c>
      <c r="AO169" s="303" t="s">
        <v>139</v>
      </c>
      <c r="AP169" s="389"/>
      <c r="AQ169" s="389"/>
    </row>
    <row r="170" spans="1:43" s="224" customFormat="1" ht="75" customHeight="1" x14ac:dyDescent="0.25">
      <c r="A170" s="385" t="s">
        <v>348</v>
      </c>
      <c r="B170" s="406" t="str">
        <f>VLOOKUP(Complete[[#This Row],[Code
(PAP)]],[1]Sheet1!$A:$AO,2,FALSE)</f>
        <v>SPAREPARTS (MOTORCYCLE)</v>
      </c>
      <c r="C170" s="408" t="str">
        <f>VLOOKUP(Complete[[#This Row],[Code
(PAP)]],[1]Sheet1!$A:$AO,3,FALSE)</f>
        <v>PGSO</v>
      </c>
      <c r="D170" s="380" t="s">
        <v>712</v>
      </c>
      <c r="E170" s="409" t="str">
        <f>VLOOKUP(Complete[[#This Row],[Code
(PAP)]],[2]Sheet1!$A:$AO,5,FALSE)</f>
        <v>Shopping 52.1(a) - Unforeseen Contingency</v>
      </c>
      <c r="F170" s="393" t="str">
        <f>VLOOKUP(Complete[[#This Row],[Code
(PAP)]],[1]Sheet1!$A:$AO,6,FALSE)</f>
        <v>N/A</v>
      </c>
      <c r="G170" s="393">
        <f>VLOOKUP(Complete[[#This Row],[Code
(PAP)]],[1]Sheet1!$A:$AO,7,FALSE)</f>
        <v>45352</v>
      </c>
      <c r="H170" s="374"/>
      <c r="I170" s="394" t="str">
        <f>VLOOKUP(Complete[[#This Row],[Code
(PAP)]],[1]Sheet1!$A:$AO,9,FALSE)</f>
        <v>N/A</v>
      </c>
      <c r="J170" s="393">
        <f>VLOOKUP(Complete[[#This Row],[Code
(PAP)]],[1]Sheet1!$A:$AO,10,FALSE)</f>
        <v>45370</v>
      </c>
      <c r="K170" s="393">
        <f>VLOOKUP(Complete[[#This Row],[Code
(PAP)]],[1]Sheet1!$A:$AO,11,FALSE)</f>
        <v>45370</v>
      </c>
      <c r="L170" s="387"/>
      <c r="M170" s="393" t="str">
        <f>VLOOKUP(Complete[[#This Row],[Code
(PAP)]],[1]Sheet1!$A:$AO,13,FALSE)</f>
        <v>N/A</v>
      </c>
      <c r="N170" s="393" t="str">
        <f>VLOOKUP(Complete[[#This Row],[Code
(PAP)]],[1]Sheet1!$A:$AO,14,FALSE)</f>
        <v>N/A</v>
      </c>
      <c r="O170" s="393">
        <f>VLOOKUP(Complete[[#This Row],[Code
(PAP)]],[1]Sheet1!$A:$AO,15,FALSE)</f>
        <v>45372</v>
      </c>
      <c r="P170" s="387"/>
      <c r="Q170" s="387"/>
      <c r="R170" s="387"/>
      <c r="S170" s="576" t="str">
        <f>VLOOKUP(Complete[[#This Row],[Code
(PAP)]],[1]Sheet1!$A:$AO,19,FALSE)</f>
        <v>N/A</v>
      </c>
      <c r="T170" s="576">
        <f>VLOOKUP(Complete[[#This Row],[Code
(PAP)]],[1]Sheet1!$A:$AO,20,FALSE)</f>
        <v>45405</v>
      </c>
      <c r="U170" s="576">
        <f>VLOOKUP(Complete[[#This Row],[Code
(PAP)]],[1]Sheet1!$A:$AO,21,FALSE)</f>
        <v>45408</v>
      </c>
      <c r="V170" s="387"/>
      <c r="W170" s="387"/>
      <c r="X170" s="392">
        <f>VLOOKUP(Complete[[#This Row],[Code
(PAP)]],[1]Sheet1!$A:$AO,24,FALSE)</f>
        <v>45408</v>
      </c>
      <c r="Y170" s="392">
        <f>Complete[[#This Row],[Delivery/ Completion]]</f>
        <v>45408</v>
      </c>
      <c r="Z170" s="610" t="s">
        <v>1478</v>
      </c>
      <c r="AA170" s="462">
        <f>Complete[[#This Row],[MOOE]]+Complete[[#This Row],[CO]]</f>
        <v>10500</v>
      </c>
      <c r="AB170" s="466">
        <v>10500</v>
      </c>
      <c r="AC170" s="497"/>
      <c r="AD170" s="498">
        <f>IF(Complete[[#This Row],[Procurement Project]]="","",SUM(Complete[[#This Row],[MOOE2]]+Complete[[#This Row],[CO3]]))</f>
        <v>10500</v>
      </c>
      <c r="AE170" s="501">
        <v>10500</v>
      </c>
      <c r="AF170" s="541"/>
      <c r="AG170" s="400"/>
      <c r="AH170" s="380" t="s">
        <v>1205</v>
      </c>
      <c r="AI170" s="576" t="str">
        <f>VLOOKUP(Complete[[#This Row],[Code
(PAP)]],[1]Sheet1!$A:$AO,35,FALSE)</f>
        <v>N/A</v>
      </c>
      <c r="AJ170" s="576" t="str">
        <f>VLOOKUP(Complete[[#This Row],[Code
(PAP)]],[1]Sheet1!$A:$AO,36,FALSE)</f>
        <v>N/A</v>
      </c>
      <c r="AK170" s="576" t="str">
        <f>VLOOKUP(Complete[[#This Row],[Code
(PAP)]],[1]Sheet1!$A:$AO,37,FALSE)</f>
        <v>N/A</v>
      </c>
      <c r="AL170" s="576" t="str">
        <f>VLOOKUP(Complete[[#This Row],[Code
(PAP)]],[1]Sheet1!$A:$AO,38,FALSE)</f>
        <v>N/A</v>
      </c>
      <c r="AM170" s="576" t="str">
        <f>VLOOKUP(Complete[[#This Row],[Code
(PAP)]],[1]Sheet1!$A:$AO,38,FALSE)</f>
        <v>N/A</v>
      </c>
      <c r="AN170" s="595" t="s">
        <v>713</v>
      </c>
      <c r="AO170" s="303" t="s">
        <v>139</v>
      </c>
      <c r="AP170" s="389"/>
      <c r="AQ170" s="389"/>
    </row>
    <row r="171" spans="1:43" s="224" customFormat="1" ht="75" customHeight="1" x14ac:dyDescent="0.25">
      <c r="A171" s="385" t="s">
        <v>349</v>
      </c>
      <c r="B171" s="406" t="str">
        <f>VLOOKUP(Complete[[#This Row],[Code
(PAP)]],[1]Sheet1!$A:$AO,2,FALSE)</f>
        <v>SPAREPARTS (MOTORCYCLE)</v>
      </c>
      <c r="C171" s="408" t="str">
        <f>VLOOKUP(Complete[[#This Row],[Code
(PAP)]],[1]Sheet1!$A:$AO,3,FALSE)</f>
        <v>PGSO</v>
      </c>
      <c r="D171" s="380" t="s">
        <v>712</v>
      </c>
      <c r="E171" s="409" t="str">
        <f>VLOOKUP(Complete[[#This Row],[Code
(PAP)]],[2]Sheet1!$A:$AO,5,FALSE)</f>
        <v>Shopping 52.1(a) - Unforeseen Contingency</v>
      </c>
      <c r="F171" s="393" t="str">
        <f>VLOOKUP(Complete[[#This Row],[Code
(PAP)]],[1]Sheet1!$A:$AO,6,FALSE)</f>
        <v>N/A</v>
      </c>
      <c r="G171" s="393">
        <f>VLOOKUP(Complete[[#This Row],[Code
(PAP)]],[1]Sheet1!$A:$AO,7,FALSE)</f>
        <v>45352</v>
      </c>
      <c r="H171" s="374"/>
      <c r="I171" s="394" t="str">
        <f>VLOOKUP(Complete[[#This Row],[Code
(PAP)]],[1]Sheet1!$A:$AO,9,FALSE)</f>
        <v>N/A</v>
      </c>
      <c r="J171" s="393">
        <f>VLOOKUP(Complete[[#This Row],[Code
(PAP)]],[1]Sheet1!$A:$AO,10,FALSE)</f>
        <v>45370</v>
      </c>
      <c r="K171" s="393">
        <f>VLOOKUP(Complete[[#This Row],[Code
(PAP)]],[1]Sheet1!$A:$AO,11,FALSE)</f>
        <v>45370</v>
      </c>
      <c r="L171" s="387"/>
      <c r="M171" s="393" t="str">
        <f>VLOOKUP(Complete[[#This Row],[Code
(PAP)]],[1]Sheet1!$A:$AO,13,FALSE)</f>
        <v>N/A</v>
      </c>
      <c r="N171" s="393" t="str">
        <f>VLOOKUP(Complete[[#This Row],[Code
(PAP)]],[1]Sheet1!$A:$AO,14,FALSE)</f>
        <v>N/A</v>
      </c>
      <c r="O171" s="393">
        <f>VLOOKUP(Complete[[#This Row],[Code
(PAP)]],[1]Sheet1!$A:$AO,15,FALSE)</f>
        <v>45372</v>
      </c>
      <c r="P171" s="387"/>
      <c r="Q171" s="387"/>
      <c r="R171" s="387"/>
      <c r="S171" s="576" t="str">
        <f>VLOOKUP(Complete[[#This Row],[Code
(PAP)]],[1]Sheet1!$A:$AO,19,FALSE)</f>
        <v>N/A</v>
      </c>
      <c r="T171" s="576">
        <f>VLOOKUP(Complete[[#This Row],[Code
(PAP)]],[1]Sheet1!$A:$AO,20,FALSE)</f>
        <v>45407</v>
      </c>
      <c r="U171" s="576">
        <f>VLOOKUP(Complete[[#This Row],[Code
(PAP)]],[1]Sheet1!$A:$AO,21,FALSE)</f>
        <v>45412</v>
      </c>
      <c r="V171" s="387"/>
      <c r="W171" s="387"/>
      <c r="X171" s="392">
        <f>VLOOKUP(Complete[[#This Row],[Code
(PAP)]],[1]Sheet1!$A:$AO,24,FALSE)</f>
        <v>45412</v>
      </c>
      <c r="Y171" s="392">
        <f>Complete[[#This Row],[Delivery/ Completion]]</f>
        <v>45412</v>
      </c>
      <c r="Z171" s="610" t="s">
        <v>1478</v>
      </c>
      <c r="AA171" s="462">
        <f>Complete[[#This Row],[MOOE]]+Complete[[#This Row],[CO]]</f>
        <v>12300</v>
      </c>
      <c r="AB171" s="466">
        <v>12300</v>
      </c>
      <c r="AC171" s="497"/>
      <c r="AD171" s="498">
        <f>IF(Complete[[#This Row],[Procurement Project]]="","",SUM(Complete[[#This Row],[MOOE2]]+Complete[[#This Row],[CO3]]))</f>
        <v>12300</v>
      </c>
      <c r="AE171" s="501">
        <v>12300</v>
      </c>
      <c r="AF171" s="541"/>
      <c r="AG171" s="400"/>
      <c r="AH171" s="380" t="s">
        <v>1205</v>
      </c>
      <c r="AI171" s="576" t="str">
        <f>VLOOKUP(Complete[[#This Row],[Code
(PAP)]],[1]Sheet1!$A:$AO,35,FALSE)</f>
        <v>N/A</v>
      </c>
      <c r="AJ171" s="576" t="str">
        <f>VLOOKUP(Complete[[#This Row],[Code
(PAP)]],[1]Sheet1!$A:$AO,36,FALSE)</f>
        <v>N/A</v>
      </c>
      <c r="AK171" s="576" t="str">
        <f>VLOOKUP(Complete[[#This Row],[Code
(PAP)]],[1]Sheet1!$A:$AO,37,FALSE)</f>
        <v>N/A</v>
      </c>
      <c r="AL171" s="576" t="str">
        <f>VLOOKUP(Complete[[#This Row],[Code
(PAP)]],[1]Sheet1!$A:$AO,38,FALSE)</f>
        <v>N/A</v>
      </c>
      <c r="AM171" s="576" t="str">
        <f>VLOOKUP(Complete[[#This Row],[Code
(PAP)]],[1]Sheet1!$A:$AO,38,FALSE)</f>
        <v>N/A</v>
      </c>
      <c r="AN171" s="595" t="s">
        <v>713</v>
      </c>
      <c r="AO171" s="303" t="s">
        <v>139</v>
      </c>
      <c r="AP171" s="389"/>
      <c r="AQ171" s="389"/>
    </row>
    <row r="172" spans="1:43" s="224" customFormat="1" ht="75" customHeight="1" x14ac:dyDescent="0.25">
      <c r="A172" s="385" t="s">
        <v>350</v>
      </c>
      <c r="B172" s="406" t="str">
        <f>VLOOKUP(Complete[[#This Row],[Code
(PAP)]],[1]Sheet1!$A:$AO,2,FALSE)</f>
        <v>SPAREPARTS (LIGHT VEHICLES)</v>
      </c>
      <c r="C172" s="408" t="str">
        <f>VLOOKUP(Complete[[#This Row],[Code
(PAP)]],[1]Sheet1!$A:$AO,3,FALSE)</f>
        <v>PGSO</v>
      </c>
      <c r="D172" s="380" t="s">
        <v>712</v>
      </c>
      <c r="E172" s="409" t="str">
        <f>VLOOKUP(Complete[[#This Row],[Code
(PAP)]],[2]Sheet1!$A:$AO,5,FALSE)</f>
        <v>Shopping 52.1(a) - Unforeseen Contingency</v>
      </c>
      <c r="F172" s="393" t="str">
        <f>VLOOKUP(Complete[[#This Row],[Code
(PAP)]],[1]Sheet1!$A:$AO,6,FALSE)</f>
        <v>N/A</v>
      </c>
      <c r="G172" s="393">
        <f>VLOOKUP(Complete[[#This Row],[Code
(PAP)]],[1]Sheet1!$A:$AO,7,FALSE)</f>
        <v>45352</v>
      </c>
      <c r="H172" s="374"/>
      <c r="I172" s="394" t="str">
        <f>VLOOKUP(Complete[[#This Row],[Code
(PAP)]],[1]Sheet1!$A:$AO,9,FALSE)</f>
        <v>N/A</v>
      </c>
      <c r="J172" s="393">
        <f>VLOOKUP(Complete[[#This Row],[Code
(PAP)]],[1]Sheet1!$A:$AO,10,FALSE)</f>
        <v>45370</v>
      </c>
      <c r="K172" s="393">
        <f>VLOOKUP(Complete[[#This Row],[Code
(PAP)]],[1]Sheet1!$A:$AO,11,FALSE)</f>
        <v>45370</v>
      </c>
      <c r="L172" s="387"/>
      <c r="M172" s="393" t="str">
        <f>VLOOKUP(Complete[[#This Row],[Code
(PAP)]],[1]Sheet1!$A:$AO,13,FALSE)</f>
        <v>N/A</v>
      </c>
      <c r="N172" s="393" t="str">
        <f>VLOOKUP(Complete[[#This Row],[Code
(PAP)]],[1]Sheet1!$A:$AO,14,FALSE)</f>
        <v>N/A</v>
      </c>
      <c r="O172" s="393">
        <f>VLOOKUP(Complete[[#This Row],[Code
(PAP)]],[1]Sheet1!$A:$AO,15,FALSE)</f>
        <v>45372</v>
      </c>
      <c r="P172" s="387"/>
      <c r="Q172" s="387"/>
      <c r="R172" s="387"/>
      <c r="S172" s="576" t="str">
        <f>VLOOKUP(Complete[[#This Row],[Code
(PAP)]],[1]Sheet1!$A:$AO,19,FALSE)</f>
        <v>N/A</v>
      </c>
      <c r="T172" s="576">
        <f>VLOOKUP(Complete[[#This Row],[Code
(PAP)]],[1]Sheet1!$A:$AO,20,FALSE)</f>
        <v>45405</v>
      </c>
      <c r="U172" s="576">
        <f>VLOOKUP(Complete[[#This Row],[Code
(PAP)]],[1]Sheet1!$A:$AO,21,FALSE)</f>
        <v>45407</v>
      </c>
      <c r="V172" s="387"/>
      <c r="W172" s="387"/>
      <c r="X172" s="392">
        <f>VLOOKUP(Complete[[#This Row],[Code
(PAP)]],[1]Sheet1!$A:$AO,24,FALSE)</f>
        <v>45407</v>
      </c>
      <c r="Y172" s="392">
        <f>Complete[[#This Row],[Delivery/ Completion]]</f>
        <v>45407</v>
      </c>
      <c r="Z172" s="610" t="s">
        <v>1478</v>
      </c>
      <c r="AA172" s="462">
        <f>Complete[[#This Row],[MOOE]]+Complete[[#This Row],[CO]]</f>
        <v>14800</v>
      </c>
      <c r="AB172" s="466">
        <v>14800</v>
      </c>
      <c r="AC172" s="497"/>
      <c r="AD172" s="498">
        <f>IF(Complete[[#This Row],[Procurement Project]]="","",SUM(Complete[[#This Row],[MOOE2]]+Complete[[#This Row],[CO3]]))</f>
        <v>14800</v>
      </c>
      <c r="AE172" s="501">
        <v>14800</v>
      </c>
      <c r="AF172" s="541"/>
      <c r="AG172" s="400"/>
      <c r="AH172" s="380" t="s">
        <v>1205</v>
      </c>
      <c r="AI172" s="576" t="str">
        <f>VLOOKUP(Complete[[#This Row],[Code
(PAP)]],[1]Sheet1!$A:$AO,35,FALSE)</f>
        <v>N/A</v>
      </c>
      <c r="AJ172" s="576" t="str">
        <f>VLOOKUP(Complete[[#This Row],[Code
(PAP)]],[1]Sheet1!$A:$AO,36,FALSE)</f>
        <v>N/A</v>
      </c>
      <c r="AK172" s="576" t="str">
        <f>VLOOKUP(Complete[[#This Row],[Code
(PAP)]],[1]Sheet1!$A:$AO,37,FALSE)</f>
        <v>N/A</v>
      </c>
      <c r="AL172" s="576" t="str">
        <f>VLOOKUP(Complete[[#This Row],[Code
(PAP)]],[1]Sheet1!$A:$AO,38,FALSE)</f>
        <v>N/A</v>
      </c>
      <c r="AM172" s="576" t="str">
        <f>VLOOKUP(Complete[[#This Row],[Code
(PAP)]],[1]Sheet1!$A:$AO,38,FALSE)</f>
        <v>N/A</v>
      </c>
      <c r="AN172" s="595" t="s">
        <v>713</v>
      </c>
      <c r="AO172" s="303" t="s">
        <v>139</v>
      </c>
      <c r="AP172" s="389"/>
      <c r="AQ172" s="389"/>
    </row>
    <row r="173" spans="1:43" s="224" customFormat="1" ht="75" customHeight="1" x14ac:dyDescent="0.25">
      <c r="A173" s="385" t="s">
        <v>351</v>
      </c>
      <c r="B173" s="406" t="str">
        <f>VLOOKUP(Complete[[#This Row],[Code
(PAP)]],[1]Sheet1!$A:$AO,2,FALSE)</f>
        <v>SPAREPARTS (LIGHT VEHICLES)</v>
      </c>
      <c r="C173" s="408" t="str">
        <f>VLOOKUP(Complete[[#This Row],[Code
(PAP)]],[1]Sheet1!$A:$AO,3,FALSE)</f>
        <v>PGSO</v>
      </c>
      <c r="D173" s="380" t="s">
        <v>712</v>
      </c>
      <c r="E173" s="409" t="str">
        <f>VLOOKUP(Complete[[#This Row],[Code
(PAP)]],[2]Sheet1!$A:$AO,5,FALSE)</f>
        <v>Shopping 52.1(a) - Unforeseen Contingency</v>
      </c>
      <c r="F173" s="393" t="str">
        <f>VLOOKUP(Complete[[#This Row],[Code
(PAP)]],[1]Sheet1!$A:$AO,6,FALSE)</f>
        <v>N/A</v>
      </c>
      <c r="G173" s="393">
        <f>VLOOKUP(Complete[[#This Row],[Code
(PAP)]],[1]Sheet1!$A:$AO,7,FALSE)</f>
        <v>45352</v>
      </c>
      <c r="H173" s="374"/>
      <c r="I173" s="394" t="str">
        <f>VLOOKUP(Complete[[#This Row],[Code
(PAP)]],[1]Sheet1!$A:$AO,9,FALSE)</f>
        <v>N/A</v>
      </c>
      <c r="J173" s="393">
        <f>VLOOKUP(Complete[[#This Row],[Code
(PAP)]],[1]Sheet1!$A:$AO,10,FALSE)</f>
        <v>45370</v>
      </c>
      <c r="K173" s="393">
        <f>VLOOKUP(Complete[[#This Row],[Code
(PAP)]],[1]Sheet1!$A:$AO,11,FALSE)</f>
        <v>45370</v>
      </c>
      <c r="L173" s="387"/>
      <c r="M173" s="393" t="str">
        <f>VLOOKUP(Complete[[#This Row],[Code
(PAP)]],[1]Sheet1!$A:$AO,13,FALSE)</f>
        <v>N/A</v>
      </c>
      <c r="N173" s="393" t="str">
        <f>VLOOKUP(Complete[[#This Row],[Code
(PAP)]],[1]Sheet1!$A:$AO,14,FALSE)</f>
        <v>N/A</v>
      </c>
      <c r="O173" s="393">
        <f>VLOOKUP(Complete[[#This Row],[Code
(PAP)]],[1]Sheet1!$A:$AO,15,FALSE)</f>
        <v>45372</v>
      </c>
      <c r="P173" s="387"/>
      <c r="Q173" s="387"/>
      <c r="R173" s="387"/>
      <c r="S173" s="576" t="str">
        <f>VLOOKUP(Complete[[#This Row],[Code
(PAP)]],[1]Sheet1!$A:$AO,19,FALSE)</f>
        <v>N/A</v>
      </c>
      <c r="T173" s="576">
        <f>VLOOKUP(Complete[[#This Row],[Code
(PAP)]],[1]Sheet1!$A:$AO,20,FALSE)</f>
        <v>45405</v>
      </c>
      <c r="U173" s="576">
        <f>VLOOKUP(Complete[[#This Row],[Code
(PAP)]],[1]Sheet1!$A:$AO,21,FALSE)</f>
        <v>45407</v>
      </c>
      <c r="V173" s="387"/>
      <c r="W173" s="387"/>
      <c r="X173" s="392">
        <f>VLOOKUP(Complete[[#This Row],[Code
(PAP)]],[1]Sheet1!$A:$AO,24,FALSE)</f>
        <v>45407</v>
      </c>
      <c r="Y173" s="392">
        <f>Complete[[#This Row],[Delivery/ Completion]]</f>
        <v>45407</v>
      </c>
      <c r="Z173" s="610" t="s">
        <v>1478</v>
      </c>
      <c r="AA173" s="462">
        <f>Complete[[#This Row],[MOOE]]+Complete[[#This Row],[CO]]</f>
        <v>50400</v>
      </c>
      <c r="AB173" s="466">
        <v>50400</v>
      </c>
      <c r="AC173" s="497"/>
      <c r="AD173" s="498">
        <f>IF(Complete[[#This Row],[Procurement Project]]="","",SUM(Complete[[#This Row],[MOOE2]]+Complete[[#This Row],[CO3]]))</f>
        <v>50400</v>
      </c>
      <c r="AE173" s="501">
        <v>50400</v>
      </c>
      <c r="AF173" s="541"/>
      <c r="AG173" s="400"/>
      <c r="AH173" s="380" t="s">
        <v>1205</v>
      </c>
      <c r="AI173" s="576" t="str">
        <f>VLOOKUP(Complete[[#This Row],[Code
(PAP)]],[1]Sheet1!$A:$AO,35,FALSE)</f>
        <v>N/A</v>
      </c>
      <c r="AJ173" s="576" t="str">
        <f>VLOOKUP(Complete[[#This Row],[Code
(PAP)]],[1]Sheet1!$A:$AO,36,FALSE)</f>
        <v>N/A</v>
      </c>
      <c r="AK173" s="576" t="str">
        <f>VLOOKUP(Complete[[#This Row],[Code
(PAP)]],[1]Sheet1!$A:$AO,37,FALSE)</f>
        <v>N/A</v>
      </c>
      <c r="AL173" s="576" t="str">
        <f>VLOOKUP(Complete[[#This Row],[Code
(PAP)]],[1]Sheet1!$A:$AO,38,FALSE)</f>
        <v>N/A</v>
      </c>
      <c r="AM173" s="576" t="str">
        <f>VLOOKUP(Complete[[#This Row],[Code
(PAP)]],[1]Sheet1!$A:$AO,38,FALSE)</f>
        <v>N/A</v>
      </c>
      <c r="AN173" s="595" t="s">
        <v>713</v>
      </c>
      <c r="AO173" s="303" t="s">
        <v>139</v>
      </c>
      <c r="AP173" s="389"/>
      <c r="AQ173" s="389"/>
    </row>
    <row r="174" spans="1:43" s="224" customFormat="1" ht="75" customHeight="1" x14ac:dyDescent="0.25">
      <c r="A174" s="385" t="s">
        <v>352</v>
      </c>
      <c r="B174" s="406" t="str">
        <f>VLOOKUP(Complete[[#This Row],[Code
(PAP)]],[1]Sheet1!$A:$AO,2,FALSE)</f>
        <v>SPAREPARTS (LIGHT VEHICLES)</v>
      </c>
      <c r="C174" s="408" t="str">
        <f>VLOOKUP(Complete[[#This Row],[Code
(PAP)]],[1]Sheet1!$A:$AO,3,FALSE)</f>
        <v>PGSO</v>
      </c>
      <c r="D174" s="380" t="s">
        <v>712</v>
      </c>
      <c r="E174" s="409" t="str">
        <f>VLOOKUP(Complete[[#This Row],[Code
(PAP)]],[2]Sheet1!$A:$AO,5,FALSE)</f>
        <v>Shopping 52.1(a) - Unforeseen Contingency</v>
      </c>
      <c r="F174" s="393" t="str">
        <f>VLOOKUP(Complete[[#This Row],[Code
(PAP)]],[1]Sheet1!$A:$AO,6,FALSE)</f>
        <v>N/A</v>
      </c>
      <c r="G174" s="393">
        <f>VLOOKUP(Complete[[#This Row],[Code
(PAP)]],[1]Sheet1!$A:$AO,7,FALSE)</f>
        <v>45352</v>
      </c>
      <c r="H174" s="374"/>
      <c r="I174" s="394" t="str">
        <f>VLOOKUP(Complete[[#This Row],[Code
(PAP)]],[1]Sheet1!$A:$AO,9,FALSE)</f>
        <v>N/A</v>
      </c>
      <c r="J174" s="393">
        <f>VLOOKUP(Complete[[#This Row],[Code
(PAP)]],[1]Sheet1!$A:$AO,10,FALSE)</f>
        <v>45370</v>
      </c>
      <c r="K174" s="393">
        <f>VLOOKUP(Complete[[#This Row],[Code
(PAP)]],[1]Sheet1!$A:$AO,11,FALSE)</f>
        <v>45370</v>
      </c>
      <c r="L174" s="387"/>
      <c r="M174" s="393" t="str">
        <f>VLOOKUP(Complete[[#This Row],[Code
(PAP)]],[1]Sheet1!$A:$AO,13,FALSE)</f>
        <v>N/A</v>
      </c>
      <c r="N174" s="393" t="str">
        <f>VLOOKUP(Complete[[#This Row],[Code
(PAP)]],[1]Sheet1!$A:$AO,14,FALSE)</f>
        <v>N/A</v>
      </c>
      <c r="O174" s="393">
        <f>VLOOKUP(Complete[[#This Row],[Code
(PAP)]],[1]Sheet1!$A:$AO,15,FALSE)</f>
        <v>45372</v>
      </c>
      <c r="P174" s="387"/>
      <c r="Q174" s="387"/>
      <c r="R174" s="387"/>
      <c r="S174" s="576" t="str">
        <f>VLOOKUP(Complete[[#This Row],[Code
(PAP)]],[1]Sheet1!$A:$AO,19,FALSE)</f>
        <v>N/A</v>
      </c>
      <c r="T174" s="576">
        <f>VLOOKUP(Complete[[#This Row],[Code
(PAP)]],[1]Sheet1!$A:$AO,20,FALSE)</f>
        <v>45405</v>
      </c>
      <c r="U174" s="576">
        <f>VLOOKUP(Complete[[#This Row],[Code
(PAP)]],[1]Sheet1!$A:$AO,21,FALSE)</f>
        <v>45407</v>
      </c>
      <c r="V174" s="387"/>
      <c r="W174" s="387"/>
      <c r="X174" s="392">
        <f>VLOOKUP(Complete[[#This Row],[Code
(PAP)]],[1]Sheet1!$A:$AO,24,FALSE)</f>
        <v>45407</v>
      </c>
      <c r="Y174" s="392">
        <f>Complete[[#This Row],[Delivery/ Completion]]</f>
        <v>45407</v>
      </c>
      <c r="Z174" s="610" t="s">
        <v>1478</v>
      </c>
      <c r="AA174" s="462">
        <f>Complete[[#This Row],[MOOE]]+Complete[[#This Row],[CO]]</f>
        <v>40000</v>
      </c>
      <c r="AB174" s="466">
        <v>40000</v>
      </c>
      <c r="AC174" s="497"/>
      <c r="AD174" s="498">
        <f>IF(Complete[[#This Row],[Procurement Project]]="","",SUM(Complete[[#This Row],[MOOE2]]+Complete[[#This Row],[CO3]]))</f>
        <v>40000</v>
      </c>
      <c r="AE174" s="501">
        <v>40000</v>
      </c>
      <c r="AF174" s="541"/>
      <c r="AG174" s="400"/>
      <c r="AH174" s="380" t="s">
        <v>1205</v>
      </c>
      <c r="AI174" s="576" t="str">
        <f>VLOOKUP(Complete[[#This Row],[Code
(PAP)]],[1]Sheet1!$A:$AO,35,FALSE)</f>
        <v>N/A</v>
      </c>
      <c r="AJ174" s="576" t="str">
        <f>VLOOKUP(Complete[[#This Row],[Code
(PAP)]],[1]Sheet1!$A:$AO,36,FALSE)</f>
        <v>N/A</v>
      </c>
      <c r="AK174" s="576" t="str">
        <f>VLOOKUP(Complete[[#This Row],[Code
(PAP)]],[1]Sheet1!$A:$AO,37,FALSE)</f>
        <v>N/A</v>
      </c>
      <c r="AL174" s="576" t="str">
        <f>VLOOKUP(Complete[[#This Row],[Code
(PAP)]],[1]Sheet1!$A:$AO,38,FALSE)</f>
        <v>N/A</v>
      </c>
      <c r="AM174" s="576" t="str">
        <f>VLOOKUP(Complete[[#This Row],[Code
(PAP)]],[1]Sheet1!$A:$AO,38,FALSE)</f>
        <v>N/A</v>
      </c>
      <c r="AN174" s="595" t="s">
        <v>713</v>
      </c>
      <c r="AO174" s="303" t="s">
        <v>139</v>
      </c>
      <c r="AP174" s="389"/>
      <c r="AQ174" s="389"/>
    </row>
    <row r="175" spans="1:43" s="224" customFormat="1" ht="75" customHeight="1" x14ac:dyDescent="0.25">
      <c r="A175" s="385" t="s">
        <v>353</v>
      </c>
      <c r="B175" s="406" t="str">
        <f>VLOOKUP(Complete[[#This Row],[Code
(PAP)]],[1]Sheet1!$A:$AO,2,FALSE)</f>
        <v>SPAREPARTS (LIGHT VEHICLES)</v>
      </c>
      <c r="C175" s="408" t="str">
        <f>VLOOKUP(Complete[[#This Row],[Code
(PAP)]],[1]Sheet1!$A:$AO,3,FALSE)</f>
        <v>PGSO</v>
      </c>
      <c r="D175" s="380" t="s">
        <v>712</v>
      </c>
      <c r="E175" s="409" t="str">
        <f>VLOOKUP(Complete[[#This Row],[Code
(PAP)]],[2]Sheet1!$A:$AO,5,FALSE)</f>
        <v>Shopping 52.1(a) - Unforeseen Contingency</v>
      </c>
      <c r="F175" s="393" t="str">
        <f>VLOOKUP(Complete[[#This Row],[Code
(PAP)]],[1]Sheet1!$A:$AO,6,FALSE)</f>
        <v>N/A</v>
      </c>
      <c r="G175" s="393">
        <f>VLOOKUP(Complete[[#This Row],[Code
(PAP)]],[1]Sheet1!$A:$AO,7,FALSE)</f>
        <v>45352</v>
      </c>
      <c r="H175" s="374"/>
      <c r="I175" s="394" t="str">
        <f>VLOOKUP(Complete[[#This Row],[Code
(PAP)]],[1]Sheet1!$A:$AO,9,FALSE)</f>
        <v>N/A</v>
      </c>
      <c r="J175" s="393">
        <f>VLOOKUP(Complete[[#This Row],[Code
(PAP)]],[1]Sheet1!$A:$AO,10,FALSE)</f>
        <v>45370</v>
      </c>
      <c r="K175" s="393">
        <f>VLOOKUP(Complete[[#This Row],[Code
(PAP)]],[1]Sheet1!$A:$AO,11,FALSE)</f>
        <v>45370</v>
      </c>
      <c r="L175" s="387"/>
      <c r="M175" s="393" t="str">
        <f>VLOOKUP(Complete[[#This Row],[Code
(PAP)]],[1]Sheet1!$A:$AO,13,FALSE)</f>
        <v>N/A</v>
      </c>
      <c r="N175" s="393" t="str">
        <f>VLOOKUP(Complete[[#This Row],[Code
(PAP)]],[1]Sheet1!$A:$AO,14,FALSE)</f>
        <v>N/A</v>
      </c>
      <c r="O175" s="393">
        <f>VLOOKUP(Complete[[#This Row],[Code
(PAP)]],[1]Sheet1!$A:$AO,15,FALSE)</f>
        <v>45372</v>
      </c>
      <c r="P175" s="387"/>
      <c r="Q175" s="387"/>
      <c r="R175" s="387"/>
      <c r="S175" s="576" t="str">
        <f>VLOOKUP(Complete[[#This Row],[Code
(PAP)]],[1]Sheet1!$A:$AO,19,FALSE)</f>
        <v>N/A</v>
      </c>
      <c r="T175" s="576">
        <f>VLOOKUP(Complete[[#This Row],[Code
(PAP)]],[1]Sheet1!$A:$AO,20,FALSE)</f>
        <v>45405</v>
      </c>
      <c r="U175" s="576">
        <f>VLOOKUP(Complete[[#This Row],[Code
(PAP)]],[1]Sheet1!$A:$AO,21,FALSE)</f>
        <v>45407</v>
      </c>
      <c r="V175" s="387"/>
      <c r="W175" s="387"/>
      <c r="X175" s="392">
        <f>VLOOKUP(Complete[[#This Row],[Code
(PAP)]],[1]Sheet1!$A:$AO,24,FALSE)</f>
        <v>45407</v>
      </c>
      <c r="Y175" s="392">
        <f>Complete[[#This Row],[Delivery/ Completion]]</f>
        <v>45407</v>
      </c>
      <c r="Z175" s="610" t="s">
        <v>1478</v>
      </c>
      <c r="AA175" s="462">
        <f>Complete[[#This Row],[MOOE]]+Complete[[#This Row],[CO]]</f>
        <v>2200</v>
      </c>
      <c r="AB175" s="466">
        <v>2200</v>
      </c>
      <c r="AC175" s="497"/>
      <c r="AD175" s="498">
        <f>IF(Complete[[#This Row],[Procurement Project]]="","",SUM(Complete[[#This Row],[MOOE2]]+Complete[[#This Row],[CO3]]))</f>
        <v>2200</v>
      </c>
      <c r="AE175" s="501">
        <v>2200</v>
      </c>
      <c r="AF175" s="541"/>
      <c r="AG175" s="400"/>
      <c r="AH175" s="380" t="s">
        <v>1205</v>
      </c>
      <c r="AI175" s="576" t="str">
        <f>VLOOKUP(Complete[[#This Row],[Code
(PAP)]],[1]Sheet1!$A:$AO,35,FALSE)</f>
        <v>N/A</v>
      </c>
      <c r="AJ175" s="576" t="str">
        <f>VLOOKUP(Complete[[#This Row],[Code
(PAP)]],[1]Sheet1!$A:$AO,36,FALSE)</f>
        <v>N/A</v>
      </c>
      <c r="AK175" s="576" t="str">
        <f>VLOOKUP(Complete[[#This Row],[Code
(PAP)]],[1]Sheet1!$A:$AO,37,FALSE)</f>
        <v>N/A</v>
      </c>
      <c r="AL175" s="576" t="str">
        <f>VLOOKUP(Complete[[#This Row],[Code
(PAP)]],[1]Sheet1!$A:$AO,38,FALSE)</f>
        <v>N/A</v>
      </c>
      <c r="AM175" s="576" t="str">
        <f>VLOOKUP(Complete[[#This Row],[Code
(PAP)]],[1]Sheet1!$A:$AO,38,FALSE)</f>
        <v>N/A</v>
      </c>
      <c r="AN175" s="595" t="s">
        <v>713</v>
      </c>
      <c r="AO175" s="303" t="s">
        <v>139</v>
      </c>
      <c r="AP175" s="389"/>
      <c r="AQ175" s="389"/>
    </row>
    <row r="176" spans="1:43" s="224" customFormat="1" ht="75" customHeight="1" x14ac:dyDescent="0.25">
      <c r="A176" s="385" t="s">
        <v>354</v>
      </c>
      <c r="B176" s="406" t="str">
        <f>VLOOKUP(Complete[[#This Row],[Code
(PAP)]],[1]Sheet1!$A:$AO,2,FALSE)</f>
        <v>SPAREPARTS (LIGHT VEHICLES)</v>
      </c>
      <c r="C176" s="408" t="str">
        <f>VLOOKUP(Complete[[#This Row],[Code
(PAP)]],[1]Sheet1!$A:$AO,3,FALSE)</f>
        <v>PGSO</v>
      </c>
      <c r="D176" s="380" t="s">
        <v>712</v>
      </c>
      <c r="E176" s="409" t="str">
        <f>VLOOKUP(Complete[[#This Row],[Code
(PAP)]],[2]Sheet1!$A:$AO,5,FALSE)</f>
        <v>Shopping 52.1(a) - Unforeseen Contingency</v>
      </c>
      <c r="F176" s="393" t="str">
        <f>VLOOKUP(Complete[[#This Row],[Code
(PAP)]],[1]Sheet1!$A:$AO,6,FALSE)</f>
        <v>N/A</v>
      </c>
      <c r="G176" s="393">
        <f>VLOOKUP(Complete[[#This Row],[Code
(PAP)]],[1]Sheet1!$A:$AO,7,FALSE)</f>
        <v>45352</v>
      </c>
      <c r="H176" s="374"/>
      <c r="I176" s="394" t="str">
        <f>VLOOKUP(Complete[[#This Row],[Code
(PAP)]],[1]Sheet1!$A:$AO,9,FALSE)</f>
        <v>N/A</v>
      </c>
      <c r="J176" s="393">
        <f>VLOOKUP(Complete[[#This Row],[Code
(PAP)]],[1]Sheet1!$A:$AO,10,FALSE)</f>
        <v>45370</v>
      </c>
      <c r="K176" s="393">
        <f>VLOOKUP(Complete[[#This Row],[Code
(PAP)]],[1]Sheet1!$A:$AO,11,FALSE)</f>
        <v>45370</v>
      </c>
      <c r="L176" s="387"/>
      <c r="M176" s="393" t="str">
        <f>VLOOKUP(Complete[[#This Row],[Code
(PAP)]],[1]Sheet1!$A:$AO,13,FALSE)</f>
        <v>N/A</v>
      </c>
      <c r="N176" s="393" t="str">
        <f>VLOOKUP(Complete[[#This Row],[Code
(PAP)]],[1]Sheet1!$A:$AO,14,FALSE)</f>
        <v>N/A</v>
      </c>
      <c r="O176" s="393">
        <f>VLOOKUP(Complete[[#This Row],[Code
(PAP)]],[1]Sheet1!$A:$AO,15,FALSE)</f>
        <v>45372</v>
      </c>
      <c r="P176" s="387"/>
      <c r="Q176" s="387"/>
      <c r="R176" s="387"/>
      <c r="S176" s="576" t="str">
        <f>VLOOKUP(Complete[[#This Row],[Code
(PAP)]],[1]Sheet1!$A:$AO,19,FALSE)</f>
        <v>N/A</v>
      </c>
      <c r="T176" s="576">
        <f>VLOOKUP(Complete[[#This Row],[Code
(PAP)]],[1]Sheet1!$A:$AO,20,FALSE)</f>
        <v>45405</v>
      </c>
      <c r="U176" s="576">
        <f>VLOOKUP(Complete[[#This Row],[Code
(PAP)]],[1]Sheet1!$A:$AO,21,FALSE)</f>
        <v>45407</v>
      </c>
      <c r="V176" s="387"/>
      <c r="W176" s="387"/>
      <c r="X176" s="392">
        <f>VLOOKUP(Complete[[#This Row],[Code
(PAP)]],[1]Sheet1!$A:$AO,24,FALSE)</f>
        <v>45407</v>
      </c>
      <c r="Y176" s="392">
        <f>Complete[[#This Row],[Delivery/ Completion]]</f>
        <v>45407</v>
      </c>
      <c r="Z176" s="610" t="s">
        <v>1478</v>
      </c>
      <c r="AA176" s="462">
        <f>Complete[[#This Row],[MOOE]]+Complete[[#This Row],[CO]]</f>
        <v>10300</v>
      </c>
      <c r="AB176" s="466">
        <v>10300</v>
      </c>
      <c r="AC176" s="497"/>
      <c r="AD176" s="498">
        <f>IF(Complete[[#This Row],[Procurement Project]]="","",SUM(Complete[[#This Row],[MOOE2]]+Complete[[#This Row],[CO3]]))</f>
        <v>10300</v>
      </c>
      <c r="AE176" s="501">
        <v>10300</v>
      </c>
      <c r="AF176" s="541"/>
      <c r="AG176" s="400"/>
      <c r="AH176" s="380" t="s">
        <v>1205</v>
      </c>
      <c r="AI176" s="576" t="str">
        <f>VLOOKUP(Complete[[#This Row],[Code
(PAP)]],[1]Sheet1!$A:$AO,35,FALSE)</f>
        <v>N/A</v>
      </c>
      <c r="AJ176" s="576" t="str">
        <f>VLOOKUP(Complete[[#This Row],[Code
(PAP)]],[1]Sheet1!$A:$AO,36,FALSE)</f>
        <v>N/A</v>
      </c>
      <c r="AK176" s="576" t="str">
        <f>VLOOKUP(Complete[[#This Row],[Code
(PAP)]],[1]Sheet1!$A:$AO,37,FALSE)</f>
        <v>N/A</v>
      </c>
      <c r="AL176" s="576" t="str">
        <f>VLOOKUP(Complete[[#This Row],[Code
(PAP)]],[1]Sheet1!$A:$AO,38,FALSE)</f>
        <v>N/A</v>
      </c>
      <c r="AM176" s="576" t="str">
        <f>VLOOKUP(Complete[[#This Row],[Code
(PAP)]],[1]Sheet1!$A:$AO,38,FALSE)</f>
        <v>N/A</v>
      </c>
      <c r="AN176" s="595" t="s">
        <v>713</v>
      </c>
      <c r="AO176" s="303" t="s">
        <v>139</v>
      </c>
      <c r="AP176" s="389"/>
      <c r="AQ176" s="389"/>
    </row>
    <row r="177" spans="1:43" s="224" customFormat="1" ht="75" customHeight="1" x14ac:dyDescent="0.25">
      <c r="A177" s="385" t="s">
        <v>355</v>
      </c>
      <c r="B177" s="406" t="str">
        <f>VLOOKUP(Complete[[#This Row],[Code
(PAP)]],[1]Sheet1!$A:$AO,2,FALSE)</f>
        <v>SPAREPARTS (LIGHT VEHICLES)</v>
      </c>
      <c r="C177" s="408" t="str">
        <f>VLOOKUP(Complete[[#This Row],[Code
(PAP)]],[1]Sheet1!$A:$AO,3,FALSE)</f>
        <v>PGSO</v>
      </c>
      <c r="D177" s="380" t="s">
        <v>712</v>
      </c>
      <c r="E177" s="409" t="str">
        <f>VLOOKUP(Complete[[#This Row],[Code
(PAP)]],[2]Sheet1!$A:$AO,5,FALSE)</f>
        <v>Shopping 52.1(a) - Unforeseen Contingency</v>
      </c>
      <c r="F177" s="393" t="str">
        <f>VLOOKUP(Complete[[#This Row],[Code
(PAP)]],[1]Sheet1!$A:$AO,6,FALSE)</f>
        <v>N/A</v>
      </c>
      <c r="G177" s="393">
        <f>VLOOKUP(Complete[[#This Row],[Code
(PAP)]],[1]Sheet1!$A:$AO,7,FALSE)</f>
        <v>45352</v>
      </c>
      <c r="H177" s="374"/>
      <c r="I177" s="394" t="str">
        <f>VLOOKUP(Complete[[#This Row],[Code
(PAP)]],[1]Sheet1!$A:$AO,9,FALSE)</f>
        <v>N/A</v>
      </c>
      <c r="J177" s="393">
        <f>VLOOKUP(Complete[[#This Row],[Code
(PAP)]],[1]Sheet1!$A:$AO,10,FALSE)</f>
        <v>45370</v>
      </c>
      <c r="K177" s="393">
        <f>VLOOKUP(Complete[[#This Row],[Code
(PAP)]],[1]Sheet1!$A:$AO,11,FALSE)</f>
        <v>45370</v>
      </c>
      <c r="L177" s="387"/>
      <c r="M177" s="393" t="str">
        <f>VLOOKUP(Complete[[#This Row],[Code
(PAP)]],[1]Sheet1!$A:$AO,13,FALSE)</f>
        <v>N/A</v>
      </c>
      <c r="N177" s="393" t="str">
        <f>VLOOKUP(Complete[[#This Row],[Code
(PAP)]],[1]Sheet1!$A:$AO,14,FALSE)</f>
        <v>N/A</v>
      </c>
      <c r="O177" s="393">
        <f>VLOOKUP(Complete[[#This Row],[Code
(PAP)]],[1]Sheet1!$A:$AO,15,FALSE)</f>
        <v>45372</v>
      </c>
      <c r="P177" s="387"/>
      <c r="Q177" s="387"/>
      <c r="R177" s="387"/>
      <c r="S177" s="576" t="str">
        <f>VLOOKUP(Complete[[#This Row],[Code
(PAP)]],[1]Sheet1!$A:$AO,19,FALSE)</f>
        <v>N/A</v>
      </c>
      <c r="T177" s="576">
        <f>VLOOKUP(Complete[[#This Row],[Code
(PAP)]],[1]Sheet1!$A:$AO,20,FALSE)</f>
        <v>45407</v>
      </c>
      <c r="U177" s="576">
        <f>VLOOKUP(Complete[[#This Row],[Code
(PAP)]],[1]Sheet1!$A:$AO,21,FALSE)</f>
        <v>45411</v>
      </c>
      <c r="V177" s="387"/>
      <c r="W177" s="387"/>
      <c r="X177" s="392">
        <f>VLOOKUP(Complete[[#This Row],[Code
(PAP)]],[1]Sheet1!$A:$AO,24,FALSE)</f>
        <v>45411</v>
      </c>
      <c r="Y177" s="392">
        <f>Complete[[#This Row],[Delivery/ Completion]]</f>
        <v>45411</v>
      </c>
      <c r="Z177" s="610" t="s">
        <v>1478</v>
      </c>
      <c r="AA177" s="462">
        <f>Complete[[#This Row],[MOOE]]+Complete[[#This Row],[CO]]</f>
        <v>12900</v>
      </c>
      <c r="AB177" s="466">
        <v>12900</v>
      </c>
      <c r="AC177" s="497"/>
      <c r="AD177" s="498">
        <f>IF(Complete[[#This Row],[Procurement Project]]="","",SUM(Complete[[#This Row],[MOOE2]]+Complete[[#This Row],[CO3]]))</f>
        <v>12900</v>
      </c>
      <c r="AE177" s="501">
        <v>12900</v>
      </c>
      <c r="AF177" s="541"/>
      <c r="AG177" s="400"/>
      <c r="AH177" s="380" t="s">
        <v>1205</v>
      </c>
      <c r="AI177" s="576" t="str">
        <f>VLOOKUP(Complete[[#This Row],[Code
(PAP)]],[1]Sheet1!$A:$AO,35,FALSE)</f>
        <v>N/A</v>
      </c>
      <c r="AJ177" s="576" t="str">
        <f>VLOOKUP(Complete[[#This Row],[Code
(PAP)]],[1]Sheet1!$A:$AO,36,FALSE)</f>
        <v>N/A</v>
      </c>
      <c r="AK177" s="576" t="str">
        <f>VLOOKUP(Complete[[#This Row],[Code
(PAP)]],[1]Sheet1!$A:$AO,37,FALSE)</f>
        <v>N/A</v>
      </c>
      <c r="AL177" s="576" t="str">
        <f>VLOOKUP(Complete[[#This Row],[Code
(PAP)]],[1]Sheet1!$A:$AO,38,FALSE)</f>
        <v>N/A</v>
      </c>
      <c r="AM177" s="576" t="str">
        <f>VLOOKUP(Complete[[#This Row],[Code
(PAP)]],[1]Sheet1!$A:$AO,38,FALSE)</f>
        <v>N/A</v>
      </c>
      <c r="AN177" s="595" t="s">
        <v>713</v>
      </c>
      <c r="AO177" s="303" t="s">
        <v>139</v>
      </c>
      <c r="AP177" s="389"/>
      <c r="AQ177" s="389"/>
    </row>
    <row r="178" spans="1:43" s="224" customFormat="1" ht="75" customHeight="1" x14ac:dyDescent="0.25">
      <c r="A178" s="385" t="s">
        <v>356</v>
      </c>
      <c r="B178" s="406" t="str">
        <f>VLOOKUP(Complete[[#This Row],[Code
(PAP)]],[1]Sheet1!$A:$AO,2,FALSE)</f>
        <v>SPAREPARTS (LIGHT VEHICLES)</v>
      </c>
      <c r="C178" s="408" t="str">
        <f>VLOOKUP(Complete[[#This Row],[Code
(PAP)]],[1]Sheet1!$A:$AO,3,FALSE)</f>
        <v>PGSO</v>
      </c>
      <c r="D178" s="380" t="s">
        <v>712</v>
      </c>
      <c r="E178" s="409" t="str">
        <f>VLOOKUP(Complete[[#This Row],[Code
(PAP)]],[2]Sheet1!$A:$AO,5,FALSE)</f>
        <v>Shopping 52.1(a) - Unforeseen Contingency</v>
      </c>
      <c r="F178" s="393" t="str">
        <f>VLOOKUP(Complete[[#This Row],[Code
(PAP)]],[1]Sheet1!$A:$AO,6,FALSE)</f>
        <v>N/A</v>
      </c>
      <c r="G178" s="393">
        <f>VLOOKUP(Complete[[#This Row],[Code
(PAP)]],[1]Sheet1!$A:$AO,7,FALSE)</f>
        <v>45352</v>
      </c>
      <c r="H178" s="374"/>
      <c r="I178" s="394" t="str">
        <f>VLOOKUP(Complete[[#This Row],[Code
(PAP)]],[1]Sheet1!$A:$AO,9,FALSE)</f>
        <v>N/A</v>
      </c>
      <c r="J178" s="393">
        <f>VLOOKUP(Complete[[#This Row],[Code
(PAP)]],[1]Sheet1!$A:$AO,10,FALSE)</f>
        <v>45370</v>
      </c>
      <c r="K178" s="393">
        <f>VLOOKUP(Complete[[#This Row],[Code
(PAP)]],[1]Sheet1!$A:$AO,11,FALSE)</f>
        <v>45370</v>
      </c>
      <c r="L178" s="387"/>
      <c r="M178" s="393" t="str">
        <f>VLOOKUP(Complete[[#This Row],[Code
(PAP)]],[1]Sheet1!$A:$AO,13,FALSE)</f>
        <v>N/A</v>
      </c>
      <c r="N178" s="393" t="str">
        <f>VLOOKUP(Complete[[#This Row],[Code
(PAP)]],[1]Sheet1!$A:$AO,14,FALSE)</f>
        <v>N/A</v>
      </c>
      <c r="O178" s="393">
        <f>VLOOKUP(Complete[[#This Row],[Code
(PAP)]],[1]Sheet1!$A:$AO,15,FALSE)</f>
        <v>45372</v>
      </c>
      <c r="P178" s="387"/>
      <c r="Q178" s="387"/>
      <c r="R178" s="387"/>
      <c r="S178" s="576" t="str">
        <f>VLOOKUP(Complete[[#This Row],[Code
(PAP)]],[1]Sheet1!$A:$AO,19,FALSE)</f>
        <v>N/A</v>
      </c>
      <c r="T178" s="576">
        <f>VLOOKUP(Complete[[#This Row],[Code
(PAP)]],[1]Sheet1!$A:$AO,20,FALSE)</f>
        <v>45405</v>
      </c>
      <c r="U178" s="576">
        <f>VLOOKUP(Complete[[#This Row],[Code
(PAP)]],[1]Sheet1!$A:$AO,21,FALSE)</f>
        <v>45407</v>
      </c>
      <c r="V178" s="387"/>
      <c r="W178" s="387"/>
      <c r="X178" s="392">
        <f>VLOOKUP(Complete[[#This Row],[Code
(PAP)]],[1]Sheet1!$A:$AO,24,FALSE)</f>
        <v>45407</v>
      </c>
      <c r="Y178" s="392">
        <f>Complete[[#This Row],[Delivery/ Completion]]</f>
        <v>45407</v>
      </c>
      <c r="Z178" s="610" t="s">
        <v>1478</v>
      </c>
      <c r="AA178" s="462">
        <f>Complete[[#This Row],[MOOE]]+Complete[[#This Row],[CO]]</f>
        <v>8950</v>
      </c>
      <c r="AB178" s="466">
        <v>8950</v>
      </c>
      <c r="AC178" s="497"/>
      <c r="AD178" s="498">
        <f>IF(Complete[[#This Row],[Procurement Project]]="","",SUM(Complete[[#This Row],[MOOE2]]+Complete[[#This Row],[CO3]]))</f>
        <v>8950</v>
      </c>
      <c r="AE178" s="501">
        <v>8950</v>
      </c>
      <c r="AF178" s="541"/>
      <c r="AG178" s="400"/>
      <c r="AH178" s="380" t="s">
        <v>1205</v>
      </c>
      <c r="AI178" s="576" t="str">
        <f>VLOOKUP(Complete[[#This Row],[Code
(PAP)]],[1]Sheet1!$A:$AO,35,FALSE)</f>
        <v>N/A</v>
      </c>
      <c r="AJ178" s="576" t="str">
        <f>VLOOKUP(Complete[[#This Row],[Code
(PAP)]],[1]Sheet1!$A:$AO,36,FALSE)</f>
        <v>N/A</v>
      </c>
      <c r="AK178" s="576" t="str">
        <f>VLOOKUP(Complete[[#This Row],[Code
(PAP)]],[1]Sheet1!$A:$AO,37,FALSE)</f>
        <v>N/A</v>
      </c>
      <c r="AL178" s="576" t="str">
        <f>VLOOKUP(Complete[[#This Row],[Code
(PAP)]],[1]Sheet1!$A:$AO,38,FALSE)</f>
        <v>N/A</v>
      </c>
      <c r="AM178" s="576" t="str">
        <f>VLOOKUP(Complete[[#This Row],[Code
(PAP)]],[1]Sheet1!$A:$AO,38,FALSE)</f>
        <v>N/A</v>
      </c>
      <c r="AN178" s="595" t="s">
        <v>713</v>
      </c>
      <c r="AO178" s="303" t="s">
        <v>139</v>
      </c>
      <c r="AP178" s="389"/>
      <c r="AQ178" s="389"/>
    </row>
    <row r="179" spans="1:43" s="224" customFormat="1" ht="75" customHeight="1" x14ac:dyDescent="0.25">
      <c r="A179" s="385" t="s">
        <v>357</v>
      </c>
      <c r="B179" s="406" t="str">
        <f>VLOOKUP(Complete[[#This Row],[Code
(PAP)]],[1]Sheet1!$A:$AO,2,FALSE)</f>
        <v>SPAREPARTS (LIGHT VEHICLES)</v>
      </c>
      <c r="C179" s="408" t="str">
        <f>VLOOKUP(Complete[[#This Row],[Code
(PAP)]],[1]Sheet1!$A:$AO,3,FALSE)</f>
        <v>PGSO</v>
      </c>
      <c r="D179" s="380" t="s">
        <v>712</v>
      </c>
      <c r="E179" s="409" t="str">
        <f>VLOOKUP(Complete[[#This Row],[Code
(PAP)]],[2]Sheet1!$A:$AO,5,FALSE)</f>
        <v>Shopping 52.1(a) - Unforeseen Contingency</v>
      </c>
      <c r="F179" s="393" t="str">
        <f>VLOOKUP(Complete[[#This Row],[Code
(PAP)]],[1]Sheet1!$A:$AO,6,FALSE)</f>
        <v>N/A</v>
      </c>
      <c r="G179" s="393">
        <f>VLOOKUP(Complete[[#This Row],[Code
(PAP)]],[1]Sheet1!$A:$AO,7,FALSE)</f>
        <v>45352</v>
      </c>
      <c r="H179" s="374"/>
      <c r="I179" s="394" t="str">
        <f>VLOOKUP(Complete[[#This Row],[Code
(PAP)]],[1]Sheet1!$A:$AO,9,FALSE)</f>
        <v>N/A</v>
      </c>
      <c r="J179" s="393">
        <f>VLOOKUP(Complete[[#This Row],[Code
(PAP)]],[1]Sheet1!$A:$AO,10,FALSE)</f>
        <v>45370</v>
      </c>
      <c r="K179" s="393">
        <f>VLOOKUP(Complete[[#This Row],[Code
(PAP)]],[1]Sheet1!$A:$AO,11,FALSE)</f>
        <v>45370</v>
      </c>
      <c r="L179" s="387"/>
      <c r="M179" s="393" t="str">
        <f>VLOOKUP(Complete[[#This Row],[Code
(PAP)]],[1]Sheet1!$A:$AO,13,FALSE)</f>
        <v>N/A</v>
      </c>
      <c r="N179" s="393" t="str">
        <f>VLOOKUP(Complete[[#This Row],[Code
(PAP)]],[1]Sheet1!$A:$AO,14,FALSE)</f>
        <v>N/A</v>
      </c>
      <c r="O179" s="393">
        <f>VLOOKUP(Complete[[#This Row],[Code
(PAP)]],[1]Sheet1!$A:$AO,15,FALSE)</f>
        <v>45372</v>
      </c>
      <c r="P179" s="387"/>
      <c r="Q179" s="387"/>
      <c r="R179" s="387"/>
      <c r="S179" s="576" t="str">
        <f>VLOOKUP(Complete[[#This Row],[Code
(PAP)]],[1]Sheet1!$A:$AO,19,FALSE)</f>
        <v>N/A</v>
      </c>
      <c r="T179" s="576">
        <f>VLOOKUP(Complete[[#This Row],[Code
(PAP)]],[1]Sheet1!$A:$AO,20,FALSE)</f>
        <v>45404</v>
      </c>
      <c r="U179" s="576">
        <f>VLOOKUP(Complete[[#This Row],[Code
(PAP)]],[1]Sheet1!$A:$AO,21,FALSE)</f>
        <v>45412</v>
      </c>
      <c r="V179" s="387"/>
      <c r="W179" s="387"/>
      <c r="X179" s="392">
        <f>VLOOKUP(Complete[[#This Row],[Code
(PAP)]],[1]Sheet1!$A:$AO,24,FALSE)</f>
        <v>45412</v>
      </c>
      <c r="Y179" s="392">
        <f>Complete[[#This Row],[Delivery/ Completion]]</f>
        <v>45412</v>
      </c>
      <c r="Z179" s="610" t="s">
        <v>1478</v>
      </c>
      <c r="AA179" s="462">
        <f>Complete[[#This Row],[MOOE]]+Complete[[#This Row],[CO]]</f>
        <v>3500</v>
      </c>
      <c r="AB179" s="466">
        <v>3500</v>
      </c>
      <c r="AC179" s="497"/>
      <c r="AD179" s="498">
        <f>IF(Complete[[#This Row],[Procurement Project]]="","",SUM(Complete[[#This Row],[MOOE2]]+Complete[[#This Row],[CO3]]))</f>
        <v>3500</v>
      </c>
      <c r="AE179" s="501">
        <v>3500</v>
      </c>
      <c r="AF179" s="541"/>
      <c r="AG179" s="400"/>
      <c r="AH179" s="380" t="s">
        <v>1205</v>
      </c>
      <c r="AI179" s="576" t="str">
        <f>VLOOKUP(Complete[[#This Row],[Code
(PAP)]],[1]Sheet1!$A:$AO,35,FALSE)</f>
        <v>N/A</v>
      </c>
      <c r="AJ179" s="576" t="str">
        <f>VLOOKUP(Complete[[#This Row],[Code
(PAP)]],[1]Sheet1!$A:$AO,36,FALSE)</f>
        <v>N/A</v>
      </c>
      <c r="AK179" s="576" t="str">
        <f>VLOOKUP(Complete[[#This Row],[Code
(PAP)]],[1]Sheet1!$A:$AO,37,FALSE)</f>
        <v>N/A</v>
      </c>
      <c r="AL179" s="576" t="str">
        <f>VLOOKUP(Complete[[#This Row],[Code
(PAP)]],[1]Sheet1!$A:$AO,38,FALSE)</f>
        <v>N/A</v>
      </c>
      <c r="AM179" s="576" t="str">
        <f>VLOOKUP(Complete[[#This Row],[Code
(PAP)]],[1]Sheet1!$A:$AO,38,FALSE)</f>
        <v>N/A</v>
      </c>
      <c r="AN179" s="595" t="s">
        <v>713</v>
      </c>
      <c r="AO179" s="303" t="s">
        <v>139</v>
      </c>
      <c r="AP179" s="389"/>
      <c r="AQ179" s="389"/>
    </row>
    <row r="180" spans="1:43" s="224" customFormat="1" ht="75" customHeight="1" x14ac:dyDescent="0.25">
      <c r="A180" s="385" t="s">
        <v>358</v>
      </c>
      <c r="B180" s="406" t="str">
        <f>VLOOKUP(Complete[[#This Row],[Code
(PAP)]],[1]Sheet1!$A:$AO,2,FALSE)</f>
        <v>SPAREPARTS (LIGHT VEHICLES)</v>
      </c>
      <c r="C180" s="408" t="str">
        <f>VLOOKUP(Complete[[#This Row],[Code
(PAP)]],[1]Sheet1!$A:$AO,3,FALSE)</f>
        <v>PGSO</v>
      </c>
      <c r="D180" s="380" t="s">
        <v>712</v>
      </c>
      <c r="E180" s="409" t="str">
        <f>VLOOKUP(Complete[[#This Row],[Code
(PAP)]],[2]Sheet1!$A:$AO,5,FALSE)</f>
        <v>Shopping 52.1(a) - Unforeseen Contingency</v>
      </c>
      <c r="F180" s="393" t="str">
        <f>VLOOKUP(Complete[[#This Row],[Code
(PAP)]],[1]Sheet1!$A:$AO,6,FALSE)</f>
        <v>N/A</v>
      </c>
      <c r="G180" s="393">
        <f>VLOOKUP(Complete[[#This Row],[Code
(PAP)]],[1]Sheet1!$A:$AO,7,FALSE)</f>
        <v>45352</v>
      </c>
      <c r="H180" s="374"/>
      <c r="I180" s="394" t="str">
        <f>VLOOKUP(Complete[[#This Row],[Code
(PAP)]],[1]Sheet1!$A:$AO,9,FALSE)</f>
        <v>N/A</v>
      </c>
      <c r="J180" s="393">
        <f>VLOOKUP(Complete[[#This Row],[Code
(PAP)]],[1]Sheet1!$A:$AO,10,FALSE)</f>
        <v>45370</v>
      </c>
      <c r="K180" s="393">
        <f>VLOOKUP(Complete[[#This Row],[Code
(PAP)]],[1]Sheet1!$A:$AO,11,FALSE)</f>
        <v>45370</v>
      </c>
      <c r="L180" s="387"/>
      <c r="M180" s="393" t="str">
        <f>VLOOKUP(Complete[[#This Row],[Code
(PAP)]],[1]Sheet1!$A:$AO,13,FALSE)</f>
        <v>N/A</v>
      </c>
      <c r="N180" s="393" t="str">
        <f>VLOOKUP(Complete[[#This Row],[Code
(PAP)]],[1]Sheet1!$A:$AO,14,FALSE)</f>
        <v>N/A</v>
      </c>
      <c r="O180" s="393">
        <f>VLOOKUP(Complete[[#This Row],[Code
(PAP)]],[1]Sheet1!$A:$AO,15,FALSE)</f>
        <v>45372</v>
      </c>
      <c r="P180" s="387"/>
      <c r="Q180" s="387"/>
      <c r="R180" s="387"/>
      <c r="S180" s="576" t="str">
        <f>VLOOKUP(Complete[[#This Row],[Code
(PAP)]],[1]Sheet1!$A:$AO,19,FALSE)</f>
        <v>N/A</v>
      </c>
      <c r="T180" s="576">
        <f>VLOOKUP(Complete[[#This Row],[Code
(PAP)]],[1]Sheet1!$A:$AO,20,FALSE)</f>
        <v>45398</v>
      </c>
      <c r="U180" s="576">
        <f>VLOOKUP(Complete[[#This Row],[Code
(PAP)]],[1]Sheet1!$A:$AO,21,FALSE)</f>
        <v>45404</v>
      </c>
      <c r="V180" s="387"/>
      <c r="W180" s="387"/>
      <c r="X180" s="392">
        <f>VLOOKUP(Complete[[#This Row],[Code
(PAP)]],[1]Sheet1!$A:$AO,24,FALSE)</f>
        <v>45404</v>
      </c>
      <c r="Y180" s="392">
        <f>Complete[[#This Row],[Delivery/ Completion]]</f>
        <v>45404</v>
      </c>
      <c r="Z180" s="610" t="s">
        <v>1478</v>
      </c>
      <c r="AA180" s="462">
        <f>Complete[[#This Row],[MOOE]]+Complete[[#This Row],[CO]]</f>
        <v>5000</v>
      </c>
      <c r="AB180" s="466">
        <v>5000</v>
      </c>
      <c r="AC180" s="497"/>
      <c r="AD180" s="498">
        <f>IF(Complete[[#This Row],[Procurement Project]]="","",SUM(Complete[[#This Row],[MOOE2]]+Complete[[#This Row],[CO3]]))</f>
        <v>5000</v>
      </c>
      <c r="AE180" s="501">
        <v>5000</v>
      </c>
      <c r="AF180" s="541"/>
      <c r="AG180" s="400"/>
      <c r="AH180" s="380" t="s">
        <v>1205</v>
      </c>
      <c r="AI180" s="576" t="str">
        <f>VLOOKUP(Complete[[#This Row],[Code
(PAP)]],[1]Sheet1!$A:$AO,35,FALSE)</f>
        <v>N/A</v>
      </c>
      <c r="AJ180" s="576" t="str">
        <f>VLOOKUP(Complete[[#This Row],[Code
(PAP)]],[1]Sheet1!$A:$AO,36,FALSE)</f>
        <v>N/A</v>
      </c>
      <c r="AK180" s="576" t="str">
        <f>VLOOKUP(Complete[[#This Row],[Code
(PAP)]],[1]Sheet1!$A:$AO,37,FALSE)</f>
        <v>N/A</v>
      </c>
      <c r="AL180" s="576" t="str">
        <f>VLOOKUP(Complete[[#This Row],[Code
(PAP)]],[1]Sheet1!$A:$AO,38,FALSE)</f>
        <v>N/A</v>
      </c>
      <c r="AM180" s="576" t="str">
        <f>VLOOKUP(Complete[[#This Row],[Code
(PAP)]],[1]Sheet1!$A:$AO,38,FALSE)</f>
        <v>N/A</v>
      </c>
      <c r="AN180" s="595" t="s">
        <v>713</v>
      </c>
      <c r="AO180" s="303" t="s">
        <v>139</v>
      </c>
      <c r="AP180" s="389"/>
      <c r="AQ180" s="389"/>
    </row>
    <row r="181" spans="1:43" s="224" customFormat="1" ht="75" customHeight="1" x14ac:dyDescent="0.25">
      <c r="A181" s="385" t="s">
        <v>359</v>
      </c>
      <c r="B181" s="406" t="str">
        <f>VLOOKUP(Complete[[#This Row],[Code
(PAP)]],[1]Sheet1!$A:$AO,2,FALSE)</f>
        <v>SPAREPARTS (LIGHT VEHICLES)</v>
      </c>
      <c r="C181" s="408" t="str">
        <f>VLOOKUP(Complete[[#This Row],[Code
(PAP)]],[1]Sheet1!$A:$AO,3,FALSE)</f>
        <v>PGSO</v>
      </c>
      <c r="D181" s="380" t="s">
        <v>712</v>
      </c>
      <c r="E181" s="409" t="str">
        <f>VLOOKUP(Complete[[#This Row],[Code
(PAP)]],[2]Sheet1!$A:$AO,5,FALSE)</f>
        <v>Shopping 52.1(a) - Unforeseen Contingency</v>
      </c>
      <c r="F181" s="393" t="str">
        <f>VLOOKUP(Complete[[#This Row],[Code
(PAP)]],[1]Sheet1!$A:$AO,6,FALSE)</f>
        <v>N/A</v>
      </c>
      <c r="G181" s="393">
        <f>VLOOKUP(Complete[[#This Row],[Code
(PAP)]],[1]Sheet1!$A:$AO,7,FALSE)</f>
        <v>45352</v>
      </c>
      <c r="H181" s="374"/>
      <c r="I181" s="394" t="str">
        <f>VLOOKUP(Complete[[#This Row],[Code
(PAP)]],[1]Sheet1!$A:$AO,9,FALSE)</f>
        <v>N/A</v>
      </c>
      <c r="J181" s="393">
        <f>VLOOKUP(Complete[[#This Row],[Code
(PAP)]],[1]Sheet1!$A:$AO,10,FALSE)</f>
        <v>45370</v>
      </c>
      <c r="K181" s="393">
        <f>VLOOKUP(Complete[[#This Row],[Code
(PAP)]],[1]Sheet1!$A:$AO,11,FALSE)</f>
        <v>45370</v>
      </c>
      <c r="L181" s="387"/>
      <c r="M181" s="393" t="str">
        <f>VLOOKUP(Complete[[#This Row],[Code
(PAP)]],[1]Sheet1!$A:$AO,13,FALSE)</f>
        <v>N/A</v>
      </c>
      <c r="N181" s="393" t="str">
        <f>VLOOKUP(Complete[[#This Row],[Code
(PAP)]],[1]Sheet1!$A:$AO,14,FALSE)</f>
        <v>N/A</v>
      </c>
      <c r="O181" s="393">
        <f>VLOOKUP(Complete[[#This Row],[Code
(PAP)]],[1]Sheet1!$A:$AO,15,FALSE)</f>
        <v>45372</v>
      </c>
      <c r="P181" s="387"/>
      <c r="Q181" s="387"/>
      <c r="R181" s="387"/>
      <c r="S181" s="576" t="str">
        <f>VLOOKUP(Complete[[#This Row],[Code
(PAP)]],[1]Sheet1!$A:$AO,19,FALSE)</f>
        <v>N/A</v>
      </c>
      <c r="T181" s="576">
        <f>VLOOKUP(Complete[[#This Row],[Code
(PAP)]],[1]Sheet1!$A:$AO,20,FALSE)</f>
        <v>45386</v>
      </c>
      <c r="U181" s="576">
        <f>VLOOKUP(Complete[[#This Row],[Code
(PAP)]],[1]Sheet1!$A:$AO,21,FALSE)</f>
        <v>45394</v>
      </c>
      <c r="V181" s="387"/>
      <c r="W181" s="387"/>
      <c r="X181" s="392">
        <f>VLOOKUP(Complete[[#This Row],[Code
(PAP)]],[1]Sheet1!$A:$AO,24,FALSE)</f>
        <v>45394</v>
      </c>
      <c r="Y181" s="392">
        <f>Complete[[#This Row],[Delivery/ Completion]]</f>
        <v>45394</v>
      </c>
      <c r="Z181" s="610" t="s">
        <v>1478</v>
      </c>
      <c r="AA181" s="462">
        <f>Complete[[#This Row],[MOOE]]+Complete[[#This Row],[CO]]</f>
        <v>15550</v>
      </c>
      <c r="AB181" s="466"/>
      <c r="AC181" s="497">
        <v>15550</v>
      </c>
      <c r="AD181" s="498">
        <f>IF(Complete[[#This Row],[Procurement Project]]="","",SUM(Complete[[#This Row],[MOOE2]]+Complete[[#This Row],[CO3]]))</f>
        <v>15550</v>
      </c>
      <c r="AE181" s="501">
        <f>VLOOKUP(Complete[[#This Row],[Code
(PAP)]],[1]Sheet1!$A:$AO,31,FALSE)</f>
        <v>0</v>
      </c>
      <c r="AF181" s="541">
        <v>15550</v>
      </c>
      <c r="AG181" s="400"/>
      <c r="AH181" s="380" t="s">
        <v>1205</v>
      </c>
      <c r="AI181" s="576" t="str">
        <f>VLOOKUP(Complete[[#This Row],[Code
(PAP)]],[1]Sheet1!$A:$AO,35,FALSE)</f>
        <v>N/A</v>
      </c>
      <c r="AJ181" s="576" t="str">
        <f>VLOOKUP(Complete[[#This Row],[Code
(PAP)]],[1]Sheet1!$A:$AO,36,FALSE)</f>
        <v>N/A</v>
      </c>
      <c r="AK181" s="576" t="str">
        <f>VLOOKUP(Complete[[#This Row],[Code
(PAP)]],[1]Sheet1!$A:$AO,37,FALSE)</f>
        <v>N/A</v>
      </c>
      <c r="AL181" s="576" t="str">
        <f>VLOOKUP(Complete[[#This Row],[Code
(PAP)]],[1]Sheet1!$A:$AO,38,FALSE)</f>
        <v>N/A</v>
      </c>
      <c r="AM181" s="576" t="str">
        <f>VLOOKUP(Complete[[#This Row],[Code
(PAP)]],[1]Sheet1!$A:$AO,38,FALSE)</f>
        <v>N/A</v>
      </c>
      <c r="AN181" s="595" t="s">
        <v>713</v>
      </c>
      <c r="AO181" s="303" t="s">
        <v>139</v>
      </c>
      <c r="AP181" s="389"/>
      <c r="AQ181" s="389"/>
    </row>
    <row r="182" spans="1:43" s="224" customFormat="1" ht="75" customHeight="1" x14ac:dyDescent="0.25">
      <c r="A182" s="385" t="s">
        <v>360</v>
      </c>
      <c r="B182" s="406" t="str">
        <f>VLOOKUP(Complete[[#This Row],[Code
(PAP)]],[1]Sheet1!$A:$AO,2,FALSE)</f>
        <v>SPAREPARTS (LIGHT VEHICLES)</v>
      </c>
      <c r="C182" s="408" t="str">
        <f>VLOOKUP(Complete[[#This Row],[Code
(PAP)]],[1]Sheet1!$A:$AO,3,FALSE)</f>
        <v>PGSO</v>
      </c>
      <c r="D182" s="380" t="s">
        <v>712</v>
      </c>
      <c r="E182" s="409" t="str">
        <f>VLOOKUP(Complete[[#This Row],[Code
(PAP)]],[2]Sheet1!$A:$AO,5,FALSE)</f>
        <v>Shopping 52.1(a) - Unforeseen Contingency</v>
      </c>
      <c r="F182" s="393" t="str">
        <f>VLOOKUP(Complete[[#This Row],[Code
(PAP)]],[1]Sheet1!$A:$AO,6,FALSE)</f>
        <v>N/A</v>
      </c>
      <c r="G182" s="393">
        <f>VLOOKUP(Complete[[#This Row],[Code
(PAP)]],[1]Sheet1!$A:$AO,7,FALSE)</f>
        <v>45352</v>
      </c>
      <c r="H182" s="374"/>
      <c r="I182" s="394" t="str">
        <f>VLOOKUP(Complete[[#This Row],[Code
(PAP)]],[1]Sheet1!$A:$AO,9,FALSE)</f>
        <v>N/A</v>
      </c>
      <c r="J182" s="393">
        <f>VLOOKUP(Complete[[#This Row],[Code
(PAP)]],[1]Sheet1!$A:$AO,10,FALSE)</f>
        <v>45370</v>
      </c>
      <c r="K182" s="393">
        <f>VLOOKUP(Complete[[#This Row],[Code
(PAP)]],[1]Sheet1!$A:$AO,11,FALSE)</f>
        <v>45370</v>
      </c>
      <c r="L182" s="387"/>
      <c r="M182" s="393" t="str">
        <f>VLOOKUP(Complete[[#This Row],[Code
(PAP)]],[1]Sheet1!$A:$AO,13,FALSE)</f>
        <v>N/A</v>
      </c>
      <c r="N182" s="393" t="str">
        <f>VLOOKUP(Complete[[#This Row],[Code
(PAP)]],[1]Sheet1!$A:$AO,14,FALSE)</f>
        <v>N/A</v>
      </c>
      <c r="O182" s="393">
        <f>VLOOKUP(Complete[[#This Row],[Code
(PAP)]],[1]Sheet1!$A:$AO,15,FALSE)</f>
        <v>45372</v>
      </c>
      <c r="P182" s="387"/>
      <c r="Q182" s="387"/>
      <c r="R182" s="387"/>
      <c r="S182" s="576" t="str">
        <f>VLOOKUP(Complete[[#This Row],[Code
(PAP)]],[1]Sheet1!$A:$AO,19,FALSE)</f>
        <v>N/A</v>
      </c>
      <c r="T182" s="576">
        <f>VLOOKUP(Complete[[#This Row],[Code
(PAP)]],[1]Sheet1!$A:$AO,20,FALSE)</f>
        <v>45407</v>
      </c>
      <c r="U182" s="576">
        <f>VLOOKUP(Complete[[#This Row],[Code
(PAP)]],[1]Sheet1!$A:$AO,21,FALSE)</f>
        <v>45411</v>
      </c>
      <c r="V182" s="387"/>
      <c r="W182" s="387"/>
      <c r="X182" s="392">
        <f>VLOOKUP(Complete[[#This Row],[Code
(PAP)]],[1]Sheet1!$A:$AO,24,FALSE)</f>
        <v>45411</v>
      </c>
      <c r="Y182" s="392">
        <f>Complete[[#This Row],[Delivery/ Completion]]</f>
        <v>45411</v>
      </c>
      <c r="Z182" s="610" t="s">
        <v>1478</v>
      </c>
      <c r="AA182" s="462">
        <f>Complete[[#This Row],[MOOE]]+Complete[[#This Row],[CO]]</f>
        <v>25500</v>
      </c>
      <c r="AB182" s="466">
        <v>25500</v>
      </c>
      <c r="AC182" s="497"/>
      <c r="AD182" s="498">
        <f>IF(Complete[[#This Row],[Procurement Project]]="","",SUM(Complete[[#This Row],[MOOE2]]+Complete[[#This Row],[CO3]]))</f>
        <v>25500</v>
      </c>
      <c r="AE182" s="501">
        <v>25500</v>
      </c>
      <c r="AF182" s="541"/>
      <c r="AG182" s="400"/>
      <c r="AH182" s="380" t="s">
        <v>1205</v>
      </c>
      <c r="AI182" s="576" t="str">
        <f>VLOOKUP(Complete[[#This Row],[Code
(PAP)]],[1]Sheet1!$A:$AO,35,FALSE)</f>
        <v>N/A</v>
      </c>
      <c r="AJ182" s="576" t="str">
        <f>VLOOKUP(Complete[[#This Row],[Code
(PAP)]],[1]Sheet1!$A:$AO,36,FALSE)</f>
        <v>N/A</v>
      </c>
      <c r="AK182" s="576" t="str">
        <f>VLOOKUP(Complete[[#This Row],[Code
(PAP)]],[1]Sheet1!$A:$AO,37,FALSE)</f>
        <v>N/A</v>
      </c>
      <c r="AL182" s="576" t="str">
        <f>VLOOKUP(Complete[[#This Row],[Code
(PAP)]],[1]Sheet1!$A:$AO,38,FALSE)</f>
        <v>N/A</v>
      </c>
      <c r="AM182" s="576" t="str">
        <f>VLOOKUP(Complete[[#This Row],[Code
(PAP)]],[1]Sheet1!$A:$AO,38,FALSE)</f>
        <v>N/A</v>
      </c>
      <c r="AN182" s="595" t="s">
        <v>713</v>
      </c>
      <c r="AO182" s="303" t="s">
        <v>139</v>
      </c>
      <c r="AP182" s="389"/>
      <c r="AQ182" s="389"/>
    </row>
    <row r="183" spans="1:43" s="224" customFormat="1" ht="75" customHeight="1" x14ac:dyDescent="0.25">
      <c r="A183" s="385" t="s">
        <v>361</v>
      </c>
      <c r="B183" s="406" t="str">
        <f>VLOOKUP(Complete[[#This Row],[Code
(PAP)]],[1]Sheet1!$A:$AO,2,FALSE)</f>
        <v>SPAREPARTS (MOTORCYCLE)</v>
      </c>
      <c r="C183" s="408" t="str">
        <f>VLOOKUP(Complete[[#This Row],[Code
(PAP)]],[1]Sheet1!$A:$AO,3,FALSE)</f>
        <v>SPO</v>
      </c>
      <c r="D183" s="380" t="s">
        <v>712</v>
      </c>
      <c r="E183" s="409" t="str">
        <f>VLOOKUP(Complete[[#This Row],[Code
(PAP)]],[2]Sheet1!$A:$AO,5,FALSE)</f>
        <v>Shopping 52.1(a) - Unforeseen Contingency</v>
      </c>
      <c r="F183" s="393">
        <f>VLOOKUP(Complete[[#This Row],[Code
(PAP)]],[1]Sheet1!$A:$AO,6,FALSE)</f>
        <v>45356</v>
      </c>
      <c r="G183" s="393">
        <f>VLOOKUP(Complete[[#This Row],[Code
(PAP)]],[1]Sheet1!$A:$AO,7,FALSE)</f>
        <v>45359</v>
      </c>
      <c r="H183" s="374"/>
      <c r="I183" s="394" t="str">
        <f>VLOOKUP(Complete[[#This Row],[Code
(PAP)]],[1]Sheet1!$A:$AO,9,FALSE)</f>
        <v>N/A</v>
      </c>
      <c r="J183" s="393">
        <f>VLOOKUP(Complete[[#This Row],[Code
(PAP)]],[1]Sheet1!$A:$AO,10,FALSE)</f>
        <v>45370</v>
      </c>
      <c r="K183" s="393">
        <f>VLOOKUP(Complete[[#This Row],[Code
(PAP)]],[1]Sheet1!$A:$AO,11,FALSE)</f>
        <v>45370</v>
      </c>
      <c r="L183" s="387"/>
      <c r="M183" s="393" t="str">
        <f>VLOOKUP(Complete[[#This Row],[Code
(PAP)]],[1]Sheet1!$A:$AO,13,FALSE)</f>
        <v>N/A</v>
      </c>
      <c r="N183" s="393" t="str">
        <f>VLOOKUP(Complete[[#This Row],[Code
(PAP)]],[1]Sheet1!$A:$AO,14,FALSE)</f>
        <v>N/A</v>
      </c>
      <c r="O183" s="393">
        <f>VLOOKUP(Complete[[#This Row],[Code
(PAP)]],[1]Sheet1!$A:$AO,15,FALSE)</f>
        <v>45372</v>
      </c>
      <c r="P183" s="387"/>
      <c r="Q183" s="387"/>
      <c r="R183" s="387"/>
      <c r="S183" s="576" t="str">
        <f>VLOOKUP(Complete[[#This Row],[Code
(PAP)]],[1]Sheet1!$A:$AO,19,FALSE)</f>
        <v>N/A</v>
      </c>
      <c r="T183" s="576">
        <f>VLOOKUP(Complete[[#This Row],[Code
(PAP)]],[1]Sheet1!$A:$AO,20,FALSE)</f>
        <v>45398</v>
      </c>
      <c r="U183" s="576">
        <f>VLOOKUP(Complete[[#This Row],[Code
(PAP)]],[1]Sheet1!$A:$AO,21,FALSE)</f>
        <v>45400</v>
      </c>
      <c r="V183" s="387"/>
      <c r="W183" s="387"/>
      <c r="X183" s="392">
        <f>VLOOKUP(Complete[[#This Row],[Code
(PAP)]],[1]Sheet1!$A:$AO,24,FALSE)</f>
        <v>45400</v>
      </c>
      <c r="Y183" s="392">
        <f>Complete[[#This Row],[Delivery/ Completion]]</f>
        <v>45400</v>
      </c>
      <c r="Z183" s="610" t="s">
        <v>1478</v>
      </c>
      <c r="AA183" s="462">
        <f>Complete[[#This Row],[MOOE]]+Complete[[#This Row],[CO]]</f>
        <v>2640</v>
      </c>
      <c r="AB183" s="466">
        <v>2640</v>
      </c>
      <c r="AC183" s="497"/>
      <c r="AD183" s="498">
        <f>IF(Complete[[#This Row],[Procurement Project]]="","",SUM(Complete[[#This Row],[MOOE2]]+Complete[[#This Row],[CO3]]))</f>
        <v>2640</v>
      </c>
      <c r="AE183" s="501">
        <v>2640</v>
      </c>
      <c r="AF183" s="541"/>
      <c r="AG183" s="400"/>
      <c r="AH183" s="380" t="s">
        <v>1205</v>
      </c>
      <c r="AI183" s="576" t="str">
        <f>VLOOKUP(Complete[[#This Row],[Code
(PAP)]],[1]Sheet1!$A:$AO,35,FALSE)</f>
        <v>N/A</v>
      </c>
      <c r="AJ183" s="576" t="str">
        <f>VLOOKUP(Complete[[#This Row],[Code
(PAP)]],[1]Sheet1!$A:$AO,36,FALSE)</f>
        <v>N/A</v>
      </c>
      <c r="AK183" s="576" t="str">
        <f>VLOOKUP(Complete[[#This Row],[Code
(PAP)]],[1]Sheet1!$A:$AO,37,FALSE)</f>
        <v>N/A</v>
      </c>
      <c r="AL183" s="576" t="str">
        <f>VLOOKUP(Complete[[#This Row],[Code
(PAP)]],[1]Sheet1!$A:$AO,38,FALSE)</f>
        <v>N/A</v>
      </c>
      <c r="AM183" s="576" t="str">
        <f>VLOOKUP(Complete[[#This Row],[Code
(PAP)]],[1]Sheet1!$A:$AO,38,FALSE)</f>
        <v>N/A</v>
      </c>
      <c r="AN183" s="595" t="s">
        <v>713</v>
      </c>
      <c r="AO183" s="303" t="s">
        <v>139</v>
      </c>
      <c r="AP183" s="389"/>
      <c r="AQ183" s="389"/>
    </row>
    <row r="184" spans="1:43" s="224" customFormat="1" ht="75" customHeight="1" x14ac:dyDescent="0.25">
      <c r="A184" s="385" t="s">
        <v>362</v>
      </c>
      <c r="B184" s="406" t="str">
        <f>VLOOKUP(Complete[[#This Row],[Code
(PAP)]],[1]Sheet1!$A:$AO,2,FALSE)</f>
        <v>FUEL, OIL, AND LUBRICANTS</v>
      </c>
      <c r="C184" s="408" t="str">
        <f>VLOOKUP(Complete[[#This Row],[Code
(PAP)]],[1]Sheet1!$A:$AO,3,FALSE)</f>
        <v>SPO</v>
      </c>
      <c r="D184" s="380" t="s">
        <v>712</v>
      </c>
      <c r="E184" s="409" t="str">
        <f>VLOOKUP(Complete[[#This Row],[Code
(PAP)]],[2]Sheet1!$A:$AO,5,FALSE)</f>
        <v>Shopping 52.1(a) - Unforeseen Contingency</v>
      </c>
      <c r="F184" s="393">
        <f>VLOOKUP(Complete[[#This Row],[Code
(PAP)]],[1]Sheet1!$A:$AO,6,FALSE)</f>
        <v>45356</v>
      </c>
      <c r="G184" s="393">
        <f>VLOOKUP(Complete[[#This Row],[Code
(PAP)]],[1]Sheet1!$A:$AO,7,FALSE)</f>
        <v>45359</v>
      </c>
      <c r="H184" s="374"/>
      <c r="I184" s="394" t="str">
        <f>VLOOKUP(Complete[[#This Row],[Code
(PAP)]],[1]Sheet1!$A:$AO,9,FALSE)</f>
        <v>N/A</v>
      </c>
      <c r="J184" s="393">
        <f>VLOOKUP(Complete[[#This Row],[Code
(PAP)]],[1]Sheet1!$A:$AO,10,FALSE)</f>
        <v>45370</v>
      </c>
      <c r="K184" s="393">
        <f>VLOOKUP(Complete[[#This Row],[Code
(PAP)]],[1]Sheet1!$A:$AO,11,FALSE)</f>
        <v>45370</v>
      </c>
      <c r="L184" s="387"/>
      <c r="M184" s="393" t="str">
        <f>VLOOKUP(Complete[[#This Row],[Code
(PAP)]],[1]Sheet1!$A:$AO,13,FALSE)</f>
        <v>N/A</v>
      </c>
      <c r="N184" s="393" t="str">
        <f>VLOOKUP(Complete[[#This Row],[Code
(PAP)]],[1]Sheet1!$A:$AO,14,FALSE)</f>
        <v>N/A</v>
      </c>
      <c r="O184" s="393">
        <f>VLOOKUP(Complete[[#This Row],[Code
(PAP)]],[1]Sheet1!$A:$AO,15,FALSE)</f>
        <v>45372</v>
      </c>
      <c r="P184" s="387"/>
      <c r="Q184" s="387"/>
      <c r="R184" s="387"/>
      <c r="S184" s="576" t="str">
        <f>VLOOKUP(Complete[[#This Row],[Code
(PAP)]],[1]Sheet1!$A:$AO,19,FALSE)</f>
        <v>N/A</v>
      </c>
      <c r="T184" s="576">
        <f>VLOOKUP(Complete[[#This Row],[Code
(PAP)]],[1]Sheet1!$A:$AO,20,FALSE)</f>
        <v>45404</v>
      </c>
      <c r="U184" s="576">
        <f>VLOOKUP(Complete[[#This Row],[Code
(PAP)]],[1]Sheet1!$A:$AO,21,FALSE)</f>
        <v>45412</v>
      </c>
      <c r="V184" s="387"/>
      <c r="W184" s="387"/>
      <c r="X184" s="392">
        <f>VLOOKUP(Complete[[#This Row],[Code
(PAP)]],[1]Sheet1!$A:$AO,24,FALSE)</f>
        <v>45412</v>
      </c>
      <c r="Y184" s="392">
        <f>Complete[[#This Row],[Delivery/ Completion]]</f>
        <v>45412</v>
      </c>
      <c r="Z184" s="610" t="s">
        <v>1478</v>
      </c>
      <c r="AA184" s="462">
        <f>Complete[[#This Row],[MOOE]]+Complete[[#This Row],[CO]]</f>
        <v>2960</v>
      </c>
      <c r="AB184" s="466">
        <v>2960</v>
      </c>
      <c r="AC184" s="497"/>
      <c r="AD184" s="498">
        <f>IF(Complete[[#This Row],[Procurement Project]]="","",SUM(Complete[[#This Row],[MOOE2]]+Complete[[#This Row],[CO3]]))</f>
        <v>2960</v>
      </c>
      <c r="AE184" s="501">
        <v>2960</v>
      </c>
      <c r="AF184" s="541"/>
      <c r="AG184" s="400"/>
      <c r="AH184" s="380" t="s">
        <v>1205</v>
      </c>
      <c r="AI184" s="576" t="str">
        <f>VLOOKUP(Complete[[#This Row],[Code
(PAP)]],[1]Sheet1!$A:$AO,35,FALSE)</f>
        <v>N/A</v>
      </c>
      <c r="AJ184" s="576" t="str">
        <f>VLOOKUP(Complete[[#This Row],[Code
(PAP)]],[1]Sheet1!$A:$AO,36,FALSE)</f>
        <v>N/A</v>
      </c>
      <c r="AK184" s="576" t="str">
        <f>VLOOKUP(Complete[[#This Row],[Code
(PAP)]],[1]Sheet1!$A:$AO,37,FALSE)</f>
        <v>N/A</v>
      </c>
      <c r="AL184" s="576" t="str">
        <f>VLOOKUP(Complete[[#This Row],[Code
(PAP)]],[1]Sheet1!$A:$AO,38,FALSE)</f>
        <v>N/A</v>
      </c>
      <c r="AM184" s="576" t="str">
        <f>VLOOKUP(Complete[[#This Row],[Code
(PAP)]],[1]Sheet1!$A:$AO,38,FALSE)</f>
        <v>N/A</v>
      </c>
      <c r="AN184" s="595" t="s">
        <v>713</v>
      </c>
      <c r="AO184" s="303" t="s">
        <v>139</v>
      </c>
      <c r="AP184" s="389"/>
      <c r="AQ184" s="389"/>
    </row>
    <row r="185" spans="1:43" s="224" customFormat="1" ht="75" customHeight="1" x14ac:dyDescent="0.25">
      <c r="A185" s="385" t="s">
        <v>363</v>
      </c>
      <c r="B185" s="406" t="str">
        <f>VLOOKUP(Complete[[#This Row],[Code
(PAP)]],[1]Sheet1!$A:$AO,2,FALSE)</f>
        <v xml:space="preserve">JOB ORDER (LABOR &amp; MATERIALS) </v>
      </c>
      <c r="C185" s="408" t="str">
        <f>VLOOKUP(Complete[[#This Row],[Code
(PAP)]],[1]Sheet1!$A:$AO,3,FALSE)</f>
        <v>PDRRMO</v>
      </c>
      <c r="D185" s="380" t="s">
        <v>712</v>
      </c>
      <c r="E185" s="409" t="str">
        <f>VLOOKUP(Complete[[#This Row],[Code
(PAP)]],[2]Sheet1!$A:$AO,5,FALSE)</f>
        <v>Shopping 52.1(a) - Unforeseen Contingency</v>
      </c>
      <c r="F185" s="393">
        <f>VLOOKUP(Complete[[#This Row],[Code
(PAP)]],[1]Sheet1!$A:$AO,6,FALSE)</f>
        <v>45356</v>
      </c>
      <c r="G185" s="393">
        <f>VLOOKUP(Complete[[#This Row],[Code
(PAP)]],[1]Sheet1!$A:$AO,7,FALSE)</f>
        <v>45359</v>
      </c>
      <c r="H185" s="374"/>
      <c r="I185" s="394" t="str">
        <f>VLOOKUP(Complete[[#This Row],[Code
(PAP)]],[1]Sheet1!$A:$AO,9,FALSE)</f>
        <v>N/A</v>
      </c>
      <c r="J185" s="393">
        <f>VLOOKUP(Complete[[#This Row],[Code
(PAP)]],[1]Sheet1!$A:$AO,10,FALSE)</f>
        <v>45370</v>
      </c>
      <c r="K185" s="393">
        <f>VLOOKUP(Complete[[#This Row],[Code
(PAP)]],[1]Sheet1!$A:$AO,11,FALSE)</f>
        <v>45370</v>
      </c>
      <c r="L185" s="387"/>
      <c r="M185" s="393" t="str">
        <f>VLOOKUP(Complete[[#This Row],[Code
(PAP)]],[1]Sheet1!$A:$AO,13,FALSE)</f>
        <v>N/A</v>
      </c>
      <c r="N185" s="393" t="str">
        <f>VLOOKUP(Complete[[#This Row],[Code
(PAP)]],[1]Sheet1!$A:$AO,14,FALSE)</f>
        <v>N/A</v>
      </c>
      <c r="O185" s="393">
        <f>VLOOKUP(Complete[[#This Row],[Code
(PAP)]],[1]Sheet1!$A:$AO,15,FALSE)</f>
        <v>45372</v>
      </c>
      <c r="P185" s="387"/>
      <c r="Q185" s="387"/>
      <c r="R185" s="387"/>
      <c r="S185" s="576" t="str">
        <f>VLOOKUP(Complete[[#This Row],[Code
(PAP)]],[1]Sheet1!$A:$AO,19,FALSE)</f>
        <v>N/A</v>
      </c>
      <c r="T185" s="576">
        <f>VLOOKUP(Complete[[#This Row],[Code
(PAP)]],[1]Sheet1!$A:$AO,20,FALSE)</f>
        <v>45386</v>
      </c>
      <c r="U185" s="576">
        <f>VLOOKUP(Complete[[#This Row],[Code
(PAP)]],[1]Sheet1!$A:$AO,21,FALSE)</f>
        <v>45394</v>
      </c>
      <c r="V185" s="387"/>
      <c r="W185" s="387"/>
      <c r="X185" s="392">
        <f>VLOOKUP(Complete[[#This Row],[Code
(PAP)]],[1]Sheet1!$A:$AO,24,FALSE)</f>
        <v>45394</v>
      </c>
      <c r="Y185" s="392">
        <f>Complete[[#This Row],[Delivery/ Completion]]</f>
        <v>45394</v>
      </c>
      <c r="Z185" s="610" t="s">
        <v>1478</v>
      </c>
      <c r="AA185" s="462">
        <f>Complete[[#This Row],[MOOE]]+Complete[[#This Row],[CO]]</f>
        <v>4500</v>
      </c>
      <c r="AB185" s="466"/>
      <c r="AC185" s="497">
        <v>4500</v>
      </c>
      <c r="AD185" s="498">
        <f>IF(Complete[[#This Row],[Procurement Project]]="","",SUM(Complete[[#This Row],[MOOE2]]+Complete[[#This Row],[CO3]]))</f>
        <v>4500</v>
      </c>
      <c r="AE185" s="501"/>
      <c r="AF185" s="541">
        <v>4500</v>
      </c>
      <c r="AG185" s="400"/>
      <c r="AH185" s="380" t="s">
        <v>1205</v>
      </c>
      <c r="AI185" s="576" t="str">
        <f>VLOOKUP(Complete[[#This Row],[Code
(PAP)]],[1]Sheet1!$A:$AO,35,FALSE)</f>
        <v>N/A</v>
      </c>
      <c r="AJ185" s="576" t="str">
        <f>VLOOKUP(Complete[[#This Row],[Code
(PAP)]],[1]Sheet1!$A:$AO,36,FALSE)</f>
        <v>N/A</v>
      </c>
      <c r="AK185" s="576" t="str">
        <f>VLOOKUP(Complete[[#This Row],[Code
(PAP)]],[1]Sheet1!$A:$AO,37,FALSE)</f>
        <v>N/A</v>
      </c>
      <c r="AL185" s="576" t="str">
        <f>VLOOKUP(Complete[[#This Row],[Code
(PAP)]],[1]Sheet1!$A:$AO,38,FALSE)</f>
        <v>N/A</v>
      </c>
      <c r="AM185" s="576" t="str">
        <f>VLOOKUP(Complete[[#This Row],[Code
(PAP)]],[1]Sheet1!$A:$AO,38,FALSE)</f>
        <v>N/A</v>
      </c>
      <c r="AN185" s="595" t="s">
        <v>713</v>
      </c>
      <c r="AO185" s="303" t="s">
        <v>139</v>
      </c>
      <c r="AP185" s="389"/>
      <c r="AQ185" s="389"/>
    </row>
    <row r="186" spans="1:43" s="224" customFormat="1" ht="75" customHeight="1" x14ac:dyDescent="0.25">
      <c r="A186" s="385" t="s">
        <v>364</v>
      </c>
      <c r="B186" s="406" t="str">
        <f>VLOOKUP(Complete[[#This Row],[Code
(PAP)]],[1]Sheet1!$A:$AO,2,FALSE)</f>
        <v>SPAREPARTS (MOTORCYCLE)</v>
      </c>
      <c r="C186" s="408" t="str">
        <f>VLOOKUP(Complete[[#This Row],[Code
(PAP)]],[1]Sheet1!$A:$AO,3,FALSE)</f>
        <v>COA</v>
      </c>
      <c r="D186" s="380" t="s">
        <v>712</v>
      </c>
      <c r="E186" s="409" t="str">
        <f>VLOOKUP(Complete[[#This Row],[Code
(PAP)]],[2]Sheet1!$A:$AO,5,FALSE)</f>
        <v>NP-53.9 - Small Value Procurement</v>
      </c>
      <c r="F186" s="393" t="str">
        <f>VLOOKUP(Complete[[#This Row],[Code
(PAP)]],[1]Sheet1!$A:$AO,6,FALSE)</f>
        <v>N/A</v>
      </c>
      <c r="G186" s="393">
        <f>VLOOKUP(Complete[[#This Row],[Code
(PAP)]],[1]Sheet1!$A:$AO,7,FALSE)</f>
        <v>45318</v>
      </c>
      <c r="H186" s="374"/>
      <c r="I186" s="394" t="str">
        <f>VLOOKUP(Complete[[#This Row],[Code
(PAP)]],[1]Sheet1!$A:$AO,9,FALSE)</f>
        <v>N/A</v>
      </c>
      <c r="J186" s="393">
        <f>VLOOKUP(Complete[[#This Row],[Code
(PAP)]],[1]Sheet1!$A:$AO,10,FALSE)</f>
        <v>45370</v>
      </c>
      <c r="K186" s="393">
        <f>VLOOKUP(Complete[[#This Row],[Code
(PAP)]],[1]Sheet1!$A:$AO,11,FALSE)</f>
        <v>45370</v>
      </c>
      <c r="L186" s="387"/>
      <c r="M186" s="393" t="str">
        <f>VLOOKUP(Complete[[#This Row],[Code
(PAP)]],[1]Sheet1!$A:$AO,13,FALSE)</f>
        <v>N/A</v>
      </c>
      <c r="N186" s="393" t="str">
        <f>VLOOKUP(Complete[[#This Row],[Code
(PAP)]],[1]Sheet1!$A:$AO,14,FALSE)</f>
        <v>N/A</v>
      </c>
      <c r="O186" s="393">
        <f>VLOOKUP(Complete[[#This Row],[Code
(PAP)]],[1]Sheet1!$A:$AO,15,FALSE)</f>
        <v>45372</v>
      </c>
      <c r="P186" s="387"/>
      <c r="Q186" s="387"/>
      <c r="R186" s="387"/>
      <c r="S186" s="576" t="str">
        <f>VLOOKUP(Complete[[#This Row],[Code
(PAP)]],[1]Sheet1!$A:$AO,19,FALSE)</f>
        <v>N/A</v>
      </c>
      <c r="T186" s="576">
        <f>VLOOKUP(Complete[[#This Row],[Code
(PAP)]],[1]Sheet1!$A:$AO,20,FALSE)</f>
        <v>45390</v>
      </c>
      <c r="U186" s="576">
        <f>VLOOKUP(Complete[[#This Row],[Code
(PAP)]],[1]Sheet1!$A:$AO,21,FALSE)</f>
        <v>45397</v>
      </c>
      <c r="V186" s="387"/>
      <c r="W186" s="387"/>
      <c r="X186" s="392">
        <f>VLOOKUP(Complete[[#This Row],[Code
(PAP)]],[1]Sheet1!$A:$AO,24,FALSE)</f>
        <v>45406</v>
      </c>
      <c r="Y186" s="392">
        <f>Complete[[#This Row],[Delivery/ Completion]]</f>
        <v>45406</v>
      </c>
      <c r="Z186" s="610" t="s">
        <v>1478</v>
      </c>
      <c r="AA186" s="462">
        <f>Complete[[#This Row],[MOOE]]+Complete[[#This Row],[CO]]</f>
        <v>4510</v>
      </c>
      <c r="AB186" s="466">
        <v>4510</v>
      </c>
      <c r="AC186" s="497"/>
      <c r="AD186" s="498">
        <f>IF(Complete[[#This Row],[Procurement Project]]="","",SUM(Complete[[#This Row],[MOOE2]]+Complete[[#This Row],[CO3]]))</f>
        <v>4510</v>
      </c>
      <c r="AE186" s="501">
        <v>4510</v>
      </c>
      <c r="AF186" s="541"/>
      <c r="AG186" s="400"/>
      <c r="AH186" s="380" t="s">
        <v>1205</v>
      </c>
      <c r="AI186" s="576" t="str">
        <f>VLOOKUP(Complete[[#This Row],[Code
(PAP)]],[1]Sheet1!$A:$AO,35,FALSE)</f>
        <v>N/A</v>
      </c>
      <c r="AJ186" s="576" t="str">
        <f>VLOOKUP(Complete[[#This Row],[Code
(PAP)]],[1]Sheet1!$A:$AO,36,FALSE)</f>
        <v>N/A</v>
      </c>
      <c r="AK186" s="576" t="str">
        <f>VLOOKUP(Complete[[#This Row],[Code
(PAP)]],[1]Sheet1!$A:$AO,37,FALSE)</f>
        <v>N/A</v>
      </c>
      <c r="AL186" s="576" t="str">
        <f>VLOOKUP(Complete[[#This Row],[Code
(PAP)]],[1]Sheet1!$A:$AO,38,FALSE)</f>
        <v>N/A</v>
      </c>
      <c r="AM186" s="576" t="str">
        <f>VLOOKUP(Complete[[#This Row],[Code
(PAP)]],[1]Sheet1!$A:$AO,38,FALSE)</f>
        <v>N/A</v>
      </c>
      <c r="AN186" s="595" t="s">
        <v>713</v>
      </c>
      <c r="AO186" s="303" t="s">
        <v>139</v>
      </c>
      <c r="AP186" s="389"/>
      <c r="AQ186" s="389"/>
    </row>
    <row r="187" spans="1:43" s="224" customFormat="1" ht="75" customHeight="1" x14ac:dyDescent="0.25">
      <c r="A187" s="385" t="s">
        <v>365</v>
      </c>
      <c r="B187" s="406" t="str">
        <f>VLOOKUP(Complete[[#This Row],[Code
(PAP)]],[1]Sheet1!$A:$AO,2,FALSE)</f>
        <v>FURNITURE &amp; FIXTURES</v>
      </c>
      <c r="C187" s="408" t="str">
        <f>VLOOKUP(Complete[[#This Row],[Code
(PAP)]],[1]Sheet1!$A:$AO,3,FALSE)</f>
        <v>SPO</v>
      </c>
      <c r="D187" s="380" t="s">
        <v>712</v>
      </c>
      <c r="E187" s="409" t="str">
        <f>VLOOKUP(Complete[[#This Row],[Code
(PAP)]],[2]Sheet1!$A:$AO,5,FALSE)</f>
        <v>NP-53.9 - Small Value Procurement</v>
      </c>
      <c r="F187" s="393" t="str">
        <f>VLOOKUP(Complete[[#This Row],[Code
(PAP)]],[1]Sheet1!$A:$AO,6,FALSE)</f>
        <v>N/A</v>
      </c>
      <c r="G187" s="393">
        <f>VLOOKUP(Complete[[#This Row],[Code
(PAP)]],[1]Sheet1!$A:$AO,7,FALSE)</f>
        <v>45344</v>
      </c>
      <c r="H187" s="374"/>
      <c r="I187" s="394" t="str">
        <f>VLOOKUP(Complete[[#This Row],[Code
(PAP)]],[1]Sheet1!$A:$AO,9,FALSE)</f>
        <v>N/A</v>
      </c>
      <c r="J187" s="393">
        <f>VLOOKUP(Complete[[#This Row],[Code
(PAP)]],[1]Sheet1!$A:$AO,10,FALSE)</f>
        <v>45370</v>
      </c>
      <c r="K187" s="393">
        <f>VLOOKUP(Complete[[#This Row],[Code
(PAP)]],[1]Sheet1!$A:$AO,11,FALSE)</f>
        <v>45370</v>
      </c>
      <c r="L187" s="387"/>
      <c r="M187" s="393" t="str">
        <f>VLOOKUP(Complete[[#This Row],[Code
(PAP)]],[1]Sheet1!$A:$AO,13,FALSE)</f>
        <v>N/A</v>
      </c>
      <c r="N187" s="393" t="str">
        <f>VLOOKUP(Complete[[#This Row],[Code
(PAP)]],[1]Sheet1!$A:$AO,14,FALSE)</f>
        <v>N/A</v>
      </c>
      <c r="O187" s="393">
        <f>VLOOKUP(Complete[[#This Row],[Code
(PAP)]],[1]Sheet1!$A:$AO,15,FALSE)</f>
        <v>45372</v>
      </c>
      <c r="P187" s="387"/>
      <c r="Q187" s="387"/>
      <c r="R187" s="387"/>
      <c r="S187" s="576" t="str">
        <f>VLOOKUP(Complete[[#This Row],[Code
(PAP)]],[1]Sheet1!$A:$AO,19,FALSE)</f>
        <v>N/A</v>
      </c>
      <c r="T187" s="576">
        <f>VLOOKUP(Complete[[#This Row],[Code
(PAP)]],[1]Sheet1!$A:$AO,20,FALSE)</f>
        <v>45439</v>
      </c>
      <c r="U187" s="576">
        <f>VLOOKUP(Complete[[#This Row],[Code
(PAP)]],[1]Sheet1!$A:$AO,21,FALSE)</f>
        <v>45446</v>
      </c>
      <c r="V187" s="387"/>
      <c r="W187" s="387"/>
      <c r="X187" s="392">
        <f>VLOOKUP(Complete[[#This Row],[Code
(PAP)]],[1]Sheet1!$A:$AO,24,FALSE)</f>
        <v>45449</v>
      </c>
      <c r="Y187" s="392">
        <f>Complete[[#This Row],[Delivery/ Completion]]</f>
        <v>45449</v>
      </c>
      <c r="Z187" s="610" t="s">
        <v>1478</v>
      </c>
      <c r="AA187" s="462">
        <f>Complete[[#This Row],[MOOE]]+Complete[[#This Row],[CO]]</f>
        <v>7000</v>
      </c>
      <c r="AB187" s="466">
        <v>7000</v>
      </c>
      <c r="AC187" s="497"/>
      <c r="AD187" s="498">
        <f>IF(Complete[[#This Row],[Procurement Project]]="","",SUM(Complete[[#This Row],[MOOE2]]+Complete[[#This Row],[CO3]]))</f>
        <v>7000</v>
      </c>
      <c r="AE187" s="501">
        <v>7000</v>
      </c>
      <c r="AF187" s="541"/>
      <c r="AG187" s="400"/>
      <c r="AH187" s="380" t="s">
        <v>1205</v>
      </c>
      <c r="AI187" s="576" t="str">
        <f>VLOOKUP(Complete[[#This Row],[Code
(PAP)]],[1]Sheet1!$A:$AO,35,FALSE)</f>
        <v>N/A</v>
      </c>
      <c r="AJ187" s="576" t="str">
        <f>VLOOKUP(Complete[[#This Row],[Code
(PAP)]],[1]Sheet1!$A:$AO,36,FALSE)</f>
        <v>N/A</v>
      </c>
      <c r="AK187" s="576" t="str">
        <f>VLOOKUP(Complete[[#This Row],[Code
(PAP)]],[1]Sheet1!$A:$AO,37,FALSE)</f>
        <v>N/A</v>
      </c>
      <c r="AL187" s="576" t="str">
        <f>VLOOKUP(Complete[[#This Row],[Code
(PAP)]],[1]Sheet1!$A:$AO,38,FALSE)</f>
        <v>N/A</v>
      </c>
      <c r="AM187" s="576" t="str">
        <f>VLOOKUP(Complete[[#This Row],[Code
(PAP)]],[1]Sheet1!$A:$AO,38,FALSE)</f>
        <v>N/A</v>
      </c>
      <c r="AN187" s="595" t="s">
        <v>713</v>
      </c>
      <c r="AO187" s="303" t="s">
        <v>139</v>
      </c>
      <c r="AP187" s="389"/>
      <c r="AQ187" s="389"/>
    </row>
    <row r="188" spans="1:43" s="224" customFormat="1" ht="75" customHeight="1" x14ac:dyDescent="0.25">
      <c r="A188" s="385" t="s">
        <v>366</v>
      </c>
      <c r="B188" s="406" t="str">
        <f>VLOOKUP(Complete[[#This Row],[Code
(PAP)]],[1]Sheet1!$A:$AO,2,FALSE)</f>
        <v>CONSTRUCTION SUPPLIES</v>
      </c>
      <c r="C188" s="408" t="str">
        <f>VLOOKUP(Complete[[#This Row],[Code
(PAP)]],[1]Sheet1!$A:$AO,3,FALSE)</f>
        <v>PDRRMO</v>
      </c>
      <c r="D188" s="380" t="s">
        <v>712</v>
      </c>
      <c r="E188" s="409" t="str">
        <f>VLOOKUP(Complete[[#This Row],[Code
(PAP)]],[2]Sheet1!$A:$AO,5,FALSE)</f>
        <v>NP-53.9 - Small Value Procurement</v>
      </c>
      <c r="F188" s="393" t="str">
        <f>VLOOKUP(Complete[[#This Row],[Code
(PAP)]],[1]Sheet1!$A:$AO,6,FALSE)</f>
        <v>N/A</v>
      </c>
      <c r="G188" s="393">
        <f>VLOOKUP(Complete[[#This Row],[Code
(PAP)]],[1]Sheet1!$A:$AO,7,FALSE)</f>
        <v>45352</v>
      </c>
      <c r="H188" s="374"/>
      <c r="I188" s="394" t="str">
        <f>VLOOKUP(Complete[[#This Row],[Code
(PAP)]],[1]Sheet1!$A:$AO,9,FALSE)</f>
        <v>N/A</v>
      </c>
      <c r="J188" s="393">
        <f>VLOOKUP(Complete[[#This Row],[Code
(PAP)]],[1]Sheet1!$A:$AO,10,FALSE)</f>
        <v>45370</v>
      </c>
      <c r="K188" s="393">
        <f>VLOOKUP(Complete[[#This Row],[Code
(PAP)]],[1]Sheet1!$A:$AO,11,FALSE)</f>
        <v>45370</v>
      </c>
      <c r="L188" s="387"/>
      <c r="M188" s="393" t="str">
        <f>VLOOKUP(Complete[[#This Row],[Code
(PAP)]],[1]Sheet1!$A:$AO,13,FALSE)</f>
        <v>N/A</v>
      </c>
      <c r="N188" s="393" t="str">
        <f>VLOOKUP(Complete[[#This Row],[Code
(PAP)]],[1]Sheet1!$A:$AO,14,FALSE)</f>
        <v>N/A</v>
      </c>
      <c r="O188" s="393">
        <f>VLOOKUP(Complete[[#This Row],[Code
(PAP)]],[1]Sheet1!$A:$AO,15,FALSE)</f>
        <v>45372</v>
      </c>
      <c r="P188" s="387"/>
      <c r="Q188" s="387"/>
      <c r="R188" s="387"/>
      <c r="S188" s="576" t="str">
        <f>VLOOKUP(Complete[[#This Row],[Code
(PAP)]],[1]Sheet1!$A:$AO,19,FALSE)</f>
        <v>N/A</v>
      </c>
      <c r="T188" s="576">
        <f>VLOOKUP(Complete[[#This Row],[Code
(PAP)]],[1]Sheet1!$A:$AO,20,FALSE)</f>
        <v>45386</v>
      </c>
      <c r="U188" s="576">
        <f>VLOOKUP(Complete[[#This Row],[Code
(PAP)]],[1]Sheet1!$A:$AO,21,FALSE)</f>
        <v>45397</v>
      </c>
      <c r="V188" s="387"/>
      <c r="W188" s="387"/>
      <c r="X188" s="392">
        <f>VLOOKUP(Complete[[#This Row],[Code
(PAP)]],[1]Sheet1!$A:$AO,24,FALSE)</f>
        <v>45441</v>
      </c>
      <c r="Y188" s="392">
        <f>Complete[[#This Row],[Delivery/ Completion]]</f>
        <v>45441</v>
      </c>
      <c r="Z188" s="610" t="s">
        <v>1478</v>
      </c>
      <c r="AA188" s="462">
        <f>Complete[[#This Row],[MOOE]]+Complete[[#This Row],[CO]]</f>
        <v>35950</v>
      </c>
      <c r="AB188" s="466"/>
      <c r="AC188" s="497">
        <v>35950</v>
      </c>
      <c r="AD188" s="498">
        <f>IF(Complete[[#This Row],[Procurement Project]]="","",SUM(Complete[[#This Row],[MOOE2]]+Complete[[#This Row],[CO3]]))</f>
        <v>35890</v>
      </c>
      <c r="AE188" s="501"/>
      <c r="AF188" s="541">
        <v>35890</v>
      </c>
      <c r="AG188" s="400"/>
      <c r="AH188" s="380" t="s">
        <v>1205</v>
      </c>
      <c r="AI188" s="576" t="str">
        <f>VLOOKUP(Complete[[#This Row],[Code
(PAP)]],[1]Sheet1!$A:$AO,35,FALSE)</f>
        <v>N/A</v>
      </c>
      <c r="AJ188" s="576" t="str">
        <f>VLOOKUP(Complete[[#This Row],[Code
(PAP)]],[1]Sheet1!$A:$AO,36,FALSE)</f>
        <v>N/A</v>
      </c>
      <c r="AK188" s="576" t="str">
        <f>VLOOKUP(Complete[[#This Row],[Code
(PAP)]],[1]Sheet1!$A:$AO,37,FALSE)</f>
        <v>N/A</v>
      </c>
      <c r="AL188" s="576" t="str">
        <f>VLOOKUP(Complete[[#This Row],[Code
(PAP)]],[1]Sheet1!$A:$AO,38,FALSE)</f>
        <v>N/A</v>
      </c>
      <c r="AM188" s="576" t="str">
        <f>VLOOKUP(Complete[[#This Row],[Code
(PAP)]],[1]Sheet1!$A:$AO,38,FALSE)</f>
        <v>N/A</v>
      </c>
      <c r="AN188" s="595" t="s">
        <v>713</v>
      </c>
      <c r="AO188" s="303" t="s">
        <v>139</v>
      </c>
      <c r="AP188" s="389"/>
      <c r="AQ188" s="389"/>
    </row>
    <row r="189" spans="1:43" s="224" customFormat="1" ht="75" customHeight="1" x14ac:dyDescent="0.25">
      <c r="A189" s="385" t="s">
        <v>367</v>
      </c>
      <c r="B189" s="406" t="str">
        <f>VLOOKUP(Complete[[#This Row],[Code
(PAP)]],[1]Sheet1!$A:$AO,2,FALSE)</f>
        <v>SAFETY GEARS</v>
      </c>
      <c r="C189" s="408" t="str">
        <f>VLOOKUP(Complete[[#This Row],[Code
(PAP)]],[1]Sheet1!$A:$AO,3,FALSE)</f>
        <v>PDRRMO</v>
      </c>
      <c r="D189" s="380" t="s">
        <v>712</v>
      </c>
      <c r="E189" s="409" t="str">
        <f>VLOOKUP(Complete[[#This Row],[Code
(PAP)]],[2]Sheet1!$A:$AO,5,FALSE)</f>
        <v>NP-53.9 - Small Value Procurement</v>
      </c>
      <c r="F189" s="393" t="str">
        <f>VLOOKUP(Complete[[#This Row],[Code
(PAP)]],[1]Sheet1!$A:$AO,6,FALSE)</f>
        <v>N/A</v>
      </c>
      <c r="G189" s="393">
        <f>VLOOKUP(Complete[[#This Row],[Code
(PAP)]],[1]Sheet1!$A:$AO,7,FALSE)</f>
        <v>45352</v>
      </c>
      <c r="H189" s="374"/>
      <c r="I189" s="394" t="str">
        <f>VLOOKUP(Complete[[#This Row],[Code
(PAP)]],[1]Sheet1!$A:$AO,9,FALSE)</f>
        <v>N/A</v>
      </c>
      <c r="J189" s="393">
        <f>VLOOKUP(Complete[[#This Row],[Code
(PAP)]],[1]Sheet1!$A:$AO,10,FALSE)</f>
        <v>45370</v>
      </c>
      <c r="K189" s="393">
        <f>VLOOKUP(Complete[[#This Row],[Code
(PAP)]],[1]Sheet1!$A:$AO,11,FALSE)</f>
        <v>45370</v>
      </c>
      <c r="L189" s="387"/>
      <c r="M189" s="393" t="str">
        <f>VLOOKUP(Complete[[#This Row],[Code
(PAP)]],[1]Sheet1!$A:$AO,13,FALSE)</f>
        <v>N/A</v>
      </c>
      <c r="N189" s="393" t="str">
        <f>VLOOKUP(Complete[[#This Row],[Code
(PAP)]],[1]Sheet1!$A:$AO,14,FALSE)</f>
        <v>N/A</v>
      </c>
      <c r="O189" s="393">
        <f>VLOOKUP(Complete[[#This Row],[Code
(PAP)]],[1]Sheet1!$A:$AO,15,FALSE)</f>
        <v>45372</v>
      </c>
      <c r="P189" s="387"/>
      <c r="Q189" s="387"/>
      <c r="R189" s="387"/>
      <c r="S189" s="576" t="str">
        <f>VLOOKUP(Complete[[#This Row],[Code
(PAP)]],[1]Sheet1!$A:$AO,19,FALSE)</f>
        <v>N/A</v>
      </c>
      <c r="T189" s="576">
        <f>VLOOKUP(Complete[[#This Row],[Code
(PAP)]],[1]Sheet1!$A:$AO,20,FALSE)</f>
        <v>45386</v>
      </c>
      <c r="U189" s="576">
        <f>VLOOKUP(Complete[[#This Row],[Code
(PAP)]],[1]Sheet1!$A:$AO,21,FALSE)</f>
        <v>45394</v>
      </c>
      <c r="V189" s="387"/>
      <c r="W189" s="387"/>
      <c r="X189" s="392">
        <f>VLOOKUP(Complete[[#This Row],[Code
(PAP)]],[1]Sheet1!$A:$AO,24,FALSE)</f>
        <v>45426</v>
      </c>
      <c r="Y189" s="392">
        <f>Complete[[#This Row],[Delivery/ Completion]]</f>
        <v>45426</v>
      </c>
      <c r="Z189" s="610" t="s">
        <v>1478</v>
      </c>
      <c r="AA189" s="462">
        <f>Complete[[#This Row],[MOOE]]+Complete[[#This Row],[CO]]</f>
        <v>40490</v>
      </c>
      <c r="AB189" s="466"/>
      <c r="AC189" s="497">
        <v>40490</v>
      </c>
      <c r="AD189" s="498">
        <f>IF(Complete[[#This Row],[Procurement Project]]="","",SUM(Complete[[#This Row],[MOOE2]]+Complete[[#This Row],[CO3]]))</f>
        <v>40432</v>
      </c>
      <c r="AE189" s="501"/>
      <c r="AF189" s="541">
        <v>40432</v>
      </c>
      <c r="AG189" s="400"/>
      <c r="AH189" s="380" t="s">
        <v>1205</v>
      </c>
      <c r="AI189" s="576" t="str">
        <f>VLOOKUP(Complete[[#This Row],[Code
(PAP)]],[1]Sheet1!$A:$AO,35,FALSE)</f>
        <v>N/A</v>
      </c>
      <c r="AJ189" s="576" t="str">
        <f>VLOOKUP(Complete[[#This Row],[Code
(PAP)]],[1]Sheet1!$A:$AO,36,FALSE)</f>
        <v>N/A</v>
      </c>
      <c r="AK189" s="576" t="str">
        <f>VLOOKUP(Complete[[#This Row],[Code
(PAP)]],[1]Sheet1!$A:$AO,37,FALSE)</f>
        <v>N/A</v>
      </c>
      <c r="AL189" s="576" t="str">
        <f>VLOOKUP(Complete[[#This Row],[Code
(PAP)]],[1]Sheet1!$A:$AO,38,FALSE)</f>
        <v>N/A</v>
      </c>
      <c r="AM189" s="576" t="str">
        <f>VLOOKUP(Complete[[#This Row],[Code
(PAP)]],[1]Sheet1!$A:$AO,38,FALSE)</f>
        <v>N/A</v>
      </c>
      <c r="AN189" s="595" t="s">
        <v>713</v>
      </c>
      <c r="AO189" s="303" t="s">
        <v>139</v>
      </c>
      <c r="AP189" s="389"/>
      <c r="AQ189" s="389"/>
    </row>
    <row r="190" spans="1:43" s="224" customFormat="1" ht="75" customHeight="1" x14ac:dyDescent="0.25">
      <c r="A190" s="385" t="s">
        <v>368</v>
      </c>
      <c r="B190" s="406" t="str">
        <f>VLOOKUP(Complete[[#This Row],[Code
(PAP)]],[1]Sheet1!$A:$AO,2,FALSE)</f>
        <v>LABORATORY SUPPLIES</v>
      </c>
      <c r="C190" s="408" t="str">
        <f>VLOOKUP(Complete[[#This Row],[Code
(PAP)]],[1]Sheet1!$A:$AO,3,FALSE)</f>
        <v>PDRRMO</v>
      </c>
      <c r="D190" s="380" t="s">
        <v>712</v>
      </c>
      <c r="E190" s="409" t="str">
        <f>VLOOKUP(Complete[[#This Row],[Code
(PAP)]],[2]Sheet1!$A:$AO,5,FALSE)</f>
        <v>NP-53.9 - Small Value Procurement</v>
      </c>
      <c r="F190" s="393" t="str">
        <f>VLOOKUP(Complete[[#This Row],[Code
(PAP)]],[1]Sheet1!$A:$AO,6,FALSE)</f>
        <v>N/A</v>
      </c>
      <c r="G190" s="393">
        <f>VLOOKUP(Complete[[#This Row],[Code
(PAP)]],[1]Sheet1!$A:$AO,7,FALSE)</f>
        <v>45352</v>
      </c>
      <c r="H190" s="374"/>
      <c r="I190" s="394" t="str">
        <f>VLOOKUP(Complete[[#This Row],[Code
(PAP)]],[1]Sheet1!$A:$AO,9,FALSE)</f>
        <v>N/A</v>
      </c>
      <c r="J190" s="393">
        <f>VLOOKUP(Complete[[#This Row],[Code
(PAP)]],[1]Sheet1!$A:$AO,10,FALSE)</f>
        <v>45370</v>
      </c>
      <c r="K190" s="393">
        <f>VLOOKUP(Complete[[#This Row],[Code
(PAP)]],[1]Sheet1!$A:$AO,11,FALSE)</f>
        <v>45370</v>
      </c>
      <c r="L190" s="387"/>
      <c r="M190" s="393" t="str">
        <f>VLOOKUP(Complete[[#This Row],[Code
(PAP)]],[1]Sheet1!$A:$AO,13,FALSE)</f>
        <v>N/A</v>
      </c>
      <c r="N190" s="393" t="str">
        <f>VLOOKUP(Complete[[#This Row],[Code
(PAP)]],[1]Sheet1!$A:$AO,14,FALSE)</f>
        <v>N/A</v>
      </c>
      <c r="O190" s="393">
        <f>VLOOKUP(Complete[[#This Row],[Code
(PAP)]],[1]Sheet1!$A:$AO,15,FALSE)</f>
        <v>45372</v>
      </c>
      <c r="P190" s="387"/>
      <c r="Q190" s="387"/>
      <c r="R190" s="387"/>
      <c r="S190" s="576" t="str">
        <f>VLOOKUP(Complete[[#This Row],[Code
(PAP)]],[1]Sheet1!$A:$AO,19,FALSE)</f>
        <v>N/A</v>
      </c>
      <c r="T190" s="576">
        <f>VLOOKUP(Complete[[#This Row],[Code
(PAP)]],[1]Sheet1!$A:$AO,20,FALSE)</f>
        <v>45386</v>
      </c>
      <c r="U190" s="576">
        <f>VLOOKUP(Complete[[#This Row],[Code
(PAP)]],[1]Sheet1!$A:$AO,21,FALSE)</f>
        <v>45394</v>
      </c>
      <c r="V190" s="387"/>
      <c r="W190" s="387"/>
      <c r="X190" s="392">
        <f>VLOOKUP(Complete[[#This Row],[Code
(PAP)]],[1]Sheet1!$A:$AO,24,FALSE)</f>
        <v>45426</v>
      </c>
      <c r="Y190" s="392">
        <f>Complete[[#This Row],[Delivery/ Completion]]</f>
        <v>45426</v>
      </c>
      <c r="Z190" s="610" t="s">
        <v>1478</v>
      </c>
      <c r="AA190" s="462">
        <f>Complete[[#This Row],[MOOE]]+Complete[[#This Row],[CO]]</f>
        <v>10200</v>
      </c>
      <c r="AB190" s="466"/>
      <c r="AC190" s="497">
        <v>10200</v>
      </c>
      <c r="AD190" s="498">
        <f>IF(Complete[[#This Row],[Procurement Project]]="","",SUM(Complete[[#This Row],[MOOE2]]+Complete[[#This Row],[CO3]]))</f>
        <v>10183</v>
      </c>
      <c r="AE190" s="501"/>
      <c r="AF190" s="541">
        <v>10183</v>
      </c>
      <c r="AG190" s="400"/>
      <c r="AH190" s="380" t="s">
        <v>1205</v>
      </c>
      <c r="AI190" s="576" t="str">
        <f>VLOOKUP(Complete[[#This Row],[Code
(PAP)]],[1]Sheet1!$A:$AO,35,FALSE)</f>
        <v>N/A</v>
      </c>
      <c r="AJ190" s="576" t="str">
        <f>VLOOKUP(Complete[[#This Row],[Code
(PAP)]],[1]Sheet1!$A:$AO,36,FALSE)</f>
        <v>N/A</v>
      </c>
      <c r="AK190" s="576" t="str">
        <f>VLOOKUP(Complete[[#This Row],[Code
(PAP)]],[1]Sheet1!$A:$AO,37,FALSE)</f>
        <v>N/A</v>
      </c>
      <c r="AL190" s="576" t="str">
        <f>VLOOKUP(Complete[[#This Row],[Code
(PAP)]],[1]Sheet1!$A:$AO,38,FALSE)</f>
        <v>N/A</v>
      </c>
      <c r="AM190" s="576" t="str">
        <f>VLOOKUP(Complete[[#This Row],[Code
(PAP)]],[1]Sheet1!$A:$AO,38,FALSE)</f>
        <v>N/A</v>
      </c>
      <c r="AN190" s="595" t="s">
        <v>713</v>
      </c>
      <c r="AO190" s="303" t="s">
        <v>139</v>
      </c>
      <c r="AP190" s="389"/>
      <c r="AQ190" s="389"/>
    </row>
    <row r="191" spans="1:43" s="224" customFormat="1" ht="75" customHeight="1" x14ac:dyDescent="0.25">
      <c r="A191" s="385" t="s">
        <v>369</v>
      </c>
      <c r="B191" s="406" t="str">
        <f>VLOOKUP(Complete[[#This Row],[Code
(PAP)]],[1]Sheet1!$A:$AO,2,FALSE)</f>
        <v>SAFETY GEARS &amp; EQUIPMENT</v>
      </c>
      <c r="C191" s="408" t="str">
        <f>VLOOKUP(Complete[[#This Row],[Code
(PAP)]],[1]Sheet1!$A:$AO,3,FALSE)</f>
        <v>PTO</v>
      </c>
      <c r="D191" s="380" t="s">
        <v>712</v>
      </c>
      <c r="E191" s="409" t="str">
        <f>VLOOKUP(Complete[[#This Row],[Code
(PAP)]],[2]Sheet1!$A:$AO,5,FALSE)</f>
        <v>NP-53.9 - Small Value Procurement</v>
      </c>
      <c r="F191" s="393" t="str">
        <f>VLOOKUP(Complete[[#This Row],[Code
(PAP)]],[1]Sheet1!$A:$AO,6,FALSE)</f>
        <v>N/A</v>
      </c>
      <c r="G191" s="393">
        <f>VLOOKUP(Complete[[#This Row],[Code
(PAP)]],[1]Sheet1!$A:$AO,7,FALSE)</f>
        <v>45352</v>
      </c>
      <c r="H191" s="374"/>
      <c r="I191" s="394" t="str">
        <f>VLOOKUP(Complete[[#This Row],[Code
(PAP)]],[1]Sheet1!$A:$AO,9,FALSE)</f>
        <v>N/A</v>
      </c>
      <c r="J191" s="393">
        <f>VLOOKUP(Complete[[#This Row],[Code
(PAP)]],[1]Sheet1!$A:$AO,10,FALSE)</f>
        <v>45370</v>
      </c>
      <c r="K191" s="393">
        <f>VLOOKUP(Complete[[#This Row],[Code
(PAP)]],[1]Sheet1!$A:$AO,11,FALSE)</f>
        <v>45370</v>
      </c>
      <c r="L191" s="387"/>
      <c r="M191" s="393" t="str">
        <f>VLOOKUP(Complete[[#This Row],[Code
(PAP)]],[1]Sheet1!$A:$AO,13,FALSE)</f>
        <v>N/A</v>
      </c>
      <c r="N191" s="393" t="str">
        <f>VLOOKUP(Complete[[#This Row],[Code
(PAP)]],[1]Sheet1!$A:$AO,14,FALSE)</f>
        <v>N/A</v>
      </c>
      <c r="O191" s="393">
        <f>VLOOKUP(Complete[[#This Row],[Code
(PAP)]],[1]Sheet1!$A:$AO,15,FALSE)</f>
        <v>45372</v>
      </c>
      <c r="P191" s="387"/>
      <c r="Q191" s="387"/>
      <c r="R191" s="387"/>
      <c r="S191" s="576" t="str">
        <f>VLOOKUP(Complete[[#This Row],[Code
(PAP)]],[1]Sheet1!$A:$AO,19,FALSE)</f>
        <v>N/A</v>
      </c>
      <c r="T191" s="576">
        <f>VLOOKUP(Complete[[#This Row],[Code
(PAP)]],[1]Sheet1!$A:$AO,20,FALSE)</f>
        <v>45390</v>
      </c>
      <c r="U191" s="576">
        <f>VLOOKUP(Complete[[#This Row],[Code
(PAP)]],[1]Sheet1!$A:$AO,21,FALSE)</f>
        <v>45394</v>
      </c>
      <c r="V191" s="387"/>
      <c r="W191" s="387"/>
      <c r="X191" s="392">
        <v>45411</v>
      </c>
      <c r="Y191" s="392">
        <f>Complete[[#This Row],[Delivery/ Completion]]</f>
        <v>45411</v>
      </c>
      <c r="Z191" s="610" t="s">
        <v>1478</v>
      </c>
      <c r="AA191" s="462">
        <f>Complete[[#This Row],[MOOE]]+Complete[[#This Row],[CO]]</f>
        <v>18480</v>
      </c>
      <c r="AB191" s="466">
        <v>18480</v>
      </c>
      <c r="AC191" s="497"/>
      <c r="AD191" s="498">
        <f>IF(Complete[[#This Row],[Procurement Project]]="","",SUM(Complete[[#This Row],[MOOE2]]+Complete[[#This Row],[CO3]]))</f>
        <v>18441.5</v>
      </c>
      <c r="AE191" s="501">
        <v>18441.5</v>
      </c>
      <c r="AF191" s="541"/>
      <c r="AG191" s="400"/>
      <c r="AH191" s="380" t="s">
        <v>1205</v>
      </c>
      <c r="AI191" s="576" t="str">
        <f>VLOOKUP(Complete[[#This Row],[Code
(PAP)]],[1]Sheet1!$A:$AO,35,FALSE)</f>
        <v>N/A</v>
      </c>
      <c r="AJ191" s="576" t="str">
        <f>VLOOKUP(Complete[[#This Row],[Code
(PAP)]],[1]Sheet1!$A:$AO,36,FALSE)</f>
        <v>N/A</v>
      </c>
      <c r="AK191" s="576" t="str">
        <f>VLOOKUP(Complete[[#This Row],[Code
(PAP)]],[1]Sheet1!$A:$AO,37,FALSE)</f>
        <v>N/A</v>
      </c>
      <c r="AL191" s="576" t="str">
        <f>VLOOKUP(Complete[[#This Row],[Code
(PAP)]],[1]Sheet1!$A:$AO,38,FALSE)</f>
        <v>N/A</v>
      </c>
      <c r="AM191" s="576" t="str">
        <f>VLOOKUP(Complete[[#This Row],[Code
(PAP)]],[1]Sheet1!$A:$AO,38,FALSE)</f>
        <v>N/A</v>
      </c>
      <c r="AN191" s="595" t="s">
        <v>713</v>
      </c>
      <c r="AO191" s="303" t="s">
        <v>139</v>
      </c>
      <c r="AP191" s="389"/>
      <c r="AQ191" s="389"/>
    </row>
    <row r="192" spans="1:43" s="224" customFormat="1" ht="75" customHeight="1" x14ac:dyDescent="0.25">
      <c r="A192" s="385" t="s">
        <v>370</v>
      </c>
      <c r="B192" s="406" t="str">
        <f>VLOOKUP(Complete[[#This Row],[Code
(PAP)]],[1]Sheet1!$A:$AO,2,FALSE)</f>
        <v>OFFICE EQUIPMENT</v>
      </c>
      <c r="C192" s="408" t="str">
        <f>VLOOKUP(Complete[[#This Row],[Code
(PAP)]],[1]Sheet1!$A:$AO,3,FALSE)</f>
        <v>PAO-ADMIN</v>
      </c>
      <c r="D192" s="380" t="s">
        <v>712</v>
      </c>
      <c r="E192" s="409" t="str">
        <f>VLOOKUP(Complete[[#This Row],[Code
(PAP)]],[2]Sheet1!$A:$AO,5,FALSE)</f>
        <v>NP-53.9 - Small Value Procurement</v>
      </c>
      <c r="F192" s="393" t="str">
        <f>VLOOKUP(Complete[[#This Row],[Code
(PAP)]],[1]Sheet1!$A:$AO,6,FALSE)</f>
        <v>N/A</v>
      </c>
      <c r="G192" s="393">
        <f>VLOOKUP(Complete[[#This Row],[Code
(PAP)]],[1]Sheet1!$A:$AO,7,FALSE)</f>
        <v>45352</v>
      </c>
      <c r="H192" s="374"/>
      <c r="I192" s="394" t="str">
        <f>VLOOKUP(Complete[[#This Row],[Code
(PAP)]],[1]Sheet1!$A:$AO,9,FALSE)</f>
        <v>N/A</v>
      </c>
      <c r="J192" s="393">
        <f>VLOOKUP(Complete[[#This Row],[Code
(PAP)]],[1]Sheet1!$A:$AO,10,FALSE)</f>
        <v>45370</v>
      </c>
      <c r="K192" s="393">
        <f>VLOOKUP(Complete[[#This Row],[Code
(PAP)]],[1]Sheet1!$A:$AO,11,FALSE)</f>
        <v>45370</v>
      </c>
      <c r="L192" s="387"/>
      <c r="M192" s="393" t="str">
        <f>VLOOKUP(Complete[[#This Row],[Code
(PAP)]],[1]Sheet1!$A:$AO,13,FALSE)</f>
        <v>N/A</v>
      </c>
      <c r="N192" s="393" t="str">
        <f>VLOOKUP(Complete[[#This Row],[Code
(PAP)]],[1]Sheet1!$A:$AO,14,FALSE)</f>
        <v>N/A</v>
      </c>
      <c r="O192" s="393">
        <f>VLOOKUP(Complete[[#This Row],[Code
(PAP)]],[1]Sheet1!$A:$AO,15,FALSE)</f>
        <v>45372</v>
      </c>
      <c r="P192" s="387"/>
      <c r="Q192" s="387"/>
      <c r="R192" s="387"/>
      <c r="S192" s="576">
        <f>VLOOKUP(Complete[[#This Row],[Code
(PAP)]],[1]Sheet1!$A:$AO,19,FALSE)</f>
        <v>45378</v>
      </c>
      <c r="T192" s="576">
        <f>VLOOKUP(Complete[[#This Row],[Code
(PAP)]],[1]Sheet1!$A:$AO,20,FALSE)</f>
        <v>45386</v>
      </c>
      <c r="U192" s="576">
        <f>VLOOKUP(Complete[[#This Row],[Code
(PAP)]],[1]Sheet1!$A:$AO,21,FALSE)</f>
        <v>45394</v>
      </c>
      <c r="V192" s="387"/>
      <c r="W192" s="387"/>
      <c r="X192" s="392">
        <v>45418</v>
      </c>
      <c r="Y192" s="392">
        <f>Complete[[#This Row],[Delivery/ Completion]]</f>
        <v>45418</v>
      </c>
      <c r="Z192" s="610" t="s">
        <v>1478</v>
      </c>
      <c r="AA192" s="462">
        <f>Complete[[#This Row],[MOOE]]+Complete[[#This Row],[CO]]</f>
        <v>53790</v>
      </c>
      <c r="AB192" s="466"/>
      <c r="AC192" s="497">
        <v>53790</v>
      </c>
      <c r="AD192" s="498">
        <f>IF(Complete[[#This Row],[Procurement Project]]="","",SUM(Complete[[#This Row],[MOOE2]]+Complete[[#This Row],[CO3]]))</f>
        <v>52989</v>
      </c>
      <c r="AE192" s="501"/>
      <c r="AF192" s="541">
        <v>52989</v>
      </c>
      <c r="AG192" s="400"/>
      <c r="AH192" s="380" t="s">
        <v>1205</v>
      </c>
      <c r="AI192" s="576" t="str">
        <f>VLOOKUP(Complete[[#This Row],[Code
(PAP)]],[1]Sheet1!$A:$AO,35,FALSE)</f>
        <v>N/A</v>
      </c>
      <c r="AJ192" s="576" t="str">
        <f>VLOOKUP(Complete[[#This Row],[Code
(PAP)]],[1]Sheet1!$A:$AO,36,FALSE)</f>
        <v>N/A</v>
      </c>
      <c r="AK192" s="576" t="str">
        <f>VLOOKUP(Complete[[#This Row],[Code
(PAP)]],[1]Sheet1!$A:$AO,37,FALSE)</f>
        <v>N/A</v>
      </c>
      <c r="AL192" s="576" t="str">
        <f>VLOOKUP(Complete[[#This Row],[Code
(PAP)]],[1]Sheet1!$A:$AO,38,FALSE)</f>
        <v>N/A</v>
      </c>
      <c r="AM192" s="576" t="str">
        <f>VLOOKUP(Complete[[#This Row],[Code
(PAP)]],[1]Sheet1!$A:$AO,38,FALSE)</f>
        <v>N/A</v>
      </c>
      <c r="AN192" s="595" t="s">
        <v>713</v>
      </c>
      <c r="AO192" s="303" t="s">
        <v>139</v>
      </c>
      <c r="AP192" s="389"/>
      <c r="AQ192" s="389"/>
    </row>
    <row r="193" spans="1:43" s="224" customFormat="1" ht="75" customHeight="1" x14ac:dyDescent="0.25">
      <c r="A193" s="385" t="s">
        <v>371</v>
      </c>
      <c r="B193" s="406" t="str">
        <f>VLOOKUP(Complete[[#This Row],[Code
(PAP)]],[1]Sheet1!$A:$AO,2,FALSE)</f>
        <v>PRINTERS</v>
      </c>
      <c r="C193" s="408" t="str">
        <f>VLOOKUP(Complete[[#This Row],[Code
(PAP)]],[1]Sheet1!$A:$AO,3,FALSE)</f>
        <v>PTO</v>
      </c>
      <c r="D193" s="380" t="s">
        <v>712</v>
      </c>
      <c r="E193" s="409" t="str">
        <f>VLOOKUP(Complete[[#This Row],[Code
(PAP)]],[2]Sheet1!$A:$AO,5,FALSE)</f>
        <v>NP-53.9 - Small Value Procurement</v>
      </c>
      <c r="F193" s="393" t="str">
        <f>VLOOKUP(Complete[[#This Row],[Code
(PAP)]],[1]Sheet1!$A:$AO,6,FALSE)</f>
        <v>N/A</v>
      </c>
      <c r="G193" s="393">
        <f>VLOOKUP(Complete[[#This Row],[Code
(PAP)]],[1]Sheet1!$A:$AO,7,FALSE)</f>
        <v>45352</v>
      </c>
      <c r="H193" s="374"/>
      <c r="I193" s="394" t="str">
        <f>VLOOKUP(Complete[[#This Row],[Code
(PAP)]],[1]Sheet1!$A:$AO,9,FALSE)</f>
        <v>N/A</v>
      </c>
      <c r="J193" s="393">
        <f>VLOOKUP(Complete[[#This Row],[Code
(PAP)]],[1]Sheet1!$A:$AO,10,FALSE)</f>
        <v>45370</v>
      </c>
      <c r="K193" s="393">
        <f>VLOOKUP(Complete[[#This Row],[Code
(PAP)]],[1]Sheet1!$A:$AO,11,FALSE)</f>
        <v>45370</v>
      </c>
      <c r="L193" s="387"/>
      <c r="M193" s="393" t="str">
        <f>VLOOKUP(Complete[[#This Row],[Code
(PAP)]],[1]Sheet1!$A:$AO,13,FALSE)</f>
        <v>N/A</v>
      </c>
      <c r="N193" s="393" t="str">
        <f>VLOOKUP(Complete[[#This Row],[Code
(PAP)]],[1]Sheet1!$A:$AO,14,FALSE)</f>
        <v>N/A</v>
      </c>
      <c r="O193" s="393">
        <f>VLOOKUP(Complete[[#This Row],[Code
(PAP)]],[1]Sheet1!$A:$AO,15,FALSE)</f>
        <v>45372</v>
      </c>
      <c r="P193" s="387"/>
      <c r="Q193" s="387"/>
      <c r="R193" s="387"/>
      <c r="S193" s="576" t="str">
        <f>VLOOKUP(Complete[[#This Row],[Code
(PAP)]],[1]Sheet1!$A:$AO,19,FALSE)</f>
        <v>N/A</v>
      </c>
      <c r="T193" s="576">
        <f>VLOOKUP(Complete[[#This Row],[Code
(PAP)]],[1]Sheet1!$A:$AO,20,FALSE)</f>
        <v>45390</v>
      </c>
      <c r="U193" s="576">
        <f>VLOOKUP(Complete[[#This Row],[Code
(PAP)]],[1]Sheet1!$A:$AO,21,FALSE)</f>
        <v>45394</v>
      </c>
      <c r="V193" s="387"/>
      <c r="W193" s="387"/>
      <c r="X193" s="392">
        <v>45397</v>
      </c>
      <c r="Y193" s="392">
        <f>Complete[[#This Row],[Delivery/ Completion]]</f>
        <v>45397</v>
      </c>
      <c r="Z193" s="610" t="s">
        <v>1478</v>
      </c>
      <c r="AA193" s="462">
        <f>Complete[[#This Row],[MOOE]]+Complete[[#This Row],[CO]]</f>
        <v>14500</v>
      </c>
      <c r="AB193" s="466">
        <v>14500</v>
      </c>
      <c r="AC193" s="497"/>
      <c r="AD193" s="498">
        <f>IF(Complete[[#This Row],[Procurement Project]]="","",SUM(Complete[[#This Row],[MOOE2]]+Complete[[#This Row],[CO3]]))</f>
        <v>14406</v>
      </c>
      <c r="AE193" s="501">
        <v>14406</v>
      </c>
      <c r="AF193" s="541"/>
      <c r="AG193" s="400"/>
      <c r="AH193" s="380" t="s">
        <v>1205</v>
      </c>
      <c r="AI193" s="576" t="str">
        <f>VLOOKUP(Complete[[#This Row],[Code
(PAP)]],[1]Sheet1!$A:$AO,35,FALSE)</f>
        <v>N/A</v>
      </c>
      <c r="AJ193" s="576" t="str">
        <f>VLOOKUP(Complete[[#This Row],[Code
(PAP)]],[1]Sheet1!$A:$AO,36,FALSE)</f>
        <v>N/A</v>
      </c>
      <c r="AK193" s="576" t="str">
        <f>VLOOKUP(Complete[[#This Row],[Code
(PAP)]],[1]Sheet1!$A:$AO,37,FALSE)</f>
        <v>N/A</v>
      </c>
      <c r="AL193" s="576" t="str">
        <f>VLOOKUP(Complete[[#This Row],[Code
(PAP)]],[1]Sheet1!$A:$AO,38,FALSE)</f>
        <v>N/A</v>
      </c>
      <c r="AM193" s="576" t="str">
        <f>VLOOKUP(Complete[[#This Row],[Code
(PAP)]],[1]Sheet1!$A:$AO,38,FALSE)</f>
        <v>N/A</v>
      </c>
      <c r="AN193" s="595" t="s">
        <v>713</v>
      </c>
      <c r="AO193" s="303" t="s">
        <v>139</v>
      </c>
      <c r="AP193" s="389"/>
      <c r="AQ193" s="389"/>
    </row>
    <row r="194" spans="1:43" s="224" customFormat="1" ht="75" customHeight="1" x14ac:dyDescent="0.25">
      <c r="A194" s="385" t="s">
        <v>372</v>
      </c>
      <c r="B194" s="406" t="str">
        <f>VLOOKUP(Complete[[#This Row],[Code
(PAP)]],[1]Sheet1!$A:$AO,2,FALSE)</f>
        <v>TARPAULIN</v>
      </c>
      <c r="C194" s="408" t="str">
        <f>VLOOKUP(Complete[[#This Row],[Code
(PAP)]],[1]Sheet1!$A:$AO,3,FALSE)</f>
        <v>PAO</v>
      </c>
      <c r="D194" s="380" t="s">
        <v>712</v>
      </c>
      <c r="E194" s="409" t="str">
        <f>VLOOKUP(Complete[[#This Row],[Code
(PAP)]],[2]Sheet1!$A:$AO,5,FALSE)</f>
        <v>NP-53.9 - Small Value Procurement</v>
      </c>
      <c r="F194" s="393" t="str">
        <f>VLOOKUP(Complete[[#This Row],[Code
(PAP)]],[1]Sheet1!$A:$AO,6,FALSE)</f>
        <v>N/A</v>
      </c>
      <c r="G194" s="393">
        <f>VLOOKUP(Complete[[#This Row],[Code
(PAP)]],[1]Sheet1!$A:$AO,7,FALSE)</f>
        <v>45352</v>
      </c>
      <c r="H194" s="374"/>
      <c r="I194" s="394" t="str">
        <f>VLOOKUP(Complete[[#This Row],[Code
(PAP)]],[1]Sheet1!$A:$AO,9,FALSE)</f>
        <v>N/A</v>
      </c>
      <c r="J194" s="393">
        <f>VLOOKUP(Complete[[#This Row],[Code
(PAP)]],[1]Sheet1!$A:$AO,10,FALSE)</f>
        <v>45370</v>
      </c>
      <c r="K194" s="393">
        <f>VLOOKUP(Complete[[#This Row],[Code
(PAP)]],[1]Sheet1!$A:$AO,11,FALSE)</f>
        <v>45370</v>
      </c>
      <c r="L194" s="387"/>
      <c r="M194" s="393" t="str">
        <f>VLOOKUP(Complete[[#This Row],[Code
(PAP)]],[1]Sheet1!$A:$AO,13,FALSE)</f>
        <v>N/A</v>
      </c>
      <c r="N194" s="393" t="str">
        <f>VLOOKUP(Complete[[#This Row],[Code
(PAP)]],[1]Sheet1!$A:$AO,14,FALSE)</f>
        <v>N/A</v>
      </c>
      <c r="O194" s="393">
        <f>VLOOKUP(Complete[[#This Row],[Code
(PAP)]],[1]Sheet1!$A:$AO,15,FALSE)</f>
        <v>45372</v>
      </c>
      <c r="P194" s="387"/>
      <c r="Q194" s="387"/>
      <c r="R194" s="387"/>
      <c r="S194" s="576" t="str">
        <f>VLOOKUP(Complete[[#This Row],[Code
(PAP)]],[1]Sheet1!$A:$AO,19,FALSE)</f>
        <v>N/A</v>
      </c>
      <c r="T194" s="576">
        <f>VLOOKUP(Complete[[#This Row],[Code
(PAP)]],[1]Sheet1!$A:$AO,20,FALSE)</f>
        <v>45386</v>
      </c>
      <c r="U194" s="576">
        <f>VLOOKUP(Complete[[#This Row],[Code
(PAP)]],[1]Sheet1!$A:$AO,21,FALSE)</f>
        <v>45394</v>
      </c>
      <c r="V194" s="387"/>
      <c r="W194" s="387"/>
      <c r="X194" s="392">
        <v>45450</v>
      </c>
      <c r="Y194" s="392">
        <f>Complete[[#This Row],[Delivery/ Completion]]</f>
        <v>45450</v>
      </c>
      <c r="Z194" s="610" t="s">
        <v>1478</v>
      </c>
      <c r="AA194" s="462">
        <f>Complete[[#This Row],[MOOE]]+Complete[[#This Row],[CO]]</f>
        <v>9800</v>
      </c>
      <c r="AB194" s="466"/>
      <c r="AC194" s="497">
        <v>9800</v>
      </c>
      <c r="AD194" s="498">
        <f>IF(Complete[[#This Row],[Procurement Project]]="","",SUM(Complete[[#This Row],[MOOE2]]+Complete[[#This Row],[CO3]]))</f>
        <v>9800</v>
      </c>
      <c r="AE194" s="501"/>
      <c r="AF194" s="541">
        <v>9800</v>
      </c>
      <c r="AG194" s="400"/>
      <c r="AH194" s="380" t="s">
        <v>1205</v>
      </c>
      <c r="AI194" s="576" t="str">
        <f>VLOOKUP(Complete[[#This Row],[Code
(PAP)]],[1]Sheet1!$A:$AO,35,FALSE)</f>
        <v>N/A</v>
      </c>
      <c r="AJ194" s="576" t="str">
        <f>VLOOKUP(Complete[[#This Row],[Code
(PAP)]],[1]Sheet1!$A:$AO,36,FALSE)</f>
        <v>N/A</v>
      </c>
      <c r="AK194" s="576" t="str">
        <f>VLOOKUP(Complete[[#This Row],[Code
(PAP)]],[1]Sheet1!$A:$AO,37,FALSE)</f>
        <v>N/A</v>
      </c>
      <c r="AL194" s="576" t="str">
        <f>VLOOKUP(Complete[[#This Row],[Code
(PAP)]],[1]Sheet1!$A:$AO,38,FALSE)</f>
        <v>N/A</v>
      </c>
      <c r="AM194" s="576" t="str">
        <f>VLOOKUP(Complete[[#This Row],[Code
(PAP)]],[1]Sheet1!$A:$AO,38,FALSE)</f>
        <v>N/A</v>
      </c>
      <c r="AN194" s="595" t="s">
        <v>713</v>
      </c>
      <c r="AO194" s="303" t="s">
        <v>139</v>
      </c>
      <c r="AP194" s="389"/>
      <c r="AQ194" s="389"/>
    </row>
    <row r="195" spans="1:43" s="224" customFormat="1" ht="75" customHeight="1" x14ac:dyDescent="0.25">
      <c r="A195" s="385" t="s">
        <v>373</v>
      </c>
      <c r="B195" s="406" t="str">
        <f>VLOOKUP(Complete[[#This Row],[Code
(PAP)]],[1]Sheet1!$A:$AO,2,FALSE)</f>
        <v>FOOD/CATERING SERVICES</v>
      </c>
      <c r="C195" s="408" t="str">
        <f>VLOOKUP(Complete[[#This Row],[Code
(PAP)]],[1]Sheet1!$A:$AO,3,FALSE)</f>
        <v>PAO-ADMIN</v>
      </c>
      <c r="D195" s="380" t="s">
        <v>712</v>
      </c>
      <c r="E195" s="409" t="str">
        <f>VLOOKUP(Complete[[#This Row],[Code
(PAP)]],[2]Sheet1!$A:$AO,5,FALSE)</f>
        <v>NP-53.9 - Small Value Procurement</v>
      </c>
      <c r="F195" s="393" t="str">
        <f>VLOOKUP(Complete[[#This Row],[Code
(PAP)]],[1]Sheet1!$A:$AO,6,FALSE)</f>
        <v>N/A</v>
      </c>
      <c r="G195" s="393">
        <f>VLOOKUP(Complete[[#This Row],[Code
(PAP)]],[1]Sheet1!$A:$AO,7,FALSE)</f>
        <v>45352</v>
      </c>
      <c r="H195" s="374"/>
      <c r="I195" s="394" t="str">
        <f>VLOOKUP(Complete[[#This Row],[Code
(PAP)]],[1]Sheet1!$A:$AO,9,FALSE)</f>
        <v>N/A</v>
      </c>
      <c r="J195" s="393">
        <f>VLOOKUP(Complete[[#This Row],[Code
(PAP)]],[1]Sheet1!$A:$AO,10,FALSE)</f>
        <v>45370</v>
      </c>
      <c r="K195" s="393">
        <f>VLOOKUP(Complete[[#This Row],[Code
(PAP)]],[1]Sheet1!$A:$AO,11,FALSE)</f>
        <v>45370</v>
      </c>
      <c r="L195" s="387"/>
      <c r="M195" s="393" t="str">
        <f>VLOOKUP(Complete[[#This Row],[Code
(PAP)]],[1]Sheet1!$A:$AO,13,FALSE)</f>
        <v>N/A</v>
      </c>
      <c r="N195" s="393" t="str">
        <f>VLOOKUP(Complete[[#This Row],[Code
(PAP)]],[1]Sheet1!$A:$AO,14,FALSE)</f>
        <v>N/A</v>
      </c>
      <c r="O195" s="393">
        <f>VLOOKUP(Complete[[#This Row],[Code
(PAP)]],[1]Sheet1!$A:$AO,15,FALSE)</f>
        <v>45372</v>
      </c>
      <c r="P195" s="387"/>
      <c r="Q195" s="387"/>
      <c r="R195" s="387"/>
      <c r="S195" s="576">
        <f>VLOOKUP(Complete[[#This Row],[Code
(PAP)]],[1]Sheet1!$A:$AO,19,FALSE)</f>
        <v>45376</v>
      </c>
      <c r="T195" s="576">
        <f>VLOOKUP(Complete[[#This Row],[Code
(PAP)]],[1]Sheet1!$A:$AO,20,FALSE)</f>
        <v>45386</v>
      </c>
      <c r="U195" s="576">
        <f>VLOOKUP(Complete[[#This Row],[Code
(PAP)]],[1]Sheet1!$A:$AO,21,FALSE)</f>
        <v>45398</v>
      </c>
      <c r="V195" s="387"/>
      <c r="W195" s="387"/>
      <c r="X195" s="392">
        <v>45454</v>
      </c>
      <c r="Y195" s="392">
        <f>Complete[[#This Row],[Delivery/ Completion]]</f>
        <v>45454</v>
      </c>
      <c r="Z195" s="610" t="s">
        <v>1478</v>
      </c>
      <c r="AA195" s="462">
        <f>Complete[[#This Row],[MOOE]]+Complete[[#This Row],[CO]]</f>
        <v>100000</v>
      </c>
      <c r="AB195" s="466"/>
      <c r="AC195" s="497">
        <v>100000</v>
      </c>
      <c r="AD195" s="498">
        <f>IF(Complete[[#This Row],[Procurement Project]]="","",SUM(Complete[[#This Row],[MOOE2]]+Complete[[#This Row],[CO3]]))</f>
        <v>97200</v>
      </c>
      <c r="AE195" s="501"/>
      <c r="AF195" s="541">
        <v>97200</v>
      </c>
      <c r="AG195" s="400"/>
      <c r="AH195" s="380" t="s">
        <v>1205</v>
      </c>
      <c r="AI195" s="576" t="str">
        <f>VLOOKUP(Complete[[#This Row],[Code
(PAP)]],[1]Sheet1!$A:$AO,35,FALSE)</f>
        <v>N/A</v>
      </c>
      <c r="AJ195" s="576" t="str">
        <f>VLOOKUP(Complete[[#This Row],[Code
(PAP)]],[1]Sheet1!$A:$AO,36,FALSE)</f>
        <v>N/A</v>
      </c>
      <c r="AK195" s="576" t="str">
        <f>VLOOKUP(Complete[[#This Row],[Code
(PAP)]],[1]Sheet1!$A:$AO,37,FALSE)</f>
        <v>N/A</v>
      </c>
      <c r="AL195" s="576" t="str">
        <f>VLOOKUP(Complete[[#This Row],[Code
(PAP)]],[1]Sheet1!$A:$AO,38,FALSE)</f>
        <v>N/A</v>
      </c>
      <c r="AM195" s="576" t="str">
        <f>VLOOKUP(Complete[[#This Row],[Code
(PAP)]],[1]Sheet1!$A:$AO,38,FALSE)</f>
        <v>N/A</v>
      </c>
      <c r="AN195" s="595" t="s">
        <v>713</v>
      </c>
      <c r="AO195" s="303" t="s">
        <v>139</v>
      </c>
      <c r="AP195" s="389"/>
      <c r="AQ195" s="389"/>
    </row>
    <row r="196" spans="1:43" s="224" customFormat="1" ht="75" customHeight="1" x14ac:dyDescent="0.25">
      <c r="A196" s="385" t="s">
        <v>374</v>
      </c>
      <c r="B196" s="406" t="str">
        <f>VLOOKUP(Complete[[#This Row],[Code
(PAP)]],[1]Sheet1!$A:$AO,2,FALSE)</f>
        <v>OTHER SUPPLIES &amp; MATERIALS</v>
      </c>
      <c r="C196" s="408" t="str">
        <f>VLOOKUP(Complete[[#This Row],[Code
(PAP)]],[1]Sheet1!$A:$AO,3,FALSE)</f>
        <v>PGO</v>
      </c>
      <c r="D196" s="380" t="s">
        <v>712</v>
      </c>
      <c r="E196" s="409" t="str">
        <f>VLOOKUP(Complete[[#This Row],[Code
(PAP)]],[2]Sheet1!$A:$AO,5,FALSE)</f>
        <v>NP-53.9 - Small Value Procurement</v>
      </c>
      <c r="F196" s="393" t="str">
        <f>VLOOKUP(Complete[[#This Row],[Code
(PAP)]],[1]Sheet1!$A:$AO,6,FALSE)</f>
        <v>N/A</v>
      </c>
      <c r="G196" s="393">
        <f>VLOOKUP(Complete[[#This Row],[Code
(PAP)]],[1]Sheet1!$A:$AO,7,FALSE)</f>
        <v>45352</v>
      </c>
      <c r="H196" s="374"/>
      <c r="I196" s="394" t="str">
        <f>VLOOKUP(Complete[[#This Row],[Code
(PAP)]],[1]Sheet1!$A:$AO,9,FALSE)</f>
        <v>N/A</v>
      </c>
      <c r="J196" s="393">
        <f>VLOOKUP(Complete[[#This Row],[Code
(PAP)]],[1]Sheet1!$A:$AO,10,FALSE)</f>
        <v>45370</v>
      </c>
      <c r="K196" s="393">
        <f>VLOOKUP(Complete[[#This Row],[Code
(PAP)]],[1]Sheet1!$A:$AO,11,FALSE)</f>
        <v>45370</v>
      </c>
      <c r="L196" s="387"/>
      <c r="M196" s="393" t="str">
        <f>VLOOKUP(Complete[[#This Row],[Code
(PAP)]],[1]Sheet1!$A:$AO,13,FALSE)</f>
        <v>N/A</v>
      </c>
      <c r="N196" s="393" t="str">
        <f>VLOOKUP(Complete[[#This Row],[Code
(PAP)]],[1]Sheet1!$A:$AO,14,FALSE)</f>
        <v>N/A</v>
      </c>
      <c r="O196" s="393">
        <f>VLOOKUP(Complete[[#This Row],[Code
(PAP)]],[1]Sheet1!$A:$AO,15,FALSE)</f>
        <v>45372</v>
      </c>
      <c r="P196" s="387"/>
      <c r="Q196" s="387"/>
      <c r="R196" s="387"/>
      <c r="S196" s="576">
        <f>VLOOKUP(Complete[[#This Row],[Code
(PAP)]],[1]Sheet1!$A:$AO,19,FALSE)</f>
        <v>45378</v>
      </c>
      <c r="T196" s="576">
        <f>VLOOKUP(Complete[[#This Row],[Code
(PAP)]],[1]Sheet1!$A:$AO,20,FALSE)</f>
        <v>45386</v>
      </c>
      <c r="U196" s="576">
        <f>VLOOKUP(Complete[[#This Row],[Code
(PAP)]],[1]Sheet1!$A:$AO,21,FALSE)</f>
        <v>45397</v>
      </c>
      <c r="V196" s="387"/>
      <c r="W196" s="387"/>
      <c r="X196" s="392">
        <f>VLOOKUP(Complete[[#This Row],[Code
(PAP)]],[1]Sheet1!$A:$AO,24,FALSE)</f>
        <v>45415</v>
      </c>
      <c r="Y196" s="392">
        <f>Complete[[#This Row],[Delivery/ Completion]]</f>
        <v>45415</v>
      </c>
      <c r="Z196" s="610" t="s">
        <v>1478</v>
      </c>
      <c r="AA196" s="462">
        <f>Complete[[#This Row],[MOOE]]+Complete[[#This Row],[CO]]</f>
        <v>459943.2</v>
      </c>
      <c r="AB196" s="466"/>
      <c r="AC196" s="497">
        <v>459943.2</v>
      </c>
      <c r="AD196" s="498">
        <f>IF(Complete[[#This Row],[Procurement Project]]="","",SUM(Complete[[#This Row],[MOOE2]]+Complete[[#This Row],[CO3]]))</f>
        <v>439600</v>
      </c>
      <c r="AE196" s="501"/>
      <c r="AF196" s="541">
        <v>439600</v>
      </c>
      <c r="AG196" s="400"/>
      <c r="AH196" s="380" t="s">
        <v>1205</v>
      </c>
      <c r="AI196" s="576" t="str">
        <f>VLOOKUP(Complete[[#This Row],[Code
(PAP)]],[1]Sheet1!$A:$AO,35,FALSE)</f>
        <v>N/A</v>
      </c>
      <c r="AJ196" s="576" t="str">
        <f>VLOOKUP(Complete[[#This Row],[Code
(PAP)]],[1]Sheet1!$A:$AO,36,FALSE)</f>
        <v>N/A</v>
      </c>
      <c r="AK196" s="576" t="str">
        <f>VLOOKUP(Complete[[#This Row],[Code
(PAP)]],[1]Sheet1!$A:$AO,37,FALSE)</f>
        <v>N/A</v>
      </c>
      <c r="AL196" s="576" t="str">
        <f>VLOOKUP(Complete[[#This Row],[Code
(PAP)]],[1]Sheet1!$A:$AO,38,FALSE)</f>
        <v>N/A</v>
      </c>
      <c r="AM196" s="576" t="str">
        <f>VLOOKUP(Complete[[#This Row],[Code
(PAP)]],[1]Sheet1!$A:$AO,38,FALSE)</f>
        <v>N/A</v>
      </c>
      <c r="AN196" s="595" t="s">
        <v>713</v>
      </c>
      <c r="AO196" s="303" t="s">
        <v>139</v>
      </c>
      <c r="AP196" s="389"/>
      <c r="AQ196" s="389"/>
    </row>
    <row r="197" spans="1:43" s="224" customFormat="1" ht="75" customHeight="1" x14ac:dyDescent="0.25">
      <c r="A197" s="385" t="s">
        <v>375</v>
      </c>
      <c r="B197" s="406" t="str">
        <f>VLOOKUP(Complete[[#This Row],[Code
(PAP)]],[1]Sheet1!$A:$AO,2,FALSE)</f>
        <v>FOOD/CATERING SERVICES</v>
      </c>
      <c r="C197" s="408" t="str">
        <f>VLOOKUP(Complete[[#This Row],[Code
(PAP)]],[1]Sheet1!$A:$AO,3,FALSE)</f>
        <v>PAO-ADMIN</v>
      </c>
      <c r="D197" s="380" t="s">
        <v>712</v>
      </c>
      <c r="E197" s="409" t="str">
        <f>VLOOKUP(Complete[[#This Row],[Code
(PAP)]],[2]Sheet1!$A:$AO,5,FALSE)</f>
        <v>NP-53.9 - Small Value Procurement</v>
      </c>
      <c r="F197" s="393">
        <f>VLOOKUP(Complete[[#This Row],[Code
(PAP)]],[1]Sheet1!$A:$AO,6,FALSE)</f>
        <v>45356</v>
      </c>
      <c r="G197" s="393">
        <f>VLOOKUP(Complete[[#This Row],[Code
(PAP)]],[1]Sheet1!$A:$AO,7,FALSE)</f>
        <v>45359</v>
      </c>
      <c r="H197" s="374"/>
      <c r="I197" s="394" t="str">
        <f>VLOOKUP(Complete[[#This Row],[Code
(PAP)]],[1]Sheet1!$A:$AO,9,FALSE)</f>
        <v>N/A</v>
      </c>
      <c r="J197" s="393">
        <f>VLOOKUP(Complete[[#This Row],[Code
(PAP)]],[1]Sheet1!$A:$AO,10,FALSE)</f>
        <v>45370</v>
      </c>
      <c r="K197" s="393">
        <f>VLOOKUP(Complete[[#This Row],[Code
(PAP)]],[1]Sheet1!$A:$AO,11,FALSE)</f>
        <v>45370</v>
      </c>
      <c r="L197" s="387"/>
      <c r="M197" s="393" t="str">
        <f>VLOOKUP(Complete[[#This Row],[Code
(PAP)]],[1]Sheet1!$A:$AO,13,FALSE)</f>
        <v>N/A</v>
      </c>
      <c r="N197" s="393" t="str">
        <f>VLOOKUP(Complete[[#This Row],[Code
(PAP)]],[1]Sheet1!$A:$AO,14,FALSE)</f>
        <v>N/A</v>
      </c>
      <c r="O197" s="393">
        <f>VLOOKUP(Complete[[#This Row],[Code
(PAP)]],[1]Sheet1!$A:$AO,15,FALSE)</f>
        <v>45372</v>
      </c>
      <c r="P197" s="387"/>
      <c r="Q197" s="387"/>
      <c r="R197" s="387"/>
      <c r="S197" s="576">
        <f>VLOOKUP(Complete[[#This Row],[Code
(PAP)]],[1]Sheet1!$A:$AO,19,FALSE)</f>
        <v>45376</v>
      </c>
      <c r="T197" s="576">
        <f>VLOOKUP(Complete[[#This Row],[Code
(PAP)]],[1]Sheet1!$A:$AO,20,FALSE)</f>
        <v>45386</v>
      </c>
      <c r="U197" s="576">
        <f>VLOOKUP(Complete[[#This Row],[Code
(PAP)]],[1]Sheet1!$A:$AO,21,FALSE)</f>
        <v>45398</v>
      </c>
      <c r="V197" s="387"/>
      <c r="W197" s="387"/>
      <c r="X197" s="392">
        <v>45461</v>
      </c>
      <c r="Y197" s="392">
        <f>Complete[[#This Row],[Delivery/ Completion]]</f>
        <v>45461</v>
      </c>
      <c r="Z197" s="610" t="s">
        <v>1478</v>
      </c>
      <c r="AA197" s="462">
        <f>Complete[[#This Row],[MOOE]]+Complete[[#This Row],[CO]]</f>
        <v>63750</v>
      </c>
      <c r="AB197" s="466"/>
      <c r="AC197" s="497">
        <v>63750</v>
      </c>
      <c r="AD197" s="498">
        <f>IF(Complete[[#This Row],[Procurement Project]]="","",SUM(Complete[[#This Row],[MOOE2]]+Complete[[#This Row],[CO3]]))</f>
        <v>61125</v>
      </c>
      <c r="AE197" s="501"/>
      <c r="AF197" s="541">
        <v>61125</v>
      </c>
      <c r="AG197" s="400"/>
      <c r="AH197" s="380" t="s">
        <v>1205</v>
      </c>
      <c r="AI197" s="576" t="str">
        <f>VLOOKUP(Complete[[#This Row],[Code
(PAP)]],[1]Sheet1!$A:$AO,35,FALSE)</f>
        <v>N/A</v>
      </c>
      <c r="AJ197" s="576" t="str">
        <f>VLOOKUP(Complete[[#This Row],[Code
(PAP)]],[1]Sheet1!$A:$AO,36,FALSE)</f>
        <v>N/A</v>
      </c>
      <c r="AK197" s="576" t="str">
        <f>VLOOKUP(Complete[[#This Row],[Code
(PAP)]],[1]Sheet1!$A:$AO,37,FALSE)</f>
        <v>N/A</v>
      </c>
      <c r="AL197" s="576" t="str">
        <f>VLOOKUP(Complete[[#This Row],[Code
(PAP)]],[1]Sheet1!$A:$AO,38,FALSE)</f>
        <v>N/A</v>
      </c>
      <c r="AM197" s="576" t="str">
        <f>VLOOKUP(Complete[[#This Row],[Code
(PAP)]],[1]Sheet1!$A:$AO,38,FALSE)</f>
        <v>N/A</v>
      </c>
      <c r="AN197" s="595" t="s">
        <v>713</v>
      </c>
      <c r="AO197" s="303" t="s">
        <v>139</v>
      </c>
      <c r="AP197" s="389"/>
      <c r="AQ197" s="389"/>
    </row>
    <row r="198" spans="1:43" s="224" customFormat="1" ht="75" customHeight="1" x14ac:dyDescent="0.25">
      <c r="A198" s="385" t="s">
        <v>376</v>
      </c>
      <c r="B198" s="406" t="str">
        <f>VLOOKUP(Complete[[#This Row],[Code
(PAP)]],[1]Sheet1!$A:$AO,2,FALSE)</f>
        <v>FOOD/CATERING SERVICES</v>
      </c>
      <c r="C198" s="408" t="str">
        <f>VLOOKUP(Complete[[#This Row],[Code
(PAP)]],[1]Sheet1!$A:$AO,3,FALSE)</f>
        <v>PGO</v>
      </c>
      <c r="D198" s="380" t="s">
        <v>712</v>
      </c>
      <c r="E198" s="409" t="str">
        <f>VLOOKUP(Complete[[#This Row],[Code
(PAP)]],[2]Sheet1!$A:$AO,5,FALSE)</f>
        <v>NP-53.9 - Small Value Procurement</v>
      </c>
      <c r="F198" s="393">
        <f>VLOOKUP(Complete[[#This Row],[Code
(PAP)]],[1]Sheet1!$A:$AO,6,FALSE)</f>
        <v>45356</v>
      </c>
      <c r="G198" s="393">
        <f>VLOOKUP(Complete[[#This Row],[Code
(PAP)]],[1]Sheet1!$A:$AO,7,FALSE)</f>
        <v>45359</v>
      </c>
      <c r="H198" s="374"/>
      <c r="I198" s="394" t="str">
        <f>VLOOKUP(Complete[[#This Row],[Code
(PAP)]],[1]Sheet1!$A:$AO,9,FALSE)</f>
        <v>N/A</v>
      </c>
      <c r="J198" s="393">
        <f>VLOOKUP(Complete[[#This Row],[Code
(PAP)]],[1]Sheet1!$A:$AO,10,FALSE)</f>
        <v>45370</v>
      </c>
      <c r="K198" s="393">
        <f>VLOOKUP(Complete[[#This Row],[Code
(PAP)]],[1]Sheet1!$A:$AO,11,FALSE)</f>
        <v>45370</v>
      </c>
      <c r="L198" s="387"/>
      <c r="M198" s="393" t="str">
        <f>VLOOKUP(Complete[[#This Row],[Code
(PAP)]],[1]Sheet1!$A:$AO,13,FALSE)</f>
        <v>N/A</v>
      </c>
      <c r="N198" s="393" t="str">
        <f>VLOOKUP(Complete[[#This Row],[Code
(PAP)]],[1]Sheet1!$A:$AO,14,FALSE)</f>
        <v>N/A</v>
      </c>
      <c r="O198" s="393">
        <f>VLOOKUP(Complete[[#This Row],[Code
(PAP)]],[1]Sheet1!$A:$AO,15,FALSE)</f>
        <v>45372</v>
      </c>
      <c r="P198" s="387"/>
      <c r="Q198" s="387"/>
      <c r="R198" s="387"/>
      <c r="S198" s="576">
        <f>VLOOKUP(Complete[[#This Row],[Code
(PAP)]],[1]Sheet1!$A:$AO,19,FALSE)</f>
        <v>45376</v>
      </c>
      <c r="T198" s="576">
        <f>VLOOKUP(Complete[[#This Row],[Code
(PAP)]],[1]Sheet1!$A:$AO,20,FALSE)</f>
        <v>45419</v>
      </c>
      <c r="U198" s="576">
        <f>VLOOKUP(Complete[[#This Row],[Code
(PAP)]],[1]Sheet1!$A:$AO,21,FALSE)</f>
        <v>45422</v>
      </c>
      <c r="V198" s="387"/>
      <c r="W198" s="387"/>
      <c r="X198" s="392">
        <f>VLOOKUP(Complete[[#This Row],[Code
(PAP)]],[1]Sheet1!$A:$AO,24,FALSE)</f>
        <v>45376</v>
      </c>
      <c r="Y198" s="392">
        <f>Complete[[#This Row],[Delivery/ Completion]]</f>
        <v>45376</v>
      </c>
      <c r="Z198" s="610" t="s">
        <v>1478</v>
      </c>
      <c r="AA198" s="462">
        <f>Complete[[#This Row],[MOOE]]+Complete[[#This Row],[CO]]</f>
        <v>251000</v>
      </c>
      <c r="AB198" s="466"/>
      <c r="AC198" s="497">
        <v>251000</v>
      </c>
      <c r="AD198" s="498">
        <f>IF(Complete[[#This Row],[Procurement Project]]="","",SUM(Complete[[#This Row],[MOOE2]]+Complete[[#This Row],[CO3]]))</f>
        <v>251000</v>
      </c>
      <c r="AE198" s="501"/>
      <c r="AF198" s="541">
        <v>251000</v>
      </c>
      <c r="AG198" s="400"/>
      <c r="AH198" s="380" t="s">
        <v>1205</v>
      </c>
      <c r="AI198" s="576" t="str">
        <f>VLOOKUP(Complete[[#This Row],[Code
(PAP)]],[1]Sheet1!$A:$AO,35,FALSE)</f>
        <v>N/A</v>
      </c>
      <c r="AJ198" s="576" t="str">
        <f>VLOOKUP(Complete[[#This Row],[Code
(PAP)]],[1]Sheet1!$A:$AO,36,FALSE)</f>
        <v>N/A</v>
      </c>
      <c r="AK198" s="576" t="str">
        <f>VLOOKUP(Complete[[#This Row],[Code
(PAP)]],[1]Sheet1!$A:$AO,37,FALSE)</f>
        <v>N/A</v>
      </c>
      <c r="AL198" s="576" t="str">
        <f>VLOOKUP(Complete[[#This Row],[Code
(PAP)]],[1]Sheet1!$A:$AO,38,FALSE)</f>
        <v>N/A</v>
      </c>
      <c r="AM198" s="576" t="str">
        <f>VLOOKUP(Complete[[#This Row],[Code
(PAP)]],[1]Sheet1!$A:$AO,38,FALSE)</f>
        <v>N/A</v>
      </c>
      <c r="AN198" s="595" t="s">
        <v>713</v>
      </c>
      <c r="AO198" s="303" t="s">
        <v>139</v>
      </c>
      <c r="AP198" s="389"/>
      <c r="AQ198" s="389"/>
    </row>
    <row r="199" spans="1:43" s="224" customFormat="1" ht="75" customHeight="1" x14ac:dyDescent="0.25">
      <c r="A199" s="385" t="s">
        <v>377</v>
      </c>
      <c r="B199" s="406" t="str">
        <f>VLOOKUP(Complete[[#This Row],[Code
(PAP)]],[1]Sheet1!$A:$AO,2,FALSE)</f>
        <v>FOOD/CATERING SERVICES</v>
      </c>
      <c r="C199" s="408" t="str">
        <f>VLOOKUP(Complete[[#This Row],[Code
(PAP)]],[1]Sheet1!$A:$AO,3,FALSE)</f>
        <v>PENRO</v>
      </c>
      <c r="D199" s="380" t="s">
        <v>712</v>
      </c>
      <c r="E199" s="409" t="str">
        <f>VLOOKUP(Complete[[#This Row],[Code
(PAP)]],[2]Sheet1!$A:$AO,5,FALSE)</f>
        <v>NP-53.9 - Small Value Procurement</v>
      </c>
      <c r="F199" s="393">
        <f>VLOOKUP(Complete[[#This Row],[Code
(PAP)]],[1]Sheet1!$A:$AO,6,FALSE)</f>
        <v>45356</v>
      </c>
      <c r="G199" s="393">
        <f>VLOOKUP(Complete[[#This Row],[Code
(PAP)]],[1]Sheet1!$A:$AO,7,FALSE)</f>
        <v>45359</v>
      </c>
      <c r="H199" s="374"/>
      <c r="I199" s="394" t="str">
        <f>VLOOKUP(Complete[[#This Row],[Code
(PAP)]],[1]Sheet1!$A:$AO,9,FALSE)</f>
        <v>N/A</v>
      </c>
      <c r="J199" s="393">
        <f>VLOOKUP(Complete[[#This Row],[Code
(PAP)]],[1]Sheet1!$A:$AO,10,FALSE)</f>
        <v>45370</v>
      </c>
      <c r="K199" s="393">
        <f>VLOOKUP(Complete[[#This Row],[Code
(PAP)]],[1]Sheet1!$A:$AO,11,FALSE)</f>
        <v>45370</v>
      </c>
      <c r="L199" s="387"/>
      <c r="M199" s="393" t="str">
        <f>VLOOKUP(Complete[[#This Row],[Code
(PAP)]],[1]Sheet1!$A:$AO,13,FALSE)</f>
        <v>N/A</v>
      </c>
      <c r="N199" s="393" t="str">
        <f>VLOOKUP(Complete[[#This Row],[Code
(PAP)]],[1]Sheet1!$A:$AO,14,FALSE)</f>
        <v>N/A</v>
      </c>
      <c r="O199" s="393">
        <f>VLOOKUP(Complete[[#This Row],[Code
(PAP)]],[1]Sheet1!$A:$AO,15,FALSE)</f>
        <v>45372</v>
      </c>
      <c r="P199" s="387"/>
      <c r="Q199" s="387"/>
      <c r="R199" s="387"/>
      <c r="S199" s="576">
        <f>VLOOKUP(Complete[[#This Row],[Code
(PAP)]],[1]Sheet1!$A:$AO,19,FALSE)</f>
        <v>45376</v>
      </c>
      <c r="T199" s="576">
        <f>VLOOKUP(Complete[[#This Row],[Code
(PAP)]],[1]Sheet1!$A:$AO,20,FALSE)</f>
        <v>45390</v>
      </c>
      <c r="U199" s="576">
        <f>VLOOKUP(Complete[[#This Row],[Code
(PAP)]],[1]Sheet1!$A:$AO,21,FALSE)</f>
        <v>45393</v>
      </c>
      <c r="V199" s="387"/>
      <c r="W199" s="387"/>
      <c r="X199" s="392">
        <f>VLOOKUP(Complete[[#This Row],[Code
(PAP)]],[1]Sheet1!$A:$AO,24,FALSE)</f>
        <v>45428</v>
      </c>
      <c r="Y199" s="392">
        <f>Complete[[#This Row],[Delivery/ Completion]]</f>
        <v>45428</v>
      </c>
      <c r="Z199" s="610" t="s">
        <v>1478</v>
      </c>
      <c r="AA199" s="462">
        <f>Complete[[#This Row],[MOOE]]+Complete[[#This Row],[CO]]</f>
        <v>160260</v>
      </c>
      <c r="AB199" s="466"/>
      <c r="AC199" s="497">
        <v>160260</v>
      </c>
      <c r="AD199" s="498">
        <f>IF(Complete[[#This Row],[Procurement Project]]="","",SUM(Complete[[#This Row],[MOOE2]]+Complete[[#This Row],[CO3]]))</f>
        <v>160260</v>
      </c>
      <c r="AE199" s="501"/>
      <c r="AF199" s="541">
        <v>160260</v>
      </c>
      <c r="AG199" s="400"/>
      <c r="AH199" s="380" t="s">
        <v>1205</v>
      </c>
      <c r="AI199" s="576" t="str">
        <f>VLOOKUP(Complete[[#This Row],[Code
(PAP)]],[1]Sheet1!$A:$AO,35,FALSE)</f>
        <v>N/A</v>
      </c>
      <c r="AJ199" s="576" t="str">
        <f>VLOOKUP(Complete[[#This Row],[Code
(PAP)]],[1]Sheet1!$A:$AO,36,FALSE)</f>
        <v>N/A</v>
      </c>
      <c r="AK199" s="576" t="str">
        <f>VLOOKUP(Complete[[#This Row],[Code
(PAP)]],[1]Sheet1!$A:$AO,37,FALSE)</f>
        <v>N/A</v>
      </c>
      <c r="AL199" s="576" t="str">
        <f>VLOOKUP(Complete[[#This Row],[Code
(PAP)]],[1]Sheet1!$A:$AO,38,FALSE)</f>
        <v>N/A</v>
      </c>
      <c r="AM199" s="576" t="str">
        <f>VLOOKUP(Complete[[#This Row],[Code
(PAP)]],[1]Sheet1!$A:$AO,38,FALSE)</f>
        <v>N/A</v>
      </c>
      <c r="AN199" s="595" t="s">
        <v>713</v>
      </c>
      <c r="AO199" s="303" t="s">
        <v>139</v>
      </c>
      <c r="AP199" s="389"/>
      <c r="AQ199" s="389"/>
    </row>
    <row r="200" spans="1:43" s="224" customFormat="1" ht="75" customHeight="1" x14ac:dyDescent="0.25">
      <c r="A200" s="385" t="s">
        <v>378</v>
      </c>
      <c r="B200" s="406" t="str">
        <f>VLOOKUP(Complete[[#This Row],[Code
(PAP)]],[1]Sheet1!$A:$AO,2,FALSE)</f>
        <v>FOOD/CATERING SERVICES</v>
      </c>
      <c r="C200" s="408" t="str">
        <f>VLOOKUP(Complete[[#This Row],[Code
(PAP)]],[1]Sheet1!$A:$AO,3,FALSE)</f>
        <v>PHRMDO</v>
      </c>
      <c r="D200" s="380" t="s">
        <v>712</v>
      </c>
      <c r="E200" s="409" t="str">
        <f>VLOOKUP(Complete[[#This Row],[Code
(PAP)]],[2]Sheet1!$A:$AO,5,FALSE)</f>
        <v>NP-53.9 - Small Value Procurement</v>
      </c>
      <c r="F200" s="393">
        <f>VLOOKUP(Complete[[#This Row],[Code
(PAP)]],[1]Sheet1!$A:$AO,6,FALSE)</f>
        <v>45356</v>
      </c>
      <c r="G200" s="393">
        <f>VLOOKUP(Complete[[#This Row],[Code
(PAP)]],[1]Sheet1!$A:$AO,7,FALSE)</f>
        <v>45359</v>
      </c>
      <c r="H200" s="374"/>
      <c r="I200" s="394" t="str">
        <f>VLOOKUP(Complete[[#This Row],[Code
(PAP)]],[1]Sheet1!$A:$AO,9,FALSE)</f>
        <v>N/A</v>
      </c>
      <c r="J200" s="393">
        <f>VLOOKUP(Complete[[#This Row],[Code
(PAP)]],[1]Sheet1!$A:$AO,10,FALSE)</f>
        <v>45370</v>
      </c>
      <c r="K200" s="393">
        <f>VLOOKUP(Complete[[#This Row],[Code
(PAP)]],[1]Sheet1!$A:$AO,11,FALSE)</f>
        <v>45370</v>
      </c>
      <c r="L200" s="387"/>
      <c r="M200" s="393" t="str">
        <f>VLOOKUP(Complete[[#This Row],[Code
(PAP)]],[1]Sheet1!$A:$AO,13,FALSE)</f>
        <v>N/A</v>
      </c>
      <c r="N200" s="393" t="str">
        <f>VLOOKUP(Complete[[#This Row],[Code
(PAP)]],[1]Sheet1!$A:$AO,14,FALSE)</f>
        <v>N/A</v>
      </c>
      <c r="O200" s="393">
        <f>VLOOKUP(Complete[[#This Row],[Code
(PAP)]],[1]Sheet1!$A:$AO,15,FALSE)</f>
        <v>45372</v>
      </c>
      <c r="P200" s="387"/>
      <c r="Q200" s="387"/>
      <c r="R200" s="387"/>
      <c r="S200" s="576">
        <f>VLOOKUP(Complete[[#This Row],[Code
(PAP)]],[1]Sheet1!$A:$AO,19,FALSE)</f>
        <v>45376</v>
      </c>
      <c r="T200" s="576">
        <f>VLOOKUP(Complete[[#This Row],[Code
(PAP)]],[1]Sheet1!$A:$AO,20,FALSE)</f>
        <v>45385</v>
      </c>
      <c r="U200" s="576">
        <f>VLOOKUP(Complete[[#This Row],[Code
(PAP)]],[1]Sheet1!$A:$AO,21,FALSE)</f>
        <v>45385</v>
      </c>
      <c r="V200" s="387"/>
      <c r="W200" s="387"/>
      <c r="X200" s="392">
        <f>VLOOKUP(Complete[[#This Row],[Code
(PAP)]],[1]Sheet1!$A:$AO,24,FALSE)</f>
        <v>45377</v>
      </c>
      <c r="Y200" s="392">
        <f>Complete[[#This Row],[Delivery/ Completion]]</f>
        <v>45377</v>
      </c>
      <c r="Z200" s="610" t="s">
        <v>1478</v>
      </c>
      <c r="AA200" s="462">
        <f>Complete[[#This Row],[MOOE]]+Complete[[#This Row],[CO]]</f>
        <v>242990</v>
      </c>
      <c r="AB200" s="466"/>
      <c r="AC200" s="497">
        <v>242990</v>
      </c>
      <c r="AD200" s="498">
        <f>IF(Complete[[#This Row],[Procurement Project]]="","",SUM(Complete[[#This Row],[MOOE2]]+Complete[[#This Row],[CO3]]))</f>
        <v>242990</v>
      </c>
      <c r="AE200" s="501"/>
      <c r="AF200" s="541">
        <v>242990</v>
      </c>
      <c r="AG200" s="400"/>
      <c r="AH200" s="380" t="s">
        <v>1205</v>
      </c>
      <c r="AI200" s="576" t="str">
        <f>VLOOKUP(Complete[[#This Row],[Code
(PAP)]],[1]Sheet1!$A:$AO,35,FALSE)</f>
        <v>N/A</v>
      </c>
      <c r="AJ200" s="576" t="str">
        <f>VLOOKUP(Complete[[#This Row],[Code
(PAP)]],[1]Sheet1!$A:$AO,36,FALSE)</f>
        <v>N/A</v>
      </c>
      <c r="AK200" s="576" t="str">
        <f>VLOOKUP(Complete[[#This Row],[Code
(PAP)]],[1]Sheet1!$A:$AO,37,FALSE)</f>
        <v>N/A</v>
      </c>
      <c r="AL200" s="576" t="str">
        <f>VLOOKUP(Complete[[#This Row],[Code
(PAP)]],[1]Sheet1!$A:$AO,38,FALSE)</f>
        <v>N/A</v>
      </c>
      <c r="AM200" s="576" t="str">
        <f>VLOOKUP(Complete[[#This Row],[Code
(PAP)]],[1]Sheet1!$A:$AO,38,FALSE)</f>
        <v>N/A</v>
      </c>
      <c r="AN200" s="595" t="s">
        <v>713</v>
      </c>
      <c r="AO200" s="303" t="s">
        <v>139</v>
      </c>
      <c r="AP200" s="389"/>
      <c r="AQ200" s="389"/>
    </row>
    <row r="201" spans="1:43" s="224" customFormat="1" ht="75" customHeight="1" x14ac:dyDescent="0.25">
      <c r="A201" s="385" t="s">
        <v>379</v>
      </c>
      <c r="B201" s="406" t="str">
        <f>VLOOKUP(Complete[[#This Row],[Code
(PAP)]],[1]Sheet1!$A:$AO,2,FALSE)</f>
        <v>FOOD CATERING/SERVICES</v>
      </c>
      <c r="C201" s="408" t="str">
        <f>VLOOKUP(Complete[[#This Row],[Code
(PAP)]],[1]Sheet1!$A:$AO,3,FALSE)</f>
        <v>PGO</v>
      </c>
      <c r="D201" s="380" t="s">
        <v>712</v>
      </c>
      <c r="E201" s="409" t="str">
        <f>VLOOKUP(Complete[[#This Row],[Code
(PAP)]],[2]Sheet1!$A:$AO,5,FALSE)</f>
        <v>NP-53.9 - Small Value Procurement</v>
      </c>
      <c r="F201" s="393" t="str">
        <f>VLOOKUP(Complete[[#This Row],[Code
(PAP)]],[1]Sheet1!$A:$AO,6,FALSE)</f>
        <v>N/A</v>
      </c>
      <c r="G201" s="393">
        <f>VLOOKUP(Complete[[#This Row],[Code
(PAP)]],[1]Sheet1!$A:$AO,7,FALSE)</f>
        <v>45359</v>
      </c>
      <c r="H201" s="374"/>
      <c r="I201" s="394" t="str">
        <f>VLOOKUP(Complete[[#This Row],[Code
(PAP)]],[1]Sheet1!$A:$AO,9,FALSE)</f>
        <v>N/A</v>
      </c>
      <c r="J201" s="393">
        <f>VLOOKUP(Complete[[#This Row],[Code
(PAP)]],[1]Sheet1!$A:$AO,10,FALSE)</f>
        <v>45370</v>
      </c>
      <c r="K201" s="393">
        <f>VLOOKUP(Complete[[#This Row],[Code
(PAP)]],[1]Sheet1!$A:$AO,11,FALSE)</f>
        <v>45370</v>
      </c>
      <c r="L201" s="387"/>
      <c r="M201" s="393" t="str">
        <f>VLOOKUP(Complete[[#This Row],[Code
(PAP)]],[1]Sheet1!$A:$AO,13,FALSE)</f>
        <v>N/A</v>
      </c>
      <c r="N201" s="393" t="str">
        <f>VLOOKUP(Complete[[#This Row],[Code
(PAP)]],[1]Sheet1!$A:$AO,14,FALSE)</f>
        <v>N/A</v>
      </c>
      <c r="O201" s="393">
        <f>VLOOKUP(Complete[[#This Row],[Code
(PAP)]],[1]Sheet1!$A:$AO,15,FALSE)</f>
        <v>45372</v>
      </c>
      <c r="P201" s="387"/>
      <c r="Q201" s="387"/>
      <c r="R201" s="387"/>
      <c r="S201" s="576">
        <f>VLOOKUP(Complete[[#This Row],[Code
(PAP)]],[1]Sheet1!$A:$AO,19,FALSE)</f>
        <v>45385</v>
      </c>
      <c r="T201" s="576">
        <f>VLOOKUP(Complete[[#This Row],[Code
(PAP)]],[1]Sheet1!$A:$AO,20,FALSE)</f>
        <v>45386</v>
      </c>
      <c r="U201" s="576">
        <f>VLOOKUP(Complete[[#This Row],[Code
(PAP)]],[1]Sheet1!$A:$AO,21,FALSE)</f>
        <v>45397</v>
      </c>
      <c r="V201" s="387"/>
      <c r="W201" s="387"/>
      <c r="X201" s="392">
        <v>45443</v>
      </c>
      <c r="Y201" s="392">
        <f>Complete[[#This Row],[Delivery/ Completion]]</f>
        <v>45443</v>
      </c>
      <c r="Z201" s="610" t="s">
        <v>1478</v>
      </c>
      <c r="AA201" s="462">
        <f>Complete[[#This Row],[MOOE]]+Complete[[#This Row],[CO]]</f>
        <v>180000</v>
      </c>
      <c r="AB201" s="466">
        <v>180000</v>
      </c>
      <c r="AC201" s="497"/>
      <c r="AD201" s="498">
        <f>IF(Complete[[#This Row],[Procurement Project]]="","",SUM(Complete[[#This Row],[MOOE2]]+Complete[[#This Row],[CO3]]))</f>
        <v>179798.75</v>
      </c>
      <c r="AE201" s="501">
        <v>179798.75</v>
      </c>
      <c r="AF201" s="541"/>
      <c r="AG201" s="400"/>
      <c r="AH201" s="380" t="s">
        <v>1205</v>
      </c>
      <c r="AI201" s="576" t="str">
        <f>VLOOKUP(Complete[[#This Row],[Code
(PAP)]],[1]Sheet1!$A:$AO,35,FALSE)</f>
        <v>N/A</v>
      </c>
      <c r="AJ201" s="576" t="str">
        <f>VLOOKUP(Complete[[#This Row],[Code
(PAP)]],[1]Sheet1!$A:$AO,36,FALSE)</f>
        <v>N/A</v>
      </c>
      <c r="AK201" s="576" t="str">
        <f>VLOOKUP(Complete[[#This Row],[Code
(PAP)]],[1]Sheet1!$A:$AO,37,FALSE)</f>
        <v>N/A</v>
      </c>
      <c r="AL201" s="576" t="str">
        <f>VLOOKUP(Complete[[#This Row],[Code
(PAP)]],[1]Sheet1!$A:$AO,38,FALSE)</f>
        <v>N/A</v>
      </c>
      <c r="AM201" s="576" t="str">
        <f>VLOOKUP(Complete[[#This Row],[Code
(PAP)]],[1]Sheet1!$A:$AO,38,FALSE)</f>
        <v>N/A</v>
      </c>
      <c r="AN201" s="595" t="s">
        <v>713</v>
      </c>
      <c r="AO201" s="303" t="s">
        <v>139</v>
      </c>
      <c r="AP201" s="389"/>
      <c r="AQ201" s="389"/>
    </row>
    <row r="202" spans="1:43" s="224" customFormat="1" ht="75" customHeight="1" x14ac:dyDescent="0.25">
      <c r="A202" s="385" t="s">
        <v>380</v>
      </c>
      <c r="B202" s="406" t="str">
        <f>VLOOKUP(Complete[[#This Row],[Code
(PAP)]],[1]Sheet1!$A:$AO,2,FALSE)</f>
        <v>FOOD CATERING/SERVICES</v>
      </c>
      <c r="C202" s="408" t="str">
        <f>VLOOKUP(Complete[[#This Row],[Code
(PAP)]],[1]Sheet1!$A:$AO,3,FALSE)</f>
        <v>PTO</v>
      </c>
      <c r="D202" s="380" t="s">
        <v>712</v>
      </c>
      <c r="E202" s="409" t="str">
        <f>VLOOKUP(Complete[[#This Row],[Code
(PAP)]],[2]Sheet1!$A:$AO,5,FALSE)</f>
        <v>NP-53.9 - Small Value Procurement</v>
      </c>
      <c r="F202" s="393">
        <f>VLOOKUP(Complete[[#This Row],[Code
(PAP)]],[1]Sheet1!$A:$AO,6,FALSE)</f>
        <v>45356</v>
      </c>
      <c r="G202" s="393">
        <f>VLOOKUP(Complete[[#This Row],[Code
(PAP)]],[1]Sheet1!$A:$AO,7,FALSE)</f>
        <v>45359</v>
      </c>
      <c r="H202" s="374"/>
      <c r="I202" s="394" t="str">
        <f>VLOOKUP(Complete[[#This Row],[Code
(PAP)]],[1]Sheet1!$A:$AO,9,FALSE)</f>
        <v>N/A</v>
      </c>
      <c r="J202" s="393">
        <f>VLOOKUP(Complete[[#This Row],[Code
(PAP)]],[1]Sheet1!$A:$AO,10,FALSE)</f>
        <v>45370</v>
      </c>
      <c r="K202" s="393">
        <f>VLOOKUP(Complete[[#This Row],[Code
(PAP)]],[1]Sheet1!$A:$AO,11,FALSE)</f>
        <v>45370</v>
      </c>
      <c r="L202" s="387"/>
      <c r="M202" s="393" t="str">
        <f>VLOOKUP(Complete[[#This Row],[Code
(PAP)]],[1]Sheet1!$A:$AO,13,FALSE)</f>
        <v>N/A</v>
      </c>
      <c r="N202" s="393" t="str">
        <f>VLOOKUP(Complete[[#This Row],[Code
(PAP)]],[1]Sheet1!$A:$AO,14,FALSE)</f>
        <v>N/A</v>
      </c>
      <c r="O202" s="393">
        <f>VLOOKUP(Complete[[#This Row],[Code
(PAP)]],[1]Sheet1!$A:$AO,15,FALSE)</f>
        <v>45372</v>
      </c>
      <c r="P202" s="387"/>
      <c r="Q202" s="387"/>
      <c r="R202" s="387"/>
      <c r="S202" s="576">
        <f>VLOOKUP(Complete[[#This Row],[Code
(PAP)]],[1]Sheet1!$A:$AO,19,FALSE)</f>
        <v>45376</v>
      </c>
      <c r="T202" s="576">
        <f>VLOOKUP(Complete[[#This Row],[Code
(PAP)]],[1]Sheet1!$A:$AO,20,FALSE)</f>
        <v>45387</v>
      </c>
      <c r="U202" s="576">
        <f>VLOOKUP(Complete[[#This Row],[Code
(PAP)]],[1]Sheet1!$A:$AO,21,FALSE)</f>
        <v>45397</v>
      </c>
      <c r="V202" s="387"/>
      <c r="W202" s="387"/>
      <c r="X202" s="392">
        <f>VLOOKUP(Complete[[#This Row],[Code
(PAP)]],[1]Sheet1!$A:$AO,24,FALSE)</f>
        <v>45435</v>
      </c>
      <c r="Y202" s="392">
        <f>Complete[[#This Row],[Delivery/ Completion]]</f>
        <v>45435</v>
      </c>
      <c r="Z202" s="610" t="s">
        <v>1478</v>
      </c>
      <c r="AA202" s="462">
        <f>Complete[[#This Row],[MOOE]]+Complete[[#This Row],[CO]]</f>
        <v>117300</v>
      </c>
      <c r="AB202" s="466">
        <v>117300</v>
      </c>
      <c r="AC202" s="497"/>
      <c r="AD202" s="498">
        <f>IF(Complete[[#This Row],[Procurement Project]]="","",SUM(Complete[[#This Row],[MOOE2]]+Complete[[#This Row],[CO3]]))</f>
        <v>117300</v>
      </c>
      <c r="AE202" s="501">
        <v>117300</v>
      </c>
      <c r="AF202" s="541"/>
      <c r="AG202" s="400"/>
      <c r="AH202" s="380" t="s">
        <v>1205</v>
      </c>
      <c r="AI202" s="576" t="str">
        <f>VLOOKUP(Complete[[#This Row],[Code
(PAP)]],[1]Sheet1!$A:$AO,35,FALSE)</f>
        <v>N/A</v>
      </c>
      <c r="AJ202" s="576" t="str">
        <f>VLOOKUP(Complete[[#This Row],[Code
(PAP)]],[1]Sheet1!$A:$AO,36,FALSE)</f>
        <v>N/A</v>
      </c>
      <c r="AK202" s="576" t="str">
        <f>VLOOKUP(Complete[[#This Row],[Code
(PAP)]],[1]Sheet1!$A:$AO,37,FALSE)</f>
        <v>N/A</v>
      </c>
      <c r="AL202" s="576" t="str">
        <f>VLOOKUP(Complete[[#This Row],[Code
(PAP)]],[1]Sheet1!$A:$AO,38,FALSE)</f>
        <v>N/A</v>
      </c>
      <c r="AM202" s="576" t="str">
        <f>VLOOKUP(Complete[[#This Row],[Code
(PAP)]],[1]Sheet1!$A:$AO,38,FALSE)</f>
        <v>N/A</v>
      </c>
      <c r="AN202" s="595" t="s">
        <v>713</v>
      </c>
      <c r="AO202" s="303" t="s">
        <v>139</v>
      </c>
      <c r="AP202" s="389"/>
      <c r="AQ202" s="389"/>
    </row>
    <row r="203" spans="1:43" s="224" customFormat="1" ht="75" customHeight="1" x14ac:dyDescent="0.25">
      <c r="A203" s="385" t="s">
        <v>381</v>
      </c>
      <c r="B203" s="406" t="str">
        <f>VLOOKUP(Complete[[#This Row],[Code
(PAP)]],[1]Sheet1!$A:$AO,2,FALSE)</f>
        <v>JANITORIAL SUPPLIES</v>
      </c>
      <c r="C203" s="408" t="str">
        <f>VLOOKUP(Complete[[#This Row],[Code
(PAP)]],[1]Sheet1!$A:$AO,3,FALSE)</f>
        <v>PDRRMO</v>
      </c>
      <c r="D203" s="380" t="s">
        <v>712</v>
      </c>
      <c r="E203" s="409" t="str">
        <f>VLOOKUP(Complete[[#This Row],[Code
(PAP)]],[2]Sheet1!$A:$AO,5,FALSE)</f>
        <v>NP-53.9 - Small Value Procurement</v>
      </c>
      <c r="F203" s="393">
        <f>VLOOKUP(Complete[[#This Row],[Code
(PAP)]],[1]Sheet1!$A:$AO,6,FALSE)</f>
        <v>45356</v>
      </c>
      <c r="G203" s="393">
        <f>VLOOKUP(Complete[[#This Row],[Code
(PAP)]],[1]Sheet1!$A:$AO,7,FALSE)</f>
        <v>45359</v>
      </c>
      <c r="H203" s="374"/>
      <c r="I203" s="394" t="str">
        <f>VLOOKUP(Complete[[#This Row],[Code
(PAP)]],[1]Sheet1!$A:$AO,9,FALSE)</f>
        <v>N/A</v>
      </c>
      <c r="J203" s="393">
        <f>VLOOKUP(Complete[[#This Row],[Code
(PAP)]],[1]Sheet1!$A:$AO,10,FALSE)</f>
        <v>45370</v>
      </c>
      <c r="K203" s="393">
        <f>VLOOKUP(Complete[[#This Row],[Code
(PAP)]],[1]Sheet1!$A:$AO,11,FALSE)</f>
        <v>45370</v>
      </c>
      <c r="L203" s="387"/>
      <c r="M203" s="393" t="str">
        <f>VLOOKUP(Complete[[#This Row],[Code
(PAP)]],[1]Sheet1!$A:$AO,13,FALSE)</f>
        <v>N/A</v>
      </c>
      <c r="N203" s="393" t="str">
        <f>VLOOKUP(Complete[[#This Row],[Code
(PAP)]],[1]Sheet1!$A:$AO,14,FALSE)</f>
        <v>N/A</v>
      </c>
      <c r="O203" s="393">
        <f>VLOOKUP(Complete[[#This Row],[Code
(PAP)]],[1]Sheet1!$A:$AO,15,FALSE)</f>
        <v>45372</v>
      </c>
      <c r="P203" s="387"/>
      <c r="Q203" s="387"/>
      <c r="R203" s="387"/>
      <c r="S203" s="576">
        <f>VLOOKUP(Complete[[#This Row],[Code
(PAP)]],[1]Sheet1!$A:$AO,19,FALSE)</f>
        <v>45383</v>
      </c>
      <c r="T203" s="576">
        <f>VLOOKUP(Complete[[#This Row],[Code
(PAP)]],[1]Sheet1!$A:$AO,20,FALSE)</f>
        <v>45387</v>
      </c>
      <c r="U203" s="576">
        <f>VLOOKUP(Complete[[#This Row],[Code
(PAP)]],[1]Sheet1!$A:$AO,21,FALSE)</f>
        <v>45394</v>
      </c>
      <c r="V203" s="387"/>
      <c r="W203" s="387"/>
      <c r="X203" s="392">
        <f>VLOOKUP(Complete[[#This Row],[Code
(PAP)]],[1]Sheet1!$A:$AO,24,FALSE)</f>
        <v>45406</v>
      </c>
      <c r="Y203" s="392">
        <f>Complete[[#This Row],[Delivery/ Completion]]</f>
        <v>45406</v>
      </c>
      <c r="Z203" s="610" t="s">
        <v>1478</v>
      </c>
      <c r="AA203" s="462">
        <f>Complete[[#This Row],[MOOE]]+Complete[[#This Row],[CO]]</f>
        <v>174490</v>
      </c>
      <c r="AB203" s="466"/>
      <c r="AC203" s="497">
        <v>174490</v>
      </c>
      <c r="AD203" s="498">
        <f>IF(Complete[[#This Row],[Procurement Project]]="","",SUM(Complete[[#This Row],[MOOE2]]+Complete[[#This Row],[CO3]]))</f>
        <v>174240</v>
      </c>
      <c r="AE203" s="501"/>
      <c r="AF203" s="541">
        <v>174240</v>
      </c>
      <c r="AG203" s="400"/>
      <c r="AH203" s="380" t="s">
        <v>1205</v>
      </c>
      <c r="AI203" s="576" t="str">
        <f>VLOOKUP(Complete[[#This Row],[Code
(PAP)]],[1]Sheet1!$A:$AO,35,FALSE)</f>
        <v>N/A</v>
      </c>
      <c r="AJ203" s="576" t="str">
        <f>VLOOKUP(Complete[[#This Row],[Code
(PAP)]],[1]Sheet1!$A:$AO,36,FALSE)</f>
        <v>N/A</v>
      </c>
      <c r="AK203" s="576" t="str">
        <f>VLOOKUP(Complete[[#This Row],[Code
(PAP)]],[1]Sheet1!$A:$AO,37,FALSE)</f>
        <v>N/A</v>
      </c>
      <c r="AL203" s="576" t="str">
        <f>VLOOKUP(Complete[[#This Row],[Code
(PAP)]],[1]Sheet1!$A:$AO,38,FALSE)</f>
        <v>N/A</v>
      </c>
      <c r="AM203" s="576" t="str">
        <f>VLOOKUP(Complete[[#This Row],[Code
(PAP)]],[1]Sheet1!$A:$AO,38,FALSE)</f>
        <v>N/A</v>
      </c>
      <c r="AN203" s="595" t="s">
        <v>713</v>
      </c>
      <c r="AO203" s="303" t="s">
        <v>139</v>
      </c>
      <c r="AP203" s="389"/>
      <c r="AQ203" s="389"/>
    </row>
    <row r="204" spans="1:43" s="224" customFormat="1" ht="75" customHeight="1" x14ac:dyDescent="0.25">
      <c r="A204" s="385" t="s">
        <v>382</v>
      </c>
      <c r="B204" s="406" t="str">
        <f>VLOOKUP(Complete[[#This Row],[Code
(PAP)]],[1]Sheet1!$A:$AO,2,FALSE)</f>
        <v>OFFICE EQUIPMENT</v>
      </c>
      <c r="C204" s="408" t="str">
        <f>VLOOKUP(Complete[[#This Row],[Code
(PAP)]],[1]Sheet1!$A:$AO,3,FALSE)</f>
        <v>PGO</v>
      </c>
      <c r="D204" s="380" t="s">
        <v>712</v>
      </c>
      <c r="E204" s="409" t="str">
        <f>VLOOKUP(Complete[[#This Row],[Code
(PAP)]],[2]Sheet1!$A:$AO,5,FALSE)</f>
        <v>NP-53.9 - Small Value Procurement</v>
      </c>
      <c r="F204" s="393" t="str">
        <f>VLOOKUP(Complete[[#This Row],[Code
(PAP)]],[1]Sheet1!$A:$AO,6,FALSE)</f>
        <v>N/A</v>
      </c>
      <c r="G204" s="393">
        <f>VLOOKUP(Complete[[#This Row],[Code
(PAP)]],[1]Sheet1!$A:$AO,7,FALSE)</f>
        <v>45363</v>
      </c>
      <c r="H204" s="374"/>
      <c r="I204" s="394" t="str">
        <f>VLOOKUP(Complete[[#This Row],[Code
(PAP)]],[1]Sheet1!$A:$AO,9,FALSE)</f>
        <v>N/A</v>
      </c>
      <c r="J204" s="393">
        <f>VLOOKUP(Complete[[#This Row],[Code
(PAP)]],[1]Sheet1!$A:$AO,10,FALSE)</f>
        <v>45370</v>
      </c>
      <c r="K204" s="393">
        <f>VLOOKUP(Complete[[#This Row],[Code
(PAP)]],[1]Sheet1!$A:$AO,11,FALSE)</f>
        <v>45370</v>
      </c>
      <c r="L204" s="387"/>
      <c r="M204" s="393" t="str">
        <f>VLOOKUP(Complete[[#This Row],[Code
(PAP)]],[1]Sheet1!$A:$AO,13,FALSE)</f>
        <v>N/A</v>
      </c>
      <c r="N204" s="393" t="str">
        <f>VLOOKUP(Complete[[#This Row],[Code
(PAP)]],[1]Sheet1!$A:$AO,14,FALSE)</f>
        <v>N/A</v>
      </c>
      <c r="O204" s="393">
        <f>VLOOKUP(Complete[[#This Row],[Code
(PAP)]],[1]Sheet1!$A:$AO,15,FALSE)</f>
        <v>45372</v>
      </c>
      <c r="P204" s="387"/>
      <c r="Q204" s="387"/>
      <c r="R204" s="387"/>
      <c r="S204" s="576" t="str">
        <f>VLOOKUP(Complete[[#This Row],[Code
(PAP)]],[1]Sheet1!$A:$AO,19,FALSE)</f>
        <v>N/A</v>
      </c>
      <c r="T204" s="576">
        <f>VLOOKUP(Complete[[#This Row],[Code
(PAP)]],[1]Sheet1!$A:$AO,20,FALSE)</f>
        <v>45386</v>
      </c>
      <c r="U204" s="576">
        <f>VLOOKUP(Complete[[#This Row],[Code
(PAP)]],[1]Sheet1!$A:$AO,21,FALSE)</f>
        <v>45394</v>
      </c>
      <c r="V204" s="387"/>
      <c r="W204" s="387"/>
      <c r="X204" s="392">
        <v>45406</v>
      </c>
      <c r="Y204" s="392">
        <f>Complete[[#This Row],[Delivery/ Completion]]</f>
        <v>45406</v>
      </c>
      <c r="Z204" s="610" t="s">
        <v>1478</v>
      </c>
      <c r="AA204" s="462">
        <f>Complete[[#This Row],[MOOE]]+Complete[[#This Row],[CO]]</f>
        <v>26400</v>
      </c>
      <c r="AB204" s="466"/>
      <c r="AC204" s="497">
        <v>26400</v>
      </c>
      <c r="AD204" s="498">
        <f>IF(Complete[[#This Row],[Procurement Project]]="","",SUM(Complete[[#This Row],[MOOE2]]+Complete[[#This Row],[CO3]]))</f>
        <v>26200</v>
      </c>
      <c r="AE204" s="501"/>
      <c r="AF204" s="541">
        <v>26200</v>
      </c>
      <c r="AG204" s="400"/>
      <c r="AH204" s="380" t="s">
        <v>1205</v>
      </c>
      <c r="AI204" s="576" t="str">
        <f>VLOOKUP(Complete[[#This Row],[Code
(PAP)]],[1]Sheet1!$A:$AO,35,FALSE)</f>
        <v>N/A</v>
      </c>
      <c r="AJ204" s="576" t="str">
        <f>VLOOKUP(Complete[[#This Row],[Code
(PAP)]],[1]Sheet1!$A:$AO,36,FALSE)</f>
        <v>N/A</v>
      </c>
      <c r="AK204" s="576" t="str">
        <f>VLOOKUP(Complete[[#This Row],[Code
(PAP)]],[1]Sheet1!$A:$AO,37,FALSE)</f>
        <v>N/A</v>
      </c>
      <c r="AL204" s="576" t="str">
        <f>VLOOKUP(Complete[[#This Row],[Code
(PAP)]],[1]Sheet1!$A:$AO,38,FALSE)</f>
        <v>N/A</v>
      </c>
      <c r="AM204" s="576" t="str">
        <f>VLOOKUP(Complete[[#This Row],[Code
(PAP)]],[1]Sheet1!$A:$AO,38,FALSE)</f>
        <v>N/A</v>
      </c>
      <c r="AN204" s="595" t="s">
        <v>713</v>
      </c>
      <c r="AO204" s="303" t="s">
        <v>139</v>
      </c>
      <c r="AP204" s="389"/>
      <c r="AQ204" s="389"/>
    </row>
    <row r="205" spans="1:43" s="224" customFormat="1" ht="75" customHeight="1" x14ac:dyDescent="0.25">
      <c r="A205" s="385" t="s">
        <v>383</v>
      </c>
      <c r="B205" s="406" t="str">
        <f>VLOOKUP(Complete[[#This Row],[Code
(PAP)]],[1]Sheet1!$A:$AO,2,FALSE)</f>
        <v>JANITORIAL SUPPLIES</v>
      </c>
      <c r="C205" s="408" t="str">
        <f>VLOOKUP(Complete[[#This Row],[Code
(PAP)]],[1]Sheet1!$A:$AO,3,FALSE)</f>
        <v>PAO-ADMIN</v>
      </c>
      <c r="D205" s="380" t="s">
        <v>712</v>
      </c>
      <c r="E205" s="409" t="str">
        <f>VLOOKUP(Complete[[#This Row],[Code
(PAP)]],[2]Sheet1!$A:$AO,5,FALSE)</f>
        <v>NP-53.9 - Small Value Procurement</v>
      </c>
      <c r="F205" s="393" t="str">
        <f>VLOOKUP(Complete[[#This Row],[Code
(PAP)]],[1]Sheet1!$A:$AO,6,FALSE)</f>
        <v>N/A</v>
      </c>
      <c r="G205" s="393">
        <f>VLOOKUP(Complete[[#This Row],[Code
(PAP)]],[1]Sheet1!$A:$AO,7,FALSE)</f>
        <v>45359</v>
      </c>
      <c r="H205" s="374"/>
      <c r="I205" s="394" t="str">
        <f>VLOOKUP(Complete[[#This Row],[Code
(PAP)]],[1]Sheet1!$A:$AO,9,FALSE)</f>
        <v>N/A</v>
      </c>
      <c r="J205" s="393">
        <f>VLOOKUP(Complete[[#This Row],[Code
(PAP)]],[1]Sheet1!$A:$AO,10,FALSE)</f>
        <v>45370</v>
      </c>
      <c r="K205" s="393">
        <f>VLOOKUP(Complete[[#This Row],[Code
(PAP)]],[1]Sheet1!$A:$AO,11,FALSE)</f>
        <v>45370</v>
      </c>
      <c r="L205" s="387"/>
      <c r="M205" s="393" t="str">
        <f>VLOOKUP(Complete[[#This Row],[Code
(PAP)]],[1]Sheet1!$A:$AO,13,FALSE)</f>
        <v>N/A</v>
      </c>
      <c r="N205" s="393" t="str">
        <f>VLOOKUP(Complete[[#This Row],[Code
(PAP)]],[1]Sheet1!$A:$AO,14,FALSE)</f>
        <v>N/A</v>
      </c>
      <c r="O205" s="393">
        <f>VLOOKUP(Complete[[#This Row],[Code
(PAP)]],[1]Sheet1!$A:$AO,15,FALSE)</f>
        <v>45372</v>
      </c>
      <c r="P205" s="387"/>
      <c r="Q205" s="387"/>
      <c r="R205" s="387"/>
      <c r="S205" s="576">
        <f>VLOOKUP(Complete[[#This Row],[Code
(PAP)]],[1]Sheet1!$A:$AO,19,FALSE)</f>
        <v>45378</v>
      </c>
      <c r="T205" s="576">
        <f>VLOOKUP(Complete[[#This Row],[Code
(PAP)]],[1]Sheet1!$A:$AO,20,FALSE)</f>
        <v>45387</v>
      </c>
      <c r="U205" s="576">
        <f>VLOOKUP(Complete[[#This Row],[Code
(PAP)]],[1]Sheet1!$A:$AO,21,FALSE)</f>
        <v>45394</v>
      </c>
      <c r="V205" s="387"/>
      <c r="W205" s="387"/>
      <c r="X205" s="392">
        <f>VLOOKUP(Complete[[#This Row],[Code
(PAP)]],[1]Sheet1!$A:$AO,24,FALSE)</f>
        <v>45407</v>
      </c>
      <c r="Y205" s="392">
        <f>Complete[[#This Row],[Delivery/ Completion]]</f>
        <v>45407</v>
      </c>
      <c r="Z205" s="610" t="s">
        <v>1478</v>
      </c>
      <c r="AA205" s="462">
        <f>Complete[[#This Row],[MOOE]]+Complete[[#This Row],[CO]]</f>
        <v>54864</v>
      </c>
      <c r="AB205" s="466">
        <v>54864</v>
      </c>
      <c r="AC205" s="497"/>
      <c r="AD205" s="498">
        <f>IF(Complete[[#This Row],[Procurement Project]]="","",SUM(Complete[[#This Row],[MOOE2]]+Complete[[#This Row],[CO3]]))</f>
        <v>54665</v>
      </c>
      <c r="AE205" s="501">
        <v>54665</v>
      </c>
      <c r="AF205" s="541"/>
      <c r="AG205" s="400"/>
      <c r="AH205" s="380" t="s">
        <v>1205</v>
      </c>
      <c r="AI205" s="576" t="str">
        <f>VLOOKUP(Complete[[#This Row],[Code
(PAP)]],[1]Sheet1!$A:$AO,35,FALSE)</f>
        <v>N/A</v>
      </c>
      <c r="AJ205" s="576" t="str">
        <f>VLOOKUP(Complete[[#This Row],[Code
(PAP)]],[1]Sheet1!$A:$AO,36,FALSE)</f>
        <v>N/A</v>
      </c>
      <c r="AK205" s="576" t="str">
        <f>VLOOKUP(Complete[[#This Row],[Code
(PAP)]],[1]Sheet1!$A:$AO,37,FALSE)</f>
        <v>N/A</v>
      </c>
      <c r="AL205" s="576" t="str">
        <f>VLOOKUP(Complete[[#This Row],[Code
(PAP)]],[1]Sheet1!$A:$AO,38,FALSE)</f>
        <v>N/A</v>
      </c>
      <c r="AM205" s="576" t="str">
        <f>VLOOKUP(Complete[[#This Row],[Code
(PAP)]],[1]Sheet1!$A:$AO,38,FALSE)</f>
        <v>N/A</v>
      </c>
      <c r="AN205" s="595" t="s">
        <v>713</v>
      </c>
      <c r="AO205" s="303" t="s">
        <v>139</v>
      </c>
      <c r="AP205" s="389"/>
      <c r="AQ205" s="389"/>
    </row>
    <row r="206" spans="1:43" s="224" customFormat="1" ht="75" customHeight="1" x14ac:dyDescent="0.25">
      <c r="A206" s="385" t="s">
        <v>384</v>
      </c>
      <c r="B206" s="406" t="str">
        <f>VLOOKUP(Complete[[#This Row],[Code
(PAP)]],[1]Sheet1!$A:$AO,2,FALSE)</f>
        <v>COMPUTER SUPPLIES</v>
      </c>
      <c r="C206" s="408" t="str">
        <f>VLOOKUP(Complete[[#This Row],[Code
(PAP)]],[1]Sheet1!$A:$AO,3,FALSE)</f>
        <v>PENRO</v>
      </c>
      <c r="D206" s="380" t="s">
        <v>712</v>
      </c>
      <c r="E206" s="409" t="str">
        <f>VLOOKUP(Complete[[#This Row],[Code
(PAP)]],[2]Sheet1!$A:$AO,5,FALSE)</f>
        <v>NP-53.9 - Small Value Procurement</v>
      </c>
      <c r="F206" s="393" t="str">
        <f>VLOOKUP(Complete[[#This Row],[Code
(PAP)]],[1]Sheet1!$A:$AO,6,FALSE)</f>
        <v>N/A</v>
      </c>
      <c r="G206" s="393">
        <f>VLOOKUP(Complete[[#This Row],[Code
(PAP)]],[1]Sheet1!$A:$AO,7,FALSE)</f>
        <v>45352</v>
      </c>
      <c r="H206" s="374"/>
      <c r="I206" s="394" t="str">
        <f>VLOOKUP(Complete[[#This Row],[Code
(PAP)]],[1]Sheet1!$A:$AO,9,FALSE)</f>
        <v>N/A</v>
      </c>
      <c r="J206" s="393">
        <f>VLOOKUP(Complete[[#This Row],[Code
(PAP)]],[1]Sheet1!$A:$AO,10,FALSE)</f>
        <v>45370</v>
      </c>
      <c r="K206" s="393">
        <f>VLOOKUP(Complete[[#This Row],[Code
(PAP)]],[1]Sheet1!$A:$AO,11,FALSE)</f>
        <v>45370</v>
      </c>
      <c r="L206" s="387"/>
      <c r="M206" s="393" t="str">
        <f>VLOOKUP(Complete[[#This Row],[Code
(PAP)]],[1]Sheet1!$A:$AO,13,FALSE)</f>
        <v>N/A</v>
      </c>
      <c r="N206" s="393" t="str">
        <f>VLOOKUP(Complete[[#This Row],[Code
(PAP)]],[1]Sheet1!$A:$AO,14,FALSE)</f>
        <v>N/A</v>
      </c>
      <c r="O206" s="393">
        <f>VLOOKUP(Complete[[#This Row],[Code
(PAP)]],[1]Sheet1!$A:$AO,15,FALSE)</f>
        <v>45372</v>
      </c>
      <c r="P206" s="387"/>
      <c r="Q206" s="387"/>
      <c r="R206" s="387"/>
      <c r="S206" s="576" t="str">
        <f>VLOOKUP(Complete[[#This Row],[Code
(PAP)]],[1]Sheet1!$A:$AO,19,FALSE)</f>
        <v>N/A</v>
      </c>
      <c r="T206" s="576">
        <f>VLOOKUP(Complete[[#This Row],[Code
(PAP)]],[1]Sheet1!$A:$AO,20,FALSE)</f>
        <v>45387</v>
      </c>
      <c r="U206" s="576">
        <f>VLOOKUP(Complete[[#This Row],[Code
(PAP)]],[1]Sheet1!$A:$AO,21,FALSE)</f>
        <v>45394</v>
      </c>
      <c r="V206" s="387"/>
      <c r="W206" s="387"/>
      <c r="X206" s="392">
        <f>VLOOKUP(Complete[[#This Row],[Code
(PAP)]],[1]Sheet1!$A:$AO,24,FALSE)</f>
        <v>45440</v>
      </c>
      <c r="Y206" s="392">
        <f>Complete[[#This Row],[Delivery/ Completion]]</f>
        <v>45440</v>
      </c>
      <c r="Z206" s="610" t="s">
        <v>1478</v>
      </c>
      <c r="AA206" s="462">
        <f>Complete[[#This Row],[MOOE]]+Complete[[#This Row],[CO]]</f>
        <v>18995</v>
      </c>
      <c r="AB206" s="466"/>
      <c r="AC206" s="497">
        <v>18995</v>
      </c>
      <c r="AD206" s="498">
        <f>IF(Complete[[#This Row],[Procurement Project]]="","",SUM(Complete[[#This Row],[MOOE2]]+Complete[[#This Row],[CO3]]))</f>
        <v>18991</v>
      </c>
      <c r="AE206" s="501"/>
      <c r="AF206" s="541">
        <v>18991</v>
      </c>
      <c r="AG206" s="400"/>
      <c r="AH206" s="380" t="s">
        <v>1205</v>
      </c>
      <c r="AI206" s="576" t="str">
        <f>VLOOKUP(Complete[[#This Row],[Code
(PAP)]],[1]Sheet1!$A:$AO,35,FALSE)</f>
        <v>N/A</v>
      </c>
      <c r="AJ206" s="576" t="str">
        <f>VLOOKUP(Complete[[#This Row],[Code
(PAP)]],[1]Sheet1!$A:$AO,36,FALSE)</f>
        <v>N/A</v>
      </c>
      <c r="AK206" s="576" t="str">
        <f>VLOOKUP(Complete[[#This Row],[Code
(PAP)]],[1]Sheet1!$A:$AO,37,FALSE)</f>
        <v>N/A</v>
      </c>
      <c r="AL206" s="576" t="str">
        <f>VLOOKUP(Complete[[#This Row],[Code
(PAP)]],[1]Sheet1!$A:$AO,38,FALSE)</f>
        <v>N/A</v>
      </c>
      <c r="AM206" s="576" t="str">
        <f>VLOOKUP(Complete[[#This Row],[Code
(PAP)]],[1]Sheet1!$A:$AO,38,FALSE)</f>
        <v>N/A</v>
      </c>
      <c r="AN206" s="595" t="s">
        <v>713</v>
      </c>
      <c r="AO206" s="303" t="s">
        <v>139</v>
      </c>
      <c r="AP206" s="389"/>
      <c r="AQ206" s="389"/>
    </row>
    <row r="207" spans="1:43" s="224" customFormat="1" ht="75" customHeight="1" x14ac:dyDescent="0.25">
      <c r="A207" s="385" t="s">
        <v>385</v>
      </c>
      <c r="B207" s="406" t="str">
        <f>VLOOKUP(Complete[[#This Row],[Code
(PAP)]],[1]Sheet1!$A:$AO,2,FALSE)</f>
        <v>OFFICE EQUIPMENT</v>
      </c>
      <c r="C207" s="408" t="str">
        <f>VLOOKUP(Complete[[#This Row],[Code
(PAP)]],[1]Sheet1!$A:$AO,3,FALSE)</f>
        <v>PPDO</v>
      </c>
      <c r="D207" s="380" t="s">
        <v>712</v>
      </c>
      <c r="E207" s="409" t="str">
        <f>VLOOKUP(Complete[[#This Row],[Code
(PAP)]],[2]Sheet1!$A:$AO,5,FALSE)</f>
        <v>NP-53.9 - Small Value Procurement</v>
      </c>
      <c r="F207" s="393">
        <f>VLOOKUP(Complete[[#This Row],[Code
(PAP)]],[1]Sheet1!$A:$AO,6,FALSE)</f>
        <v>45356</v>
      </c>
      <c r="G207" s="393">
        <f>VLOOKUP(Complete[[#This Row],[Code
(PAP)]],[1]Sheet1!$A:$AO,7,FALSE)</f>
        <v>45359</v>
      </c>
      <c r="H207" s="374"/>
      <c r="I207" s="394" t="str">
        <f>VLOOKUP(Complete[[#This Row],[Code
(PAP)]],[1]Sheet1!$A:$AO,9,FALSE)</f>
        <v>N/A</v>
      </c>
      <c r="J207" s="393">
        <f>VLOOKUP(Complete[[#This Row],[Code
(PAP)]],[1]Sheet1!$A:$AO,10,FALSE)</f>
        <v>45370</v>
      </c>
      <c r="K207" s="393">
        <f>VLOOKUP(Complete[[#This Row],[Code
(PAP)]],[1]Sheet1!$A:$AO,11,FALSE)</f>
        <v>45370</v>
      </c>
      <c r="L207" s="387"/>
      <c r="M207" s="393" t="str">
        <f>VLOOKUP(Complete[[#This Row],[Code
(PAP)]],[1]Sheet1!$A:$AO,13,FALSE)</f>
        <v>N/A</v>
      </c>
      <c r="N207" s="393" t="str">
        <f>VLOOKUP(Complete[[#This Row],[Code
(PAP)]],[1]Sheet1!$A:$AO,14,FALSE)</f>
        <v>N/A</v>
      </c>
      <c r="O207" s="393">
        <f>VLOOKUP(Complete[[#This Row],[Code
(PAP)]],[1]Sheet1!$A:$AO,15,FALSE)</f>
        <v>45372</v>
      </c>
      <c r="P207" s="387"/>
      <c r="Q207" s="387"/>
      <c r="R207" s="387"/>
      <c r="S207" s="576" t="str">
        <f>VLOOKUP(Complete[[#This Row],[Code
(PAP)]],[1]Sheet1!$A:$AO,19,FALSE)</f>
        <v>N/A</v>
      </c>
      <c r="T207" s="576">
        <f>VLOOKUP(Complete[[#This Row],[Code
(PAP)]],[1]Sheet1!$A:$AO,20,FALSE)</f>
        <v>45390</v>
      </c>
      <c r="U207" s="576">
        <f>VLOOKUP(Complete[[#This Row],[Code
(PAP)]],[1]Sheet1!$A:$AO,21,FALSE)</f>
        <v>45394</v>
      </c>
      <c r="V207" s="387"/>
      <c r="W207" s="387"/>
      <c r="X207" s="392">
        <v>45440</v>
      </c>
      <c r="Y207" s="392">
        <f>Complete[[#This Row],[Delivery/ Completion]]</f>
        <v>45440</v>
      </c>
      <c r="Z207" s="610" t="s">
        <v>1478</v>
      </c>
      <c r="AA207" s="462">
        <f>Complete[[#This Row],[MOOE]]+Complete[[#This Row],[CO]]</f>
        <v>26840</v>
      </c>
      <c r="AB207" s="466">
        <v>26840</v>
      </c>
      <c r="AC207" s="497"/>
      <c r="AD207" s="498">
        <f>IF(Complete[[#This Row],[Procurement Project]]="","",SUM(Complete[[#This Row],[MOOE2]]+Complete[[#This Row],[CO3]]))</f>
        <v>26840</v>
      </c>
      <c r="AE207" s="501">
        <v>26840</v>
      </c>
      <c r="AF207" s="541"/>
      <c r="AG207" s="400"/>
      <c r="AH207" s="380" t="s">
        <v>1205</v>
      </c>
      <c r="AI207" s="576" t="str">
        <f>VLOOKUP(Complete[[#This Row],[Code
(PAP)]],[1]Sheet1!$A:$AO,35,FALSE)</f>
        <v>N/A</v>
      </c>
      <c r="AJ207" s="576" t="str">
        <f>VLOOKUP(Complete[[#This Row],[Code
(PAP)]],[1]Sheet1!$A:$AO,36,FALSE)</f>
        <v>N/A</v>
      </c>
      <c r="AK207" s="576" t="str">
        <f>VLOOKUP(Complete[[#This Row],[Code
(PAP)]],[1]Sheet1!$A:$AO,37,FALSE)</f>
        <v>N/A</v>
      </c>
      <c r="AL207" s="576" t="str">
        <f>VLOOKUP(Complete[[#This Row],[Code
(PAP)]],[1]Sheet1!$A:$AO,38,FALSE)</f>
        <v>N/A</v>
      </c>
      <c r="AM207" s="576" t="str">
        <f>VLOOKUP(Complete[[#This Row],[Code
(PAP)]],[1]Sheet1!$A:$AO,38,FALSE)</f>
        <v>N/A</v>
      </c>
      <c r="AN207" s="595" t="s">
        <v>713</v>
      </c>
      <c r="AO207" s="303" t="s">
        <v>139</v>
      </c>
      <c r="AP207" s="389"/>
      <c r="AQ207" s="389"/>
    </row>
    <row r="208" spans="1:43" s="224" customFormat="1" ht="75" customHeight="1" x14ac:dyDescent="0.25">
      <c r="A208" s="385" t="s">
        <v>386</v>
      </c>
      <c r="B208" s="406" t="str">
        <f>VLOOKUP(Complete[[#This Row],[Code
(PAP)]],[1]Sheet1!$A:$AO,2,FALSE)</f>
        <v>OFFICE EQUIPMENT</v>
      </c>
      <c r="C208" s="408" t="str">
        <f>VLOOKUP(Complete[[#This Row],[Code
(PAP)]],[1]Sheet1!$A:$AO,3,FALSE)</f>
        <v>PPDO</v>
      </c>
      <c r="D208" s="380" t="s">
        <v>712</v>
      </c>
      <c r="E208" s="409" t="str">
        <f>VLOOKUP(Complete[[#This Row],[Code
(PAP)]],[2]Sheet1!$A:$AO,5,FALSE)</f>
        <v>NP-53.9 - Small Value Procurement</v>
      </c>
      <c r="F208" s="393">
        <f>VLOOKUP(Complete[[#This Row],[Code
(PAP)]],[1]Sheet1!$A:$AO,6,FALSE)</f>
        <v>45356</v>
      </c>
      <c r="G208" s="393">
        <f>VLOOKUP(Complete[[#This Row],[Code
(PAP)]],[1]Sheet1!$A:$AO,7,FALSE)</f>
        <v>45359</v>
      </c>
      <c r="H208" s="374"/>
      <c r="I208" s="394" t="str">
        <f>VLOOKUP(Complete[[#This Row],[Code
(PAP)]],[1]Sheet1!$A:$AO,9,FALSE)</f>
        <v>N/A</v>
      </c>
      <c r="J208" s="393">
        <f>VLOOKUP(Complete[[#This Row],[Code
(PAP)]],[1]Sheet1!$A:$AO,10,FALSE)</f>
        <v>45370</v>
      </c>
      <c r="K208" s="393">
        <f>VLOOKUP(Complete[[#This Row],[Code
(PAP)]],[1]Sheet1!$A:$AO,11,FALSE)</f>
        <v>45370</v>
      </c>
      <c r="L208" s="387"/>
      <c r="M208" s="393" t="str">
        <f>VLOOKUP(Complete[[#This Row],[Code
(PAP)]],[1]Sheet1!$A:$AO,13,FALSE)</f>
        <v>N/A</v>
      </c>
      <c r="N208" s="393" t="str">
        <f>VLOOKUP(Complete[[#This Row],[Code
(PAP)]],[1]Sheet1!$A:$AO,14,FALSE)</f>
        <v>N/A</v>
      </c>
      <c r="O208" s="393">
        <f>VLOOKUP(Complete[[#This Row],[Code
(PAP)]],[1]Sheet1!$A:$AO,15,FALSE)</f>
        <v>45372</v>
      </c>
      <c r="P208" s="387"/>
      <c r="Q208" s="387"/>
      <c r="R208" s="387"/>
      <c r="S208" s="576" t="str">
        <f>VLOOKUP(Complete[[#This Row],[Code
(PAP)]],[1]Sheet1!$A:$AO,19,FALSE)</f>
        <v>N/A</v>
      </c>
      <c r="T208" s="576">
        <f>VLOOKUP(Complete[[#This Row],[Code
(PAP)]],[1]Sheet1!$A:$AO,20,FALSE)</f>
        <v>45390</v>
      </c>
      <c r="U208" s="576">
        <f>VLOOKUP(Complete[[#This Row],[Code
(PAP)]],[1]Sheet1!$A:$AO,21,FALSE)</f>
        <v>45394</v>
      </c>
      <c r="V208" s="387"/>
      <c r="W208" s="387"/>
      <c r="X208" s="392">
        <v>45408</v>
      </c>
      <c r="Y208" s="392">
        <f>Complete[[#This Row],[Delivery/ Completion]]</f>
        <v>45408</v>
      </c>
      <c r="Z208" s="610" t="s">
        <v>1478</v>
      </c>
      <c r="AA208" s="462">
        <f>Complete[[#This Row],[MOOE]]+Complete[[#This Row],[CO]]</f>
        <v>7800</v>
      </c>
      <c r="AB208" s="466">
        <v>7800</v>
      </c>
      <c r="AC208" s="497"/>
      <c r="AD208" s="498">
        <f>IF(Complete[[#This Row],[Procurement Project]]="","",SUM(Complete[[#This Row],[MOOE2]]+Complete[[#This Row],[CO3]]))</f>
        <v>7800</v>
      </c>
      <c r="AE208" s="501">
        <v>7800</v>
      </c>
      <c r="AF208" s="541"/>
      <c r="AG208" s="400"/>
      <c r="AH208" s="380" t="s">
        <v>1205</v>
      </c>
      <c r="AI208" s="576" t="str">
        <f>VLOOKUP(Complete[[#This Row],[Code
(PAP)]],[1]Sheet1!$A:$AO,35,FALSE)</f>
        <v>N/A</v>
      </c>
      <c r="AJ208" s="576" t="str">
        <f>VLOOKUP(Complete[[#This Row],[Code
(PAP)]],[1]Sheet1!$A:$AO,36,FALSE)</f>
        <v>N/A</v>
      </c>
      <c r="AK208" s="576" t="str">
        <f>VLOOKUP(Complete[[#This Row],[Code
(PAP)]],[1]Sheet1!$A:$AO,37,FALSE)</f>
        <v>N/A</v>
      </c>
      <c r="AL208" s="576" t="str">
        <f>VLOOKUP(Complete[[#This Row],[Code
(PAP)]],[1]Sheet1!$A:$AO,38,FALSE)</f>
        <v>N/A</v>
      </c>
      <c r="AM208" s="576" t="str">
        <f>VLOOKUP(Complete[[#This Row],[Code
(PAP)]],[1]Sheet1!$A:$AO,38,FALSE)</f>
        <v>N/A</v>
      </c>
      <c r="AN208" s="595" t="s">
        <v>713</v>
      </c>
      <c r="AO208" s="303" t="s">
        <v>139</v>
      </c>
      <c r="AP208" s="389"/>
      <c r="AQ208" s="389"/>
    </row>
    <row r="209" spans="1:43" s="224" customFormat="1" ht="75" customHeight="1" x14ac:dyDescent="0.25">
      <c r="A209" s="385" t="s">
        <v>387</v>
      </c>
      <c r="B209" s="406" t="str">
        <f>VLOOKUP(Complete[[#This Row],[Code
(PAP)]],[1]Sheet1!$A:$AO,2,FALSE)</f>
        <v>JANITORIAL SUPPLIES/HOUSEKEEPING</v>
      </c>
      <c r="C209" s="408" t="str">
        <f>VLOOKUP(Complete[[#This Row],[Code
(PAP)]],[1]Sheet1!$A:$AO,3,FALSE)</f>
        <v>PLO</v>
      </c>
      <c r="D209" s="380" t="s">
        <v>712</v>
      </c>
      <c r="E209" s="409" t="str">
        <f>VLOOKUP(Complete[[#This Row],[Code
(PAP)]],[2]Sheet1!$A:$AO,5,FALSE)</f>
        <v>NP-53.9 - Small Value Procurement</v>
      </c>
      <c r="F209" s="393" t="str">
        <f>VLOOKUP(Complete[[#This Row],[Code
(PAP)]],[1]Sheet1!$A:$AO,6,FALSE)</f>
        <v>N/A</v>
      </c>
      <c r="G209" s="393">
        <f>VLOOKUP(Complete[[#This Row],[Code
(PAP)]],[1]Sheet1!$A:$AO,7,FALSE)</f>
        <v>45359</v>
      </c>
      <c r="H209" s="374"/>
      <c r="I209" s="394" t="str">
        <f>VLOOKUP(Complete[[#This Row],[Code
(PAP)]],[1]Sheet1!$A:$AO,9,FALSE)</f>
        <v>N/A</v>
      </c>
      <c r="J209" s="393">
        <f>VLOOKUP(Complete[[#This Row],[Code
(PAP)]],[1]Sheet1!$A:$AO,10,FALSE)</f>
        <v>45370</v>
      </c>
      <c r="K209" s="393">
        <f>VLOOKUP(Complete[[#This Row],[Code
(PAP)]],[1]Sheet1!$A:$AO,11,FALSE)</f>
        <v>45370</v>
      </c>
      <c r="L209" s="387"/>
      <c r="M209" s="393" t="str">
        <f>VLOOKUP(Complete[[#This Row],[Code
(PAP)]],[1]Sheet1!$A:$AO,13,FALSE)</f>
        <v>N/A</v>
      </c>
      <c r="N209" s="393" t="str">
        <f>VLOOKUP(Complete[[#This Row],[Code
(PAP)]],[1]Sheet1!$A:$AO,14,FALSE)</f>
        <v>N/A</v>
      </c>
      <c r="O209" s="393">
        <f>VLOOKUP(Complete[[#This Row],[Code
(PAP)]],[1]Sheet1!$A:$AO,15,FALSE)</f>
        <v>45372</v>
      </c>
      <c r="P209" s="387"/>
      <c r="Q209" s="387"/>
      <c r="R209" s="387"/>
      <c r="S209" s="576" t="str">
        <f>VLOOKUP(Complete[[#This Row],[Code
(PAP)]],[1]Sheet1!$A:$AO,19,FALSE)</f>
        <v>N/A</v>
      </c>
      <c r="T209" s="576">
        <f>VLOOKUP(Complete[[#This Row],[Code
(PAP)]],[1]Sheet1!$A:$AO,20,FALSE)</f>
        <v>45387</v>
      </c>
      <c r="U209" s="576">
        <f>VLOOKUP(Complete[[#This Row],[Code
(PAP)]],[1]Sheet1!$A:$AO,21,FALSE)</f>
        <v>45394</v>
      </c>
      <c r="V209" s="387"/>
      <c r="W209" s="387"/>
      <c r="X209" s="392">
        <v>45461</v>
      </c>
      <c r="Y209" s="392">
        <f>Complete[[#This Row],[Delivery/ Completion]]</f>
        <v>45461</v>
      </c>
      <c r="Z209" s="610" t="s">
        <v>1478</v>
      </c>
      <c r="AA209" s="462">
        <f>Complete[[#This Row],[MOOE]]+Complete[[#This Row],[CO]]</f>
        <v>15193</v>
      </c>
      <c r="AB209" s="466">
        <v>15193</v>
      </c>
      <c r="AC209" s="497"/>
      <c r="AD209" s="498">
        <f>IF(Complete[[#This Row],[Procurement Project]]="","",SUM(Complete[[#This Row],[MOOE2]]+Complete[[#This Row],[CO3]]))</f>
        <v>15141</v>
      </c>
      <c r="AE209" s="501">
        <v>15141</v>
      </c>
      <c r="AF209" s="541"/>
      <c r="AG209" s="400"/>
      <c r="AH209" s="380" t="s">
        <v>1205</v>
      </c>
      <c r="AI209" s="576" t="str">
        <f>VLOOKUP(Complete[[#This Row],[Code
(PAP)]],[1]Sheet1!$A:$AO,35,FALSE)</f>
        <v>N/A</v>
      </c>
      <c r="AJ209" s="576" t="str">
        <f>VLOOKUP(Complete[[#This Row],[Code
(PAP)]],[1]Sheet1!$A:$AO,36,FALSE)</f>
        <v>N/A</v>
      </c>
      <c r="AK209" s="576" t="str">
        <f>VLOOKUP(Complete[[#This Row],[Code
(PAP)]],[1]Sheet1!$A:$AO,37,FALSE)</f>
        <v>N/A</v>
      </c>
      <c r="AL209" s="576" t="str">
        <f>VLOOKUP(Complete[[#This Row],[Code
(PAP)]],[1]Sheet1!$A:$AO,38,FALSE)</f>
        <v>N/A</v>
      </c>
      <c r="AM209" s="576" t="str">
        <f>VLOOKUP(Complete[[#This Row],[Code
(PAP)]],[1]Sheet1!$A:$AO,38,FALSE)</f>
        <v>N/A</v>
      </c>
      <c r="AN209" s="595" t="s">
        <v>713</v>
      </c>
      <c r="AO209" s="303" t="s">
        <v>139</v>
      </c>
      <c r="AP209" s="389"/>
      <c r="AQ209" s="389"/>
    </row>
    <row r="210" spans="1:43" s="224" customFormat="1" ht="75" customHeight="1" x14ac:dyDescent="0.25">
      <c r="A210" s="385" t="s">
        <v>388</v>
      </c>
      <c r="B210" s="406" t="str">
        <f>VLOOKUP(Complete[[#This Row],[Code
(PAP)]],[1]Sheet1!$A:$AO,2,FALSE)</f>
        <v>SAFETY GEARS</v>
      </c>
      <c r="C210" s="408" t="str">
        <f>VLOOKUP(Complete[[#This Row],[Code
(PAP)]],[1]Sheet1!$A:$AO,3,FALSE)</f>
        <v>PENRO</v>
      </c>
      <c r="D210" s="380" t="s">
        <v>712</v>
      </c>
      <c r="E210" s="409" t="str">
        <f>VLOOKUP(Complete[[#This Row],[Code
(PAP)]],[2]Sheet1!$A:$AO,5,FALSE)</f>
        <v>NP-53.9 - Small Value Procurement</v>
      </c>
      <c r="F210" s="393" t="str">
        <f>VLOOKUP(Complete[[#This Row],[Code
(PAP)]],[1]Sheet1!$A:$AO,6,FALSE)</f>
        <v>N/A</v>
      </c>
      <c r="G210" s="393">
        <f>VLOOKUP(Complete[[#This Row],[Code
(PAP)]],[1]Sheet1!$A:$AO,7,FALSE)</f>
        <v>45359</v>
      </c>
      <c r="H210" s="374"/>
      <c r="I210" s="394" t="str">
        <f>VLOOKUP(Complete[[#This Row],[Code
(PAP)]],[1]Sheet1!$A:$AO,9,FALSE)</f>
        <v>N/A</v>
      </c>
      <c r="J210" s="393">
        <f>VLOOKUP(Complete[[#This Row],[Code
(PAP)]],[1]Sheet1!$A:$AO,10,FALSE)</f>
        <v>45370</v>
      </c>
      <c r="K210" s="393">
        <f>VLOOKUP(Complete[[#This Row],[Code
(PAP)]],[1]Sheet1!$A:$AO,11,FALSE)</f>
        <v>45370</v>
      </c>
      <c r="L210" s="387"/>
      <c r="M210" s="393" t="str">
        <f>VLOOKUP(Complete[[#This Row],[Code
(PAP)]],[1]Sheet1!$A:$AO,13,FALSE)</f>
        <v>N/A</v>
      </c>
      <c r="N210" s="393" t="str">
        <f>VLOOKUP(Complete[[#This Row],[Code
(PAP)]],[1]Sheet1!$A:$AO,14,FALSE)</f>
        <v>N/A</v>
      </c>
      <c r="O210" s="393">
        <f>VLOOKUP(Complete[[#This Row],[Code
(PAP)]],[1]Sheet1!$A:$AO,15,FALSE)</f>
        <v>45372</v>
      </c>
      <c r="P210" s="387"/>
      <c r="Q210" s="387"/>
      <c r="R210" s="387"/>
      <c r="S210" s="576" t="str">
        <f>VLOOKUP(Complete[[#This Row],[Code
(PAP)]],[1]Sheet1!$A:$AO,19,FALSE)</f>
        <v>N/A</v>
      </c>
      <c r="T210" s="576">
        <f>VLOOKUP(Complete[[#This Row],[Code
(PAP)]],[1]Sheet1!$A:$AO,20,FALSE)</f>
        <v>45386</v>
      </c>
      <c r="U210" s="576">
        <f>VLOOKUP(Complete[[#This Row],[Code
(PAP)]],[1]Sheet1!$A:$AO,21,FALSE)</f>
        <v>45397</v>
      </c>
      <c r="V210" s="387"/>
      <c r="W210" s="387"/>
      <c r="X210" s="392">
        <f>VLOOKUP(Complete[[#This Row],[Code
(PAP)]],[1]Sheet1!$A:$AO,24,FALSE)</f>
        <v>45420</v>
      </c>
      <c r="Y210" s="392">
        <f>Complete[[#This Row],[Delivery/ Completion]]</f>
        <v>45420</v>
      </c>
      <c r="Z210" s="610" t="s">
        <v>1478</v>
      </c>
      <c r="AA210" s="462">
        <f>Complete[[#This Row],[MOOE]]+Complete[[#This Row],[CO]]</f>
        <v>46680</v>
      </c>
      <c r="AB210" s="466"/>
      <c r="AC210" s="497">
        <v>46680</v>
      </c>
      <c r="AD210" s="498">
        <f>IF(Complete[[#This Row],[Procurement Project]]="","",SUM(Complete[[#This Row],[MOOE2]]+Complete[[#This Row],[CO3]]))</f>
        <v>46331</v>
      </c>
      <c r="AE210" s="501"/>
      <c r="AF210" s="541">
        <v>46331</v>
      </c>
      <c r="AG210" s="400"/>
      <c r="AH210" s="380" t="s">
        <v>1205</v>
      </c>
      <c r="AI210" s="576" t="str">
        <f>VLOOKUP(Complete[[#This Row],[Code
(PAP)]],[1]Sheet1!$A:$AO,35,FALSE)</f>
        <v>N/A</v>
      </c>
      <c r="AJ210" s="576" t="str">
        <f>VLOOKUP(Complete[[#This Row],[Code
(PAP)]],[1]Sheet1!$A:$AO,36,FALSE)</f>
        <v>N/A</v>
      </c>
      <c r="AK210" s="576" t="str">
        <f>VLOOKUP(Complete[[#This Row],[Code
(PAP)]],[1]Sheet1!$A:$AO,37,FALSE)</f>
        <v>N/A</v>
      </c>
      <c r="AL210" s="576" t="str">
        <f>VLOOKUP(Complete[[#This Row],[Code
(PAP)]],[1]Sheet1!$A:$AO,38,FALSE)</f>
        <v>N/A</v>
      </c>
      <c r="AM210" s="576" t="str">
        <f>VLOOKUP(Complete[[#This Row],[Code
(PAP)]],[1]Sheet1!$A:$AO,38,FALSE)</f>
        <v>N/A</v>
      </c>
      <c r="AN210" s="595" t="s">
        <v>713</v>
      </c>
      <c r="AO210" s="303" t="s">
        <v>139</v>
      </c>
      <c r="AP210" s="389"/>
      <c r="AQ210" s="389"/>
    </row>
    <row r="211" spans="1:43" s="224" customFormat="1" ht="75" customHeight="1" x14ac:dyDescent="0.25">
      <c r="A211" s="385" t="s">
        <v>389</v>
      </c>
      <c r="B211" s="406" t="str">
        <f>VLOOKUP(Complete[[#This Row],[Code
(PAP)]],[1]Sheet1!$A:$AO,2,FALSE)</f>
        <v>GARMENTS</v>
      </c>
      <c r="C211" s="408" t="str">
        <f>VLOOKUP(Complete[[#This Row],[Code
(PAP)]],[1]Sheet1!$A:$AO,3,FALSE)</f>
        <v>PGO</v>
      </c>
      <c r="D211" s="380" t="s">
        <v>712</v>
      </c>
      <c r="E211" s="409" t="str">
        <f>VLOOKUP(Complete[[#This Row],[Code
(PAP)]],[2]Sheet1!$A:$AO,5,FALSE)</f>
        <v>NP-53.9 - Small Value Procurement</v>
      </c>
      <c r="F211" s="393" t="str">
        <f>VLOOKUP(Complete[[#This Row],[Code
(PAP)]],[1]Sheet1!$A:$AO,6,FALSE)</f>
        <v>N/A</v>
      </c>
      <c r="G211" s="393">
        <f>VLOOKUP(Complete[[#This Row],[Code
(PAP)]],[1]Sheet1!$A:$AO,7,FALSE)</f>
        <v>45366</v>
      </c>
      <c r="H211" s="374"/>
      <c r="I211" s="394" t="str">
        <f>VLOOKUP(Complete[[#This Row],[Code
(PAP)]],[1]Sheet1!$A:$AO,9,FALSE)</f>
        <v>N/A</v>
      </c>
      <c r="J211" s="393">
        <f>VLOOKUP(Complete[[#This Row],[Code
(PAP)]],[1]Sheet1!$A:$AO,10,FALSE)</f>
        <v>45370</v>
      </c>
      <c r="K211" s="393">
        <f>VLOOKUP(Complete[[#This Row],[Code
(PAP)]],[1]Sheet1!$A:$AO,11,FALSE)</f>
        <v>45370</v>
      </c>
      <c r="L211" s="387"/>
      <c r="M211" s="393" t="str">
        <f>VLOOKUP(Complete[[#This Row],[Code
(PAP)]],[1]Sheet1!$A:$AO,13,FALSE)</f>
        <v>N/A</v>
      </c>
      <c r="N211" s="393" t="str">
        <f>VLOOKUP(Complete[[#This Row],[Code
(PAP)]],[1]Sheet1!$A:$AO,14,FALSE)</f>
        <v>N/A</v>
      </c>
      <c r="O211" s="393">
        <f>VLOOKUP(Complete[[#This Row],[Code
(PAP)]],[1]Sheet1!$A:$AO,15,FALSE)</f>
        <v>45370</v>
      </c>
      <c r="P211" s="387"/>
      <c r="Q211" s="387"/>
      <c r="R211" s="387"/>
      <c r="S211" s="576">
        <f>VLOOKUP(Complete[[#This Row],[Code
(PAP)]],[1]Sheet1!$A:$AO,19,FALSE)</f>
        <v>45370</v>
      </c>
      <c r="T211" s="576">
        <f>VLOOKUP(Complete[[#This Row],[Code
(PAP)]],[1]Sheet1!$A:$AO,20,FALSE)</f>
        <v>45370</v>
      </c>
      <c r="U211" s="576">
        <f>VLOOKUP(Complete[[#This Row],[Code
(PAP)]],[1]Sheet1!$A:$AO,21,FALSE)</f>
        <v>45370</v>
      </c>
      <c r="V211" s="387"/>
      <c r="W211" s="387"/>
      <c r="X211" s="392">
        <v>45378</v>
      </c>
      <c r="Y211" s="392">
        <f>Complete[[#This Row],[Delivery/ Completion]]</f>
        <v>45378</v>
      </c>
      <c r="Z211" s="610" t="s">
        <v>1478</v>
      </c>
      <c r="AA211" s="462">
        <f>Complete[[#This Row],[MOOE]]+Complete[[#This Row],[CO]]</f>
        <v>25000</v>
      </c>
      <c r="AB211" s="466"/>
      <c r="AC211" s="497">
        <v>25000</v>
      </c>
      <c r="AD211" s="498">
        <f>IF(Complete[[#This Row],[Procurement Project]]="","",SUM(Complete[[#This Row],[MOOE2]]+Complete[[#This Row],[CO3]]))</f>
        <v>25000</v>
      </c>
      <c r="AE211" s="501"/>
      <c r="AF211" s="541">
        <v>25000</v>
      </c>
      <c r="AG211" s="400"/>
      <c r="AH211" s="380" t="s">
        <v>1205</v>
      </c>
      <c r="AI211" s="576" t="str">
        <f>VLOOKUP(Complete[[#This Row],[Code
(PAP)]],[1]Sheet1!$A:$AO,35,FALSE)</f>
        <v>N/A</v>
      </c>
      <c r="AJ211" s="576" t="str">
        <f>VLOOKUP(Complete[[#This Row],[Code
(PAP)]],[1]Sheet1!$A:$AO,36,FALSE)</f>
        <v>N/A</v>
      </c>
      <c r="AK211" s="576" t="str">
        <f>VLOOKUP(Complete[[#This Row],[Code
(PAP)]],[1]Sheet1!$A:$AO,37,FALSE)</f>
        <v>N/A</v>
      </c>
      <c r="AL211" s="576" t="str">
        <f>VLOOKUP(Complete[[#This Row],[Code
(PAP)]],[1]Sheet1!$A:$AO,38,FALSE)</f>
        <v>N/A</v>
      </c>
      <c r="AM211" s="576" t="str">
        <f>VLOOKUP(Complete[[#This Row],[Code
(PAP)]],[1]Sheet1!$A:$AO,38,FALSE)</f>
        <v>N/A</v>
      </c>
      <c r="AN211" s="595" t="s">
        <v>713</v>
      </c>
      <c r="AO211" s="303" t="s">
        <v>139</v>
      </c>
      <c r="AP211" s="389"/>
      <c r="AQ211" s="389"/>
    </row>
    <row r="212" spans="1:43" s="224" customFormat="1" ht="75" customHeight="1" x14ac:dyDescent="0.25">
      <c r="A212" s="385" t="s">
        <v>390</v>
      </c>
      <c r="B212" s="406" t="str">
        <f>VLOOKUP(Complete[[#This Row],[Code
(PAP)]],[1]Sheet1!$A:$AO,2,FALSE)</f>
        <v>OFFICE SUPPLIES</v>
      </c>
      <c r="C212" s="408" t="str">
        <f>VLOOKUP(Complete[[#This Row],[Code
(PAP)]],[1]Sheet1!$A:$AO,3,FALSE)</f>
        <v>PEO-GA</v>
      </c>
      <c r="D212" s="380" t="s">
        <v>712</v>
      </c>
      <c r="E212" s="409" t="str">
        <f>VLOOKUP(Complete[[#This Row],[Code
(PAP)]],[2]Sheet1!$A:$AO,5,FALSE)</f>
        <v>Shopping 52.1(b) - Regular Office Supplies and Equipment no available in PS</v>
      </c>
      <c r="F212" s="393" t="str">
        <f>VLOOKUP(Complete[[#This Row],[Code
(PAP)]],[1]Sheet1!$A:$AO,6,FALSE)</f>
        <v>N/A</v>
      </c>
      <c r="G212" s="393">
        <f>VLOOKUP(Complete[[#This Row],[Code
(PAP)]],[1]Sheet1!$A:$AO,7,FALSE)</f>
        <v>45352</v>
      </c>
      <c r="H212" s="374"/>
      <c r="I212" s="394" t="str">
        <f>VLOOKUP(Complete[[#This Row],[Code
(PAP)]],[1]Sheet1!$A:$AO,9,FALSE)</f>
        <v>N/A</v>
      </c>
      <c r="J212" s="393">
        <f>VLOOKUP(Complete[[#This Row],[Code
(PAP)]],[1]Sheet1!$A:$AO,10,FALSE)</f>
        <v>45370</v>
      </c>
      <c r="K212" s="393">
        <f>VLOOKUP(Complete[[#This Row],[Code
(PAP)]],[1]Sheet1!$A:$AO,11,FALSE)</f>
        <v>45370</v>
      </c>
      <c r="L212" s="387"/>
      <c r="M212" s="393" t="str">
        <f>VLOOKUP(Complete[[#This Row],[Code
(PAP)]],[1]Sheet1!$A:$AO,13,FALSE)</f>
        <v>N/A</v>
      </c>
      <c r="N212" s="393" t="str">
        <f>VLOOKUP(Complete[[#This Row],[Code
(PAP)]],[1]Sheet1!$A:$AO,14,FALSE)</f>
        <v>N/A</v>
      </c>
      <c r="O212" s="393">
        <f>VLOOKUP(Complete[[#This Row],[Code
(PAP)]],[1]Sheet1!$A:$AO,15,FALSE)</f>
        <v>45372</v>
      </c>
      <c r="P212" s="387"/>
      <c r="Q212" s="387"/>
      <c r="R212" s="387"/>
      <c r="S212" s="576">
        <f>VLOOKUP(Complete[[#This Row],[Code
(PAP)]],[1]Sheet1!$A:$AO,19,FALSE)</f>
        <v>45378</v>
      </c>
      <c r="T212" s="576">
        <f>VLOOKUP(Complete[[#This Row],[Code
(PAP)]],[1]Sheet1!$A:$AO,20,FALSE)</f>
        <v>45405</v>
      </c>
      <c r="U212" s="576">
        <f>VLOOKUP(Complete[[#This Row],[Code
(PAP)]],[1]Sheet1!$A:$AO,21,FALSE)</f>
        <v>45408</v>
      </c>
      <c r="V212" s="387"/>
      <c r="W212" s="387"/>
      <c r="X212" s="392">
        <f>VLOOKUP(Complete[[#This Row],[Code
(PAP)]],[1]Sheet1!$A:$AO,24,FALSE)</f>
        <v>45418</v>
      </c>
      <c r="Y212" s="392">
        <f>Complete[[#This Row],[Delivery/ Completion]]</f>
        <v>45418</v>
      </c>
      <c r="Z212" s="610" t="s">
        <v>1478</v>
      </c>
      <c r="AA212" s="462">
        <f>Complete[[#This Row],[MOOE]]+Complete[[#This Row],[CO]]</f>
        <v>70535</v>
      </c>
      <c r="AB212" s="466">
        <v>70535</v>
      </c>
      <c r="AC212" s="497"/>
      <c r="AD212" s="498">
        <f>IF(Complete[[#This Row],[Procurement Project]]="","",SUM(Complete[[#This Row],[MOOE2]]+Complete[[#This Row],[CO3]]))</f>
        <v>69128</v>
      </c>
      <c r="AE212" s="501">
        <v>69128</v>
      </c>
      <c r="AF212" s="541"/>
      <c r="AG212" s="400"/>
      <c r="AH212" s="380" t="s">
        <v>1205</v>
      </c>
      <c r="AI212" s="576" t="str">
        <f>VLOOKUP(Complete[[#This Row],[Code
(PAP)]],[1]Sheet1!$A:$AO,35,FALSE)</f>
        <v>N/A</v>
      </c>
      <c r="AJ212" s="576" t="str">
        <f>VLOOKUP(Complete[[#This Row],[Code
(PAP)]],[1]Sheet1!$A:$AO,36,FALSE)</f>
        <v>N/A</v>
      </c>
      <c r="AK212" s="576" t="str">
        <f>VLOOKUP(Complete[[#This Row],[Code
(PAP)]],[1]Sheet1!$A:$AO,37,FALSE)</f>
        <v>N/A</v>
      </c>
      <c r="AL212" s="576" t="str">
        <f>VLOOKUP(Complete[[#This Row],[Code
(PAP)]],[1]Sheet1!$A:$AO,38,FALSE)</f>
        <v>N/A</v>
      </c>
      <c r="AM212" s="576" t="str">
        <f>VLOOKUP(Complete[[#This Row],[Code
(PAP)]],[1]Sheet1!$A:$AO,38,FALSE)</f>
        <v>N/A</v>
      </c>
      <c r="AN212" s="595" t="s">
        <v>713</v>
      </c>
      <c r="AO212" s="303" t="s">
        <v>139</v>
      </c>
      <c r="AP212" s="389"/>
      <c r="AQ212" s="389"/>
    </row>
    <row r="213" spans="1:43" s="224" customFormat="1" ht="75" customHeight="1" x14ac:dyDescent="0.25">
      <c r="A213" s="385" t="s">
        <v>391</v>
      </c>
      <c r="B213" s="406" t="str">
        <f>VLOOKUP(Complete[[#This Row],[Code
(PAP)]],[1]Sheet1!$A:$AO,2,FALSE)</f>
        <v>OFFICE SUPPLIES</v>
      </c>
      <c r="C213" s="408" t="str">
        <f>VLOOKUP(Complete[[#This Row],[Code
(PAP)]],[1]Sheet1!$A:$AO,3,FALSE)</f>
        <v>PGO</v>
      </c>
      <c r="D213" s="380" t="s">
        <v>712</v>
      </c>
      <c r="E213" s="409" t="str">
        <f>VLOOKUP(Complete[[#This Row],[Code
(PAP)]],[2]Sheet1!$A:$AO,5,FALSE)</f>
        <v>Shopping 52.1(b) - Regular Office Supplies and Equipment no available in PS</v>
      </c>
      <c r="F213" s="393">
        <f>VLOOKUP(Complete[[#This Row],[Code
(PAP)]],[1]Sheet1!$A:$AO,6,FALSE)</f>
        <v>45356</v>
      </c>
      <c r="G213" s="393">
        <f>VLOOKUP(Complete[[#This Row],[Code
(PAP)]],[1]Sheet1!$A:$AO,7,FALSE)</f>
        <v>45359</v>
      </c>
      <c r="H213" s="374"/>
      <c r="I213" s="394" t="str">
        <f>VLOOKUP(Complete[[#This Row],[Code
(PAP)]],[1]Sheet1!$A:$AO,9,FALSE)</f>
        <v>N/A</v>
      </c>
      <c r="J213" s="393">
        <f>VLOOKUP(Complete[[#This Row],[Code
(PAP)]],[1]Sheet1!$A:$AO,10,FALSE)</f>
        <v>45370</v>
      </c>
      <c r="K213" s="393">
        <f>VLOOKUP(Complete[[#This Row],[Code
(PAP)]],[1]Sheet1!$A:$AO,11,FALSE)</f>
        <v>45370</v>
      </c>
      <c r="L213" s="387"/>
      <c r="M213" s="393" t="str">
        <f>VLOOKUP(Complete[[#This Row],[Code
(PAP)]],[1]Sheet1!$A:$AO,13,FALSE)</f>
        <v>N/A</v>
      </c>
      <c r="N213" s="393" t="str">
        <f>VLOOKUP(Complete[[#This Row],[Code
(PAP)]],[1]Sheet1!$A:$AO,14,FALSE)</f>
        <v>N/A</v>
      </c>
      <c r="O213" s="393">
        <f>VLOOKUP(Complete[[#This Row],[Code
(PAP)]],[1]Sheet1!$A:$AO,15,FALSE)</f>
        <v>45372</v>
      </c>
      <c r="P213" s="387"/>
      <c r="Q213" s="387"/>
      <c r="R213" s="387"/>
      <c r="S213" s="576" t="str">
        <f>VLOOKUP(Complete[[#This Row],[Code
(PAP)]],[1]Sheet1!$A:$AO,19,FALSE)</f>
        <v>N/A</v>
      </c>
      <c r="T213" s="576">
        <f>VLOOKUP(Complete[[#This Row],[Code
(PAP)]],[1]Sheet1!$A:$AO,20,FALSE)</f>
        <v>45393</v>
      </c>
      <c r="U213" s="576">
        <f>VLOOKUP(Complete[[#This Row],[Code
(PAP)]],[1]Sheet1!$A:$AO,21,FALSE)</f>
        <v>45394</v>
      </c>
      <c r="V213" s="387"/>
      <c r="W213" s="387"/>
      <c r="X213" s="392">
        <v>45411</v>
      </c>
      <c r="Y213" s="392">
        <f>Complete[[#This Row],[Delivery/ Completion]]</f>
        <v>45411</v>
      </c>
      <c r="Z213" s="610" t="s">
        <v>1478</v>
      </c>
      <c r="AA213" s="462">
        <f>Complete[[#This Row],[MOOE]]+Complete[[#This Row],[CO]]</f>
        <v>28060</v>
      </c>
      <c r="AB213" s="466">
        <v>28060</v>
      </c>
      <c r="AC213" s="497"/>
      <c r="AD213" s="498">
        <f>IF(Complete[[#This Row],[Procurement Project]]="","",SUM(Complete[[#This Row],[MOOE2]]+Complete[[#This Row],[CO3]]))</f>
        <v>28020</v>
      </c>
      <c r="AE213" s="501">
        <v>28020</v>
      </c>
      <c r="AF213" s="541"/>
      <c r="AG213" s="400"/>
      <c r="AH213" s="380" t="s">
        <v>1205</v>
      </c>
      <c r="AI213" s="576" t="str">
        <f>VLOOKUP(Complete[[#This Row],[Code
(PAP)]],[1]Sheet1!$A:$AO,35,FALSE)</f>
        <v>N/A</v>
      </c>
      <c r="AJ213" s="576" t="str">
        <f>VLOOKUP(Complete[[#This Row],[Code
(PAP)]],[1]Sheet1!$A:$AO,36,FALSE)</f>
        <v>N/A</v>
      </c>
      <c r="AK213" s="576" t="str">
        <f>VLOOKUP(Complete[[#This Row],[Code
(PAP)]],[1]Sheet1!$A:$AO,37,FALSE)</f>
        <v>N/A</v>
      </c>
      <c r="AL213" s="576" t="str">
        <f>VLOOKUP(Complete[[#This Row],[Code
(PAP)]],[1]Sheet1!$A:$AO,38,FALSE)</f>
        <v>N/A</v>
      </c>
      <c r="AM213" s="576" t="str">
        <f>VLOOKUP(Complete[[#This Row],[Code
(PAP)]],[1]Sheet1!$A:$AO,38,FALSE)</f>
        <v>N/A</v>
      </c>
      <c r="AN213" s="595" t="s">
        <v>713</v>
      </c>
      <c r="AO213" s="303" t="s">
        <v>139</v>
      </c>
      <c r="AP213" s="389"/>
      <c r="AQ213" s="389"/>
    </row>
    <row r="214" spans="1:43" s="224" customFormat="1" ht="75" customHeight="1" x14ac:dyDescent="0.25">
      <c r="A214" s="385" t="s">
        <v>392</v>
      </c>
      <c r="B214" s="406" t="str">
        <f>VLOOKUP(Complete[[#This Row],[Code
(PAP)]],[1]Sheet1!$A:$AO,2,FALSE)</f>
        <v>OFFICE SUPPLIES</v>
      </c>
      <c r="C214" s="408" t="str">
        <f>VLOOKUP(Complete[[#This Row],[Code
(PAP)]],[1]Sheet1!$A:$AO,3,FALSE)</f>
        <v>PICTO</v>
      </c>
      <c r="D214" s="380" t="s">
        <v>712</v>
      </c>
      <c r="E214" s="409" t="str">
        <f>VLOOKUP(Complete[[#This Row],[Code
(PAP)]],[2]Sheet1!$A:$AO,5,FALSE)</f>
        <v>Shopping 52.1(b) - Regular Office Supplies and Equipment no available in PS</v>
      </c>
      <c r="F214" s="393">
        <f>VLOOKUP(Complete[[#This Row],[Code
(PAP)]],[1]Sheet1!$A:$AO,6,FALSE)</f>
        <v>45356</v>
      </c>
      <c r="G214" s="393">
        <f>VLOOKUP(Complete[[#This Row],[Code
(PAP)]],[1]Sheet1!$A:$AO,7,FALSE)</f>
        <v>45359</v>
      </c>
      <c r="H214" s="374"/>
      <c r="I214" s="394" t="str">
        <f>VLOOKUP(Complete[[#This Row],[Code
(PAP)]],[1]Sheet1!$A:$AO,9,FALSE)</f>
        <v>N/A</v>
      </c>
      <c r="J214" s="393">
        <f>VLOOKUP(Complete[[#This Row],[Code
(PAP)]],[1]Sheet1!$A:$AO,10,FALSE)</f>
        <v>45370</v>
      </c>
      <c r="K214" s="393">
        <f>VLOOKUP(Complete[[#This Row],[Code
(PAP)]],[1]Sheet1!$A:$AO,11,FALSE)</f>
        <v>45370</v>
      </c>
      <c r="L214" s="387"/>
      <c r="M214" s="393" t="str">
        <f>VLOOKUP(Complete[[#This Row],[Code
(PAP)]],[1]Sheet1!$A:$AO,13,FALSE)</f>
        <v>N/A</v>
      </c>
      <c r="N214" s="393" t="str">
        <f>VLOOKUP(Complete[[#This Row],[Code
(PAP)]],[1]Sheet1!$A:$AO,14,FALSE)</f>
        <v>N/A</v>
      </c>
      <c r="O214" s="393">
        <f>VLOOKUP(Complete[[#This Row],[Code
(PAP)]],[1]Sheet1!$A:$AO,15,FALSE)</f>
        <v>45372</v>
      </c>
      <c r="P214" s="387"/>
      <c r="Q214" s="387"/>
      <c r="R214" s="387"/>
      <c r="S214" s="576">
        <f>VLOOKUP(Complete[[#This Row],[Code
(PAP)]],[1]Sheet1!$A:$AO,19,FALSE)</f>
        <v>45383</v>
      </c>
      <c r="T214" s="576">
        <f>VLOOKUP(Complete[[#This Row],[Code
(PAP)]],[1]Sheet1!$A:$AO,20,FALSE)</f>
        <v>45387</v>
      </c>
      <c r="U214" s="576">
        <f>VLOOKUP(Complete[[#This Row],[Code
(PAP)]],[1]Sheet1!$A:$AO,21,FALSE)</f>
        <v>45394</v>
      </c>
      <c r="V214" s="387"/>
      <c r="W214" s="387"/>
      <c r="X214" s="392">
        <f>VLOOKUP(Complete[[#This Row],[Code
(PAP)]],[1]Sheet1!$A:$AO,24,FALSE)</f>
        <v>45411</v>
      </c>
      <c r="Y214" s="392">
        <f>Complete[[#This Row],[Delivery/ Completion]]</f>
        <v>45411</v>
      </c>
      <c r="Z214" s="610" t="s">
        <v>1478</v>
      </c>
      <c r="AA214" s="462">
        <f>Complete[[#This Row],[MOOE]]+Complete[[#This Row],[CO]]</f>
        <v>76638</v>
      </c>
      <c r="AB214" s="466">
        <v>76638</v>
      </c>
      <c r="AC214" s="497"/>
      <c r="AD214" s="498">
        <f>IF(Complete[[#This Row],[Procurement Project]]="","",SUM(Complete[[#This Row],[MOOE2]]+Complete[[#This Row],[CO3]]))</f>
        <v>76525</v>
      </c>
      <c r="AE214" s="501">
        <v>76525</v>
      </c>
      <c r="AF214" s="541"/>
      <c r="AG214" s="400"/>
      <c r="AH214" s="380" t="s">
        <v>1205</v>
      </c>
      <c r="AI214" s="576" t="str">
        <f>VLOOKUP(Complete[[#This Row],[Code
(PAP)]],[1]Sheet1!$A:$AO,35,FALSE)</f>
        <v>N/A</v>
      </c>
      <c r="AJ214" s="576" t="str">
        <f>VLOOKUP(Complete[[#This Row],[Code
(PAP)]],[1]Sheet1!$A:$AO,36,FALSE)</f>
        <v>N/A</v>
      </c>
      <c r="AK214" s="576" t="str">
        <f>VLOOKUP(Complete[[#This Row],[Code
(PAP)]],[1]Sheet1!$A:$AO,37,FALSE)</f>
        <v>N/A</v>
      </c>
      <c r="AL214" s="576" t="str">
        <f>VLOOKUP(Complete[[#This Row],[Code
(PAP)]],[1]Sheet1!$A:$AO,38,FALSE)</f>
        <v>N/A</v>
      </c>
      <c r="AM214" s="576" t="str">
        <f>VLOOKUP(Complete[[#This Row],[Code
(PAP)]],[1]Sheet1!$A:$AO,38,FALSE)</f>
        <v>N/A</v>
      </c>
      <c r="AN214" s="595" t="s">
        <v>713</v>
      </c>
      <c r="AO214" s="303" t="s">
        <v>139</v>
      </c>
      <c r="AP214" s="389"/>
      <c r="AQ214" s="389"/>
    </row>
    <row r="215" spans="1:43" s="224" customFormat="1" ht="75" customHeight="1" x14ac:dyDescent="0.25">
      <c r="A215" s="385" t="s">
        <v>393</v>
      </c>
      <c r="B215" s="406" t="str">
        <f>VLOOKUP(Complete[[#This Row],[Code
(PAP)]],[1]Sheet1!$A:$AO,2,FALSE)</f>
        <v>OFFICE SUPPLIES</v>
      </c>
      <c r="C215" s="408" t="str">
        <f>VLOOKUP(Complete[[#This Row],[Code
(PAP)]],[1]Sheet1!$A:$AO,3,FALSE)</f>
        <v>PGO</v>
      </c>
      <c r="D215" s="380" t="s">
        <v>712</v>
      </c>
      <c r="E215" s="409" t="str">
        <f>VLOOKUP(Complete[[#This Row],[Code
(PAP)]],[2]Sheet1!$A:$AO,5,FALSE)</f>
        <v>Shopping 52.1(b) - Regular Office Supplies and Equipment no available in PS</v>
      </c>
      <c r="F215" s="393" t="str">
        <f>VLOOKUP(Complete[[#This Row],[Code
(PAP)]],[1]Sheet1!$A:$AO,6,FALSE)</f>
        <v>N/A</v>
      </c>
      <c r="G215" s="393">
        <f>VLOOKUP(Complete[[#This Row],[Code
(PAP)]],[1]Sheet1!$A:$AO,7,FALSE)</f>
        <v>45359</v>
      </c>
      <c r="H215" s="374"/>
      <c r="I215" s="394" t="str">
        <f>VLOOKUP(Complete[[#This Row],[Code
(PAP)]],[1]Sheet1!$A:$AO,9,FALSE)</f>
        <v>N/A</v>
      </c>
      <c r="J215" s="393">
        <f>VLOOKUP(Complete[[#This Row],[Code
(PAP)]],[1]Sheet1!$A:$AO,10,FALSE)</f>
        <v>45370</v>
      </c>
      <c r="K215" s="393">
        <f>VLOOKUP(Complete[[#This Row],[Code
(PAP)]],[1]Sheet1!$A:$AO,11,FALSE)</f>
        <v>45370</v>
      </c>
      <c r="L215" s="387"/>
      <c r="M215" s="393" t="str">
        <f>VLOOKUP(Complete[[#This Row],[Code
(PAP)]],[1]Sheet1!$A:$AO,13,FALSE)</f>
        <v>N/A</v>
      </c>
      <c r="N215" s="393" t="str">
        <f>VLOOKUP(Complete[[#This Row],[Code
(PAP)]],[1]Sheet1!$A:$AO,14,FALSE)</f>
        <v>N/A</v>
      </c>
      <c r="O215" s="393">
        <f>VLOOKUP(Complete[[#This Row],[Code
(PAP)]],[1]Sheet1!$A:$AO,15,FALSE)</f>
        <v>45372</v>
      </c>
      <c r="P215" s="387"/>
      <c r="Q215" s="387"/>
      <c r="R215" s="387"/>
      <c r="S215" s="576" t="str">
        <f>VLOOKUP(Complete[[#This Row],[Code
(PAP)]],[1]Sheet1!$A:$AO,19,FALSE)</f>
        <v>N/A</v>
      </c>
      <c r="T215" s="576">
        <f>VLOOKUP(Complete[[#This Row],[Code
(PAP)]],[1]Sheet1!$A:$AO,20,FALSE)</f>
        <v>45387</v>
      </c>
      <c r="U215" s="576">
        <f>VLOOKUP(Complete[[#This Row],[Code
(PAP)]],[1]Sheet1!$A:$AO,21,FALSE)</f>
        <v>45394</v>
      </c>
      <c r="V215" s="387"/>
      <c r="W215" s="387"/>
      <c r="X215" s="392">
        <f>VLOOKUP(Complete[[#This Row],[Code
(PAP)]],[1]Sheet1!$A:$AO,24,FALSE)</f>
        <v>45408</v>
      </c>
      <c r="Y215" s="392">
        <f>Complete[[#This Row],[Delivery/ Completion]]</f>
        <v>45408</v>
      </c>
      <c r="Z215" s="610" t="s">
        <v>1478</v>
      </c>
      <c r="AA215" s="462">
        <f>Complete[[#This Row],[MOOE]]+Complete[[#This Row],[CO]]</f>
        <v>5540</v>
      </c>
      <c r="AB215" s="466"/>
      <c r="AC215" s="497">
        <v>5540</v>
      </c>
      <c r="AD215" s="498">
        <f>IF(Complete[[#This Row],[Procurement Project]]="","",SUM(Complete[[#This Row],[MOOE2]]+Complete[[#This Row],[CO3]]))</f>
        <v>5540</v>
      </c>
      <c r="AE215" s="501"/>
      <c r="AF215" s="541">
        <v>5540</v>
      </c>
      <c r="AG215" s="400"/>
      <c r="AH215" s="380" t="s">
        <v>1205</v>
      </c>
      <c r="AI215" s="576" t="str">
        <f>VLOOKUP(Complete[[#This Row],[Code
(PAP)]],[1]Sheet1!$A:$AO,35,FALSE)</f>
        <v>N/A</v>
      </c>
      <c r="AJ215" s="576" t="str">
        <f>VLOOKUP(Complete[[#This Row],[Code
(PAP)]],[1]Sheet1!$A:$AO,36,FALSE)</f>
        <v>N/A</v>
      </c>
      <c r="AK215" s="576" t="str">
        <f>VLOOKUP(Complete[[#This Row],[Code
(PAP)]],[1]Sheet1!$A:$AO,37,FALSE)</f>
        <v>N/A</v>
      </c>
      <c r="AL215" s="576" t="str">
        <f>VLOOKUP(Complete[[#This Row],[Code
(PAP)]],[1]Sheet1!$A:$AO,38,FALSE)</f>
        <v>N/A</v>
      </c>
      <c r="AM215" s="576" t="str">
        <f>VLOOKUP(Complete[[#This Row],[Code
(PAP)]],[1]Sheet1!$A:$AO,38,FALSE)</f>
        <v>N/A</v>
      </c>
      <c r="AN215" s="595" t="s">
        <v>713</v>
      </c>
      <c r="AO215" s="303" t="s">
        <v>139</v>
      </c>
      <c r="AP215" s="389"/>
      <c r="AQ215" s="389"/>
    </row>
    <row r="216" spans="1:43" s="224" customFormat="1" ht="75" customHeight="1" x14ac:dyDescent="0.25">
      <c r="A216" s="385" t="s">
        <v>394</v>
      </c>
      <c r="B216" s="406" t="str">
        <f>VLOOKUP(Complete[[#This Row],[Code
(PAP)]],[1]Sheet1!$A:$AO,2,FALSE)</f>
        <v>OFFICE SUPPLIES</v>
      </c>
      <c r="C216" s="408" t="str">
        <f>VLOOKUP(Complete[[#This Row],[Code
(PAP)]],[1]Sheet1!$A:$AO,3,FALSE)</f>
        <v>PGO</v>
      </c>
      <c r="D216" s="380" t="s">
        <v>712</v>
      </c>
      <c r="E216" s="409" t="str">
        <f>VLOOKUP(Complete[[#This Row],[Code
(PAP)]],[2]Sheet1!$A:$AO,5,FALSE)</f>
        <v>Shopping 52.1(b) - Regular Office Supplies and Equipment no available in PS</v>
      </c>
      <c r="F216" s="393">
        <f>VLOOKUP(Complete[[#This Row],[Code
(PAP)]],[1]Sheet1!$A:$AO,6,FALSE)</f>
        <v>45356</v>
      </c>
      <c r="G216" s="393">
        <f>VLOOKUP(Complete[[#This Row],[Code
(PAP)]],[1]Sheet1!$A:$AO,7,FALSE)</f>
        <v>45359</v>
      </c>
      <c r="H216" s="374"/>
      <c r="I216" s="394" t="str">
        <f>VLOOKUP(Complete[[#This Row],[Code
(PAP)]],[1]Sheet1!$A:$AO,9,FALSE)</f>
        <v>N/A</v>
      </c>
      <c r="J216" s="393">
        <f>VLOOKUP(Complete[[#This Row],[Code
(PAP)]],[1]Sheet1!$A:$AO,10,FALSE)</f>
        <v>45370</v>
      </c>
      <c r="K216" s="393">
        <f>VLOOKUP(Complete[[#This Row],[Code
(PAP)]],[1]Sheet1!$A:$AO,11,FALSE)</f>
        <v>45370</v>
      </c>
      <c r="L216" s="387"/>
      <c r="M216" s="393" t="str">
        <f>VLOOKUP(Complete[[#This Row],[Code
(PAP)]],[1]Sheet1!$A:$AO,13,FALSE)</f>
        <v>N/A</v>
      </c>
      <c r="N216" s="393" t="str">
        <f>VLOOKUP(Complete[[#This Row],[Code
(PAP)]],[1]Sheet1!$A:$AO,14,FALSE)</f>
        <v>N/A</v>
      </c>
      <c r="O216" s="393">
        <f>VLOOKUP(Complete[[#This Row],[Code
(PAP)]],[1]Sheet1!$A:$AO,15,FALSE)</f>
        <v>45372</v>
      </c>
      <c r="P216" s="387"/>
      <c r="Q216" s="387"/>
      <c r="R216" s="387"/>
      <c r="S216" s="576">
        <f>VLOOKUP(Complete[[#This Row],[Code
(PAP)]],[1]Sheet1!$A:$AO,19,FALSE)</f>
        <v>45383</v>
      </c>
      <c r="T216" s="576">
        <f>VLOOKUP(Complete[[#This Row],[Code
(PAP)]],[1]Sheet1!$A:$AO,20,FALSE)</f>
        <v>45393</v>
      </c>
      <c r="U216" s="576">
        <f>VLOOKUP(Complete[[#This Row],[Code
(PAP)]],[1]Sheet1!$A:$AO,21,FALSE)</f>
        <v>45394</v>
      </c>
      <c r="V216" s="387"/>
      <c r="W216" s="387"/>
      <c r="X216" s="392">
        <f>VLOOKUP(Complete[[#This Row],[Code
(PAP)]],[1]Sheet1!$A:$AO,24,FALSE)</f>
        <v>45418</v>
      </c>
      <c r="Y216" s="392">
        <f>Complete[[#This Row],[Delivery/ Completion]]</f>
        <v>45418</v>
      </c>
      <c r="Z216" s="610" t="s">
        <v>1478</v>
      </c>
      <c r="AA216" s="462">
        <f>Complete[[#This Row],[MOOE]]+Complete[[#This Row],[CO]]</f>
        <v>68168</v>
      </c>
      <c r="AB216" s="466">
        <v>68168</v>
      </c>
      <c r="AC216" s="497"/>
      <c r="AD216" s="498">
        <f>IF(Complete[[#This Row],[Procurement Project]]="","",SUM(Complete[[#This Row],[MOOE2]]+Complete[[#This Row],[CO3]]))</f>
        <v>67949</v>
      </c>
      <c r="AE216" s="501">
        <v>67949</v>
      </c>
      <c r="AF216" s="541"/>
      <c r="AG216" s="400"/>
      <c r="AH216" s="380" t="s">
        <v>1205</v>
      </c>
      <c r="AI216" s="576" t="str">
        <f>VLOOKUP(Complete[[#This Row],[Code
(PAP)]],[1]Sheet1!$A:$AO,35,FALSE)</f>
        <v>N/A</v>
      </c>
      <c r="AJ216" s="576" t="str">
        <f>VLOOKUP(Complete[[#This Row],[Code
(PAP)]],[1]Sheet1!$A:$AO,36,FALSE)</f>
        <v>N/A</v>
      </c>
      <c r="AK216" s="576" t="str">
        <f>VLOOKUP(Complete[[#This Row],[Code
(PAP)]],[1]Sheet1!$A:$AO,37,FALSE)</f>
        <v>N/A</v>
      </c>
      <c r="AL216" s="576" t="str">
        <f>VLOOKUP(Complete[[#This Row],[Code
(PAP)]],[1]Sheet1!$A:$AO,38,FALSE)</f>
        <v>N/A</v>
      </c>
      <c r="AM216" s="576" t="str">
        <f>VLOOKUP(Complete[[#This Row],[Code
(PAP)]],[1]Sheet1!$A:$AO,38,FALSE)</f>
        <v>N/A</v>
      </c>
      <c r="AN216" s="595" t="s">
        <v>713</v>
      </c>
      <c r="AO216" s="303" t="s">
        <v>139</v>
      </c>
      <c r="AP216" s="389"/>
      <c r="AQ216" s="389"/>
    </row>
    <row r="217" spans="1:43" s="224" customFormat="1" ht="75" customHeight="1" x14ac:dyDescent="0.25">
      <c r="A217" s="385" t="s">
        <v>395</v>
      </c>
      <c r="B217" s="406" t="str">
        <f>VLOOKUP(Complete[[#This Row],[Code
(PAP)]],[1]Sheet1!$A:$AO,2,FALSE)</f>
        <v>OFFICE SUPPLIES</v>
      </c>
      <c r="C217" s="408" t="str">
        <f>VLOOKUP(Complete[[#This Row],[Code
(PAP)]],[1]Sheet1!$A:$AO,3,FALSE)</f>
        <v>PGO</v>
      </c>
      <c r="D217" s="380" t="s">
        <v>712</v>
      </c>
      <c r="E217" s="409" t="str">
        <f>VLOOKUP(Complete[[#This Row],[Code
(PAP)]],[2]Sheet1!$A:$AO,5,FALSE)</f>
        <v>Shopping 52.1(b) - Regular Office Supplies and Equipment no available in PS</v>
      </c>
      <c r="F217" s="393" t="str">
        <f>VLOOKUP(Complete[[#This Row],[Code
(PAP)]],[1]Sheet1!$A:$AO,6,FALSE)</f>
        <v>N/A</v>
      </c>
      <c r="G217" s="393">
        <f>VLOOKUP(Complete[[#This Row],[Code
(PAP)]],[1]Sheet1!$A:$AO,7,FALSE)</f>
        <v>45359</v>
      </c>
      <c r="H217" s="374"/>
      <c r="I217" s="394" t="str">
        <f>VLOOKUP(Complete[[#This Row],[Code
(PAP)]],[1]Sheet1!$A:$AO,9,FALSE)</f>
        <v>N/A</v>
      </c>
      <c r="J217" s="393">
        <f>VLOOKUP(Complete[[#This Row],[Code
(PAP)]],[1]Sheet1!$A:$AO,10,FALSE)</f>
        <v>45370</v>
      </c>
      <c r="K217" s="393">
        <f>VLOOKUP(Complete[[#This Row],[Code
(PAP)]],[1]Sheet1!$A:$AO,11,FALSE)</f>
        <v>45370</v>
      </c>
      <c r="L217" s="387"/>
      <c r="M217" s="393" t="str">
        <f>VLOOKUP(Complete[[#This Row],[Code
(PAP)]],[1]Sheet1!$A:$AO,13,FALSE)</f>
        <v>N/A</v>
      </c>
      <c r="N217" s="393" t="str">
        <f>VLOOKUP(Complete[[#This Row],[Code
(PAP)]],[1]Sheet1!$A:$AO,14,FALSE)</f>
        <v>N/A</v>
      </c>
      <c r="O217" s="393">
        <f>VLOOKUP(Complete[[#This Row],[Code
(PAP)]],[1]Sheet1!$A:$AO,15,FALSE)</f>
        <v>45372</v>
      </c>
      <c r="P217" s="387"/>
      <c r="Q217" s="387"/>
      <c r="R217" s="387"/>
      <c r="S217" s="576">
        <f>VLOOKUP(Complete[[#This Row],[Code
(PAP)]],[1]Sheet1!$A:$AO,19,FALSE)</f>
        <v>45383</v>
      </c>
      <c r="T217" s="576">
        <f>VLOOKUP(Complete[[#This Row],[Code
(PAP)]],[1]Sheet1!$A:$AO,20,FALSE)</f>
        <v>45393</v>
      </c>
      <c r="U217" s="576">
        <f>VLOOKUP(Complete[[#This Row],[Code
(PAP)]],[1]Sheet1!$A:$AO,21,FALSE)</f>
        <v>45397</v>
      </c>
      <c r="V217" s="387"/>
      <c r="W217" s="387"/>
      <c r="X217" s="392">
        <f>VLOOKUP(Complete[[#This Row],[Code
(PAP)]],[1]Sheet1!$A:$AO,24,FALSE)</f>
        <v>45404</v>
      </c>
      <c r="Y217" s="392">
        <f>Complete[[#This Row],[Delivery/ Completion]]</f>
        <v>45404</v>
      </c>
      <c r="Z217" s="610" t="s">
        <v>1478</v>
      </c>
      <c r="AA217" s="462">
        <f>Complete[[#This Row],[MOOE]]+Complete[[#This Row],[CO]]</f>
        <v>94976</v>
      </c>
      <c r="AB217" s="466"/>
      <c r="AC217" s="497">
        <v>94976</v>
      </c>
      <c r="AD217" s="498">
        <f>IF(Complete[[#This Row],[Procurement Project]]="","",SUM(Complete[[#This Row],[MOOE2]]+Complete[[#This Row],[CO3]]))</f>
        <v>93273</v>
      </c>
      <c r="AE217" s="501"/>
      <c r="AF217" s="541">
        <v>93273</v>
      </c>
      <c r="AG217" s="400"/>
      <c r="AH217" s="380" t="s">
        <v>1205</v>
      </c>
      <c r="AI217" s="576" t="str">
        <f>VLOOKUP(Complete[[#This Row],[Code
(PAP)]],[1]Sheet1!$A:$AO,35,FALSE)</f>
        <v>N/A</v>
      </c>
      <c r="AJ217" s="576" t="str">
        <f>VLOOKUP(Complete[[#This Row],[Code
(PAP)]],[1]Sheet1!$A:$AO,36,FALSE)</f>
        <v>N/A</v>
      </c>
      <c r="AK217" s="576" t="str">
        <f>VLOOKUP(Complete[[#This Row],[Code
(PAP)]],[1]Sheet1!$A:$AO,37,FALSE)</f>
        <v>N/A</v>
      </c>
      <c r="AL217" s="576" t="str">
        <f>VLOOKUP(Complete[[#This Row],[Code
(PAP)]],[1]Sheet1!$A:$AO,38,FALSE)</f>
        <v>N/A</v>
      </c>
      <c r="AM217" s="576" t="str">
        <f>VLOOKUP(Complete[[#This Row],[Code
(PAP)]],[1]Sheet1!$A:$AO,38,FALSE)</f>
        <v>N/A</v>
      </c>
      <c r="AN217" s="595" t="s">
        <v>713</v>
      </c>
      <c r="AO217" s="303" t="s">
        <v>139</v>
      </c>
      <c r="AP217" s="389"/>
      <c r="AQ217" s="389"/>
    </row>
    <row r="218" spans="1:43" s="224" customFormat="1" ht="75" customHeight="1" x14ac:dyDescent="0.25">
      <c r="A218" s="385" t="s">
        <v>396</v>
      </c>
      <c r="B218" s="406" t="str">
        <f>VLOOKUP(Complete[[#This Row],[Code
(PAP)]],[1]Sheet1!$A:$AO,2,FALSE)</f>
        <v>SPAREPARTS (PHOTOCOPIER MACHINE)</v>
      </c>
      <c r="C218" s="408" t="str">
        <f>VLOOKUP(Complete[[#This Row],[Code
(PAP)]],[1]Sheet1!$A:$AO,3,FALSE)</f>
        <v>SPO</v>
      </c>
      <c r="D218" s="380" t="s">
        <v>712</v>
      </c>
      <c r="E218" s="409" t="str">
        <f>VLOOKUP(Complete[[#This Row],[Code
(PAP)]],[2]Sheet1!$A:$AO,5,FALSE)</f>
        <v>Direct Contracting</v>
      </c>
      <c r="F218" s="393">
        <f>VLOOKUP(Complete[[#This Row],[Code
(PAP)]],[1]Sheet1!$A:$AO,6,FALSE)</f>
        <v>45356</v>
      </c>
      <c r="G218" s="393">
        <f>VLOOKUP(Complete[[#This Row],[Code
(PAP)]],[1]Sheet1!$A:$AO,7,FALSE)</f>
        <v>45359</v>
      </c>
      <c r="H218" s="374"/>
      <c r="I218" s="394" t="str">
        <f>VLOOKUP(Complete[[#This Row],[Code
(PAP)]],[1]Sheet1!$A:$AO,9,FALSE)</f>
        <v>N/A</v>
      </c>
      <c r="J218" s="393">
        <f>VLOOKUP(Complete[[#This Row],[Code
(PAP)]],[1]Sheet1!$A:$AO,10,FALSE)</f>
        <v>45370</v>
      </c>
      <c r="K218" s="393">
        <f>VLOOKUP(Complete[[#This Row],[Code
(PAP)]],[1]Sheet1!$A:$AO,11,FALSE)</f>
        <v>45370</v>
      </c>
      <c r="L218" s="387"/>
      <c r="M218" s="393" t="str">
        <f>VLOOKUP(Complete[[#This Row],[Code
(PAP)]],[1]Sheet1!$A:$AO,13,FALSE)</f>
        <v>N/A</v>
      </c>
      <c r="N218" s="393" t="str">
        <f>VLOOKUP(Complete[[#This Row],[Code
(PAP)]],[1]Sheet1!$A:$AO,14,FALSE)</f>
        <v>N/A</v>
      </c>
      <c r="O218" s="393">
        <f>VLOOKUP(Complete[[#This Row],[Code
(PAP)]],[1]Sheet1!$A:$AO,15,FALSE)</f>
        <v>45372</v>
      </c>
      <c r="P218" s="387"/>
      <c r="Q218" s="387"/>
      <c r="R218" s="387"/>
      <c r="S218" s="576" t="str">
        <f>VLOOKUP(Complete[[#This Row],[Code
(PAP)]],[1]Sheet1!$A:$AO,19,FALSE)</f>
        <v>N/A</v>
      </c>
      <c r="T218" s="576">
        <f>VLOOKUP(Complete[[#This Row],[Code
(PAP)]],[1]Sheet1!$A:$AO,20,FALSE)</f>
        <v>45398</v>
      </c>
      <c r="U218" s="576">
        <f>VLOOKUP(Complete[[#This Row],[Code
(PAP)]],[1]Sheet1!$A:$AO,21,FALSE)</f>
        <v>45405</v>
      </c>
      <c r="V218" s="387"/>
      <c r="W218" s="387"/>
      <c r="X218" s="392">
        <f>VLOOKUP(Complete[[#This Row],[Code
(PAP)]],[1]Sheet1!$A:$AO,24,FALSE)</f>
        <v>45428</v>
      </c>
      <c r="Y218" s="392">
        <f>Complete[[#This Row],[Delivery/ Completion]]</f>
        <v>45428</v>
      </c>
      <c r="Z218" s="610" t="s">
        <v>1478</v>
      </c>
      <c r="AA218" s="462">
        <f>Complete[[#This Row],[MOOE]]+Complete[[#This Row],[CO]]</f>
        <v>3750</v>
      </c>
      <c r="AB218" s="466">
        <v>3750</v>
      </c>
      <c r="AC218" s="497"/>
      <c r="AD218" s="498">
        <f>IF(Complete[[#This Row],[Procurement Project]]="","",SUM(Complete[[#This Row],[MOOE2]]+Complete[[#This Row],[CO3]]))</f>
        <v>3750</v>
      </c>
      <c r="AE218" s="501">
        <v>3750</v>
      </c>
      <c r="AF218" s="541"/>
      <c r="AG218" s="400"/>
      <c r="AH218" s="380" t="s">
        <v>1205</v>
      </c>
      <c r="AI218" s="576" t="str">
        <f>VLOOKUP(Complete[[#This Row],[Code
(PAP)]],[1]Sheet1!$A:$AO,35,FALSE)</f>
        <v>N/A</v>
      </c>
      <c r="AJ218" s="576" t="str">
        <f>VLOOKUP(Complete[[#This Row],[Code
(PAP)]],[1]Sheet1!$A:$AO,36,FALSE)</f>
        <v>N/A</v>
      </c>
      <c r="AK218" s="576" t="str">
        <f>VLOOKUP(Complete[[#This Row],[Code
(PAP)]],[1]Sheet1!$A:$AO,37,FALSE)</f>
        <v>N/A</v>
      </c>
      <c r="AL218" s="576" t="str">
        <f>VLOOKUP(Complete[[#This Row],[Code
(PAP)]],[1]Sheet1!$A:$AO,38,FALSE)</f>
        <v>N/A</v>
      </c>
      <c r="AM218" s="576" t="str">
        <f>VLOOKUP(Complete[[#This Row],[Code
(PAP)]],[1]Sheet1!$A:$AO,38,FALSE)</f>
        <v>N/A</v>
      </c>
      <c r="AN218" s="595" t="s">
        <v>713</v>
      </c>
      <c r="AO218" s="303" t="s">
        <v>139</v>
      </c>
      <c r="AP218" s="389"/>
      <c r="AQ218" s="389"/>
    </row>
    <row r="219" spans="1:43" s="224" customFormat="1" ht="75" customHeight="1" x14ac:dyDescent="0.25">
      <c r="A219" s="385" t="s">
        <v>397</v>
      </c>
      <c r="B219" s="406" t="str">
        <f>VLOOKUP(Complete[[#This Row],[Code
(PAP)]],[1]Sheet1!$A:$AO,2,FALSE)</f>
        <v>DUPLICATING PRODUCTS/SPAREPARTS</v>
      </c>
      <c r="C219" s="408" t="str">
        <f>VLOOKUP(Complete[[#This Row],[Code
(PAP)]],[1]Sheet1!$A:$AO,3,FALSE)</f>
        <v>PACCO</v>
      </c>
      <c r="D219" s="380" t="s">
        <v>712</v>
      </c>
      <c r="E219" s="409" t="str">
        <f>VLOOKUP(Complete[[#This Row],[Code
(PAP)]],[2]Sheet1!$A:$AO,5,FALSE)</f>
        <v>Direct Contracting</v>
      </c>
      <c r="F219" s="393" t="str">
        <f>VLOOKUP(Complete[[#This Row],[Code
(PAP)]],[1]Sheet1!$A:$AO,6,FALSE)</f>
        <v>N/A</v>
      </c>
      <c r="G219" s="393">
        <f>VLOOKUP(Complete[[#This Row],[Code
(PAP)]],[1]Sheet1!$A:$AO,7,FALSE)</f>
        <v>45352</v>
      </c>
      <c r="H219" s="374"/>
      <c r="I219" s="394" t="str">
        <f>VLOOKUP(Complete[[#This Row],[Code
(PAP)]],[1]Sheet1!$A:$AO,9,FALSE)</f>
        <v>N/A</v>
      </c>
      <c r="J219" s="393">
        <f>VLOOKUP(Complete[[#This Row],[Code
(PAP)]],[1]Sheet1!$A:$AO,10,FALSE)</f>
        <v>45370</v>
      </c>
      <c r="K219" s="393">
        <f>VLOOKUP(Complete[[#This Row],[Code
(PAP)]],[1]Sheet1!$A:$AO,11,FALSE)</f>
        <v>45370</v>
      </c>
      <c r="L219" s="387"/>
      <c r="M219" s="393" t="str">
        <f>VLOOKUP(Complete[[#This Row],[Code
(PAP)]],[1]Sheet1!$A:$AO,13,FALSE)</f>
        <v>N/A</v>
      </c>
      <c r="N219" s="393" t="str">
        <f>VLOOKUP(Complete[[#This Row],[Code
(PAP)]],[1]Sheet1!$A:$AO,14,FALSE)</f>
        <v>N/A</v>
      </c>
      <c r="O219" s="393">
        <f>VLOOKUP(Complete[[#This Row],[Code
(PAP)]],[1]Sheet1!$A:$AO,15,FALSE)</f>
        <v>45372</v>
      </c>
      <c r="P219" s="387"/>
      <c r="Q219" s="387"/>
      <c r="R219" s="387"/>
      <c r="S219" s="576" t="str">
        <f>VLOOKUP(Complete[[#This Row],[Code
(PAP)]],[1]Sheet1!$A:$AO,19,FALSE)</f>
        <v>N/A</v>
      </c>
      <c r="T219" s="576">
        <f>VLOOKUP(Complete[[#This Row],[Code
(PAP)]],[1]Sheet1!$A:$AO,20,FALSE)</f>
        <v>45405</v>
      </c>
      <c r="U219" s="576">
        <f>VLOOKUP(Complete[[#This Row],[Code
(PAP)]],[1]Sheet1!$A:$AO,21,FALSE)</f>
        <v>45412</v>
      </c>
      <c r="V219" s="387"/>
      <c r="W219" s="387"/>
      <c r="X219" s="392">
        <f>VLOOKUP(Complete[[#This Row],[Code
(PAP)]],[1]Sheet1!$A:$AO,24,FALSE)</f>
        <v>45414</v>
      </c>
      <c r="Y219" s="392">
        <f>Complete[[#This Row],[Delivery/ Completion]]</f>
        <v>45414</v>
      </c>
      <c r="Z219" s="610" t="s">
        <v>1478</v>
      </c>
      <c r="AA219" s="462">
        <f>Complete[[#This Row],[MOOE]]+Complete[[#This Row],[CO]]</f>
        <v>35400</v>
      </c>
      <c r="AB219" s="466">
        <v>35400</v>
      </c>
      <c r="AC219" s="497"/>
      <c r="AD219" s="498">
        <f>IF(Complete[[#This Row],[Procurement Project]]="","",SUM(Complete[[#This Row],[MOOE2]]+Complete[[#This Row],[CO3]]))</f>
        <v>35400</v>
      </c>
      <c r="AE219" s="501">
        <v>35400</v>
      </c>
      <c r="AF219" s="541"/>
      <c r="AG219" s="400"/>
      <c r="AH219" s="380" t="s">
        <v>1205</v>
      </c>
      <c r="AI219" s="576" t="str">
        <f>VLOOKUP(Complete[[#This Row],[Code
(PAP)]],[1]Sheet1!$A:$AO,35,FALSE)</f>
        <v>N/A</v>
      </c>
      <c r="AJ219" s="576" t="str">
        <f>VLOOKUP(Complete[[#This Row],[Code
(PAP)]],[1]Sheet1!$A:$AO,36,FALSE)</f>
        <v>N/A</v>
      </c>
      <c r="AK219" s="576" t="str">
        <f>VLOOKUP(Complete[[#This Row],[Code
(PAP)]],[1]Sheet1!$A:$AO,37,FALSE)</f>
        <v>N/A</v>
      </c>
      <c r="AL219" s="576" t="str">
        <f>VLOOKUP(Complete[[#This Row],[Code
(PAP)]],[1]Sheet1!$A:$AO,38,FALSE)</f>
        <v>N/A</v>
      </c>
      <c r="AM219" s="576" t="str">
        <f>VLOOKUP(Complete[[#This Row],[Code
(PAP)]],[1]Sheet1!$A:$AO,38,FALSE)</f>
        <v>N/A</v>
      </c>
      <c r="AN219" s="595" t="s">
        <v>713</v>
      </c>
      <c r="AO219" s="303" t="s">
        <v>139</v>
      </c>
      <c r="AP219" s="389"/>
      <c r="AQ219" s="389"/>
    </row>
    <row r="220" spans="1:43" s="224" customFormat="1" ht="75" customHeight="1" x14ac:dyDescent="0.25">
      <c r="A220" s="385" t="s">
        <v>398</v>
      </c>
      <c r="B220" s="406" t="str">
        <f>VLOOKUP(Complete[[#This Row],[Code
(PAP)]],[1]Sheet1!$A:$AO,2,FALSE)</f>
        <v>JANITORIAL SUPPLIES</v>
      </c>
      <c r="C220" s="408" t="str">
        <f>VLOOKUP(Complete[[#This Row],[Code
(PAP)]],[1]Sheet1!$A:$AO,3,FALSE)</f>
        <v>PVGO</v>
      </c>
      <c r="D220" s="380" t="s">
        <v>712</v>
      </c>
      <c r="E220" s="409" t="str">
        <f>VLOOKUP(Complete[[#This Row],[Code
(PAP)]],[2]Sheet1!$A:$AO,5,FALSE)</f>
        <v>NP-53.9 - Small Value Procurement</v>
      </c>
      <c r="F220" s="393" t="str">
        <f>VLOOKUP(Complete[[#This Row],[Code
(PAP)]],[1]Sheet1!$A:$AO,6,FALSE)</f>
        <v>N/A</v>
      </c>
      <c r="G220" s="393">
        <f>VLOOKUP(Complete[[#This Row],[Code
(PAP)]],[1]Sheet1!$A:$AO,7,FALSE)</f>
        <v>45344</v>
      </c>
      <c r="H220" s="374"/>
      <c r="I220" s="394" t="str">
        <f>VLOOKUP(Complete[[#This Row],[Code
(PAP)]],[1]Sheet1!$A:$AO,9,FALSE)</f>
        <v>N/A</v>
      </c>
      <c r="J220" s="393">
        <f>VLOOKUP(Complete[[#This Row],[Code
(PAP)]],[1]Sheet1!$A:$AO,10,FALSE)</f>
        <v>45373</v>
      </c>
      <c r="K220" s="393">
        <f>VLOOKUP(Complete[[#This Row],[Code
(PAP)]],[1]Sheet1!$A:$AO,11,FALSE)</f>
        <v>45373</v>
      </c>
      <c r="L220" s="387"/>
      <c r="M220" s="393" t="str">
        <f>VLOOKUP(Complete[[#This Row],[Code
(PAP)]],[1]Sheet1!$A:$AO,13,FALSE)</f>
        <v>N/A</v>
      </c>
      <c r="N220" s="393" t="str">
        <f>VLOOKUP(Complete[[#This Row],[Code
(PAP)]],[1]Sheet1!$A:$AO,14,FALSE)</f>
        <v>N/A</v>
      </c>
      <c r="O220" s="393">
        <f>VLOOKUP(Complete[[#This Row],[Code
(PAP)]],[1]Sheet1!$A:$AO,15,FALSE)</f>
        <v>45376</v>
      </c>
      <c r="P220" s="387"/>
      <c r="Q220" s="387"/>
      <c r="R220" s="387"/>
      <c r="S220" s="576" t="str">
        <f>VLOOKUP(Complete[[#This Row],[Code
(PAP)]],[1]Sheet1!$A:$AO,19,FALSE)</f>
        <v>N/A</v>
      </c>
      <c r="T220" s="576">
        <f>VLOOKUP(Complete[[#This Row],[Code
(PAP)]],[1]Sheet1!$A:$AO,20,FALSE)</f>
        <v>45439</v>
      </c>
      <c r="U220" s="576">
        <f>VLOOKUP(Complete[[#This Row],[Code
(PAP)]],[1]Sheet1!$A:$AO,21,FALSE)</f>
        <v>45456</v>
      </c>
      <c r="V220" s="387"/>
      <c r="W220" s="387"/>
      <c r="X220" s="392">
        <f>VLOOKUP(Complete[[#This Row],[Code
(PAP)]],[1]Sheet1!$A:$AO,24,FALSE)</f>
        <v>45464</v>
      </c>
      <c r="Y220" s="392">
        <f>Complete[[#This Row],[Delivery/ Completion]]</f>
        <v>45464</v>
      </c>
      <c r="Z220" s="610" t="s">
        <v>1478</v>
      </c>
      <c r="AA220" s="462">
        <f>Complete[[#This Row],[MOOE]]+Complete[[#This Row],[CO]]</f>
        <v>39995</v>
      </c>
      <c r="AB220" s="466">
        <v>39995</v>
      </c>
      <c r="AC220" s="497"/>
      <c r="AD220" s="498">
        <f>IF(Complete[[#This Row],[Procurement Project]]="","",SUM(Complete[[#This Row],[MOOE2]]+Complete[[#This Row],[CO3]]))</f>
        <v>39830</v>
      </c>
      <c r="AE220" s="501">
        <v>39830</v>
      </c>
      <c r="AF220" s="541"/>
      <c r="AG220" s="400"/>
      <c r="AH220" s="380" t="s">
        <v>1205</v>
      </c>
      <c r="AI220" s="576" t="str">
        <f>VLOOKUP(Complete[[#This Row],[Code
(PAP)]],[1]Sheet1!$A:$AO,35,FALSE)</f>
        <v>N/A</v>
      </c>
      <c r="AJ220" s="576" t="str">
        <f>VLOOKUP(Complete[[#This Row],[Code
(PAP)]],[1]Sheet1!$A:$AO,36,FALSE)</f>
        <v>N/A</v>
      </c>
      <c r="AK220" s="576" t="str">
        <f>VLOOKUP(Complete[[#This Row],[Code
(PAP)]],[1]Sheet1!$A:$AO,37,FALSE)</f>
        <v>N/A</v>
      </c>
      <c r="AL220" s="576" t="str">
        <f>VLOOKUP(Complete[[#This Row],[Code
(PAP)]],[1]Sheet1!$A:$AO,38,FALSE)</f>
        <v>N/A</v>
      </c>
      <c r="AM220" s="576" t="str">
        <f>VLOOKUP(Complete[[#This Row],[Code
(PAP)]],[1]Sheet1!$A:$AO,38,FALSE)</f>
        <v>N/A</v>
      </c>
      <c r="AN220" s="595" t="s">
        <v>713</v>
      </c>
      <c r="AO220" s="303" t="s">
        <v>139</v>
      </c>
      <c r="AP220" s="389"/>
      <c r="AQ220" s="389"/>
    </row>
    <row r="221" spans="1:43" s="224" customFormat="1" ht="75" customHeight="1" x14ac:dyDescent="0.25">
      <c r="A221" s="385" t="s">
        <v>399</v>
      </c>
      <c r="B221" s="406" t="str">
        <f>VLOOKUP(Complete[[#This Row],[Code
(PAP)]],[1]Sheet1!$A:$AO,2,FALSE)</f>
        <v>SPORTS SUPPLIES &amp; EQUIPMENT</v>
      </c>
      <c r="C221" s="408" t="str">
        <f>VLOOKUP(Complete[[#This Row],[Code
(PAP)]],[1]Sheet1!$A:$AO,3,FALSE)</f>
        <v>SEF</v>
      </c>
      <c r="D221" s="380" t="s">
        <v>712</v>
      </c>
      <c r="E221" s="409" t="str">
        <f>VLOOKUP(Complete[[#This Row],[Code
(PAP)]],[2]Sheet1!$A:$AO,5,FALSE)</f>
        <v>NP-53.9 - Small Value Procurement</v>
      </c>
      <c r="F221" s="393" t="str">
        <f>VLOOKUP(Complete[[#This Row],[Code
(PAP)]],[1]Sheet1!$A:$AO,6,FALSE)</f>
        <v>N/A</v>
      </c>
      <c r="G221" s="393">
        <f>VLOOKUP(Complete[[#This Row],[Code
(PAP)]],[1]Sheet1!$A:$AO,7,FALSE)</f>
        <v>45344</v>
      </c>
      <c r="H221" s="374"/>
      <c r="I221" s="394" t="str">
        <f>VLOOKUP(Complete[[#This Row],[Code
(PAP)]],[1]Sheet1!$A:$AO,9,FALSE)</f>
        <v>N/A</v>
      </c>
      <c r="J221" s="393">
        <f>VLOOKUP(Complete[[#This Row],[Code
(PAP)]],[1]Sheet1!$A:$AO,10,FALSE)</f>
        <v>45373</v>
      </c>
      <c r="K221" s="393">
        <f>VLOOKUP(Complete[[#This Row],[Code
(PAP)]],[1]Sheet1!$A:$AO,11,FALSE)</f>
        <v>45373</v>
      </c>
      <c r="L221" s="387"/>
      <c r="M221" s="393" t="str">
        <f>VLOOKUP(Complete[[#This Row],[Code
(PAP)]],[1]Sheet1!$A:$AO,13,FALSE)</f>
        <v>N/A</v>
      </c>
      <c r="N221" s="393" t="str">
        <f>VLOOKUP(Complete[[#This Row],[Code
(PAP)]],[1]Sheet1!$A:$AO,14,FALSE)</f>
        <v>N/A</v>
      </c>
      <c r="O221" s="393">
        <f>VLOOKUP(Complete[[#This Row],[Code
(PAP)]],[1]Sheet1!$A:$AO,15,FALSE)</f>
        <v>45376</v>
      </c>
      <c r="P221" s="387"/>
      <c r="Q221" s="387"/>
      <c r="R221" s="387"/>
      <c r="S221" s="576">
        <f>VLOOKUP(Complete[[#This Row],[Code
(PAP)]],[1]Sheet1!$A:$AO,19,FALSE)</f>
        <v>45384</v>
      </c>
      <c r="T221" s="576">
        <f>VLOOKUP(Complete[[#This Row],[Code
(PAP)]],[1]Sheet1!$A:$AO,20,FALSE)</f>
        <v>45425</v>
      </c>
      <c r="U221" s="576">
        <f>VLOOKUP(Complete[[#This Row],[Code
(PAP)]],[1]Sheet1!$A:$AO,21,FALSE)</f>
        <v>45432</v>
      </c>
      <c r="V221" s="387"/>
      <c r="W221" s="387"/>
      <c r="X221" s="392">
        <f>VLOOKUP(Complete[[#This Row],[Code
(PAP)]],[1]Sheet1!$A:$AO,24,FALSE)</f>
        <v>45464</v>
      </c>
      <c r="Y221" s="392">
        <f>Complete[[#This Row],[Delivery/ Completion]]</f>
        <v>45464</v>
      </c>
      <c r="Z221" s="610" t="s">
        <v>1478</v>
      </c>
      <c r="AA221" s="462">
        <f>Complete[[#This Row],[MOOE]]+Complete[[#This Row],[CO]]</f>
        <v>381709</v>
      </c>
      <c r="AB221" s="466"/>
      <c r="AC221" s="497">
        <v>381709</v>
      </c>
      <c r="AD221" s="498">
        <f>IF(Complete[[#This Row],[Procurement Project]]="","",SUM(Complete[[#This Row],[MOOE2]]+Complete[[#This Row],[CO3]]))</f>
        <v>380983</v>
      </c>
      <c r="AE221" s="501"/>
      <c r="AF221" s="541">
        <v>380983</v>
      </c>
      <c r="AG221" s="400"/>
      <c r="AH221" s="380" t="s">
        <v>1205</v>
      </c>
      <c r="AI221" s="576" t="str">
        <f>VLOOKUP(Complete[[#This Row],[Code
(PAP)]],[1]Sheet1!$A:$AO,35,FALSE)</f>
        <v>N/A</v>
      </c>
      <c r="AJ221" s="576" t="str">
        <f>VLOOKUP(Complete[[#This Row],[Code
(PAP)]],[1]Sheet1!$A:$AO,36,FALSE)</f>
        <v>N/A</v>
      </c>
      <c r="AK221" s="576" t="str">
        <f>VLOOKUP(Complete[[#This Row],[Code
(PAP)]],[1]Sheet1!$A:$AO,37,FALSE)</f>
        <v>N/A</v>
      </c>
      <c r="AL221" s="576" t="str">
        <f>VLOOKUP(Complete[[#This Row],[Code
(PAP)]],[1]Sheet1!$A:$AO,38,FALSE)</f>
        <v>N/A</v>
      </c>
      <c r="AM221" s="576" t="str">
        <f>VLOOKUP(Complete[[#This Row],[Code
(PAP)]],[1]Sheet1!$A:$AO,38,FALSE)</f>
        <v>N/A</v>
      </c>
      <c r="AN221" s="595" t="s">
        <v>713</v>
      </c>
      <c r="AO221" s="303" t="s">
        <v>139</v>
      </c>
      <c r="AP221" s="389"/>
      <c r="AQ221" s="389"/>
    </row>
    <row r="222" spans="1:43" s="224" customFormat="1" ht="75" customHeight="1" x14ac:dyDescent="0.25">
      <c r="A222" s="385" t="s">
        <v>400</v>
      </c>
      <c r="B222" s="406" t="str">
        <f>VLOOKUP(Complete[[#This Row],[Code
(PAP)]],[1]Sheet1!$A:$AO,2,FALSE)</f>
        <v>JANITORIAL SUPPLIES</v>
      </c>
      <c r="C222" s="408" t="str">
        <f>VLOOKUP(Complete[[#This Row],[Code
(PAP)]],[1]Sheet1!$A:$AO,3,FALSE)</f>
        <v>PGO</v>
      </c>
      <c r="D222" s="380" t="s">
        <v>712</v>
      </c>
      <c r="E222" s="409" t="str">
        <f>VLOOKUP(Complete[[#This Row],[Code
(PAP)]],[2]Sheet1!$A:$AO,5,FALSE)</f>
        <v>NP-53.9 - Small Value Procurement</v>
      </c>
      <c r="F222" s="393" t="str">
        <f>VLOOKUP(Complete[[#This Row],[Code
(PAP)]],[1]Sheet1!$A:$AO,6,FALSE)</f>
        <v>N/A</v>
      </c>
      <c r="G222" s="393">
        <f>VLOOKUP(Complete[[#This Row],[Code
(PAP)]],[1]Sheet1!$A:$AO,7,FALSE)</f>
        <v>45344</v>
      </c>
      <c r="H222" s="374"/>
      <c r="I222" s="394" t="str">
        <f>VLOOKUP(Complete[[#This Row],[Code
(PAP)]],[1]Sheet1!$A:$AO,9,FALSE)</f>
        <v>N/A</v>
      </c>
      <c r="J222" s="393">
        <f>VLOOKUP(Complete[[#This Row],[Code
(PAP)]],[1]Sheet1!$A:$AO,10,FALSE)</f>
        <v>45373</v>
      </c>
      <c r="K222" s="393">
        <f>VLOOKUP(Complete[[#This Row],[Code
(PAP)]],[1]Sheet1!$A:$AO,11,FALSE)</f>
        <v>45373</v>
      </c>
      <c r="L222" s="387"/>
      <c r="M222" s="393" t="str">
        <f>VLOOKUP(Complete[[#This Row],[Code
(PAP)]],[1]Sheet1!$A:$AO,13,FALSE)</f>
        <v>N/A</v>
      </c>
      <c r="N222" s="393" t="str">
        <f>VLOOKUP(Complete[[#This Row],[Code
(PAP)]],[1]Sheet1!$A:$AO,14,FALSE)</f>
        <v>N/A</v>
      </c>
      <c r="O222" s="393">
        <f>VLOOKUP(Complete[[#This Row],[Code
(PAP)]],[1]Sheet1!$A:$AO,15,FALSE)</f>
        <v>45376</v>
      </c>
      <c r="P222" s="387"/>
      <c r="Q222" s="387"/>
      <c r="R222" s="387"/>
      <c r="S222" s="576">
        <f>VLOOKUP(Complete[[#This Row],[Code
(PAP)]],[1]Sheet1!$A:$AO,19,FALSE)</f>
        <v>45384</v>
      </c>
      <c r="T222" s="576">
        <f>VLOOKUP(Complete[[#This Row],[Code
(PAP)]],[1]Sheet1!$A:$AO,20,FALSE)</f>
        <v>45393</v>
      </c>
      <c r="U222" s="576">
        <f>VLOOKUP(Complete[[#This Row],[Code
(PAP)]],[1]Sheet1!$A:$AO,21,FALSE)</f>
        <v>45405</v>
      </c>
      <c r="V222" s="387"/>
      <c r="W222" s="387"/>
      <c r="X222" s="392">
        <f>VLOOKUP(Complete[[#This Row],[Code
(PAP)]],[1]Sheet1!$A:$AO,24,FALSE)</f>
        <v>45440</v>
      </c>
      <c r="Y222" s="392">
        <f>Complete[[#This Row],[Delivery/ Completion]]</f>
        <v>45440</v>
      </c>
      <c r="Z222" s="610" t="s">
        <v>1478</v>
      </c>
      <c r="AA222" s="462">
        <f>Complete[[#This Row],[MOOE]]+Complete[[#This Row],[CO]]</f>
        <v>60718.5</v>
      </c>
      <c r="AB222" s="466">
        <v>60718.5</v>
      </c>
      <c r="AC222" s="497"/>
      <c r="AD222" s="498">
        <f>IF(Complete[[#This Row],[Procurement Project]]="","",SUM(Complete[[#This Row],[MOOE2]]+Complete[[#This Row],[CO3]]))</f>
        <v>60256</v>
      </c>
      <c r="AE222" s="501">
        <v>60256</v>
      </c>
      <c r="AF222" s="541"/>
      <c r="AG222" s="400"/>
      <c r="AH222" s="380" t="s">
        <v>1205</v>
      </c>
      <c r="AI222" s="576" t="str">
        <f>VLOOKUP(Complete[[#This Row],[Code
(PAP)]],[1]Sheet1!$A:$AO,35,FALSE)</f>
        <v>N/A</v>
      </c>
      <c r="AJ222" s="576" t="str">
        <f>VLOOKUP(Complete[[#This Row],[Code
(PAP)]],[1]Sheet1!$A:$AO,36,FALSE)</f>
        <v>N/A</v>
      </c>
      <c r="AK222" s="576" t="str">
        <f>VLOOKUP(Complete[[#This Row],[Code
(PAP)]],[1]Sheet1!$A:$AO,37,FALSE)</f>
        <v>N/A</v>
      </c>
      <c r="AL222" s="576" t="str">
        <f>VLOOKUP(Complete[[#This Row],[Code
(PAP)]],[1]Sheet1!$A:$AO,38,FALSE)</f>
        <v>N/A</v>
      </c>
      <c r="AM222" s="576" t="str">
        <f>VLOOKUP(Complete[[#This Row],[Code
(PAP)]],[1]Sheet1!$A:$AO,38,FALSE)</f>
        <v>N/A</v>
      </c>
      <c r="AN222" s="595" t="s">
        <v>713</v>
      </c>
      <c r="AO222" s="303" t="s">
        <v>139</v>
      </c>
      <c r="AP222" s="389"/>
      <c r="AQ222" s="389"/>
    </row>
    <row r="223" spans="1:43" s="224" customFormat="1" ht="75" customHeight="1" x14ac:dyDescent="0.25">
      <c r="A223" s="385" t="s">
        <v>401</v>
      </c>
      <c r="B223" s="406" t="str">
        <f>VLOOKUP(Complete[[#This Row],[Code
(PAP)]],[1]Sheet1!$A:$AO,2,FALSE)</f>
        <v>TARPAULIN</v>
      </c>
      <c r="C223" s="408" t="str">
        <f>VLOOKUP(Complete[[#This Row],[Code
(PAP)]],[1]Sheet1!$A:$AO,3,FALSE)</f>
        <v>PSWDO</v>
      </c>
      <c r="D223" s="380" t="s">
        <v>712</v>
      </c>
      <c r="E223" s="409" t="str">
        <f>VLOOKUP(Complete[[#This Row],[Code
(PAP)]],[2]Sheet1!$A:$AO,5,FALSE)</f>
        <v>NP-53.9 - Small Value Procurement</v>
      </c>
      <c r="F223" s="393" t="str">
        <f>VLOOKUP(Complete[[#This Row],[Code
(PAP)]],[1]Sheet1!$A:$AO,6,FALSE)</f>
        <v>N/A</v>
      </c>
      <c r="G223" s="393">
        <f>VLOOKUP(Complete[[#This Row],[Code
(PAP)]],[1]Sheet1!$A:$AO,7,FALSE)</f>
        <v>45363</v>
      </c>
      <c r="H223" s="374"/>
      <c r="I223" s="394" t="str">
        <f>VLOOKUP(Complete[[#This Row],[Code
(PAP)]],[1]Sheet1!$A:$AO,9,FALSE)</f>
        <v>N/A</v>
      </c>
      <c r="J223" s="393">
        <f>VLOOKUP(Complete[[#This Row],[Code
(PAP)]],[1]Sheet1!$A:$AO,10,FALSE)</f>
        <v>45373</v>
      </c>
      <c r="K223" s="393">
        <f>VLOOKUP(Complete[[#This Row],[Code
(PAP)]],[1]Sheet1!$A:$AO,11,FALSE)</f>
        <v>45373</v>
      </c>
      <c r="L223" s="387"/>
      <c r="M223" s="393" t="str">
        <f>VLOOKUP(Complete[[#This Row],[Code
(PAP)]],[1]Sheet1!$A:$AO,13,FALSE)</f>
        <v>N/A</v>
      </c>
      <c r="N223" s="393" t="str">
        <f>VLOOKUP(Complete[[#This Row],[Code
(PAP)]],[1]Sheet1!$A:$AO,14,FALSE)</f>
        <v>N/A</v>
      </c>
      <c r="O223" s="393">
        <f>VLOOKUP(Complete[[#This Row],[Code
(PAP)]],[1]Sheet1!$A:$AO,15,FALSE)</f>
        <v>45376</v>
      </c>
      <c r="P223" s="387"/>
      <c r="Q223" s="387"/>
      <c r="R223" s="387"/>
      <c r="S223" s="576" t="str">
        <f>VLOOKUP(Complete[[#This Row],[Code
(PAP)]],[1]Sheet1!$A:$AO,19,FALSE)</f>
        <v>N/A</v>
      </c>
      <c r="T223" s="576">
        <f>VLOOKUP(Complete[[#This Row],[Code
(PAP)]],[1]Sheet1!$A:$AO,20,FALSE)</f>
        <v>45390</v>
      </c>
      <c r="U223" s="576">
        <f>VLOOKUP(Complete[[#This Row],[Code
(PAP)]],[1]Sheet1!$A:$AO,21,FALSE)</f>
        <v>45394</v>
      </c>
      <c r="V223" s="387"/>
      <c r="W223" s="387"/>
      <c r="X223" s="392">
        <f>VLOOKUP(Complete[[#This Row],[Code
(PAP)]],[1]Sheet1!$A:$AO,24,FALSE)</f>
        <v>45462</v>
      </c>
      <c r="Y223" s="392">
        <f>Complete[[#This Row],[Delivery/ Completion]]</f>
        <v>45462</v>
      </c>
      <c r="Z223" s="610" t="s">
        <v>1478</v>
      </c>
      <c r="AA223" s="462">
        <f>Complete[[#This Row],[MOOE]]+Complete[[#This Row],[CO]]</f>
        <v>34692</v>
      </c>
      <c r="AB223" s="466">
        <v>34692</v>
      </c>
      <c r="AC223" s="497"/>
      <c r="AD223" s="498">
        <f>IF(Complete[[#This Row],[Procurement Project]]="","",SUM(Complete[[#This Row],[MOOE2]]+Complete[[#This Row],[CO3]]))</f>
        <v>34692</v>
      </c>
      <c r="AE223" s="501">
        <v>34692</v>
      </c>
      <c r="AF223" s="541"/>
      <c r="AG223" s="400"/>
      <c r="AH223" s="380" t="s">
        <v>1205</v>
      </c>
      <c r="AI223" s="576" t="str">
        <f>VLOOKUP(Complete[[#This Row],[Code
(PAP)]],[1]Sheet1!$A:$AO,35,FALSE)</f>
        <v>N/A</v>
      </c>
      <c r="AJ223" s="576" t="str">
        <f>VLOOKUP(Complete[[#This Row],[Code
(PAP)]],[1]Sheet1!$A:$AO,36,FALSE)</f>
        <v>N/A</v>
      </c>
      <c r="AK223" s="576" t="str">
        <f>VLOOKUP(Complete[[#This Row],[Code
(PAP)]],[1]Sheet1!$A:$AO,37,FALSE)</f>
        <v>N/A</v>
      </c>
      <c r="AL223" s="576" t="str">
        <f>VLOOKUP(Complete[[#This Row],[Code
(PAP)]],[1]Sheet1!$A:$AO,38,FALSE)</f>
        <v>N/A</v>
      </c>
      <c r="AM223" s="576" t="str">
        <f>VLOOKUP(Complete[[#This Row],[Code
(PAP)]],[1]Sheet1!$A:$AO,38,FALSE)</f>
        <v>N/A</v>
      </c>
      <c r="AN223" s="595" t="s">
        <v>713</v>
      </c>
      <c r="AO223" s="303" t="s">
        <v>139</v>
      </c>
      <c r="AP223" s="389"/>
      <c r="AQ223" s="389"/>
    </row>
    <row r="224" spans="1:43" s="224" customFormat="1" ht="75" customHeight="1" x14ac:dyDescent="0.25">
      <c r="A224" s="385" t="s">
        <v>402</v>
      </c>
      <c r="B224" s="406" t="str">
        <f>VLOOKUP(Complete[[#This Row],[Code
(PAP)]],[1]Sheet1!$A:$AO,2,FALSE)</f>
        <v>PLUMBING SUPPLIES</v>
      </c>
      <c r="C224" s="408" t="str">
        <f>VLOOKUP(Complete[[#This Row],[Code
(PAP)]],[1]Sheet1!$A:$AO,3,FALSE)</f>
        <v>PEEMO</v>
      </c>
      <c r="D224" s="380" t="s">
        <v>712</v>
      </c>
      <c r="E224" s="409" t="str">
        <f>VLOOKUP(Complete[[#This Row],[Code
(PAP)]],[2]Sheet1!$A:$AO,5,FALSE)</f>
        <v>NP-53.9 - Small Value Procurement</v>
      </c>
      <c r="F224" s="393" t="str">
        <f>VLOOKUP(Complete[[#This Row],[Code
(PAP)]],[1]Sheet1!$A:$AO,6,FALSE)</f>
        <v>N/A</v>
      </c>
      <c r="G224" s="393">
        <f>VLOOKUP(Complete[[#This Row],[Code
(PAP)]],[1]Sheet1!$A:$AO,7,FALSE)</f>
        <v>45359</v>
      </c>
      <c r="H224" s="374"/>
      <c r="I224" s="394" t="str">
        <f>VLOOKUP(Complete[[#This Row],[Code
(PAP)]],[1]Sheet1!$A:$AO,9,FALSE)</f>
        <v>N/A</v>
      </c>
      <c r="J224" s="393">
        <f>VLOOKUP(Complete[[#This Row],[Code
(PAP)]],[1]Sheet1!$A:$AO,10,FALSE)</f>
        <v>45373</v>
      </c>
      <c r="K224" s="393">
        <f>VLOOKUP(Complete[[#This Row],[Code
(PAP)]],[1]Sheet1!$A:$AO,11,FALSE)</f>
        <v>45373</v>
      </c>
      <c r="L224" s="387"/>
      <c r="M224" s="393" t="str">
        <f>VLOOKUP(Complete[[#This Row],[Code
(PAP)]],[1]Sheet1!$A:$AO,13,FALSE)</f>
        <v>N/A</v>
      </c>
      <c r="N224" s="393" t="str">
        <f>VLOOKUP(Complete[[#This Row],[Code
(PAP)]],[1]Sheet1!$A:$AO,14,FALSE)</f>
        <v>N/A</v>
      </c>
      <c r="O224" s="393">
        <f>VLOOKUP(Complete[[#This Row],[Code
(PAP)]],[1]Sheet1!$A:$AO,15,FALSE)</f>
        <v>45376</v>
      </c>
      <c r="P224" s="387"/>
      <c r="Q224" s="387"/>
      <c r="R224" s="387"/>
      <c r="S224" s="576">
        <f>VLOOKUP(Complete[[#This Row],[Code
(PAP)]],[1]Sheet1!$A:$AO,19,FALSE)</f>
        <v>45386</v>
      </c>
      <c r="T224" s="576">
        <f>VLOOKUP(Complete[[#This Row],[Code
(PAP)]],[1]Sheet1!$A:$AO,20,FALSE)</f>
        <v>45394</v>
      </c>
      <c r="U224" s="576">
        <f>VLOOKUP(Complete[[#This Row],[Code
(PAP)]],[1]Sheet1!$A:$AO,21,FALSE)</f>
        <v>45407</v>
      </c>
      <c r="V224" s="387"/>
      <c r="W224" s="387"/>
      <c r="X224" s="392">
        <f>VLOOKUP(Complete[[#This Row],[Code
(PAP)]],[1]Sheet1!$A:$AO,24,FALSE)</f>
        <v>45422</v>
      </c>
      <c r="Y224" s="392">
        <f>Complete[[#This Row],[Delivery/ Completion]]</f>
        <v>45422</v>
      </c>
      <c r="Z224" s="610" t="s">
        <v>1478</v>
      </c>
      <c r="AA224" s="462">
        <f>Complete[[#This Row],[MOOE]]+Complete[[#This Row],[CO]]</f>
        <v>62860</v>
      </c>
      <c r="AB224" s="466">
        <v>62860</v>
      </c>
      <c r="AC224" s="497"/>
      <c r="AD224" s="498">
        <f>IF(Complete[[#This Row],[Procurement Project]]="","",SUM(Complete[[#This Row],[MOOE2]]+Complete[[#This Row],[CO3]]))</f>
        <v>62504</v>
      </c>
      <c r="AE224" s="501">
        <v>62504</v>
      </c>
      <c r="AF224" s="541"/>
      <c r="AG224" s="400"/>
      <c r="AH224" s="380" t="s">
        <v>1205</v>
      </c>
      <c r="AI224" s="576" t="str">
        <f>VLOOKUP(Complete[[#This Row],[Code
(PAP)]],[1]Sheet1!$A:$AO,35,FALSE)</f>
        <v>N/A</v>
      </c>
      <c r="AJ224" s="576" t="str">
        <f>VLOOKUP(Complete[[#This Row],[Code
(PAP)]],[1]Sheet1!$A:$AO,36,FALSE)</f>
        <v>N/A</v>
      </c>
      <c r="AK224" s="576" t="str">
        <f>VLOOKUP(Complete[[#This Row],[Code
(PAP)]],[1]Sheet1!$A:$AO,37,FALSE)</f>
        <v>N/A</v>
      </c>
      <c r="AL224" s="576" t="str">
        <f>VLOOKUP(Complete[[#This Row],[Code
(PAP)]],[1]Sheet1!$A:$AO,38,FALSE)</f>
        <v>N/A</v>
      </c>
      <c r="AM224" s="576" t="str">
        <f>VLOOKUP(Complete[[#This Row],[Code
(PAP)]],[1]Sheet1!$A:$AO,38,FALSE)</f>
        <v>N/A</v>
      </c>
      <c r="AN224" s="595" t="s">
        <v>713</v>
      </c>
      <c r="AO224" s="303" t="s">
        <v>139</v>
      </c>
      <c r="AP224" s="389"/>
      <c r="AQ224" s="389"/>
    </row>
    <row r="225" spans="1:43" s="224" customFormat="1" ht="75" customHeight="1" x14ac:dyDescent="0.25">
      <c r="A225" s="385" t="s">
        <v>403</v>
      </c>
      <c r="B225" s="406" t="str">
        <f>VLOOKUP(Complete[[#This Row],[Code
(PAP)]],[1]Sheet1!$A:$AO,2,FALSE)</f>
        <v>LAMINATING MACHINE</v>
      </c>
      <c r="C225" s="408" t="str">
        <f>VLOOKUP(Complete[[#This Row],[Code
(PAP)]],[1]Sheet1!$A:$AO,3,FALSE)</f>
        <v>PENRO</v>
      </c>
      <c r="D225" s="380" t="s">
        <v>712</v>
      </c>
      <c r="E225" s="409" t="str">
        <f>VLOOKUP(Complete[[#This Row],[Code
(PAP)]],[2]Sheet1!$A:$AO,5,FALSE)</f>
        <v>NP-53.9 - Small Value Procurement</v>
      </c>
      <c r="F225" s="393" t="str">
        <f>VLOOKUP(Complete[[#This Row],[Code
(PAP)]],[1]Sheet1!$A:$AO,6,FALSE)</f>
        <v>N/A</v>
      </c>
      <c r="G225" s="393">
        <f>VLOOKUP(Complete[[#This Row],[Code
(PAP)]],[1]Sheet1!$A:$AO,7,FALSE)</f>
        <v>45359</v>
      </c>
      <c r="H225" s="374"/>
      <c r="I225" s="394" t="str">
        <f>VLOOKUP(Complete[[#This Row],[Code
(PAP)]],[1]Sheet1!$A:$AO,9,FALSE)</f>
        <v>N/A</v>
      </c>
      <c r="J225" s="393">
        <f>VLOOKUP(Complete[[#This Row],[Code
(PAP)]],[1]Sheet1!$A:$AO,10,FALSE)</f>
        <v>45373</v>
      </c>
      <c r="K225" s="393">
        <f>VLOOKUP(Complete[[#This Row],[Code
(PAP)]],[1]Sheet1!$A:$AO,11,FALSE)</f>
        <v>45373</v>
      </c>
      <c r="L225" s="387"/>
      <c r="M225" s="393" t="str">
        <f>VLOOKUP(Complete[[#This Row],[Code
(PAP)]],[1]Sheet1!$A:$AO,13,FALSE)</f>
        <v>N/A</v>
      </c>
      <c r="N225" s="393" t="str">
        <f>VLOOKUP(Complete[[#This Row],[Code
(PAP)]],[1]Sheet1!$A:$AO,14,FALSE)</f>
        <v>N/A</v>
      </c>
      <c r="O225" s="393">
        <f>VLOOKUP(Complete[[#This Row],[Code
(PAP)]],[1]Sheet1!$A:$AO,15,FALSE)</f>
        <v>45376</v>
      </c>
      <c r="P225" s="387"/>
      <c r="Q225" s="387"/>
      <c r="R225" s="387"/>
      <c r="S225" s="576">
        <f>VLOOKUP(Complete[[#This Row],[Code
(PAP)]],[1]Sheet1!$A:$AO,19,FALSE)</f>
        <v>45386</v>
      </c>
      <c r="T225" s="576">
        <f>VLOOKUP(Complete[[#This Row],[Code
(PAP)]],[1]Sheet1!$A:$AO,20,FALSE)</f>
        <v>45387</v>
      </c>
      <c r="U225" s="576">
        <f>VLOOKUP(Complete[[#This Row],[Code
(PAP)]],[1]Sheet1!$A:$AO,21,FALSE)</f>
        <v>45397</v>
      </c>
      <c r="V225" s="387"/>
      <c r="W225" s="387"/>
      <c r="X225" s="392">
        <f>VLOOKUP(Complete[[#This Row],[Code
(PAP)]],[1]Sheet1!$A:$AO,24,FALSE)</f>
        <v>45406</v>
      </c>
      <c r="Y225" s="392">
        <f>Complete[[#This Row],[Delivery/ Completion]]</f>
        <v>45406</v>
      </c>
      <c r="Z225" s="610" t="s">
        <v>1478</v>
      </c>
      <c r="AA225" s="462">
        <f>Complete[[#This Row],[MOOE]]+Complete[[#This Row],[CO]]</f>
        <v>51070</v>
      </c>
      <c r="AB225" s="466">
        <v>51070</v>
      </c>
      <c r="AC225" s="497"/>
      <c r="AD225" s="498">
        <f>IF(Complete[[#This Row],[Procurement Project]]="","",SUM(Complete[[#This Row],[MOOE2]]+Complete[[#This Row],[CO3]]))</f>
        <v>51000</v>
      </c>
      <c r="AE225" s="501">
        <v>51000</v>
      </c>
      <c r="AF225" s="541"/>
      <c r="AG225" s="400"/>
      <c r="AH225" s="380" t="s">
        <v>1205</v>
      </c>
      <c r="AI225" s="576" t="str">
        <f>VLOOKUP(Complete[[#This Row],[Code
(PAP)]],[1]Sheet1!$A:$AO,35,FALSE)</f>
        <v>N/A</v>
      </c>
      <c r="AJ225" s="576" t="str">
        <f>VLOOKUP(Complete[[#This Row],[Code
(PAP)]],[1]Sheet1!$A:$AO,36,FALSE)</f>
        <v>N/A</v>
      </c>
      <c r="AK225" s="576" t="str">
        <f>VLOOKUP(Complete[[#This Row],[Code
(PAP)]],[1]Sheet1!$A:$AO,37,FALSE)</f>
        <v>N/A</v>
      </c>
      <c r="AL225" s="576" t="str">
        <f>VLOOKUP(Complete[[#This Row],[Code
(PAP)]],[1]Sheet1!$A:$AO,38,FALSE)</f>
        <v>N/A</v>
      </c>
      <c r="AM225" s="576" t="str">
        <f>VLOOKUP(Complete[[#This Row],[Code
(PAP)]],[1]Sheet1!$A:$AO,38,FALSE)</f>
        <v>N/A</v>
      </c>
      <c r="AN225" s="595" t="s">
        <v>713</v>
      </c>
      <c r="AO225" s="303" t="s">
        <v>139</v>
      </c>
      <c r="AP225" s="389"/>
      <c r="AQ225" s="389"/>
    </row>
    <row r="226" spans="1:43" s="224" customFormat="1" ht="75" customHeight="1" x14ac:dyDescent="0.25">
      <c r="A226" s="385" t="s">
        <v>404</v>
      </c>
      <c r="B226" s="406" t="str">
        <f>VLOOKUP(Complete[[#This Row],[Code
(PAP)]],[1]Sheet1!$A:$AO,2,FALSE)</f>
        <v>COMPUTER SUPPLIES/SPAREPARTS</v>
      </c>
      <c r="C226" s="408" t="str">
        <f>VLOOKUP(Complete[[#This Row],[Code
(PAP)]],[1]Sheet1!$A:$AO,3,FALSE)</f>
        <v>PGO</v>
      </c>
      <c r="D226" s="380" t="s">
        <v>712</v>
      </c>
      <c r="E226" s="409" t="str">
        <f>VLOOKUP(Complete[[#This Row],[Code
(PAP)]],[2]Sheet1!$A:$AO,5,FALSE)</f>
        <v>NP-53.9 - Small Value Procurement</v>
      </c>
      <c r="F226" s="393" t="str">
        <f>VLOOKUP(Complete[[#This Row],[Code
(PAP)]],[1]Sheet1!$A:$AO,6,FALSE)</f>
        <v>N/A</v>
      </c>
      <c r="G226" s="393">
        <f>VLOOKUP(Complete[[#This Row],[Code
(PAP)]],[1]Sheet1!$A:$AO,7,FALSE)</f>
        <v>45363</v>
      </c>
      <c r="H226" s="374"/>
      <c r="I226" s="394" t="str">
        <f>VLOOKUP(Complete[[#This Row],[Code
(PAP)]],[1]Sheet1!$A:$AO,9,FALSE)</f>
        <v>N/A</v>
      </c>
      <c r="J226" s="393">
        <f>VLOOKUP(Complete[[#This Row],[Code
(PAP)]],[1]Sheet1!$A:$AO,10,FALSE)</f>
        <v>45373</v>
      </c>
      <c r="K226" s="393">
        <f>VLOOKUP(Complete[[#This Row],[Code
(PAP)]],[1]Sheet1!$A:$AO,11,FALSE)</f>
        <v>45373</v>
      </c>
      <c r="L226" s="387"/>
      <c r="M226" s="393" t="str">
        <f>VLOOKUP(Complete[[#This Row],[Code
(PAP)]],[1]Sheet1!$A:$AO,13,FALSE)</f>
        <v>N/A</v>
      </c>
      <c r="N226" s="393" t="str">
        <f>VLOOKUP(Complete[[#This Row],[Code
(PAP)]],[1]Sheet1!$A:$AO,14,FALSE)</f>
        <v>N/A</v>
      </c>
      <c r="O226" s="393">
        <f>VLOOKUP(Complete[[#This Row],[Code
(PAP)]],[1]Sheet1!$A:$AO,15,FALSE)</f>
        <v>45376</v>
      </c>
      <c r="P226" s="387"/>
      <c r="Q226" s="387"/>
      <c r="R226" s="387"/>
      <c r="S226" s="576" t="str">
        <f>VLOOKUP(Complete[[#This Row],[Code
(PAP)]],[1]Sheet1!$A:$AO,19,FALSE)</f>
        <v>N/A</v>
      </c>
      <c r="T226" s="576">
        <f>VLOOKUP(Complete[[#This Row],[Code
(PAP)]],[1]Sheet1!$A:$AO,20,FALSE)</f>
        <v>45393</v>
      </c>
      <c r="U226" s="576">
        <f>VLOOKUP(Complete[[#This Row],[Code
(PAP)]],[1]Sheet1!$A:$AO,21,FALSE)</f>
        <v>45397</v>
      </c>
      <c r="V226" s="387"/>
      <c r="W226" s="387"/>
      <c r="X226" s="392">
        <f>VLOOKUP(Complete[[#This Row],[Code
(PAP)]],[1]Sheet1!$A:$AO,24,FALSE)</f>
        <v>45411</v>
      </c>
      <c r="Y226" s="392">
        <f>Complete[[#This Row],[Delivery/ Completion]]</f>
        <v>45411</v>
      </c>
      <c r="Z226" s="610" t="s">
        <v>1478</v>
      </c>
      <c r="AA226" s="462">
        <f>Complete[[#This Row],[MOOE]]+Complete[[#This Row],[CO]]</f>
        <v>13312</v>
      </c>
      <c r="AB226" s="466"/>
      <c r="AC226" s="497">
        <v>13312</v>
      </c>
      <c r="AD226" s="498">
        <f>IF(Complete[[#This Row],[Procurement Project]]="","",SUM(Complete[[#This Row],[MOOE2]]+Complete[[#This Row],[CO3]]))</f>
        <v>13280</v>
      </c>
      <c r="AE226" s="501"/>
      <c r="AF226" s="541">
        <v>13280</v>
      </c>
      <c r="AG226" s="400"/>
      <c r="AH226" s="380" t="s">
        <v>1205</v>
      </c>
      <c r="AI226" s="576" t="str">
        <f>VLOOKUP(Complete[[#This Row],[Code
(PAP)]],[1]Sheet1!$A:$AO,35,FALSE)</f>
        <v>N/A</v>
      </c>
      <c r="AJ226" s="576" t="str">
        <f>VLOOKUP(Complete[[#This Row],[Code
(PAP)]],[1]Sheet1!$A:$AO,36,FALSE)</f>
        <v>N/A</v>
      </c>
      <c r="AK226" s="576" t="str">
        <f>VLOOKUP(Complete[[#This Row],[Code
(PAP)]],[1]Sheet1!$A:$AO,37,FALSE)</f>
        <v>N/A</v>
      </c>
      <c r="AL226" s="576" t="str">
        <f>VLOOKUP(Complete[[#This Row],[Code
(PAP)]],[1]Sheet1!$A:$AO,38,FALSE)</f>
        <v>N/A</v>
      </c>
      <c r="AM226" s="576" t="str">
        <f>VLOOKUP(Complete[[#This Row],[Code
(PAP)]],[1]Sheet1!$A:$AO,38,FALSE)</f>
        <v>N/A</v>
      </c>
      <c r="AN226" s="595" t="s">
        <v>713</v>
      </c>
      <c r="AO226" s="303" t="s">
        <v>139</v>
      </c>
      <c r="AP226" s="389"/>
      <c r="AQ226" s="389"/>
    </row>
    <row r="227" spans="1:43" s="224" customFormat="1" ht="75" customHeight="1" x14ac:dyDescent="0.25">
      <c r="A227" s="385" t="s">
        <v>405</v>
      </c>
      <c r="B227" s="406" t="str">
        <f>VLOOKUP(Complete[[#This Row],[Code
(PAP)]],[1]Sheet1!$A:$AO,2,FALSE)</f>
        <v>JANITORIAL SUPPLIES/HOUSEKEEPING</v>
      </c>
      <c r="C227" s="408" t="str">
        <f>VLOOKUP(Complete[[#This Row],[Code
(PAP)]],[1]Sheet1!$A:$AO,3,FALSE)</f>
        <v>PAO</v>
      </c>
      <c r="D227" s="380" t="s">
        <v>712</v>
      </c>
      <c r="E227" s="409" t="str">
        <f>VLOOKUP(Complete[[#This Row],[Code
(PAP)]],[2]Sheet1!$A:$AO,5,FALSE)</f>
        <v>NP-53.9 - Small Value Procurement</v>
      </c>
      <c r="F227" s="393" t="str">
        <f>VLOOKUP(Complete[[#This Row],[Code
(PAP)]],[1]Sheet1!$A:$AO,6,FALSE)</f>
        <v>N/A</v>
      </c>
      <c r="G227" s="393">
        <f>VLOOKUP(Complete[[#This Row],[Code
(PAP)]],[1]Sheet1!$A:$AO,7,FALSE)</f>
        <v>45363</v>
      </c>
      <c r="H227" s="374"/>
      <c r="I227" s="394" t="str">
        <f>VLOOKUP(Complete[[#This Row],[Code
(PAP)]],[1]Sheet1!$A:$AO,9,FALSE)</f>
        <v>N/A</v>
      </c>
      <c r="J227" s="393">
        <f>VLOOKUP(Complete[[#This Row],[Code
(PAP)]],[1]Sheet1!$A:$AO,10,FALSE)</f>
        <v>45373</v>
      </c>
      <c r="K227" s="393">
        <f>VLOOKUP(Complete[[#This Row],[Code
(PAP)]],[1]Sheet1!$A:$AO,11,FALSE)</f>
        <v>45373</v>
      </c>
      <c r="L227" s="387"/>
      <c r="M227" s="393" t="str">
        <f>VLOOKUP(Complete[[#This Row],[Code
(PAP)]],[1]Sheet1!$A:$AO,13,FALSE)</f>
        <v>N/A</v>
      </c>
      <c r="N227" s="393" t="str">
        <f>VLOOKUP(Complete[[#This Row],[Code
(PAP)]],[1]Sheet1!$A:$AO,14,FALSE)</f>
        <v>N/A</v>
      </c>
      <c r="O227" s="393">
        <f>VLOOKUP(Complete[[#This Row],[Code
(PAP)]],[1]Sheet1!$A:$AO,15,FALSE)</f>
        <v>45376</v>
      </c>
      <c r="P227" s="387"/>
      <c r="Q227" s="387"/>
      <c r="R227" s="387"/>
      <c r="S227" s="576" t="str">
        <f>VLOOKUP(Complete[[#This Row],[Code
(PAP)]],[1]Sheet1!$A:$AO,19,FALSE)</f>
        <v>N/A</v>
      </c>
      <c r="T227" s="576">
        <f>VLOOKUP(Complete[[#This Row],[Code
(PAP)]],[1]Sheet1!$A:$AO,20,FALSE)</f>
        <v>45393</v>
      </c>
      <c r="U227" s="576">
        <f>VLOOKUP(Complete[[#This Row],[Code
(PAP)]],[1]Sheet1!$A:$AO,21,FALSE)</f>
        <v>45397</v>
      </c>
      <c r="V227" s="387"/>
      <c r="W227" s="387"/>
      <c r="X227" s="392">
        <f>VLOOKUP(Complete[[#This Row],[Code
(PAP)]],[1]Sheet1!$A:$AO,24,FALSE)</f>
        <v>45404</v>
      </c>
      <c r="Y227" s="392">
        <f>Complete[[#This Row],[Delivery/ Completion]]</f>
        <v>45404</v>
      </c>
      <c r="Z227" s="610" t="s">
        <v>1478</v>
      </c>
      <c r="AA227" s="462">
        <f>Complete[[#This Row],[MOOE]]+Complete[[#This Row],[CO]]</f>
        <v>6048</v>
      </c>
      <c r="AB227" s="466"/>
      <c r="AC227" s="497">
        <v>6048</v>
      </c>
      <c r="AD227" s="498">
        <f>IF(Complete[[#This Row],[Procurement Project]]="","",SUM(Complete[[#This Row],[MOOE2]]+Complete[[#This Row],[CO3]]))</f>
        <v>5878</v>
      </c>
      <c r="AE227" s="501"/>
      <c r="AF227" s="541">
        <v>5878</v>
      </c>
      <c r="AG227" s="400"/>
      <c r="AH227" s="380" t="s">
        <v>1205</v>
      </c>
      <c r="AI227" s="576" t="str">
        <f>VLOOKUP(Complete[[#This Row],[Code
(PAP)]],[1]Sheet1!$A:$AO,35,FALSE)</f>
        <v>N/A</v>
      </c>
      <c r="AJ227" s="576" t="str">
        <f>VLOOKUP(Complete[[#This Row],[Code
(PAP)]],[1]Sheet1!$A:$AO,36,FALSE)</f>
        <v>N/A</v>
      </c>
      <c r="AK227" s="576" t="str">
        <f>VLOOKUP(Complete[[#This Row],[Code
(PAP)]],[1]Sheet1!$A:$AO,37,FALSE)</f>
        <v>N/A</v>
      </c>
      <c r="AL227" s="576" t="str">
        <f>VLOOKUP(Complete[[#This Row],[Code
(PAP)]],[1]Sheet1!$A:$AO,38,FALSE)</f>
        <v>N/A</v>
      </c>
      <c r="AM227" s="576" t="str">
        <f>VLOOKUP(Complete[[#This Row],[Code
(PAP)]],[1]Sheet1!$A:$AO,38,FALSE)</f>
        <v>N/A</v>
      </c>
      <c r="AN227" s="595" t="s">
        <v>713</v>
      </c>
      <c r="AO227" s="303" t="s">
        <v>139</v>
      </c>
      <c r="AP227" s="389"/>
      <c r="AQ227" s="389"/>
    </row>
    <row r="228" spans="1:43" s="224" customFormat="1" ht="75" customHeight="1" x14ac:dyDescent="0.25">
      <c r="A228" s="385" t="s">
        <v>406</v>
      </c>
      <c r="B228" s="406" t="str">
        <f>VLOOKUP(Complete[[#This Row],[Code
(PAP)]],[1]Sheet1!$A:$AO,2,FALSE)</f>
        <v>SPAREPARTS  AND BATTERY FOR GEN SET</v>
      </c>
      <c r="C228" s="408" t="str">
        <f>VLOOKUP(Complete[[#This Row],[Code
(PAP)]],[1]Sheet1!$A:$AO,3,FALSE)</f>
        <v>PHO</v>
      </c>
      <c r="D228" s="380" t="s">
        <v>712</v>
      </c>
      <c r="E228" s="409" t="str">
        <f>VLOOKUP(Complete[[#This Row],[Code
(PAP)]],[2]Sheet1!$A:$AO,5,FALSE)</f>
        <v>NP-53.9 - Small Value Procurement</v>
      </c>
      <c r="F228" s="393" t="str">
        <f>VLOOKUP(Complete[[#This Row],[Code
(PAP)]],[1]Sheet1!$A:$AO,6,FALSE)</f>
        <v>N/A</v>
      </c>
      <c r="G228" s="393">
        <f>VLOOKUP(Complete[[#This Row],[Code
(PAP)]],[1]Sheet1!$A:$AO,7,FALSE)</f>
        <v>45363</v>
      </c>
      <c r="H228" s="374"/>
      <c r="I228" s="394" t="str">
        <f>VLOOKUP(Complete[[#This Row],[Code
(PAP)]],[1]Sheet1!$A:$AO,9,FALSE)</f>
        <v>N/A</v>
      </c>
      <c r="J228" s="393">
        <f>VLOOKUP(Complete[[#This Row],[Code
(PAP)]],[1]Sheet1!$A:$AO,10,FALSE)</f>
        <v>45373</v>
      </c>
      <c r="K228" s="393">
        <f>VLOOKUP(Complete[[#This Row],[Code
(PAP)]],[1]Sheet1!$A:$AO,11,FALSE)</f>
        <v>45373</v>
      </c>
      <c r="L228" s="387"/>
      <c r="M228" s="393" t="str">
        <f>VLOOKUP(Complete[[#This Row],[Code
(PAP)]],[1]Sheet1!$A:$AO,13,FALSE)</f>
        <v>N/A</v>
      </c>
      <c r="N228" s="393" t="str">
        <f>VLOOKUP(Complete[[#This Row],[Code
(PAP)]],[1]Sheet1!$A:$AO,14,FALSE)</f>
        <v>N/A</v>
      </c>
      <c r="O228" s="393">
        <f>VLOOKUP(Complete[[#This Row],[Code
(PAP)]],[1]Sheet1!$A:$AO,15,FALSE)</f>
        <v>45376</v>
      </c>
      <c r="P228" s="387"/>
      <c r="Q228" s="387"/>
      <c r="R228" s="387"/>
      <c r="S228" s="576" t="str">
        <f>VLOOKUP(Complete[[#This Row],[Code
(PAP)]],[1]Sheet1!$A:$AO,19,FALSE)</f>
        <v>N/A</v>
      </c>
      <c r="T228" s="576">
        <f>VLOOKUP(Complete[[#This Row],[Code
(PAP)]],[1]Sheet1!$A:$AO,20,FALSE)</f>
        <v>45390</v>
      </c>
      <c r="U228" s="576">
        <f>VLOOKUP(Complete[[#This Row],[Code
(PAP)]],[1]Sheet1!$A:$AO,21,FALSE)</f>
        <v>45394</v>
      </c>
      <c r="V228" s="387"/>
      <c r="W228" s="387"/>
      <c r="X228" s="392">
        <f>VLOOKUP(Complete[[#This Row],[Code
(PAP)]],[1]Sheet1!$A:$AO,24,FALSE)</f>
        <v>45428</v>
      </c>
      <c r="Y228" s="392">
        <f>Complete[[#This Row],[Delivery/ Completion]]</f>
        <v>45428</v>
      </c>
      <c r="Z228" s="610" t="s">
        <v>1478</v>
      </c>
      <c r="AA228" s="462">
        <f>Complete[[#This Row],[MOOE]]+Complete[[#This Row],[CO]]</f>
        <v>19239.32</v>
      </c>
      <c r="AB228" s="466">
        <v>19239.32</v>
      </c>
      <c r="AC228" s="497"/>
      <c r="AD228" s="498">
        <f>IF(Complete[[#This Row],[Procurement Project]]="","",SUM(Complete[[#This Row],[MOOE2]]+Complete[[#This Row],[CO3]]))</f>
        <v>19221.400000000001</v>
      </c>
      <c r="AE228" s="501">
        <v>19221.400000000001</v>
      </c>
      <c r="AF228" s="541"/>
      <c r="AG228" s="400"/>
      <c r="AH228" s="380" t="s">
        <v>1205</v>
      </c>
      <c r="AI228" s="576" t="str">
        <f>VLOOKUP(Complete[[#This Row],[Code
(PAP)]],[1]Sheet1!$A:$AO,35,FALSE)</f>
        <v>N/A</v>
      </c>
      <c r="AJ228" s="576" t="str">
        <f>VLOOKUP(Complete[[#This Row],[Code
(PAP)]],[1]Sheet1!$A:$AO,36,FALSE)</f>
        <v>N/A</v>
      </c>
      <c r="AK228" s="576" t="str">
        <f>VLOOKUP(Complete[[#This Row],[Code
(PAP)]],[1]Sheet1!$A:$AO,37,FALSE)</f>
        <v>N/A</v>
      </c>
      <c r="AL228" s="576" t="str">
        <f>VLOOKUP(Complete[[#This Row],[Code
(PAP)]],[1]Sheet1!$A:$AO,38,FALSE)</f>
        <v>N/A</v>
      </c>
      <c r="AM228" s="576" t="str">
        <f>VLOOKUP(Complete[[#This Row],[Code
(PAP)]],[1]Sheet1!$A:$AO,38,FALSE)</f>
        <v>N/A</v>
      </c>
      <c r="AN228" s="595" t="s">
        <v>713</v>
      </c>
      <c r="AO228" s="303" t="s">
        <v>139</v>
      </c>
      <c r="AP228" s="389"/>
      <c r="AQ228" s="389"/>
    </row>
    <row r="229" spans="1:43" s="224" customFormat="1" ht="75" customHeight="1" x14ac:dyDescent="0.25">
      <c r="A229" s="385" t="s">
        <v>407</v>
      </c>
      <c r="B229" s="406" t="str">
        <f>VLOOKUP(Complete[[#This Row],[Code
(PAP)]],[1]Sheet1!$A:$AO,2,FALSE)</f>
        <v>PORTLAND CEMENT &amp; PULLITUFF BODY FILLER</v>
      </c>
      <c r="C229" s="408" t="str">
        <f>VLOOKUP(Complete[[#This Row],[Code
(PAP)]],[1]Sheet1!$A:$AO,3,FALSE)</f>
        <v>PDRRMO</v>
      </c>
      <c r="D229" s="380" t="s">
        <v>712</v>
      </c>
      <c r="E229" s="409" t="str">
        <f>VLOOKUP(Complete[[#This Row],[Code
(PAP)]],[2]Sheet1!$A:$AO,5,FALSE)</f>
        <v>NP-53.9 - Small Value Procurement</v>
      </c>
      <c r="F229" s="393" t="str">
        <f>VLOOKUP(Complete[[#This Row],[Code
(PAP)]],[1]Sheet1!$A:$AO,6,FALSE)</f>
        <v>N/A</v>
      </c>
      <c r="G229" s="393">
        <f>VLOOKUP(Complete[[#This Row],[Code
(PAP)]],[1]Sheet1!$A:$AO,7,FALSE)</f>
        <v>45359</v>
      </c>
      <c r="H229" s="374"/>
      <c r="I229" s="394" t="str">
        <f>VLOOKUP(Complete[[#This Row],[Code
(PAP)]],[1]Sheet1!$A:$AO,9,FALSE)</f>
        <v>N/A</v>
      </c>
      <c r="J229" s="393">
        <f>VLOOKUP(Complete[[#This Row],[Code
(PAP)]],[1]Sheet1!$A:$AO,10,FALSE)</f>
        <v>45373</v>
      </c>
      <c r="K229" s="393">
        <f>VLOOKUP(Complete[[#This Row],[Code
(PAP)]],[1]Sheet1!$A:$AO,11,FALSE)</f>
        <v>45373</v>
      </c>
      <c r="L229" s="387"/>
      <c r="M229" s="393" t="str">
        <f>VLOOKUP(Complete[[#This Row],[Code
(PAP)]],[1]Sheet1!$A:$AO,13,FALSE)</f>
        <v>N/A</v>
      </c>
      <c r="N229" s="393" t="str">
        <f>VLOOKUP(Complete[[#This Row],[Code
(PAP)]],[1]Sheet1!$A:$AO,14,FALSE)</f>
        <v>N/A</v>
      </c>
      <c r="O229" s="393">
        <f>VLOOKUP(Complete[[#This Row],[Code
(PAP)]],[1]Sheet1!$A:$AO,15,FALSE)</f>
        <v>45376</v>
      </c>
      <c r="P229" s="387"/>
      <c r="Q229" s="387"/>
      <c r="R229" s="387"/>
      <c r="S229" s="576" t="str">
        <f>VLOOKUP(Complete[[#This Row],[Code
(PAP)]],[1]Sheet1!$A:$AO,19,FALSE)</f>
        <v>N/A</v>
      </c>
      <c r="T229" s="576">
        <f>VLOOKUP(Complete[[#This Row],[Code
(PAP)]],[1]Sheet1!$A:$AO,20,FALSE)</f>
        <v>45390</v>
      </c>
      <c r="U229" s="576">
        <f>VLOOKUP(Complete[[#This Row],[Code
(PAP)]],[1]Sheet1!$A:$AO,21,FALSE)</f>
        <v>45394</v>
      </c>
      <c r="V229" s="387"/>
      <c r="W229" s="387"/>
      <c r="X229" s="392">
        <f>VLOOKUP(Complete[[#This Row],[Code
(PAP)]],[1]Sheet1!$A:$AO,24,FALSE)</f>
        <v>45428</v>
      </c>
      <c r="Y229" s="392">
        <f>Complete[[#This Row],[Delivery/ Completion]]</f>
        <v>45428</v>
      </c>
      <c r="Z229" s="610" t="s">
        <v>1478</v>
      </c>
      <c r="AA229" s="462">
        <f>Complete[[#This Row],[MOOE]]+Complete[[#This Row],[CO]]</f>
        <v>7780</v>
      </c>
      <c r="AB229" s="466"/>
      <c r="AC229" s="497">
        <v>7780</v>
      </c>
      <c r="AD229" s="498">
        <f>IF(Complete[[#This Row],[Procurement Project]]="","",SUM(Complete[[#This Row],[MOOE2]]+Complete[[#This Row],[CO3]]))</f>
        <v>7770.5</v>
      </c>
      <c r="AE229" s="501"/>
      <c r="AF229" s="541">
        <v>7770.5</v>
      </c>
      <c r="AG229" s="400"/>
      <c r="AH229" s="380" t="s">
        <v>1205</v>
      </c>
      <c r="AI229" s="576" t="str">
        <f>VLOOKUP(Complete[[#This Row],[Code
(PAP)]],[1]Sheet1!$A:$AO,35,FALSE)</f>
        <v>N/A</v>
      </c>
      <c r="AJ229" s="576" t="str">
        <f>VLOOKUP(Complete[[#This Row],[Code
(PAP)]],[1]Sheet1!$A:$AO,36,FALSE)</f>
        <v>N/A</v>
      </c>
      <c r="AK229" s="576" t="str">
        <f>VLOOKUP(Complete[[#This Row],[Code
(PAP)]],[1]Sheet1!$A:$AO,37,FALSE)</f>
        <v>N/A</v>
      </c>
      <c r="AL229" s="576" t="str">
        <f>VLOOKUP(Complete[[#This Row],[Code
(PAP)]],[1]Sheet1!$A:$AO,38,FALSE)</f>
        <v>N/A</v>
      </c>
      <c r="AM229" s="576" t="str">
        <f>VLOOKUP(Complete[[#This Row],[Code
(PAP)]],[1]Sheet1!$A:$AO,38,FALSE)</f>
        <v>N/A</v>
      </c>
      <c r="AN229" s="595" t="s">
        <v>713</v>
      </c>
      <c r="AO229" s="303" t="s">
        <v>139</v>
      </c>
      <c r="AP229" s="389"/>
      <c r="AQ229" s="389"/>
    </row>
    <row r="230" spans="1:43" s="224" customFormat="1" ht="75" customHeight="1" x14ac:dyDescent="0.25">
      <c r="A230" s="385" t="s">
        <v>408</v>
      </c>
      <c r="B230" s="406" t="str">
        <f>VLOOKUP(Complete[[#This Row],[Code
(PAP)]],[1]Sheet1!$A:$AO,2,FALSE)</f>
        <v>PADLOCK</v>
      </c>
      <c r="C230" s="408" t="str">
        <f>VLOOKUP(Complete[[#This Row],[Code
(PAP)]],[1]Sheet1!$A:$AO,3,FALSE)</f>
        <v>PGO</v>
      </c>
      <c r="D230" s="380" t="s">
        <v>712</v>
      </c>
      <c r="E230" s="409" t="str">
        <f>VLOOKUP(Complete[[#This Row],[Code
(PAP)]],[2]Sheet1!$A:$AO,5,FALSE)</f>
        <v>NP-53.9 - Small Value Procurement</v>
      </c>
      <c r="F230" s="393" t="str">
        <f>VLOOKUP(Complete[[#This Row],[Code
(PAP)]],[1]Sheet1!$A:$AO,6,FALSE)</f>
        <v>N/A</v>
      </c>
      <c r="G230" s="393">
        <f>VLOOKUP(Complete[[#This Row],[Code
(PAP)]],[1]Sheet1!$A:$AO,7,FALSE)</f>
        <v>45363</v>
      </c>
      <c r="H230" s="374"/>
      <c r="I230" s="394" t="str">
        <f>VLOOKUP(Complete[[#This Row],[Code
(PAP)]],[1]Sheet1!$A:$AO,9,FALSE)</f>
        <v>N/A</v>
      </c>
      <c r="J230" s="393">
        <f>VLOOKUP(Complete[[#This Row],[Code
(PAP)]],[1]Sheet1!$A:$AO,10,FALSE)</f>
        <v>45373</v>
      </c>
      <c r="K230" s="393">
        <f>VLOOKUP(Complete[[#This Row],[Code
(PAP)]],[1]Sheet1!$A:$AO,11,FALSE)</f>
        <v>45373</v>
      </c>
      <c r="L230" s="387"/>
      <c r="M230" s="393" t="str">
        <f>VLOOKUP(Complete[[#This Row],[Code
(PAP)]],[1]Sheet1!$A:$AO,13,FALSE)</f>
        <v>N/A</v>
      </c>
      <c r="N230" s="393" t="str">
        <f>VLOOKUP(Complete[[#This Row],[Code
(PAP)]],[1]Sheet1!$A:$AO,14,FALSE)</f>
        <v>N/A</v>
      </c>
      <c r="O230" s="393">
        <f>VLOOKUP(Complete[[#This Row],[Code
(PAP)]],[1]Sheet1!$A:$AO,15,FALSE)</f>
        <v>45376</v>
      </c>
      <c r="P230" s="387"/>
      <c r="Q230" s="387"/>
      <c r="R230" s="387"/>
      <c r="S230" s="576" t="str">
        <f>VLOOKUP(Complete[[#This Row],[Code
(PAP)]],[1]Sheet1!$A:$AO,19,FALSE)</f>
        <v>N/A</v>
      </c>
      <c r="T230" s="576">
        <f>VLOOKUP(Complete[[#This Row],[Code
(PAP)]],[1]Sheet1!$A:$AO,20,FALSE)</f>
        <v>45393</v>
      </c>
      <c r="U230" s="576">
        <f>VLOOKUP(Complete[[#This Row],[Code
(PAP)]],[1]Sheet1!$A:$AO,21,FALSE)</f>
        <v>45394</v>
      </c>
      <c r="V230" s="387"/>
      <c r="W230" s="387"/>
      <c r="X230" s="392">
        <f>VLOOKUP(Complete[[#This Row],[Code
(PAP)]],[1]Sheet1!$A:$AO,24,FALSE)</f>
        <v>45428</v>
      </c>
      <c r="Y230" s="392">
        <f>Complete[[#This Row],[Delivery/ Completion]]</f>
        <v>45428</v>
      </c>
      <c r="Z230" s="610" t="s">
        <v>1478</v>
      </c>
      <c r="AA230" s="462">
        <f>Complete[[#This Row],[MOOE]]+Complete[[#This Row],[CO]]</f>
        <v>2200</v>
      </c>
      <c r="AB230" s="466"/>
      <c r="AC230" s="497">
        <v>2200</v>
      </c>
      <c r="AD230" s="498">
        <f>IF(Complete[[#This Row],[Procurement Project]]="","",SUM(Complete[[#This Row],[MOOE2]]+Complete[[#This Row],[CO3]]))</f>
        <v>2198</v>
      </c>
      <c r="AE230" s="501"/>
      <c r="AF230" s="541">
        <v>2198</v>
      </c>
      <c r="AG230" s="400"/>
      <c r="AH230" s="380" t="s">
        <v>1205</v>
      </c>
      <c r="AI230" s="576" t="str">
        <f>VLOOKUP(Complete[[#This Row],[Code
(PAP)]],[1]Sheet1!$A:$AO,35,FALSE)</f>
        <v>N/A</v>
      </c>
      <c r="AJ230" s="576" t="str">
        <f>VLOOKUP(Complete[[#This Row],[Code
(PAP)]],[1]Sheet1!$A:$AO,36,FALSE)</f>
        <v>N/A</v>
      </c>
      <c r="AK230" s="576" t="str">
        <f>VLOOKUP(Complete[[#This Row],[Code
(PAP)]],[1]Sheet1!$A:$AO,37,FALSE)</f>
        <v>N/A</v>
      </c>
      <c r="AL230" s="576" t="str">
        <f>VLOOKUP(Complete[[#This Row],[Code
(PAP)]],[1]Sheet1!$A:$AO,38,FALSE)</f>
        <v>N/A</v>
      </c>
      <c r="AM230" s="576" t="str">
        <f>VLOOKUP(Complete[[#This Row],[Code
(PAP)]],[1]Sheet1!$A:$AO,38,FALSE)</f>
        <v>N/A</v>
      </c>
      <c r="AN230" s="595" t="s">
        <v>713</v>
      </c>
      <c r="AO230" s="303" t="s">
        <v>139</v>
      </c>
      <c r="AP230" s="389"/>
      <c r="AQ230" s="389"/>
    </row>
    <row r="231" spans="1:43" s="224" customFormat="1" ht="75" customHeight="1" x14ac:dyDescent="0.25">
      <c r="A231" s="385" t="s">
        <v>409</v>
      </c>
      <c r="B231" s="406" t="str">
        <f>VLOOKUP(Complete[[#This Row],[Code
(PAP)]],[1]Sheet1!$A:$AO,2,FALSE)</f>
        <v>TARPAULIN</v>
      </c>
      <c r="C231" s="408" t="str">
        <f>VLOOKUP(Complete[[#This Row],[Code
(PAP)]],[1]Sheet1!$A:$AO,3,FALSE)</f>
        <v>PDRRMO</v>
      </c>
      <c r="D231" s="380" t="s">
        <v>712</v>
      </c>
      <c r="E231" s="409" t="str">
        <f>VLOOKUP(Complete[[#This Row],[Code
(PAP)]],[2]Sheet1!$A:$AO,5,FALSE)</f>
        <v>NP-53.9 - Small Value Procurement</v>
      </c>
      <c r="F231" s="393">
        <f>VLOOKUP(Complete[[#This Row],[Code
(PAP)]],[1]Sheet1!$A:$AO,6,FALSE)</f>
        <v>45356</v>
      </c>
      <c r="G231" s="393">
        <f>VLOOKUP(Complete[[#This Row],[Code
(PAP)]],[1]Sheet1!$A:$AO,7,FALSE)</f>
        <v>45359</v>
      </c>
      <c r="H231" s="374"/>
      <c r="I231" s="394" t="str">
        <f>VLOOKUP(Complete[[#This Row],[Code
(PAP)]],[1]Sheet1!$A:$AO,9,FALSE)</f>
        <v>N/A</v>
      </c>
      <c r="J231" s="393">
        <f>VLOOKUP(Complete[[#This Row],[Code
(PAP)]],[1]Sheet1!$A:$AO,10,FALSE)</f>
        <v>45373</v>
      </c>
      <c r="K231" s="393">
        <f>VLOOKUP(Complete[[#This Row],[Code
(PAP)]],[1]Sheet1!$A:$AO,11,FALSE)</f>
        <v>45373</v>
      </c>
      <c r="L231" s="387"/>
      <c r="M231" s="393" t="str">
        <f>VLOOKUP(Complete[[#This Row],[Code
(PAP)]],[1]Sheet1!$A:$AO,13,FALSE)</f>
        <v>N/A</v>
      </c>
      <c r="N231" s="393" t="str">
        <f>VLOOKUP(Complete[[#This Row],[Code
(PAP)]],[1]Sheet1!$A:$AO,14,FALSE)</f>
        <v>N/A</v>
      </c>
      <c r="O231" s="393">
        <f>VLOOKUP(Complete[[#This Row],[Code
(PAP)]],[1]Sheet1!$A:$AO,15,FALSE)</f>
        <v>45376</v>
      </c>
      <c r="P231" s="387"/>
      <c r="Q231" s="387"/>
      <c r="R231" s="387"/>
      <c r="S231" s="576">
        <f>VLOOKUP(Complete[[#This Row],[Code
(PAP)]],[1]Sheet1!$A:$AO,19,FALSE)</f>
        <v>45384</v>
      </c>
      <c r="T231" s="576">
        <f>VLOOKUP(Complete[[#This Row],[Code
(PAP)]],[1]Sheet1!$A:$AO,20,FALSE)</f>
        <v>45390</v>
      </c>
      <c r="U231" s="576">
        <f>VLOOKUP(Complete[[#This Row],[Code
(PAP)]],[1]Sheet1!$A:$AO,21,FALSE)</f>
        <v>45394</v>
      </c>
      <c r="V231" s="387"/>
      <c r="W231" s="387"/>
      <c r="X231" s="392">
        <f>VLOOKUP(Complete[[#This Row],[Code
(PAP)]],[1]Sheet1!$A:$AO,24,FALSE)</f>
        <v>45448</v>
      </c>
      <c r="Y231" s="392">
        <f>Complete[[#This Row],[Delivery/ Completion]]</f>
        <v>45448</v>
      </c>
      <c r="Z231" s="610" t="s">
        <v>1478</v>
      </c>
      <c r="AA231" s="462">
        <f>Complete[[#This Row],[MOOE]]+Complete[[#This Row],[CO]]</f>
        <v>140000</v>
      </c>
      <c r="AB231" s="466"/>
      <c r="AC231" s="497">
        <v>140000</v>
      </c>
      <c r="AD231" s="498">
        <f>IF(Complete[[#This Row],[Procurement Project]]="","",SUM(Complete[[#This Row],[MOOE2]]+Complete[[#This Row],[CO3]]))</f>
        <v>125000</v>
      </c>
      <c r="AE231" s="501"/>
      <c r="AF231" s="541">
        <v>125000</v>
      </c>
      <c r="AG231" s="400"/>
      <c r="AH231" s="380" t="s">
        <v>1205</v>
      </c>
      <c r="AI231" s="576" t="str">
        <f>VLOOKUP(Complete[[#This Row],[Code
(PAP)]],[1]Sheet1!$A:$AO,35,FALSE)</f>
        <v>N/A</v>
      </c>
      <c r="AJ231" s="576" t="str">
        <f>VLOOKUP(Complete[[#This Row],[Code
(PAP)]],[1]Sheet1!$A:$AO,36,FALSE)</f>
        <v>N/A</v>
      </c>
      <c r="AK231" s="576" t="str">
        <f>VLOOKUP(Complete[[#This Row],[Code
(PAP)]],[1]Sheet1!$A:$AO,37,FALSE)</f>
        <v>N/A</v>
      </c>
      <c r="AL231" s="576" t="str">
        <f>VLOOKUP(Complete[[#This Row],[Code
(PAP)]],[1]Sheet1!$A:$AO,38,FALSE)</f>
        <v>N/A</v>
      </c>
      <c r="AM231" s="576" t="str">
        <f>VLOOKUP(Complete[[#This Row],[Code
(PAP)]],[1]Sheet1!$A:$AO,38,FALSE)</f>
        <v>N/A</v>
      </c>
      <c r="AN231" s="595" t="s">
        <v>713</v>
      </c>
      <c r="AO231" s="303" t="s">
        <v>139</v>
      </c>
      <c r="AP231" s="389"/>
      <c r="AQ231" s="389"/>
    </row>
    <row r="232" spans="1:43" s="224" customFormat="1" ht="75" customHeight="1" x14ac:dyDescent="0.25">
      <c r="A232" s="385" t="s">
        <v>410</v>
      </c>
      <c r="B232" s="406" t="str">
        <f>VLOOKUP(Complete[[#This Row],[Code
(PAP)]],[1]Sheet1!$A:$AO,2,FALSE)</f>
        <v>OFFICE SUPPLIES</v>
      </c>
      <c r="C232" s="408" t="str">
        <f>VLOOKUP(Complete[[#This Row],[Code
(PAP)]],[1]Sheet1!$A:$AO,3,FALSE)</f>
        <v>PHRMDO</v>
      </c>
      <c r="D232" s="380" t="s">
        <v>712</v>
      </c>
      <c r="E232" s="409" t="str">
        <f>VLOOKUP(Complete[[#This Row],[Code
(PAP)]],[2]Sheet1!$A:$AO,5,FALSE)</f>
        <v>Shopping 52.1(b) - Regular Office Supplies and Equipment no available in PS</v>
      </c>
      <c r="F232" s="393">
        <f>VLOOKUP(Complete[[#This Row],[Code
(PAP)]],[1]Sheet1!$A:$AO,6,FALSE)</f>
        <v>45342</v>
      </c>
      <c r="G232" s="393">
        <f>VLOOKUP(Complete[[#This Row],[Code
(PAP)]],[1]Sheet1!$A:$AO,7,FALSE)</f>
        <v>45344</v>
      </c>
      <c r="H232" s="374"/>
      <c r="I232" s="394" t="str">
        <f>VLOOKUP(Complete[[#This Row],[Code
(PAP)]],[1]Sheet1!$A:$AO,9,FALSE)</f>
        <v>N/A</v>
      </c>
      <c r="J232" s="393">
        <f>VLOOKUP(Complete[[#This Row],[Code
(PAP)]],[1]Sheet1!$A:$AO,10,FALSE)</f>
        <v>45373</v>
      </c>
      <c r="K232" s="393">
        <f>VLOOKUP(Complete[[#This Row],[Code
(PAP)]],[1]Sheet1!$A:$AO,11,FALSE)</f>
        <v>45373</v>
      </c>
      <c r="L232" s="387"/>
      <c r="M232" s="393" t="str">
        <f>VLOOKUP(Complete[[#This Row],[Code
(PAP)]],[1]Sheet1!$A:$AO,13,FALSE)</f>
        <v>N/A</v>
      </c>
      <c r="N232" s="393" t="str">
        <f>VLOOKUP(Complete[[#This Row],[Code
(PAP)]],[1]Sheet1!$A:$AO,14,FALSE)</f>
        <v>N/A</v>
      </c>
      <c r="O232" s="393">
        <f>VLOOKUP(Complete[[#This Row],[Code
(PAP)]],[1]Sheet1!$A:$AO,15,FALSE)</f>
        <v>45376</v>
      </c>
      <c r="P232" s="387"/>
      <c r="Q232" s="387"/>
      <c r="R232" s="387"/>
      <c r="S232" s="576">
        <f>VLOOKUP(Complete[[#This Row],[Code
(PAP)]],[1]Sheet1!$A:$AO,19,FALSE)</f>
        <v>45384</v>
      </c>
      <c r="T232" s="576">
        <f>VLOOKUP(Complete[[#This Row],[Code
(PAP)]],[1]Sheet1!$A:$AO,20,FALSE)</f>
        <v>45387</v>
      </c>
      <c r="U232" s="576">
        <f>VLOOKUP(Complete[[#This Row],[Code
(PAP)]],[1]Sheet1!$A:$AO,21,FALSE)</f>
        <v>45394</v>
      </c>
      <c r="V232" s="387"/>
      <c r="W232" s="387"/>
      <c r="X232" s="392">
        <f>VLOOKUP(Complete[[#This Row],[Code
(PAP)]],[1]Sheet1!$A:$AO,24,FALSE)</f>
        <v>45412</v>
      </c>
      <c r="Y232" s="392">
        <f>Complete[[#This Row],[Delivery/ Completion]]</f>
        <v>45412</v>
      </c>
      <c r="Z232" s="610" t="s">
        <v>1478</v>
      </c>
      <c r="AA232" s="462">
        <f>Complete[[#This Row],[MOOE]]+Complete[[#This Row],[CO]]</f>
        <v>270846</v>
      </c>
      <c r="AB232" s="466"/>
      <c r="AC232" s="497">
        <v>270846</v>
      </c>
      <c r="AD232" s="498">
        <f>IF(Complete[[#This Row],[Procurement Project]]="","",SUM(Complete[[#This Row],[MOOE2]]+Complete[[#This Row],[CO3]]))</f>
        <v>266761.95</v>
      </c>
      <c r="AE232" s="501"/>
      <c r="AF232" s="541">
        <v>266761.95</v>
      </c>
      <c r="AG232" s="400"/>
      <c r="AH232" s="380" t="s">
        <v>1205</v>
      </c>
      <c r="AI232" s="576" t="str">
        <f>VLOOKUP(Complete[[#This Row],[Code
(PAP)]],[1]Sheet1!$A:$AO,35,FALSE)</f>
        <v>N/A</v>
      </c>
      <c r="AJ232" s="576" t="str">
        <f>VLOOKUP(Complete[[#This Row],[Code
(PAP)]],[1]Sheet1!$A:$AO,36,FALSE)</f>
        <v>N/A</v>
      </c>
      <c r="AK232" s="576" t="str">
        <f>VLOOKUP(Complete[[#This Row],[Code
(PAP)]],[1]Sheet1!$A:$AO,37,FALSE)</f>
        <v>N/A</v>
      </c>
      <c r="AL232" s="576" t="str">
        <f>VLOOKUP(Complete[[#This Row],[Code
(PAP)]],[1]Sheet1!$A:$AO,38,FALSE)</f>
        <v>N/A</v>
      </c>
      <c r="AM232" s="576" t="str">
        <f>VLOOKUP(Complete[[#This Row],[Code
(PAP)]],[1]Sheet1!$A:$AO,38,FALSE)</f>
        <v>N/A</v>
      </c>
      <c r="AN232" s="595" t="s">
        <v>713</v>
      </c>
      <c r="AO232" s="303" t="s">
        <v>139</v>
      </c>
      <c r="AP232" s="389"/>
      <c r="AQ232" s="389"/>
    </row>
    <row r="233" spans="1:43" s="224" customFormat="1" ht="75" customHeight="1" x14ac:dyDescent="0.25">
      <c r="A233" s="385" t="s">
        <v>411</v>
      </c>
      <c r="B233" s="406" t="str">
        <f>VLOOKUP(Complete[[#This Row],[Code
(PAP)]],[1]Sheet1!$A:$AO,2,FALSE)</f>
        <v>OFFICE SUPPLIES</v>
      </c>
      <c r="C233" s="408" t="str">
        <f>VLOOKUP(Complete[[#This Row],[Code
(PAP)]],[1]Sheet1!$A:$AO,3,FALSE)</f>
        <v>PSWDO</v>
      </c>
      <c r="D233" s="380" t="s">
        <v>712</v>
      </c>
      <c r="E233" s="409" t="str">
        <f>VLOOKUP(Complete[[#This Row],[Code
(PAP)]],[2]Sheet1!$A:$AO,5,FALSE)</f>
        <v>Shopping 52.1(b) - Regular Office Supplies and Equipment no available in PS</v>
      </c>
      <c r="F233" s="393" t="str">
        <f>VLOOKUP(Complete[[#This Row],[Code
(PAP)]],[1]Sheet1!$A:$AO,6,FALSE)</f>
        <v>N/A</v>
      </c>
      <c r="G233" s="393">
        <f>VLOOKUP(Complete[[#This Row],[Code
(PAP)]],[1]Sheet1!$A:$AO,7,FALSE)</f>
        <v>45344</v>
      </c>
      <c r="H233" s="374"/>
      <c r="I233" s="394" t="str">
        <f>VLOOKUP(Complete[[#This Row],[Code
(PAP)]],[1]Sheet1!$A:$AO,9,FALSE)</f>
        <v>N/A</v>
      </c>
      <c r="J233" s="393">
        <f>VLOOKUP(Complete[[#This Row],[Code
(PAP)]],[1]Sheet1!$A:$AO,10,FALSE)</f>
        <v>45373</v>
      </c>
      <c r="K233" s="393">
        <f>VLOOKUP(Complete[[#This Row],[Code
(PAP)]],[1]Sheet1!$A:$AO,11,FALSE)</f>
        <v>45373</v>
      </c>
      <c r="L233" s="387"/>
      <c r="M233" s="393" t="str">
        <f>VLOOKUP(Complete[[#This Row],[Code
(PAP)]],[1]Sheet1!$A:$AO,13,FALSE)</f>
        <v>N/A</v>
      </c>
      <c r="N233" s="393" t="str">
        <f>VLOOKUP(Complete[[#This Row],[Code
(PAP)]],[1]Sheet1!$A:$AO,14,FALSE)</f>
        <v>N/A</v>
      </c>
      <c r="O233" s="393">
        <f>VLOOKUP(Complete[[#This Row],[Code
(PAP)]],[1]Sheet1!$A:$AO,15,FALSE)</f>
        <v>45376</v>
      </c>
      <c r="P233" s="387"/>
      <c r="Q233" s="387"/>
      <c r="R233" s="387"/>
      <c r="S233" s="576">
        <f>VLOOKUP(Complete[[#This Row],[Code
(PAP)]],[1]Sheet1!$A:$AO,19,FALSE)</f>
        <v>45386</v>
      </c>
      <c r="T233" s="576">
        <f>VLOOKUP(Complete[[#This Row],[Code
(PAP)]],[1]Sheet1!$A:$AO,20,FALSE)</f>
        <v>45390</v>
      </c>
      <c r="U233" s="576">
        <f>VLOOKUP(Complete[[#This Row],[Code
(PAP)]],[1]Sheet1!$A:$AO,21,FALSE)</f>
        <v>45397</v>
      </c>
      <c r="V233" s="387"/>
      <c r="W233" s="387"/>
      <c r="X233" s="392">
        <f>VLOOKUP(Complete[[#This Row],[Code
(PAP)]],[1]Sheet1!$A:$AO,24,FALSE)</f>
        <v>45406</v>
      </c>
      <c r="Y233" s="392">
        <f>Complete[[#This Row],[Delivery/ Completion]]</f>
        <v>45406</v>
      </c>
      <c r="Z233" s="610" t="s">
        <v>1478</v>
      </c>
      <c r="AA233" s="462">
        <f>Complete[[#This Row],[MOOE]]+Complete[[#This Row],[CO]]</f>
        <v>57597.4</v>
      </c>
      <c r="AB233" s="466">
        <v>57597.4</v>
      </c>
      <c r="AC233" s="497"/>
      <c r="AD233" s="498">
        <f>IF(Complete[[#This Row],[Procurement Project]]="","",SUM(Complete[[#This Row],[MOOE2]]+Complete[[#This Row],[CO3]]))</f>
        <v>56023</v>
      </c>
      <c r="AE233" s="501">
        <v>56023</v>
      </c>
      <c r="AF233" s="541"/>
      <c r="AG233" s="400"/>
      <c r="AH233" s="380" t="s">
        <v>1205</v>
      </c>
      <c r="AI233" s="576" t="str">
        <f>VLOOKUP(Complete[[#This Row],[Code
(PAP)]],[1]Sheet1!$A:$AO,35,FALSE)</f>
        <v>N/A</v>
      </c>
      <c r="AJ233" s="576" t="str">
        <f>VLOOKUP(Complete[[#This Row],[Code
(PAP)]],[1]Sheet1!$A:$AO,36,FALSE)</f>
        <v>N/A</v>
      </c>
      <c r="AK233" s="576" t="str">
        <f>VLOOKUP(Complete[[#This Row],[Code
(PAP)]],[1]Sheet1!$A:$AO,37,FALSE)</f>
        <v>N/A</v>
      </c>
      <c r="AL233" s="576" t="str">
        <f>VLOOKUP(Complete[[#This Row],[Code
(PAP)]],[1]Sheet1!$A:$AO,38,FALSE)</f>
        <v>N/A</v>
      </c>
      <c r="AM233" s="576" t="str">
        <f>VLOOKUP(Complete[[#This Row],[Code
(PAP)]],[1]Sheet1!$A:$AO,38,FALSE)</f>
        <v>N/A</v>
      </c>
      <c r="AN233" s="595" t="s">
        <v>713</v>
      </c>
      <c r="AO233" s="303" t="s">
        <v>139</v>
      </c>
      <c r="AP233" s="389"/>
      <c r="AQ233" s="389"/>
    </row>
    <row r="234" spans="1:43" s="224" customFormat="1" ht="75" customHeight="1" x14ac:dyDescent="0.25">
      <c r="A234" s="385" t="s">
        <v>412</v>
      </c>
      <c r="B234" s="406" t="str">
        <f>VLOOKUP(Complete[[#This Row],[Code
(PAP)]],[1]Sheet1!$A:$AO,2,FALSE)</f>
        <v>OFFICE SUPPLIES</v>
      </c>
      <c r="C234" s="408" t="str">
        <f>VLOOKUP(Complete[[#This Row],[Code
(PAP)]],[1]Sheet1!$A:$AO,3,FALSE)</f>
        <v>PGO</v>
      </c>
      <c r="D234" s="380" t="s">
        <v>712</v>
      </c>
      <c r="E234" s="409" t="str">
        <f>VLOOKUP(Complete[[#This Row],[Code
(PAP)]],[2]Sheet1!$A:$AO,5,FALSE)</f>
        <v>Shopping 52.1(b) - Regular Office Supplies and Equipment no available in PS</v>
      </c>
      <c r="F234" s="393" t="str">
        <f>VLOOKUP(Complete[[#This Row],[Code
(PAP)]],[1]Sheet1!$A:$AO,6,FALSE)</f>
        <v>N/A</v>
      </c>
      <c r="G234" s="393">
        <f>VLOOKUP(Complete[[#This Row],[Code
(PAP)]],[1]Sheet1!$A:$AO,7,FALSE)</f>
        <v>45344</v>
      </c>
      <c r="H234" s="374"/>
      <c r="I234" s="394" t="str">
        <f>VLOOKUP(Complete[[#This Row],[Code
(PAP)]],[1]Sheet1!$A:$AO,9,FALSE)</f>
        <v>N/A</v>
      </c>
      <c r="J234" s="393">
        <f>VLOOKUP(Complete[[#This Row],[Code
(PAP)]],[1]Sheet1!$A:$AO,10,FALSE)</f>
        <v>45373</v>
      </c>
      <c r="K234" s="393">
        <f>VLOOKUP(Complete[[#This Row],[Code
(PAP)]],[1]Sheet1!$A:$AO,11,FALSE)</f>
        <v>45373</v>
      </c>
      <c r="L234" s="387"/>
      <c r="M234" s="393" t="str">
        <f>VLOOKUP(Complete[[#This Row],[Code
(PAP)]],[1]Sheet1!$A:$AO,13,FALSE)</f>
        <v>N/A</v>
      </c>
      <c r="N234" s="393" t="str">
        <f>VLOOKUP(Complete[[#This Row],[Code
(PAP)]],[1]Sheet1!$A:$AO,14,FALSE)</f>
        <v>N/A</v>
      </c>
      <c r="O234" s="393">
        <f>VLOOKUP(Complete[[#This Row],[Code
(PAP)]],[1]Sheet1!$A:$AO,15,FALSE)</f>
        <v>45376</v>
      </c>
      <c r="P234" s="387"/>
      <c r="Q234" s="387"/>
      <c r="R234" s="387"/>
      <c r="S234" s="576" t="str">
        <f>VLOOKUP(Complete[[#This Row],[Code
(PAP)]],[1]Sheet1!$A:$AO,19,FALSE)</f>
        <v>N/A</v>
      </c>
      <c r="T234" s="576">
        <f>VLOOKUP(Complete[[#This Row],[Code
(PAP)]],[1]Sheet1!$A:$AO,20,FALSE)</f>
        <v>45387</v>
      </c>
      <c r="U234" s="576">
        <f>VLOOKUP(Complete[[#This Row],[Code
(PAP)]],[1]Sheet1!$A:$AO,21,FALSE)</f>
        <v>45397</v>
      </c>
      <c r="V234" s="387"/>
      <c r="W234" s="387"/>
      <c r="X234" s="392">
        <f>VLOOKUP(Complete[[#This Row],[Code
(PAP)]],[1]Sheet1!$A:$AO,24,FALSE)</f>
        <v>45404</v>
      </c>
      <c r="Y234" s="392">
        <f>Complete[[#This Row],[Delivery/ Completion]]</f>
        <v>45404</v>
      </c>
      <c r="Z234" s="610" t="s">
        <v>1478</v>
      </c>
      <c r="AA234" s="462">
        <f>Complete[[#This Row],[MOOE]]+Complete[[#This Row],[CO]]</f>
        <v>5414</v>
      </c>
      <c r="AB234" s="466"/>
      <c r="AC234" s="497">
        <v>5414</v>
      </c>
      <c r="AD234" s="498">
        <f>IF(Complete[[#This Row],[Procurement Project]]="","",SUM(Complete[[#This Row],[MOOE2]]+Complete[[#This Row],[CO3]]))</f>
        <v>5260</v>
      </c>
      <c r="AE234" s="501"/>
      <c r="AF234" s="541">
        <v>5260</v>
      </c>
      <c r="AG234" s="400"/>
      <c r="AH234" s="380" t="s">
        <v>1205</v>
      </c>
      <c r="AI234" s="576" t="str">
        <f>VLOOKUP(Complete[[#This Row],[Code
(PAP)]],[1]Sheet1!$A:$AO,35,FALSE)</f>
        <v>N/A</v>
      </c>
      <c r="AJ234" s="576" t="str">
        <f>VLOOKUP(Complete[[#This Row],[Code
(PAP)]],[1]Sheet1!$A:$AO,36,FALSE)</f>
        <v>N/A</v>
      </c>
      <c r="AK234" s="576" t="str">
        <f>VLOOKUP(Complete[[#This Row],[Code
(PAP)]],[1]Sheet1!$A:$AO,37,FALSE)</f>
        <v>N/A</v>
      </c>
      <c r="AL234" s="576" t="str">
        <f>VLOOKUP(Complete[[#This Row],[Code
(PAP)]],[1]Sheet1!$A:$AO,38,FALSE)</f>
        <v>N/A</v>
      </c>
      <c r="AM234" s="576" t="str">
        <f>VLOOKUP(Complete[[#This Row],[Code
(PAP)]],[1]Sheet1!$A:$AO,38,FALSE)</f>
        <v>N/A</v>
      </c>
      <c r="AN234" s="595" t="s">
        <v>713</v>
      </c>
      <c r="AO234" s="303" t="s">
        <v>139</v>
      </c>
      <c r="AP234" s="389"/>
      <c r="AQ234" s="389"/>
    </row>
    <row r="235" spans="1:43" s="224" customFormat="1" ht="75" customHeight="1" x14ac:dyDescent="0.25">
      <c r="A235" s="385" t="s">
        <v>413</v>
      </c>
      <c r="B235" s="406" t="str">
        <f>VLOOKUP(Complete[[#This Row],[Code
(PAP)]],[1]Sheet1!$A:$AO,2,FALSE)</f>
        <v>OFFICE SUPPLIES</v>
      </c>
      <c r="C235" s="408" t="str">
        <f>VLOOKUP(Complete[[#This Row],[Code
(PAP)]],[1]Sheet1!$A:$AO,3,FALSE)</f>
        <v>PSWDO</v>
      </c>
      <c r="D235" s="380" t="s">
        <v>712</v>
      </c>
      <c r="E235" s="409" t="str">
        <f>VLOOKUP(Complete[[#This Row],[Code
(PAP)]],[2]Sheet1!$A:$AO,5,FALSE)</f>
        <v>Shopping 52.1(b) - Regular Office Supplies and Equipment no available in PS</v>
      </c>
      <c r="F235" s="393">
        <f>VLOOKUP(Complete[[#This Row],[Code
(PAP)]],[1]Sheet1!$A:$AO,6,FALSE)</f>
        <v>45356</v>
      </c>
      <c r="G235" s="393">
        <f>VLOOKUP(Complete[[#This Row],[Code
(PAP)]],[1]Sheet1!$A:$AO,7,FALSE)</f>
        <v>45359</v>
      </c>
      <c r="H235" s="374"/>
      <c r="I235" s="394" t="str">
        <f>VLOOKUP(Complete[[#This Row],[Code
(PAP)]],[1]Sheet1!$A:$AO,9,FALSE)</f>
        <v>N/A</v>
      </c>
      <c r="J235" s="393">
        <f>VLOOKUP(Complete[[#This Row],[Code
(PAP)]],[1]Sheet1!$A:$AO,10,FALSE)</f>
        <v>45373</v>
      </c>
      <c r="K235" s="393">
        <f>VLOOKUP(Complete[[#This Row],[Code
(PAP)]],[1]Sheet1!$A:$AO,11,FALSE)</f>
        <v>45373</v>
      </c>
      <c r="L235" s="387"/>
      <c r="M235" s="393" t="str">
        <f>VLOOKUP(Complete[[#This Row],[Code
(PAP)]],[1]Sheet1!$A:$AO,13,FALSE)</f>
        <v>N/A</v>
      </c>
      <c r="N235" s="393" t="str">
        <f>VLOOKUP(Complete[[#This Row],[Code
(PAP)]],[1]Sheet1!$A:$AO,14,FALSE)</f>
        <v>N/A</v>
      </c>
      <c r="O235" s="393">
        <f>VLOOKUP(Complete[[#This Row],[Code
(PAP)]],[1]Sheet1!$A:$AO,15,FALSE)</f>
        <v>45376</v>
      </c>
      <c r="P235" s="387"/>
      <c r="Q235" s="387"/>
      <c r="R235" s="387"/>
      <c r="S235" s="576">
        <f>VLOOKUP(Complete[[#This Row],[Code
(PAP)]],[1]Sheet1!$A:$AO,19,FALSE)</f>
        <v>45384</v>
      </c>
      <c r="T235" s="576">
        <f>VLOOKUP(Complete[[#This Row],[Code
(PAP)]],[1]Sheet1!$A:$AO,20,FALSE)</f>
        <v>45390</v>
      </c>
      <c r="U235" s="576">
        <f>VLOOKUP(Complete[[#This Row],[Code
(PAP)]],[1]Sheet1!$A:$AO,21,FALSE)</f>
        <v>45394</v>
      </c>
      <c r="V235" s="387"/>
      <c r="W235" s="387"/>
      <c r="X235" s="392">
        <f>VLOOKUP(Complete[[#This Row],[Code
(PAP)]],[1]Sheet1!$A:$AO,24,FALSE)</f>
        <v>45408</v>
      </c>
      <c r="Y235" s="392">
        <f>Complete[[#This Row],[Delivery/ Completion]]</f>
        <v>45408</v>
      </c>
      <c r="Z235" s="610" t="s">
        <v>1478</v>
      </c>
      <c r="AA235" s="462">
        <f>Complete[[#This Row],[MOOE]]+Complete[[#This Row],[CO]]</f>
        <v>80912</v>
      </c>
      <c r="AB235" s="466"/>
      <c r="AC235" s="497">
        <v>80912</v>
      </c>
      <c r="AD235" s="498">
        <f>IF(Complete[[#This Row],[Procurement Project]]="","",SUM(Complete[[#This Row],[MOOE2]]+Complete[[#This Row],[CO3]]))</f>
        <v>80912</v>
      </c>
      <c r="AE235" s="501"/>
      <c r="AF235" s="541">
        <v>80912</v>
      </c>
      <c r="AG235" s="400"/>
      <c r="AH235" s="380" t="s">
        <v>1205</v>
      </c>
      <c r="AI235" s="576" t="str">
        <f>VLOOKUP(Complete[[#This Row],[Code
(PAP)]],[1]Sheet1!$A:$AO,35,FALSE)</f>
        <v>N/A</v>
      </c>
      <c r="AJ235" s="576" t="str">
        <f>VLOOKUP(Complete[[#This Row],[Code
(PAP)]],[1]Sheet1!$A:$AO,36,FALSE)</f>
        <v>N/A</v>
      </c>
      <c r="AK235" s="576" t="str">
        <f>VLOOKUP(Complete[[#This Row],[Code
(PAP)]],[1]Sheet1!$A:$AO,37,FALSE)</f>
        <v>N/A</v>
      </c>
      <c r="AL235" s="576" t="str">
        <f>VLOOKUP(Complete[[#This Row],[Code
(PAP)]],[1]Sheet1!$A:$AO,38,FALSE)</f>
        <v>N/A</v>
      </c>
      <c r="AM235" s="576" t="str">
        <f>VLOOKUP(Complete[[#This Row],[Code
(PAP)]],[1]Sheet1!$A:$AO,38,FALSE)</f>
        <v>N/A</v>
      </c>
      <c r="AN235" s="595" t="s">
        <v>713</v>
      </c>
      <c r="AO235" s="303" t="s">
        <v>139</v>
      </c>
      <c r="AP235" s="389"/>
      <c r="AQ235" s="389"/>
    </row>
    <row r="236" spans="1:43" s="224" customFormat="1" ht="75" customHeight="1" x14ac:dyDescent="0.25">
      <c r="A236" s="385" t="s">
        <v>414</v>
      </c>
      <c r="B236" s="406" t="str">
        <f>VLOOKUP(Complete[[#This Row],[Code
(PAP)]],[1]Sheet1!$A:$AO,2,FALSE)</f>
        <v>OFFICE SUPPLIES</v>
      </c>
      <c r="C236" s="408" t="str">
        <f>VLOOKUP(Complete[[#This Row],[Code
(PAP)]],[1]Sheet1!$A:$AO,3,FALSE)</f>
        <v>PDRRMO</v>
      </c>
      <c r="D236" s="380" t="s">
        <v>712</v>
      </c>
      <c r="E236" s="409" t="str">
        <f>VLOOKUP(Complete[[#This Row],[Code
(PAP)]],[2]Sheet1!$A:$AO,5,FALSE)</f>
        <v>Shopping 52.1(b) - Regular Office Supplies and Equipment no available in PS</v>
      </c>
      <c r="F236" s="393" t="str">
        <f>VLOOKUP(Complete[[#This Row],[Code
(PAP)]],[1]Sheet1!$A:$AO,6,FALSE)</f>
        <v>N/A</v>
      </c>
      <c r="G236" s="393">
        <f>VLOOKUP(Complete[[#This Row],[Code
(PAP)]],[1]Sheet1!$A:$AO,7,FALSE)</f>
        <v>45363</v>
      </c>
      <c r="H236" s="374"/>
      <c r="I236" s="394" t="str">
        <f>VLOOKUP(Complete[[#This Row],[Code
(PAP)]],[1]Sheet1!$A:$AO,9,FALSE)</f>
        <v>N/A</v>
      </c>
      <c r="J236" s="393">
        <f>VLOOKUP(Complete[[#This Row],[Code
(PAP)]],[1]Sheet1!$A:$AO,10,FALSE)</f>
        <v>45373</v>
      </c>
      <c r="K236" s="393">
        <f>VLOOKUP(Complete[[#This Row],[Code
(PAP)]],[1]Sheet1!$A:$AO,11,FALSE)</f>
        <v>45373</v>
      </c>
      <c r="L236" s="387"/>
      <c r="M236" s="393" t="str">
        <f>VLOOKUP(Complete[[#This Row],[Code
(PAP)]],[1]Sheet1!$A:$AO,13,FALSE)</f>
        <v>N/A</v>
      </c>
      <c r="N236" s="393" t="str">
        <f>VLOOKUP(Complete[[#This Row],[Code
(PAP)]],[1]Sheet1!$A:$AO,14,FALSE)</f>
        <v>N/A</v>
      </c>
      <c r="O236" s="393">
        <f>VLOOKUP(Complete[[#This Row],[Code
(PAP)]],[1]Sheet1!$A:$AO,15,FALSE)</f>
        <v>45376</v>
      </c>
      <c r="P236" s="387"/>
      <c r="Q236" s="387"/>
      <c r="R236" s="387"/>
      <c r="S236" s="576" t="str">
        <f>VLOOKUP(Complete[[#This Row],[Code
(PAP)]],[1]Sheet1!$A:$AO,19,FALSE)</f>
        <v>N/A</v>
      </c>
      <c r="T236" s="576">
        <f>VLOOKUP(Complete[[#This Row],[Code
(PAP)]],[1]Sheet1!$A:$AO,20,FALSE)</f>
        <v>45386</v>
      </c>
      <c r="U236" s="576">
        <f>VLOOKUP(Complete[[#This Row],[Code
(PAP)]],[1]Sheet1!$A:$AO,21,FALSE)</f>
        <v>45397</v>
      </c>
      <c r="V236" s="387"/>
      <c r="W236" s="387"/>
      <c r="X236" s="392">
        <f>VLOOKUP(Complete[[#This Row],[Code
(PAP)]],[1]Sheet1!$A:$AO,24,FALSE)</f>
        <v>45406</v>
      </c>
      <c r="Y236" s="392">
        <f>Complete[[#This Row],[Delivery/ Completion]]</f>
        <v>45406</v>
      </c>
      <c r="Z236" s="610" t="s">
        <v>1478</v>
      </c>
      <c r="AA236" s="462">
        <f>Complete[[#This Row],[MOOE]]+Complete[[#This Row],[CO]]</f>
        <v>21336</v>
      </c>
      <c r="AB236" s="466"/>
      <c r="AC236" s="497">
        <v>21336</v>
      </c>
      <c r="AD236" s="498">
        <f>IF(Complete[[#This Row],[Procurement Project]]="","",SUM(Complete[[#This Row],[MOOE2]]+Complete[[#This Row],[CO3]]))</f>
        <v>21268</v>
      </c>
      <c r="AE236" s="501"/>
      <c r="AF236" s="541">
        <v>21268</v>
      </c>
      <c r="AG236" s="400"/>
      <c r="AH236" s="380" t="s">
        <v>1205</v>
      </c>
      <c r="AI236" s="576" t="str">
        <f>VLOOKUP(Complete[[#This Row],[Code
(PAP)]],[1]Sheet1!$A:$AO,35,FALSE)</f>
        <v>N/A</v>
      </c>
      <c r="AJ236" s="576" t="str">
        <f>VLOOKUP(Complete[[#This Row],[Code
(PAP)]],[1]Sheet1!$A:$AO,36,FALSE)</f>
        <v>N/A</v>
      </c>
      <c r="AK236" s="576" t="str">
        <f>VLOOKUP(Complete[[#This Row],[Code
(PAP)]],[1]Sheet1!$A:$AO,37,FALSE)</f>
        <v>N/A</v>
      </c>
      <c r="AL236" s="576" t="str">
        <f>VLOOKUP(Complete[[#This Row],[Code
(PAP)]],[1]Sheet1!$A:$AO,38,FALSE)</f>
        <v>N/A</v>
      </c>
      <c r="AM236" s="576" t="str">
        <f>VLOOKUP(Complete[[#This Row],[Code
(PAP)]],[1]Sheet1!$A:$AO,38,FALSE)</f>
        <v>N/A</v>
      </c>
      <c r="AN236" s="595" t="s">
        <v>713</v>
      </c>
      <c r="AO236" s="303" t="s">
        <v>139</v>
      </c>
      <c r="AP236" s="389"/>
      <c r="AQ236" s="389"/>
    </row>
    <row r="237" spans="1:43" s="224" customFormat="1" ht="75" customHeight="1" x14ac:dyDescent="0.25">
      <c r="A237" s="385" t="s">
        <v>415</v>
      </c>
      <c r="B237" s="406" t="str">
        <f>VLOOKUP(Complete[[#This Row],[Code
(PAP)]],[1]Sheet1!$A:$AO,2,FALSE)</f>
        <v>OFFICE SUPPLIES</v>
      </c>
      <c r="C237" s="408" t="str">
        <f>VLOOKUP(Complete[[#This Row],[Code
(PAP)]],[1]Sheet1!$A:$AO,3,FALSE)</f>
        <v>PBO</v>
      </c>
      <c r="D237" s="380" t="s">
        <v>712</v>
      </c>
      <c r="E237" s="409" t="str">
        <f>VLOOKUP(Complete[[#This Row],[Code
(PAP)]],[2]Sheet1!$A:$AO,5,FALSE)</f>
        <v>Shopping 52.1(b) - Regular Office Supplies and Equipment no available in PS</v>
      </c>
      <c r="F237" s="393" t="str">
        <f>VLOOKUP(Complete[[#This Row],[Code
(PAP)]],[1]Sheet1!$A:$AO,6,FALSE)</f>
        <v>N/A</v>
      </c>
      <c r="G237" s="393">
        <f>VLOOKUP(Complete[[#This Row],[Code
(PAP)]],[1]Sheet1!$A:$AO,7,FALSE)</f>
        <v>45363</v>
      </c>
      <c r="H237" s="374"/>
      <c r="I237" s="394" t="str">
        <f>VLOOKUP(Complete[[#This Row],[Code
(PAP)]],[1]Sheet1!$A:$AO,9,FALSE)</f>
        <v>N/A</v>
      </c>
      <c r="J237" s="393">
        <f>VLOOKUP(Complete[[#This Row],[Code
(PAP)]],[1]Sheet1!$A:$AO,10,FALSE)</f>
        <v>45373</v>
      </c>
      <c r="K237" s="393">
        <f>VLOOKUP(Complete[[#This Row],[Code
(PAP)]],[1]Sheet1!$A:$AO,11,FALSE)</f>
        <v>45373</v>
      </c>
      <c r="L237" s="387"/>
      <c r="M237" s="393" t="str">
        <f>VLOOKUP(Complete[[#This Row],[Code
(PAP)]],[1]Sheet1!$A:$AO,13,FALSE)</f>
        <v>N/A</v>
      </c>
      <c r="N237" s="393" t="str">
        <f>VLOOKUP(Complete[[#This Row],[Code
(PAP)]],[1]Sheet1!$A:$AO,14,FALSE)</f>
        <v>N/A</v>
      </c>
      <c r="O237" s="393">
        <f>VLOOKUP(Complete[[#This Row],[Code
(PAP)]],[1]Sheet1!$A:$AO,15,FALSE)</f>
        <v>45376</v>
      </c>
      <c r="P237" s="387"/>
      <c r="Q237" s="387"/>
      <c r="R237" s="387"/>
      <c r="S237" s="576" t="str">
        <f>VLOOKUP(Complete[[#This Row],[Code
(PAP)]],[1]Sheet1!$A:$AO,19,FALSE)</f>
        <v>N/A</v>
      </c>
      <c r="T237" s="576">
        <f>VLOOKUP(Complete[[#This Row],[Code
(PAP)]],[1]Sheet1!$A:$AO,20,FALSE)</f>
        <v>45390</v>
      </c>
      <c r="U237" s="576">
        <f>VLOOKUP(Complete[[#This Row],[Code
(PAP)]],[1]Sheet1!$A:$AO,21,FALSE)</f>
        <v>45397</v>
      </c>
      <c r="V237" s="387"/>
      <c r="W237" s="387"/>
      <c r="X237" s="392">
        <f>VLOOKUP(Complete[[#This Row],[Code
(PAP)]],[1]Sheet1!$A:$AO,24,FALSE)</f>
        <v>45408</v>
      </c>
      <c r="Y237" s="392">
        <f>Complete[[#This Row],[Delivery/ Completion]]</f>
        <v>45408</v>
      </c>
      <c r="Z237" s="610" t="s">
        <v>1478</v>
      </c>
      <c r="AA237" s="462">
        <f>Complete[[#This Row],[MOOE]]+Complete[[#This Row],[CO]]</f>
        <v>27301</v>
      </c>
      <c r="AB237" s="466">
        <v>27301</v>
      </c>
      <c r="AC237" s="497"/>
      <c r="AD237" s="498">
        <f>IF(Complete[[#This Row],[Procurement Project]]="","",SUM(Complete[[#This Row],[MOOE2]]+Complete[[#This Row],[CO3]]))</f>
        <v>27046</v>
      </c>
      <c r="AE237" s="501">
        <v>27046</v>
      </c>
      <c r="AF237" s="541"/>
      <c r="AG237" s="400"/>
      <c r="AH237" s="380" t="s">
        <v>1205</v>
      </c>
      <c r="AI237" s="576" t="str">
        <f>VLOOKUP(Complete[[#This Row],[Code
(PAP)]],[1]Sheet1!$A:$AO,35,FALSE)</f>
        <v>N/A</v>
      </c>
      <c r="AJ237" s="576" t="str">
        <f>VLOOKUP(Complete[[#This Row],[Code
(PAP)]],[1]Sheet1!$A:$AO,36,FALSE)</f>
        <v>N/A</v>
      </c>
      <c r="AK237" s="576" t="str">
        <f>VLOOKUP(Complete[[#This Row],[Code
(PAP)]],[1]Sheet1!$A:$AO,37,FALSE)</f>
        <v>N/A</v>
      </c>
      <c r="AL237" s="576" t="str">
        <f>VLOOKUP(Complete[[#This Row],[Code
(PAP)]],[1]Sheet1!$A:$AO,38,FALSE)</f>
        <v>N/A</v>
      </c>
      <c r="AM237" s="576" t="str">
        <f>VLOOKUP(Complete[[#This Row],[Code
(PAP)]],[1]Sheet1!$A:$AO,38,FALSE)</f>
        <v>N/A</v>
      </c>
      <c r="AN237" s="595" t="s">
        <v>713</v>
      </c>
      <c r="AO237" s="303" t="s">
        <v>139</v>
      </c>
      <c r="AP237" s="389"/>
      <c r="AQ237" s="389"/>
    </row>
    <row r="238" spans="1:43" s="224" customFormat="1" ht="75" customHeight="1" x14ac:dyDescent="0.25">
      <c r="A238" s="385" t="s">
        <v>416</v>
      </c>
      <c r="B238" s="406" t="str">
        <f>VLOOKUP(Complete[[#This Row],[Code
(PAP)]],[1]Sheet1!$A:$AO,2,FALSE)</f>
        <v>OFFICE SUPPLIES</v>
      </c>
      <c r="C238" s="408" t="str">
        <f>VLOOKUP(Complete[[#This Row],[Code
(PAP)]],[1]Sheet1!$A:$AO,3,FALSE)</f>
        <v>PLO</v>
      </c>
      <c r="D238" s="380" t="s">
        <v>712</v>
      </c>
      <c r="E238" s="409" t="str">
        <f>VLOOKUP(Complete[[#This Row],[Code
(PAP)]],[2]Sheet1!$A:$AO,5,FALSE)</f>
        <v>Shopping 52.1(b) - Regular Office Supplies and Equipment no available in PS</v>
      </c>
      <c r="F238" s="393" t="str">
        <f>VLOOKUP(Complete[[#This Row],[Code
(PAP)]],[1]Sheet1!$A:$AO,6,FALSE)</f>
        <v>N/A</v>
      </c>
      <c r="G238" s="393">
        <f>VLOOKUP(Complete[[#This Row],[Code
(PAP)]],[1]Sheet1!$A:$AO,7,FALSE)</f>
        <v>45363</v>
      </c>
      <c r="H238" s="374"/>
      <c r="I238" s="394" t="str">
        <f>VLOOKUP(Complete[[#This Row],[Code
(PAP)]],[1]Sheet1!$A:$AO,9,FALSE)</f>
        <v>N/A</v>
      </c>
      <c r="J238" s="393">
        <f>VLOOKUP(Complete[[#This Row],[Code
(PAP)]],[1]Sheet1!$A:$AO,10,FALSE)</f>
        <v>45373</v>
      </c>
      <c r="K238" s="393">
        <f>VLOOKUP(Complete[[#This Row],[Code
(PAP)]],[1]Sheet1!$A:$AO,11,FALSE)</f>
        <v>45373</v>
      </c>
      <c r="L238" s="387"/>
      <c r="M238" s="393" t="str">
        <f>VLOOKUP(Complete[[#This Row],[Code
(PAP)]],[1]Sheet1!$A:$AO,13,FALSE)</f>
        <v>N/A</v>
      </c>
      <c r="N238" s="393" t="str">
        <f>VLOOKUP(Complete[[#This Row],[Code
(PAP)]],[1]Sheet1!$A:$AO,14,FALSE)</f>
        <v>N/A</v>
      </c>
      <c r="O238" s="393">
        <f>VLOOKUP(Complete[[#This Row],[Code
(PAP)]],[1]Sheet1!$A:$AO,15,FALSE)</f>
        <v>45376</v>
      </c>
      <c r="P238" s="387"/>
      <c r="Q238" s="387"/>
      <c r="R238" s="387"/>
      <c r="S238" s="576">
        <f>VLOOKUP(Complete[[#This Row],[Code
(PAP)]],[1]Sheet1!$A:$AO,19,FALSE)</f>
        <v>45377</v>
      </c>
      <c r="T238" s="576">
        <f>VLOOKUP(Complete[[#This Row],[Code
(PAP)]],[1]Sheet1!$A:$AO,20,FALSE)</f>
        <v>45387</v>
      </c>
      <c r="U238" s="576">
        <f>VLOOKUP(Complete[[#This Row],[Code
(PAP)]],[1]Sheet1!$A:$AO,21,FALSE)</f>
        <v>45397</v>
      </c>
      <c r="V238" s="387"/>
      <c r="W238" s="387"/>
      <c r="X238" s="392">
        <f>VLOOKUP(Complete[[#This Row],[Code
(PAP)]],[1]Sheet1!$A:$AO,24,FALSE)</f>
        <v>45406</v>
      </c>
      <c r="Y238" s="392">
        <f>Complete[[#This Row],[Delivery/ Completion]]</f>
        <v>45406</v>
      </c>
      <c r="Z238" s="610" t="s">
        <v>1478</v>
      </c>
      <c r="AA238" s="462">
        <f>Complete[[#This Row],[MOOE]]+Complete[[#This Row],[CO]]</f>
        <v>78080</v>
      </c>
      <c r="AB238" s="466">
        <v>78080</v>
      </c>
      <c r="AC238" s="497"/>
      <c r="AD238" s="498">
        <f>IF(Complete[[#This Row],[Procurement Project]]="","",SUM(Complete[[#This Row],[MOOE2]]+Complete[[#This Row],[CO3]]))</f>
        <v>76924</v>
      </c>
      <c r="AE238" s="501">
        <v>76924</v>
      </c>
      <c r="AF238" s="541"/>
      <c r="AG238" s="400"/>
      <c r="AH238" s="380" t="s">
        <v>1205</v>
      </c>
      <c r="AI238" s="576" t="str">
        <f>VLOOKUP(Complete[[#This Row],[Code
(PAP)]],[1]Sheet1!$A:$AO,35,FALSE)</f>
        <v>N/A</v>
      </c>
      <c r="AJ238" s="576" t="str">
        <f>VLOOKUP(Complete[[#This Row],[Code
(PAP)]],[1]Sheet1!$A:$AO,36,FALSE)</f>
        <v>N/A</v>
      </c>
      <c r="AK238" s="576" t="str">
        <f>VLOOKUP(Complete[[#This Row],[Code
(PAP)]],[1]Sheet1!$A:$AO,37,FALSE)</f>
        <v>N/A</v>
      </c>
      <c r="AL238" s="576" t="str">
        <f>VLOOKUP(Complete[[#This Row],[Code
(PAP)]],[1]Sheet1!$A:$AO,38,FALSE)</f>
        <v>N/A</v>
      </c>
      <c r="AM238" s="576" t="str">
        <f>VLOOKUP(Complete[[#This Row],[Code
(PAP)]],[1]Sheet1!$A:$AO,38,FALSE)</f>
        <v>N/A</v>
      </c>
      <c r="AN238" s="595" t="s">
        <v>713</v>
      </c>
      <c r="AO238" s="303" t="s">
        <v>139</v>
      </c>
      <c r="AP238" s="389"/>
      <c r="AQ238" s="389"/>
    </row>
    <row r="239" spans="1:43" s="224" customFormat="1" ht="75" customHeight="1" x14ac:dyDescent="0.25">
      <c r="A239" s="385" t="s">
        <v>417</v>
      </c>
      <c r="B239" s="406" t="str">
        <f>VLOOKUP(Complete[[#This Row],[Code
(PAP)]],[1]Sheet1!$A:$AO,2,FALSE)</f>
        <v>OFFICE SUPPLIES</v>
      </c>
      <c r="C239" s="408" t="str">
        <f>VLOOKUP(Complete[[#This Row],[Code
(PAP)]],[1]Sheet1!$A:$AO,3,FALSE)</f>
        <v>PGO</v>
      </c>
      <c r="D239" s="380" t="s">
        <v>712</v>
      </c>
      <c r="E239" s="409" t="str">
        <f>VLOOKUP(Complete[[#This Row],[Code
(PAP)]],[2]Sheet1!$A:$AO,5,FALSE)</f>
        <v>Shopping 52.1(b) - Regular Office Supplies and Equipment no available in PS</v>
      </c>
      <c r="F239" s="393" t="str">
        <f>VLOOKUP(Complete[[#This Row],[Code
(PAP)]],[1]Sheet1!$A:$AO,6,FALSE)</f>
        <v>N/A</v>
      </c>
      <c r="G239" s="393">
        <f>VLOOKUP(Complete[[#This Row],[Code
(PAP)]],[1]Sheet1!$A:$AO,7,FALSE)</f>
        <v>45363</v>
      </c>
      <c r="H239" s="374"/>
      <c r="I239" s="394" t="str">
        <f>VLOOKUP(Complete[[#This Row],[Code
(PAP)]],[1]Sheet1!$A:$AO,9,FALSE)</f>
        <v>N/A</v>
      </c>
      <c r="J239" s="393">
        <f>VLOOKUP(Complete[[#This Row],[Code
(PAP)]],[1]Sheet1!$A:$AO,10,FALSE)</f>
        <v>45373</v>
      </c>
      <c r="K239" s="393">
        <f>VLOOKUP(Complete[[#This Row],[Code
(PAP)]],[1]Sheet1!$A:$AO,11,FALSE)</f>
        <v>45373</v>
      </c>
      <c r="L239" s="387"/>
      <c r="M239" s="393" t="str">
        <f>VLOOKUP(Complete[[#This Row],[Code
(PAP)]],[1]Sheet1!$A:$AO,13,FALSE)</f>
        <v>N/A</v>
      </c>
      <c r="N239" s="393" t="str">
        <f>VLOOKUP(Complete[[#This Row],[Code
(PAP)]],[1]Sheet1!$A:$AO,14,FALSE)</f>
        <v>N/A</v>
      </c>
      <c r="O239" s="393">
        <f>VLOOKUP(Complete[[#This Row],[Code
(PAP)]],[1]Sheet1!$A:$AO,15,FALSE)</f>
        <v>45376</v>
      </c>
      <c r="P239" s="387"/>
      <c r="Q239" s="387"/>
      <c r="R239" s="387"/>
      <c r="S239" s="576">
        <f>VLOOKUP(Complete[[#This Row],[Code
(PAP)]],[1]Sheet1!$A:$AO,19,FALSE)</f>
        <v>45383</v>
      </c>
      <c r="T239" s="576">
        <f>VLOOKUP(Complete[[#This Row],[Code
(PAP)]],[1]Sheet1!$A:$AO,20,FALSE)</f>
        <v>45419</v>
      </c>
      <c r="U239" s="576">
        <f>VLOOKUP(Complete[[#This Row],[Code
(PAP)]],[1]Sheet1!$A:$AO,21,FALSE)</f>
        <v>45422</v>
      </c>
      <c r="V239" s="387"/>
      <c r="W239" s="387"/>
      <c r="X239" s="392">
        <f>VLOOKUP(Complete[[#This Row],[Code
(PAP)]],[1]Sheet1!$A:$AO,24,FALSE)</f>
        <v>45425</v>
      </c>
      <c r="Y239" s="392">
        <f>Complete[[#This Row],[Delivery/ Completion]]</f>
        <v>45425</v>
      </c>
      <c r="Z239" s="610" t="s">
        <v>1478</v>
      </c>
      <c r="AA239" s="462">
        <f>Complete[[#This Row],[MOOE]]+Complete[[#This Row],[CO]]</f>
        <v>66552</v>
      </c>
      <c r="AB239" s="466"/>
      <c r="AC239" s="497">
        <v>66552</v>
      </c>
      <c r="AD239" s="498">
        <f>IF(Complete[[#This Row],[Procurement Project]]="","",SUM(Complete[[#This Row],[MOOE2]]+Complete[[#This Row],[CO3]]))</f>
        <v>64724</v>
      </c>
      <c r="AE239" s="501"/>
      <c r="AF239" s="541">
        <v>64724</v>
      </c>
      <c r="AG239" s="400"/>
      <c r="AH239" s="380" t="s">
        <v>1205</v>
      </c>
      <c r="AI239" s="576" t="str">
        <f>VLOOKUP(Complete[[#This Row],[Code
(PAP)]],[1]Sheet1!$A:$AO,35,FALSE)</f>
        <v>N/A</v>
      </c>
      <c r="AJ239" s="576" t="str">
        <f>VLOOKUP(Complete[[#This Row],[Code
(PAP)]],[1]Sheet1!$A:$AO,36,FALSE)</f>
        <v>N/A</v>
      </c>
      <c r="AK239" s="576" t="str">
        <f>VLOOKUP(Complete[[#This Row],[Code
(PAP)]],[1]Sheet1!$A:$AO,37,FALSE)</f>
        <v>N/A</v>
      </c>
      <c r="AL239" s="576" t="str">
        <f>VLOOKUP(Complete[[#This Row],[Code
(PAP)]],[1]Sheet1!$A:$AO,38,FALSE)</f>
        <v>N/A</v>
      </c>
      <c r="AM239" s="576" t="str">
        <f>VLOOKUP(Complete[[#This Row],[Code
(PAP)]],[1]Sheet1!$A:$AO,38,FALSE)</f>
        <v>N/A</v>
      </c>
      <c r="AN239" s="595" t="s">
        <v>713</v>
      </c>
      <c r="AO239" s="303" t="s">
        <v>139</v>
      </c>
      <c r="AP239" s="389"/>
      <c r="AQ239" s="389"/>
    </row>
    <row r="240" spans="1:43" s="224" customFormat="1" ht="75" customHeight="1" x14ac:dyDescent="0.25">
      <c r="A240" s="385" t="s">
        <v>418</v>
      </c>
      <c r="B240" s="406" t="str">
        <f>VLOOKUP(Complete[[#This Row],[Code
(PAP)]],[1]Sheet1!$A:$AO,2,FALSE)</f>
        <v>JOB OUT</v>
      </c>
      <c r="C240" s="408" t="str">
        <f>VLOOKUP(Complete[[#This Row],[Code
(PAP)]],[1]Sheet1!$A:$AO,3,FALSE)</f>
        <v>PGSO</v>
      </c>
      <c r="D240" s="380" t="s">
        <v>712</v>
      </c>
      <c r="E240" s="409" t="str">
        <f>VLOOKUP(Complete[[#This Row],[Code
(PAP)]],[2]Sheet1!$A:$AO,5,FALSE)</f>
        <v>Shopping 52.1(a) - Unforeseen Contingency</v>
      </c>
      <c r="F240" s="393" t="str">
        <f>VLOOKUP(Complete[[#This Row],[Code
(PAP)]],[1]Sheet1!$A:$AO,6,FALSE)</f>
        <v>N/A</v>
      </c>
      <c r="G240" s="393">
        <f>VLOOKUP(Complete[[#This Row],[Code
(PAP)]],[1]Sheet1!$A:$AO,7,FALSE)</f>
        <v>45376</v>
      </c>
      <c r="H240" s="374"/>
      <c r="I240" s="394" t="str">
        <f>VLOOKUP(Complete[[#This Row],[Code
(PAP)]],[1]Sheet1!$A:$AO,9,FALSE)</f>
        <v>N/A</v>
      </c>
      <c r="J240" s="393">
        <f>VLOOKUP(Complete[[#This Row],[Code
(PAP)]],[1]Sheet1!$A:$AO,10,FALSE)</f>
        <v>45384</v>
      </c>
      <c r="K240" s="393">
        <f>VLOOKUP(Complete[[#This Row],[Code
(PAP)]],[1]Sheet1!$A:$AO,11,FALSE)</f>
        <v>45384</v>
      </c>
      <c r="L240" s="387"/>
      <c r="M240" s="393" t="str">
        <f>VLOOKUP(Complete[[#This Row],[Code
(PAP)]],[1]Sheet1!$A:$AO,13,FALSE)</f>
        <v>N/A</v>
      </c>
      <c r="N240" s="393" t="str">
        <f>VLOOKUP(Complete[[#This Row],[Code
(PAP)]],[1]Sheet1!$A:$AO,14,FALSE)</f>
        <v>N/A</v>
      </c>
      <c r="O240" s="393">
        <f>VLOOKUP(Complete[[#This Row],[Code
(PAP)]],[1]Sheet1!$A:$AO,15,FALSE)</f>
        <v>45386</v>
      </c>
      <c r="P240" s="387"/>
      <c r="Q240" s="387"/>
      <c r="R240" s="387"/>
      <c r="S240" s="576" t="str">
        <f>VLOOKUP(Complete[[#This Row],[Code
(PAP)]],[1]Sheet1!$A:$AO,19,FALSE)</f>
        <v>N/A</v>
      </c>
      <c r="T240" s="576">
        <f>VLOOKUP(Complete[[#This Row],[Code
(PAP)]],[1]Sheet1!$A:$AO,20,FALSE)</f>
        <v>45394</v>
      </c>
      <c r="U240" s="576">
        <f>VLOOKUP(Complete[[#This Row],[Code
(PAP)]],[1]Sheet1!$A:$AO,21,FALSE)</f>
        <v>45420</v>
      </c>
      <c r="V240" s="387"/>
      <c r="W240" s="387"/>
      <c r="X240" s="392">
        <f>VLOOKUP(Complete[[#This Row],[Code
(PAP)]],[1]Sheet1!$A:$AO,24,FALSE)</f>
        <v>45420</v>
      </c>
      <c r="Y240" s="392">
        <f>Complete[[#This Row],[Delivery/ Completion]]</f>
        <v>45420</v>
      </c>
      <c r="Z240" s="610" t="s">
        <v>1478</v>
      </c>
      <c r="AA240" s="462">
        <f>Complete[[#This Row],[MOOE]]+Complete[[#This Row],[CO]]</f>
        <v>3500</v>
      </c>
      <c r="AB240" s="466">
        <v>3500</v>
      </c>
      <c r="AC240" s="497"/>
      <c r="AD240" s="498">
        <f>IF(Complete[[#This Row],[Procurement Project]]="","",SUM(Complete[[#This Row],[MOOE2]]+Complete[[#This Row],[CO3]]))</f>
        <v>3500</v>
      </c>
      <c r="AE240" s="501">
        <v>3500</v>
      </c>
      <c r="AF240" s="541"/>
      <c r="AG240" s="400"/>
      <c r="AH240" s="380" t="s">
        <v>1205</v>
      </c>
      <c r="AI240" s="576" t="str">
        <f>VLOOKUP(Complete[[#This Row],[Code
(PAP)]],[1]Sheet1!$A:$AO,35,FALSE)</f>
        <v>N/A</v>
      </c>
      <c r="AJ240" s="576" t="str">
        <f>VLOOKUP(Complete[[#This Row],[Code
(PAP)]],[1]Sheet1!$A:$AO,36,FALSE)</f>
        <v>N/A</v>
      </c>
      <c r="AK240" s="576" t="str">
        <f>VLOOKUP(Complete[[#This Row],[Code
(PAP)]],[1]Sheet1!$A:$AO,37,FALSE)</f>
        <v>N/A</v>
      </c>
      <c r="AL240" s="576" t="str">
        <f>VLOOKUP(Complete[[#This Row],[Code
(PAP)]],[1]Sheet1!$A:$AO,38,FALSE)</f>
        <v>N/A</v>
      </c>
      <c r="AM240" s="576" t="str">
        <f>VLOOKUP(Complete[[#This Row],[Code
(PAP)]],[1]Sheet1!$A:$AO,38,FALSE)</f>
        <v>N/A</v>
      </c>
      <c r="AN240" s="595" t="s">
        <v>713</v>
      </c>
      <c r="AO240" s="303" t="s">
        <v>139</v>
      </c>
      <c r="AP240" s="389"/>
      <c r="AQ240" s="389"/>
    </row>
    <row r="241" spans="1:43" s="224" customFormat="1" ht="75" customHeight="1" x14ac:dyDescent="0.25">
      <c r="A241" s="385" t="s">
        <v>419</v>
      </c>
      <c r="B241" s="406" t="str">
        <f>VLOOKUP(Complete[[#This Row],[Code
(PAP)]],[1]Sheet1!$A:$AO,2,FALSE)</f>
        <v>SPAREPARTS (HEAVY EQUIPT)</v>
      </c>
      <c r="C241" s="408" t="str">
        <f>VLOOKUP(Complete[[#This Row],[Code
(PAP)]],[1]Sheet1!$A:$AO,3,FALSE)</f>
        <v>PGSO</v>
      </c>
      <c r="D241" s="380" t="s">
        <v>712</v>
      </c>
      <c r="E241" s="409" t="str">
        <f>VLOOKUP(Complete[[#This Row],[Code
(PAP)]],[2]Sheet1!$A:$AO,5,FALSE)</f>
        <v>Shopping 52.1(a) - Unforeseen Contingency</v>
      </c>
      <c r="F241" s="393" t="str">
        <f>VLOOKUP(Complete[[#This Row],[Code
(PAP)]],[1]Sheet1!$A:$AO,6,FALSE)</f>
        <v>N/A</v>
      </c>
      <c r="G241" s="393">
        <f>VLOOKUP(Complete[[#This Row],[Code
(PAP)]],[1]Sheet1!$A:$AO,7,FALSE)</f>
        <v>45376</v>
      </c>
      <c r="H241" s="374"/>
      <c r="I241" s="394" t="str">
        <f>VLOOKUP(Complete[[#This Row],[Code
(PAP)]],[1]Sheet1!$A:$AO,9,FALSE)</f>
        <v>N/A</v>
      </c>
      <c r="J241" s="393">
        <f>VLOOKUP(Complete[[#This Row],[Code
(PAP)]],[1]Sheet1!$A:$AO,10,FALSE)</f>
        <v>45384</v>
      </c>
      <c r="K241" s="393">
        <f>VLOOKUP(Complete[[#This Row],[Code
(PAP)]],[1]Sheet1!$A:$AO,11,FALSE)</f>
        <v>45384</v>
      </c>
      <c r="L241" s="387"/>
      <c r="M241" s="393" t="str">
        <f>VLOOKUP(Complete[[#This Row],[Code
(PAP)]],[1]Sheet1!$A:$AO,13,FALSE)</f>
        <v>N/A</v>
      </c>
      <c r="N241" s="393" t="str">
        <f>VLOOKUP(Complete[[#This Row],[Code
(PAP)]],[1]Sheet1!$A:$AO,14,FALSE)</f>
        <v>N/A</v>
      </c>
      <c r="O241" s="393">
        <f>VLOOKUP(Complete[[#This Row],[Code
(PAP)]],[1]Sheet1!$A:$AO,15,FALSE)</f>
        <v>45386</v>
      </c>
      <c r="P241" s="387"/>
      <c r="Q241" s="387"/>
      <c r="R241" s="387"/>
      <c r="S241" s="576" t="str">
        <f>VLOOKUP(Complete[[#This Row],[Code
(PAP)]],[1]Sheet1!$A:$AO,19,FALSE)</f>
        <v>N/A</v>
      </c>
      <c r="T241" s="576">
        <f>VLOOKUP(Complete[[#This Row],[Code
(PAP)]],[1]Sheet1!$A:$AO,20,FALSE)</f>
        <v>45394</v>
      </c>
      <c r="U241" s="576">
        <f>VLOOKUP(Complete[[#This Row],[Code
(PAP)]],[1]Sheet1!$A:$AO,21,FALSE)</f>
        <v>45420</v>
      </c>
      <c r="V241" s="387"/>
      <c r="W241" s="387"/>
      <c r="X241" s="392">
        <f>VLOOKUP(Complete[[#This Row],[Code
(PAP)]],[1]Sheet1!$A:$AO,24,FALSE)</f>
        <v>45420</v>
      </c>
      <c r="Y241" s="392">
        <f>Complete[[#This Row],[Delivery/ Completion]]</f>
        <v>45420</v>
      </c>
      <c r="Z241" s="610" t="s">
        <v>1478</v>
      </c>
      <c r="AA241" s="462">
        <f>Complete[[#This Row],[MOOE]]+Complete[[#This Row],[CO]]</f>
        <v>1500</v>
      </c>
      <c r="AB241" s="466">
        <v>1500</v>
      </c>
      <c r="AC241" s="497"/>
      <c r="AD241" s="498">
        <f>IF(Complete[[#This Row],[Procurement Project]]="","",SUM(Complete[[#This Row],[MOOE2]]+Complete[[#This Row],[CO3]]))</f>
        <v>1500</v>
      </c>
      <c r="AE241" s="501">
        <v>1500</v>
      </c>
      <c r="AF241" s="541"/>
      <c r="AG241" s="400"/>
      <c r="AH241" s="380" t="s">
        <v>1205</v>
      </c>
      <c r="AI241" s="576" t="str">
        <f>VLOOKUP(Complete[[#This Row],[Code
(PAP)]],[1]Sheet1!$A:$AO,35,FALSE)</f>
        <v>N/A</v>
      </c>
      <c r="AJ241" s="576" t="str">
        <f>VLOOKUP(Complete[[#This Row],[Code
(PAP)]],[1]Sheet1!$A:$AO,36,FALSE)</f>
        <v>N/A</v>
      </c>
      <c r="AK241" s="576" t="str">
        <f>VLOOKUP(Complete[[#This Row],[Code
(PAP)]],[1]Sheet1!$A:$AO,37,FALSE)</f>
        <v>N/A</v>
      </c>
      <c r="AL241" s="576" t="str">
        <f>VLOOKUP(Complete[[#This Row],[Code
(PAP)]],[1]Sheet1!$A:$AO,38,FALSE)</f>
        <v>N/A</v>
      </c>
      <c r="AM241" s="576" t="str">
        <f>VLOOKUP(Complete[[#This Row],[Code
(PAP)]],[1]Sheet1!$A:$AO,38,FALSE)</f>
        <v>N/A</v>
      </c>
      <c r="AN241" s="595" t="s">
        <v>713</v>
      </c>
      <c r="AO241" s="303" t="s">
        <v>139</v>
      </c>
      <c r="AP241" s="389"/>
      <c r="AQ241" s="389"/>
    </row>
    <row r="242" spans="1:43" s="224" customFormat="1" ht="75" customHeight="1" x14ac:dyDescent="0.25">
      <c r="A242" s="385" t="s">
        <v>420</v>
      </c>
      <c r="B242" s="406" t="str">
        <f>VLOOKUP(Complete[[#This Row],[Code
(PAP)]],[1]Sheet1!$A:$AO,2,FALSE)</f>
        <v>SPAREPARTS (MOTORCYCLE)</v>
      </c>
      <c r="C242" s="408" t="str">
        <f>VLOOKUP(Complete[[#This Row],[Code
(PAP)]],[1]Sheet1!$A:$AO,3,FALSE)</f>
        <v>SPO</v>
      </c>
      <c r="D242" s="380" t="s">
        <v>712</v>
      </c>
      <c r="E242" s="409" t="str">
        <f>VLOOKUP(Complete[[#This Row],[Code
(PAP)]],[2]Sheet1!$A:$AO,5,FALSE)</f>
        <v>Shopping 52.1(a) - Unforeseen Contingency</v>
      </c>
      <c r="F242" s="393" t="str">
        <f>VLOOKUP(Complete[[#This Row],[Code
(PAP)]],[1]Sheet1!$A:$AO,6,FALSE)</f>
        <v>N/A</v>
      </c>
      <c r="G242" s="393">
        <f>VLOOKUP(Complete[[#This Row],[Code
(PAP)]],[1]Sheet1!$A:$AO,7,FALSE)</f>
        <v>45376</v>
      </c>
      <c r="H242" s="374"/>
      <c r="I242" s="394" t="str">
        <f>VLOOKUP(Complete[[#This Row],[Code
(PAP)]],[1]Sheet1!$A:$AO,9,FALSE)</f>
        <v>N/A</v>
      </c>
      <c r="J242" s="393">
        <f>VLOOKUP(Complete[[#This Row],[Code
(PAP)]],[1]Sheet1!$A:$AO,10,FALSE)</f>
        <v>45384</v>
      </c>
      <c r="K242" s="393">
        <f>VLOOKUP(Complete[[#This Row],[Code
(PAP)]],[1]Sheet1!$A:$AO,11,FALSE)</f>
        <v>45384</v>
      </c>
      <c r="L242" s="387"/>
      <c r="M242" s="393" t="str">
        <f>VLOOKUP(Complete[[#This Row],[Code
(PAP)]],[1]Sheet1!$A:$AO,13,FALSE)</f>
        <v>N/A</v>
      </c>
      <c r="N242" s="393" t="str">
        <f>VLOOKUP(Complete[[#This Row],[Code
(PAP)]],[1]Sheet1!$A:$AO,14,FALSE)</f>
        <v>N/A</v>
      </c>
      <c r="O242" s="393">
        <f>VLOOKUP(Complete[[#This Row],[Code
(PAP)]],[1]Sheet1!$A:$AO,15,FALSE)</f>
        <v>45386</v>
      </c>
      <c r="P242" s="387"/>
      <c r="Q242" s="387"/>
      <c r="R242" s="387"/>
      <c r="S242" s="576" t="str">
        <f>VLOOKUP(Complete[[#This Row],[Code
(PAP)]],[1]Sheet1!$A:$AO,19,FALSE)</f>
        <v>N/A</v>
      </c>
      <c r="T242" s="576">
        <f>VLOOKUP(Complete[[#This Row],[Code
(PAP)]],[1]Sheet1!$A:$AO,20,FALSE)</f>
        <v>45406</v>
      </c>
      <c r="U242" s="576">
        <f>VLOOKUP(Complete[[#This Row],[Code
(PAP)]],[1]Sheet1!$A:$AO,21,FALSE)</f>
        <v>45412</v>
      </c>
      <c r="V242" s="387"/>
      <c r="W242" s="387"/>
      <c r="X242" s="392">
        <f>VLOOKUP(Complete[[#This Row],[Code
(PAP)]],[1]Sheet1!$A:$AO,24,FALSE)</f>
        <v>45412</v>
      </c>
      <c r="Y242" s="392">
        <f>Complete[[#This Row],[Delivery/ Completion]]</f>
        <v>45412</v>
      </c>
      <c r="Z242" s="610" t="s">
        <v>1478</v>
      </c>
      <c r="AA242" s="462">
        <f>Complete[[#This Row],[MOOE]]+Complete[[#This Row],[CO]]</f>
        <v>1100</v>
      </c>
      <c r="AB242" s="466">
        <v>1100</v>
      </c>
      <c r="AC242" s="497"/>
      <c r="AD242" s="498">
        <f>IF(Complete[[#This Row],[Procurement Project]]="","",SUM(Complete[[#This Row],[MOOE2]]+Complete[[#This Row],[CO3]]))</f>
        <v>1100</v>
      </c>
      <c r="AE242" s="501">
        <v>1100</v>
      </c>
      <c r="AF242" s="541"/>
      <c r="AG242" s="400"/>
      <c r="AH242" s="380" t="s">
        <v>1205</v>
      </c>
      <c r="AI242" s="576" t="str">
        <f>VLOOKUP(Complete[[#This Row],[Code
(PAP)]],[1]Sheet1!$A:$AO,35,FALSE)</f>
        <v>N/A</v>
      </c>
      <c r="AJ242" s="576" t="str">
        <f>VLOOKUP(Complete[[#This Row],[Code
(PAP)]],[1]Sheet1!$A:$AO,36,FALSE)</f>
        <v>N/A</v>
      </c>
      <c r="AK242" s="576" t="str">
        <f>VLOOKUP(Complete[[#This Row],[Code
(PAP)]],[1]Sheet1!$A:$AO,37,FALSE)</f>
        <v>N/A</v>
      </c>
      <c r="AL242" s="576" t="str">
        <f>VLOOKUP(Complete[[#This Row],[Code
(PAP)]],[1]Sheet1!$A:$AO,38,FALSE)</f>
        <v>N/A</v>
      </c>
      <c r="AM242" s="576" t="str">
        <f>VLOOKUP(Complete[[#This Row],[Code
(PAP)]],[1]Sheet1!$A:$AO,38,FALSE)</f>
        <v>N/A</v>
      </c>
      <c r="AN242" s="595" t="s">
        <v>713</v>
      </c>
      <c r="AO242" s="303" t="s">
        <v>139</v>
      </c>
      <c r="AP242" s="389"/>
      <c r="AQ242" s="389"/>
    </row>
    <row r="243" spans="1:43" s="224" customFormat="1" ht="75" customHeight="1" x14ac:dyDescent="0.25">
      <c r="A243" s="385" t="s">
        <v>421</v>
      </c>
      <c r="B243" s="406" t="str">
        <f>VLOOKUP(Complete[[#This Row],[Code
(PAP)]],[1]Sheet1!$A:$AO,2,FALSE)</f>
        <v>BOX FILE TOP AND SIDE OPENING</v>
      </c>
      <c r="C243" s="408" t="str">
        <f>VLOOKUP(Complete[[#This Row],[Code
(PAP)]],[1]Sheet1!$A:$AO,3,FALSE)</f>
        <v>PGO</v>
      </c>
      <c r="D243" s="380" t="s">
        <v>712</v>
      </c>
      <c r="E243" s="409" t="str">
        <f>VLOOKUP(Complete[[#This Row],[Code
(PAP)]],[2]Sheet1!$A:$AO,5,FALSE)</f>
        <v>NP-53.9 - Small Value Procurement</v>
      </c>
      <c r="F243" s="393" t="str">
        <f>VLOOKUP(Complete[[#This Row],[Code
(PAP)]],[1]Sheet1!$A:$AO,6,FALSE)</f>
        <v>N/A</v>
      </c>
      <c r="G243" s="393">
        <f>VLOOKUP(Complete[[#This Row],[Code
(PAP)]],[1]Sheet1!$A:$AO,7,FALSE)</f>
        <v>45344</v>
      </c>
      <c r="H243" s="374"/>
      <c r="I243" s="394" t="str">
        <f>VLOOKUP(Complete[[#This Row],[Code
(PAP)]],[1]Sheet1!$A:$AO,9,FALSE)</f>
        <v>N/A</v>
      </c>
      <c r="J243" s="393">
        <f>VLOOKUP(Complete[[#This Row],[Code
(PAP)]],[1]Sheet1!$A:$AO,10,FALSE)</f>
        <v>45384</v>
      </c>
      <c r="K243" s="393">
        <f>VLOOKUP(Complete[[#This Row],[Code
(PAP)]],[1]Sheet1!$A:$AO,11,FALSE)</f>
        <v>45384</v>
      </c>
      <c r="L243" s="387"/>
      <c r="M243" s="393" t="str">
        <f>VLOOKUP(Complete[[#This Row],[Code
(PAP)]],[1]Sheet1!$A:$AO,13,FALSE)</f>
        <v>N/A</v>
      </c>
      <c r="N243" s="393" t="str">
        <f>VLOOKUP(Complete[[#This Row],[Code
(PAP)]],[1]Sheet1!$A:$AO,14,FALSE)</f>
        <v>N/A</v>
      </c>
      <c r="O243" s="393">
        <f>VLOOKUP(Complete[[#This Row],[Code
(PAP)]],[1]Sheet1!$A:$AO,15,FALSE)</f>
        <v>45386</v>
      </c>
      <c r="P243" s="387"/>
      <c r="Q243" s="387"/>
      <c r="R243" s="387"/>
      <c r="S243" s="576" t="str">
        <f>VLOOKUP(Complete[[#This Row],[Code
(PAP)]],[1]Sheet1!$A:$AO,19,FALSE)</f>
        <v>N/A</v>
      </c>
      <c r="T243" s="576">
        <f>VLOOKUP(Complete[[#This Row],[Code
(PAP)]],[1]Sheet1!$A:$AO,20,FALSE)</f>
        <v>45406</v>
      </c>
      <c r="U243" s="576">
        <f>VLOOKUP(Complete[[#This Row],[Code
(PAP)]],[1]Sheet1!$A:$AO,21,FALSE)</f>
        <v>45419</v>
      </c>
      <c r="V243" s="387"/>
      <c r="W243" s="387"/>
      <c r="X243" s="392">
        <f>VLOOKUP(Complete[[#This Row],[Code
(PAP)]],[1]Sheet1!$A:$AO,24,FALSE)</f>
        <v>45464</v>
      </c>
      <c r="Y243" s="392">
        <f>Complete[[#This Row],[Delivery/ Completion]]</f>
        <v>45464</v>
      </c>
      <c r="Z243" s="610" t="s">
        <v>1478</v>
      </c>
      <c r="AA243" s="462">
        <f>Complete[[#This Row],[MOOE]]+Complete[[#This Row],[CO]]</f>
        <v>1180</v>
      </c>
      <c r="AB243" s="466"/>
      <c r="AC243" s="497">
        <v>1180</v>
      </c>
      <c r="AD243" s="498">
        <f>IF(Complete[[#This Row],[Procurement Project]]="","",SUM(Complete[[#This Row],[MOOE2]]+Complete[[#This Row],[CO3]]))</f>
        <v>1178</v>
      </c>
      <c r="AE243" s="501"/>
      <c r="AF243" s="541">
        <v>1178</v>
      </c>
      <c r="AG243" s="400"/>
      <c r="AH243" s="380" t="s">
        <v>1205</v>
      </c>
      <c r="AI243" s="576" t="str">
        <f>VLOOKUP(Complete[[#This Row],[Code
(PAP)]],[1]Sheet1!$A:$AO,35,FALSE)</f>
        <v>N/A</v>
      </c>
      <c r="AJ243" s="576" t="str">
        <f>VLOOKUP(Complete[[#This Row],[Code
(PAP)]],[1]Sheet1!$A:$AO,36,FALSE)</f>
        <v>N/A</v>
      </c>
      <c r="AK243" s="576" t="str">
        <f>VLOOKUP(Complete[[#This Row],[Code
(PAP)]],[1]Sheet1!$A:$AO,37,FALSE)</f>
        <v>N/A</v>
      </c>
      <c r="AL243" s="576" t="str">
        <f>VLOOKUP(Complete[[#This Row],[Code
(PAP)]],[1]Sheet1!$A:$AO,38,FALSE)</f>
        <v>N/A</v>
      </c>
      <c r="AM243" s="576" t="str">
        <f>VLOOKUP(Complete[[#This Row],[Code
(PAP)]],[1]Sheet1!$A:$AO,38,FALSE)</f>
        <v>N/A</v>
      </c>
      <c r="AN243" s="595" t="s">
        <v>713</v>
      </c>
      <c r="AO243" s="303" t="s">
        <v>139</v>
      </c>
      <c r="AP243" s="389"/>
      <c r="AQ243" s="389"/>
    </row>
    <row r="244" spans="1:43" s="224" customFormat="1" ht="75" customHeight="1" x14ac:dyDescent="0.25">
      <c r="A244" s="385" t="s">
        <v>422</v>
      </c>
      <c r="B244" s="406" t="str">
        <f>VLOOKUP(Complete[[#This Row],[Code
(PAP)]],[1]Sheet1!$A:$AO,2,FALSE)</f>
        <v>JANITORIAL SUPPLIES</v>
      </c>
      <c r="C244" s="408" t="str">
        <f>VLOOKUP(Complete[[#This Row],[Code
(PAP)]],[1]Sheet1!$A:$AO,3,FALSE)</f>
        <v>PASSO</v>
      </c>
      <c r="D244" s="380" t="s">
        <v>712</v>
      </c>
      <c r="E244" s="409" t="str">
        <f>VLOOKUP(Complete[[#This Row],[Code
(PAP)]],[2]Sheet1!$A:$AO,5,FALSE)</f>
        <v>NP-53.9 - Small Value Procurement</v>
      </c>
      <c r="F244" s="393" t="str">
        <f>VLOOKUP(Complete[[#This Row],[Code
(PAP)]],[1]Sheet1!$A:$AO,6,FALSE)</f>
        <v>N/A</v>
      </c>
      <c r="G244" s="393">
        <f>VLOOKUP(Complete[[#This Row],[Code
(PAP)]],[1]Sheet1!$A:$AO,7,FALSE)</f>
        <v>45352</v>
      </c>
      <c r="H244" s="374"/>
      <c r="I244" s="394" t="str">
        <f>VLOOKUP(Complete[[#This Row],[Code
(PAP)]],[1]Sheet1!$A:$AO,9,FALSE)</f>
        <v>N/A</v>
      </c>
      <c r="J244" s="393">
        <f>VLOOKUP(Complete[[#This Row],[Code
(PAP)]],[1]Sheet1!$A:$AO,10,FALSE)</f>
        <v>45384</v>
      </c>
      <c r="K244" s="393">
        <f>VLOOKUP(Complete[[#This Row],[Code
(PAP)]],[1]Sheet1!$A:$AO,11,FALSE)</f>
        <v>45384</v>
      </c>
      <c r="L244" s="387"/>
      <c r="M244" s="393" t="str">
        <f>VLOOKUP(Complete[[#This Row],[Code
(PAP)]],[1]Sheet1!$A:$AO,13,FALSE)</f>
        <v>N/A</v>
      </c>
      <c r="N244" s="393" t="str">
        <f>VLOOKUP(Complete[[#This Row],[Code
(PAP)]],[1]Sheet1!$A:$AO,14,FALSE)</f>
        <v>N/A</v>
      </c>
      <c r="O244" s="393">
        <f>VLOOKUP(Complete[[#This Row],[Code
(PAP)]],[1]Sheet1!$A:$AO,15,FALSE)</f>
        <v>45386</v>
      </c>
      <c r="P244" s="387"/>
      <c r="Q244" s="387"/>
      <c r="R244" s="387"/>
      <c r="S244" s="576" t="str">
        <f>VLOOKUP(Complete[[#This Row],[Code
(PAP)]],[1]Sheet1!$A:$AO,19,FALSE)</f>
        <v>N/A</v>
      </c>
      <c r="T244" s="576">
        <f>VLOOKUP(Complete[[#This Row],[Code
(PAP)]],[1]Sheet1!$A:$AO,20,FALSE)</f>
        <v>45405</v>
      </c>
      <c r="U244" s="576">
        <f>VLOOKUP(Complete[[#This Row],[Code
(PAP)]],[1]Sheet1!$A:$AO,21,FALSE)</f>
        <v>45422</v>
      </c>
      <c r="V244" s="387"/>
      <c r="W244" s="387"/>
      <c r="X244" s="392">
        <f>VLOOKUP(Complete[[#This Row],[Code
(PAP)]],[1]Sheet1!$A:$AO,24,FALSE)</f>
        <v>45464</v>
      </c>
      <c r="Y244" s="392">
        <f>Complete[[#This Row],[Delivery/ Completion]]</f>
        <v>45464</v>
      </c>
      <c r="Z244" s="610" t="s">
        <v>1478</v>
      </c>
      <c r="AA244" s="462">
        <f>Complete[[#This Row],[MOOE]]+Complete[[#This Row],[CO]]</f>
        <v>41732</v>
      </c>
      <c r="AB244" s="466"/>
      <c r="AC244" s="497">
        <v>41732</v>
      </c>
      <c r="AD244" s="498">
        <f>IF(Complete[[#This Row],[Procurement Project]]="","",SUM(Complete[[#This Row],[MOOE2]]+Complete[[#This Row],[CO3]]))</f>
        <v>41610.5</v>
      </c>
      <c r="AE244" s="501"/>
      <c r="AF244" s="541">
        <v>41610.5</v>
      </c>
      <c r="AG244" s="400"/>
      <c r="AH244" s="380" t="s">
        <v>1205</v>
      </c>
      <c r="AI244" s="576" t="str">
        <f>VLOOKUP(Complete[[#This Row],[Code
(PAP)]],[1]Sheet1!$A:$AO,35,FALSE)</f>
        <v>N/A</v>
      </c>
      <c r="AJ244" s="576" t="str">
        <f>VLOOKUP(Complete[[#This Row],[Code
(PAP)]],[1]Sheet1!$A:$AO,36,FALSE)</f>
        <v>N/A</v>
      </c>
      <c r="AK244" s="576" t="str">
        <f>VLOOKUP(Complete[[#This Row],[Code
(PAP)]],[1]Sheet1!$A:$AO,37,FALSE)</f>
        <v>N/A</v>
      </c>
      <c r="AL244" s="576" t="str">
        <f>VLOOKUP(Complete[[#This Row],[Code
(PAP)]],[1]Sheet1!$A:$AO,38,FALSE)</f>
        <v>N/A</v>
      </c>
      <c r="AM244" s="576" t="str">
        <f>VLOOKUP(Complete[[#This Row],[Code
(PAP)]],[1]Sheet1!$A:$AO,38,FALSE)</f>
        <v>N/A</v>
      </c>
      <c r="AN244" s="595" t="s">
        <v>713</v>
      </c>
      <c r="AO244" s="303" t="s">
        <v>139</v>
      </c>
      <c r="AP244" s="389"/>
      <c r="AQ244" s="389"/>
    </row>
    <row r="245" spans="1:43" s="224" customFormat="1" ht="75" customHeight="1" x14ac:dyDescent="0.25">
      <c r="A245" s="385" t="s">
        <v>423</v>
      </c>
      <c r="B245" s="406" t="str">
        <f>VLOOKUP(Complete[[#This Row],[Code
(PAP)]],[1]Sheet1!$A:$AO,2,FALSE)</f>
        <v>GLOVES, LAUNDRY</v>
      </c>
      <c r="C245" s="408" t="str">
        <f>VLOOKUP(Complete[[#This Row],[Code
(PAP)]],[1]Sheet1!$A:$AO,3,FALSE)</f>
        <v>PDRRMO</v>
      </c>
      <c r="D245" s="380" t="s">
        <v>712</v>
      </c>
      <c r="E245" s="409" t="str">
        <f>VLOOKUP(Complete[[#This Row],[Code
(PAP)]],[2]Sheet1!$A:$AO,5,FALSE)</f>
        <v>NP-53.9 - Small Value Procurement</v>
      </c>
      <c r="F245" s="393" t="str">
        <f>VLOOKUP(Complete[[#This Row],[Code
(PAP)]],[1]Sheet1!$A:$AO,6,FALSE)</f>
        <v>N/A</v>
      </c>
      <c r="G245" s="393">
        <f>VLOOKUP(Complete[[#This Row],[Code
(PAP)]],[1]Sheet1!$A:$AO,7,FALSE)</f>
        <v>45352</v>
      </c>
      <c r="H245" s="374"/>
      <c r="I245" s="394" t="str">
        <f>VLOOKUP(Complete[[#This Row],[Code
(PAP)]],[1]Sheet1!$A:$AO,9,FALSE)</f>
        <v>N/A</v>
      </c>
      <c r="J245" s="393">
        <f>VLOOKUP(Complete[[#This Row],[Code
(PAP)]],[1]Sheet1!$A:$AO,10,FALSE)</f>
        <v>45384</v>
      </c>
      <c r="K245" s="393">
        <f>VLOOKUP(Complete[[#This Row],[Code
(PAP)]],[1]Sheet1!$A:$AO,11,FALSE)</f>
        <v>45384</v>
      </c>
      <c r="L245" s="387"/>
      <c r="M245" s="393" t="str">
        <f>VLOOKUP(Complete[[#This Row],[Code
(PAP)]],[1]Sheet1!$A:$AO,13,FALSE)</f>
        <v>N/A</v>
      </c>
      <c r="N245" s="393" t="str">
        <f>VLOOKUP(Complete[[#This Row],[Code
(PAP)]],[1]Sheet1!$A:$AO,14,FALSE)</f>
        <v>N/A</v>
      </c>
      <c r="O245" s="393">
        <f>VLOOKUP(Complete[[#This Row],[Code
(PAP)]],[1]Sheet1!$A:$AO,15,FALSE)</f>
        <v>45386</v>
      </c>
      <c r="P245" s="387"/>
      <c r="Q245" s="387"/>
      <c r="R245" s="387"/>
      <c r="S245" s="576" t="str">
        <f>VLOOKUP(Complete[[#This Row],[Code
(PAP)]],[1]Sheet1!$A:$AO,19,FALSE)</f>
        <v>N/A</v>
      </c>
      <c r="T245" s="576">
        <f>VLOOKUP(Complete[[#This Row],[Code
(PAP)]],[1]Sheet1!$A:$AO,20,FALSE)</f>
        <v>45406</v>
      </c>
      <c r="U245" s="576">
        <f>VLOOKUP(Complete[[#This Row],[Code
(PAP)]],[1]Sheet1!$A:$AO,21,FALSE)</f>
        <v>45419</v>
      </c>
      <c r="V245" s="387"/>
      <c r="W245" s="387"/>
      <c r="X245" s="392">
        <f>VLOOKUP(Complete[[#This Row],[Code
(PAP)]],[1]Sheet1!$A:$AO,24,FALSE)</f>
        <v>45440</v>
      </c>
      <c r="Y245" s="392">
        <f>Complete[[#This Row],[Delivery/ Completion]]</f>
        <v>45440</v>
      </c>
      <c r="Z245" s="610" t="s">
        <v>1478</v>
      </c>
      <c r="AA245" s="462">
        <f>Complete[[#This Row],[MOOE]]+Complete[[#This Row],[CO]]</f>
        <v>1104</v>
      </c>
      <c r="AB245" s="466"/>
      <c r="AC245" s="497">
        <v>1104</v>
      </c>
      <c r="AD245" s="498">
        <f>IF(Complete[[#This Row],[Procurement Project]]="","",SUM(Complete[[#This Row],[MOOE2]]+Complete[[#This Row],[CO3]]))</f>
        <v>1080</v>
      </c>
      <c r="AE245" s="501"/>
      <c r="AF245" s="541">
        <v>1080</v>
      </c>
      <c r="AG245" s="400"/>
      <c r="AH245" s="380" t="s">
        <v>1205</v>
      </c>
      <c r="AI245" s="576" t="str">
        <f>VLOOKUP(Complete[[#This Row],[Code
(PAP)]],[1]Sheet1!$A:$AO,35,FALSE)</f>
        <v>N/A</v>
      </c>
      <c r="AJ245" s="576" t="str">
        <f>VLOOKUP(Complete[[#This Row],[Code
(PAP)]],[1]Sheet1!$A:$AO,36,FALSE)</f>
        <v>N/A</v>
      </c>
      <c r="AK245" s="576" t="str">
        <f>VLOOKUP(Complete[[#This Row],[Code
(PAP)]],[1]Sheet1!$A:$AO,37,FALSE)</f>
        <v>N/A</v>
      </c>
      <c r="AL245" s="576" t="str">
        <f>VLOOKUP(Complete[[#This Row],[Code
(PAP)]],[1]Sheet1!$A:$AO,38,FALSE)</f>
        <v>N/A</v>
      </c>
      <c r="AM245" s="576" t="str">
        <f>VLOOKUP(Complete[[#This Row],[Code
(PAP)]],[1]Sheet1!$A:$AO,38,FALSE)</f>
        <v>N/A</v>
      </c>
      <c r="AN245" s="595" t="s">
        <v>713</v>
      </c>
      <c r="AO245" s="303" t="s">
        <v>139</v>
      </c>
      <c r="AP245" s="389"/>
      <c r="AQ245" s="389"/>
    </row>
    <row r="246" spans="1:43" s="224" customFormat="1" ht="75" customHeight="1" x14ac:dyDescent="0.25">
      <c r="A246" s="385" t="s">
        <v>424</v>
      </c>
      <c r="B246" s="406" t="str">
        <f>VLOOKUP(Complete[[#This Row],[Code
(PAP)]],[1]Sheet1!$A:$AO,2,FALSE)</f>
        <v>TRAINING FOLDING TABLE</v>
      </c>
      <c r="C246" s="408" t="str">
        <f>VLOOKUP(Complete[[#This Row],[Code
(PAP)]],[1]Sheet1!$A:$AO,3,FALSE)</f>
        <v>PTO</v>
      </c>
      <c r="D246" s="380" t="s">
        <v>712</v>
      </c>
      <c r="E246" s="409" t="str">
        <f>VLOOKUP(Complete[[#This Row],[Code
(PAP)]],[2]Sheet1!$A:$AO,5,FALSE)</f>
        <v>NP-53.9 - Small Value Procurement</v>
      </c>
      <c r="F246" s="393" t="str">
        <f>VLOOKUP(Complete[[#This Row],[Code
(PAP)]],[1]Sheet1!$A:$AO,6,FALSE)</f>
        <v>N/A</v>
      </c>
      <c r="G246" s="393">
        <f>VLOOKUP(Complete[[#This Row],[Code
(PAP)]],[1]Sheet1!$A:$AO,7,FALSE)</f>
        <v>45352</v>
      </c>
      <c r="H246" s="374"/>
      <c r="I246" s="394" t="str">
        <f>VLOOKUP(Complete[[#This Row],[Code
(PAP)]],[1]Sheet1!$A:$AO,9,FALSE)</f>
        <v>N/A</v>
      </c>
      <c r="J246" s="393">
        <f>VLOOKUP(Complete[[#This Row],[Code
(PAP)]],[1]Sheet1!$A:$AO,10,FALSE)</f>
        <v>45384</v>
      </c>
      <c r="K246" s="393">
        <f>VLOOKUP(Complete[[#This Row],[Code
(PAP)]],[1]Sheet1!$A:$AO,11,FALSE)</f>
        <v>45384</v>
      </c>
      <c r="L246" s="387"/>
      <c r="M246" s="393" t="str">
        <f>VLOOKUP(Complete[[#This Row],[Code
(PAP)]],[1]Sheet1!$A:$AO,13,FALSE)</f>
        <v>N/A</v>
      </c>
      <c r="N246" s="393" t="str">
        <f>VLOOKUP(Complete[[#This Row],[Code
(PAP)]],[1]Sheet1!$A:$AO,14,FALSE)</f>
        <v>N/A</v>
      </c>
      <c r="O246" s="393">
        <f>VLOOKUP(Complete[[#This Row],[Code
(PAP)]],[1]Sheet1!$A:$AO,15,FALSE)</f>
        <v>45386</v>
      </c>
      <c r="P246" s="387"/>
      <c r="Q246" s="387"/>
      <c r="R246" s="387"/>
      <c r="S246" s="576" t="str">
        <f>VLOOKUP(Complete[[#This Row],[Code
(PAP)]],[1]Sheet1!$A:$AO,19,FALSE)</f>
        <v>N/A</v>
      </c>
      <c r="T246" s="576">
        <f>VLOOKUP(Complete[[#This Row],[Code
(PAP)]],[1]Sheet1!$A:$AO,20,FALSE)</f>
        <v>45399</v>
      </c>
      <c r="U246" s="576">
        <f>VLOOKUP(Complete[[#This Row],[Code
(PAP)]],[1]Sheet1!$A:$AO,21,FALSE)</f>
        <v>45419</v>
      </c>
      <c r="V246" s="387"/>
      <c r="W246" s="387"/>
      <c r="X246" s="392">
        <f>VLOOKUP(Complete[[#This Row],[Code
(PAP)]],[1]Sheet1!$A:$AO,24,FALSE)</f>
        <v>45440</v>
      </c>
      <c r="Y246" s="392">
        <f>Complete[[#This Row],[Delivery/ Completion]]</f>
        <v>45440</v>
      </c>
      <c r="Z246" s="610" t="s">
        <v>1478</v>
      </c>
      <c r="AA246" s="462">
        <f>Complete[[#This Row],[MOOE]]+Complete[[#This Row],[CO]]</f>
        <v>13860</v>
      </c>
      <c r="AB246" s="466">
        <v>13860</v>
      </c>
      <c r="AC246" s="497"/>
      <c r="AD246" s="498">
        <f>IF(Complete[[#This Row],[Procurement Project]]="","",SUM(Complete[[#This Row],[MOOE2]]+Complete[[#This Row],[CO3]]))</f>
        <v>13500</v>
      </c>
      <c r="AE246" s="501">
        <v>13500</v>
      </c>
      <c r="AF246" s="541"/>
      <c r="AG246" s="400"/>
      <c r="AH246" s="380" t="s">
        <v>1205</v>
      </c>
      <c r="AI246" s="576" t="str">
        <f>VLOOKUP(Complete[[#This Row],[Code
(PAP)]],[1]Sheet1!$A:$AO,35,FALSE)</f>
        <v>N/A</v>
      </c>
      <c r="AJ246" s="576" t="str">
        <f>VLOOKUP(Complete[[#This Row],[Code
(PAP)]],[1]Sheet1!$A:$AO,36,FALSE)</f>
        <v>N/A</v>
      </c>
      <c r="AK246" s="576" t="str">
        <f>VLOOKUP(Complete[[#This Row],[Code
(PAP)]],[1]Sheet1!$A:$AO,37,FALSE)</f>
        <v>N/A</v>
      </c>
      <c r="AL246" s="576" t="str">
        <f>VLOOKUP(Complete[[#This Row],[Code
(PAP)]],[1]Sheet1!$A:$AO,38,FALSE)</f>
        <v>N/A</v>
      </c>
      <c r="AM246" s="576" t="str">
        <f>VLOOKUP(Complete[[#This Row],[Code
(PAP)]],[1]Sheet1!$A:$AO,38,FALSE)</f>
        <v>N/A</v>
      </c>
      <c r="AN246" s="595" t="s">
        <v>713</v>
      </c>
      <c r="AO246" s="303" t="s">
        <v>139</v>
      </c>
      <c r="AP246" s="389"/>
      <c r="AQ246" s="389"/>
    </row>
    <row r="247" spans="1:43" s="224" customFormat="1" ht="75" customHeight="1" x14ac:dyDescent="0.25">
      <c r="A247" s="385" t="s">
        <v>425</v>
      </c>
      <c r="B247" s="406" t="str">
        <f>VLOOKUP(Complete[[#This Row],[Code
(PAP)]],[1]Sheet1!$A:$AO,2,FALSE)</f>
        <v xml:space="preserve">BRAKE FLUID </v>
      </c>
      <c r="C247" s="408" t="str">
        <f>VLOOKUP(Complete[[#This Row],[Code
(PAP)]],[1]Sheet1!$A:$AO,3,FALSE)</f>
        <v>PDRRMO</v>
      </c>
      <c r="D247" s="380" t="s">
        <v>712</v>
      </c>
      <c r="E247" s="409" t="str">
        <f>VLOOKUP(Complete[[#This Row],[Code
(PAP)]],[2]Sheet1!$A:$AO,5,FALSE)</f>
        <v>NP-53.9 - Small Value Procurement</v>
      </c>
      <c r="F247" s="393" t="str">
        <f>VLOOKUP(Complete[[#This Row],[Code
(PAP)]],[1]Sheet1!$A:$AO,6,FALSE)</f>
        <v>N/A</v>
      </c>
      <c r="G247" s="393">
        <f>VLOOKUP(Complete[[#This Row],[Code
(PAP)]],[1]Sheet1!$A:$AO,7,FALSE)</f>
        <v>45352</v>
      </c>
      <c r="H247" s="374"/>
      <c r="I247" s="394" t="str">
        <f>VLOOKUP(Complete[[#This Row],[Code
(PAP)]],[1]Sheet1!$A:$AO,9,FALSE)</f>
        <v>N/A</v>
      </c>
      <c r="J247" s="393">
        <f>VLOOKUP(Complete[[#This Row],[Code
(PAP)]],[1]Sheet1!$A:$AO,10,FALSE)</f>
        <v>45384</v>
      </c>
      <c r="K247" s="393">
        <f>VLOOKUP(Complete[[#This Row],[Code
(PAP)]],[1]Sheet1!$A:$AO,11,FALSE)</f>
        <v>45384</v>
      </c>
      <c r="L247" s="387"/>
      <c r="M247" s="393" t="str">
        <f>VLOOKUP(Complete[[#This Row],[Code
(PAP)]],[1]Sheet1!$A:$AO,13,FALSE)</f>
        <v>N/A</v>
      </c>
      <c r="N247" s="393" t="str">
        <f>VLOOKUP(Complete[[#This Row],[Code
(PAP)]],[1]Sheet1!$A:$AO,14,FALSE)</f>
        <v>N/A</v>
      </c>
      <c r="O247" s="393">
        <f>VLOOKUP(Complete[[#This Row],[Code
(PAP)]],[1]Sheet1!$A:$AO,15,FALSE)</f>
        <v>45386</v>
      </c>
      <c r="P247" s="387"/>
      <c r="Q247" s="387"/>
      <c r="R247" s="387"/>
      <c r="S247" s="576" t="str">
        <f>VLOOKUP(Complete[[#This Row],[Code
(PAP)]],[1]Sheet1!$A:$AO,19,FALSE)</f>
        <v>N/A</v>
      </c>
      <c r="T247" s="576">
        <f>VLOOKUP(Complete[[#This Row],[Code
(PAP)]],[1]Sheet1!$A:$AO,20,FALSE)</f>
        <v>45406</v>
      </c>
      <c r="U247" s="576">
        <f>VLOOKUP(Complete[[#This Row],[Code
(PAP)]],[1]Sheet1!$A:$AO,21,FALSE)</f>
        <v>45412</v>
      </c>
      <c r="V247" s="387"/>
      <c r="W247" s="387"/>
      <c r="X247" s="392">
        <f>VLOOKUP(Complete[[#This Row],[Code
(PAP)]],[1]Sheet1!$A:$AO,24,FALSE)</f>
        <v>45428</v>
      </c>
      <c r="Y247" s="392">
        <f>Complete[[#This Row],[Delivery/ Completion]]</f>
        <v>45428</v>
      </c>
      <c r="Z247" s="610" t="s">
        <v>1478</v>
      </c>
      <c r="AA247" s="462">
        <f>Complete[[#This Row],[MOOE]]+Complete[[#This Row],[CO]]</f>
        <v>19592</v>
      </c>
      <c r="AB247" s="466"/>
      <c r="AC247" s="497">
        <v>19592</v>
      </c>
      <c r="AD247" s="498">
        <f>IF(Complete[[#This Row],[Procurement Project]]="","",SUM(Complete[[#This Row],[MOOE2]]+Complete[[#This Row],[CO3]]))</f>
        <v>19260</v>
      </c>
      <c r="AE247" s="501"/>
      <c r="AF247" s="541">
        <v>19260</v>
      </c>
      <c r="AG247" s="400"/>
      <c r="AH247" s="380" t="s">
        <v>1205</v>
      </c>
      <c r="AI247" s="576" t="str">
        <f>VLOOKUP(Complete[[#This Row],[Code
(PAP)]],[1]Sheet1!$A:$AO,35,FALSE)</f>
        <v>N/A</v>
      </c>
      <c r="AJ247" s="576" t="str">
        <f>VLOOKUP(Complete[[#This Row],[Code
(PAP)]],[1]Sheet1!$A:$AO,36,FALSE)</f>
        <v>N/A</v>
      </c>
      <c r="AK247" s="576" t="str">
        <f>VLOOKUP(Complete[[#This Row],[Code
(PAP)]],[1]Sheet1!$A:$AO,37,FALSE)</f>
        <v>N/A</v>
      </c>
      <c r="AL247" s="576" t="str">
        <f>VLOOKUP(Complete[[#This Row],[Code
(PAP)]],[1]Sheet1!$A:$AO,38,FALSE)</f>
        <v>N/A</v>
      </c>
      <c r="AM247" s="576" t="str">
        <f>VLOOKUP(Complete[[#This Row],[Code
(PAP)]],[1]Sheet1!$A:$AO,38,FALSE)</f>
        <v>N/A</v>
      </c>
      <c r="AN247" s="595" t="s">
        <v>713</v>
      </c>
      <c r="AO247" s="303" t="s">
        <v>139</v>
      </c>
      <c r="AP247" s="389"/>
      <c r="AQ247" s="389"/>
    </row>
    <row r="248" spans="1:43" s="224" customFormat="1" ht="75" customHeight="1" x14ac:dyDescent="0.25">
      <c r="A248" s="385" t="s">
        <v>426</v>
      </c>
      <c r="B248" s="406" t="str">
        <f>VLOOKUP(Complete[[#This Row],[Code
(PAP)]],[1]Sheet1!$A:$AO,2,FALSE)</f>
        <v>GARMENTS</v>
      </c>
      <c r="C248" s="408" t="str">
        <f>VLOOKUP(Complete[[#This Row],[Code
(PAP)]],[1]Sheet1!$A:$AO,3,FALSE)</f>
        <v>PENRO</v>
      </c>
      <c r="D248" s="380" t="s">
        <v>712</v>
      </c>
      <c r="E248" s="409" t="str">
        <f>VLOOKUP(Complete[[#This Row],[Code
(PAP)]],[2]Sheet1!$A:$AO,5,FALSE)</f>
        <v>NP-53.9 - Small Value Procurement</v>
      </c>
      <c r="F248" s="393" t="str">
        <f>VLOOKUP(Complete[[#This Row],[Code
(PAP)]],[1]Sheet1!$A:$AO,6,FALSE)</f>
        <v>N/A</v>
      </c>
      <c r="G248" s="393">
        <f>VLOOKUP(Complete[[#This Row],[Code
(PAP)]],[1]Sheet1!$A:$AO,7,FALSE)</f>
        <v>45371</v>
      </c>
      <c r="H248" s="374"/>
      <c r="I248" s="394" t="str">
        <f>VLOOKUP(Complete[[#This Row],[Code
(PAP)]],[1]Sheet1!$A:$AO,9,FALSE)</f>
        <v>N/A</v>
      </c>
      <c r="J248" s="393">
        <f>VLOOKUP(Complete[[#This Row],[Code
(PAP)]],[1]Sheet1!$A:$AO,10,FALSE)</f>
        <v>45384</v>
      </c>
      <c r="K248" s="393">
        <f>VLOOKUP(Complete[[#This Row],[Code
(PAP)]],[1]Sheet1!$A:$AO,11,FALSE)</f>
        <v>45384</v>
      </c>
      <c r="L248" s="387"/>
      <c r="M248" s="393" t="str">
        <f>VLOOKUP(Complete[[#This Row],[Code
(PAP)]],[1]Sheet1!$A:$AO,13,FALSE)</f>
        <v>N/A</v>
      </c>
      <c r="N248" s="393" t="str">
        <f>VLOOKUP(Complete[[#This Row],[Code
(PAP)]],[1]Sheet1!$A:$AO,14,FALSE)</f>
        <v>N/A</v>
      </c>
      <c r="O248" s="393">
        <f>VLOOKUP(Complete[[#This Row],[Code
(PAP)]],[1]Sheet1!$A:$AO,15,FALSE)</f>
        <v>45386</v>
      </c>
      <c r="P248" s="387"/>
      <c r="Q248" s="387"/>
      <c r="R248" s="387"/>
      <c r="S248" s="576" t="str">
        <f>VLOOKUP(Complete[[#This Row],[Code
(PAP)]],[1]Sheet1!$A:$AO,19,FALSE)</f>
        <v>N/A</v>
      </c>
      <c r="T248" s="576">
        <f>VLOOKUP(Complete[[#This Row],[Code
(PAP)]],[1]Sheet1!$A:$AO,20,FALSE)</f>
        <v>45406</v>
      </c>
      <c r="U248" s="576">
        <f>VLOOKUP(Complete[[#This Row],[Code
(PAP)]],[1]Sheet1!$A:$AO,21,FALSE)</f>
        <v>45412</v>
      </c>
      <c r="V248" s="387"/>
      <c r="W248" s="387"/>
      <c r="X248" s="392">
        <f>VLOOKUP(Complete[[#This Row],[Code
(PAP)]],[1]Sheet1!$A:$AO,24,FALSE)</f>
        <v>45439</v>
      </c>
      <c r="Y248" s="392">
        <f>Complete[[#This Row],[Delivery/ Completion]]</f>
        <v>45439</v>
      </c>
      <c r="Z248" s="610" t="s">
        <v>1478</v>
      </c>
      <c r="AA248" s="462">
        <f>Complete[[#This Row],[MOOE]]+Complete[[#This Row],[CO]]</f>
        <v>12000</v>
      </c>
      <c r="AB248" s="466">
        <v>12000</v>
      </c>
      <c r="AC248" s="497"/>
      <c r="AD248" s="498">
        <f>IF(Complete[[#This Row],[Procurement Project]]="","",SUM(Complete[[#This Row],[MOOE2]]+Complete[[#This Row],[CO3]]))</f>
        <v>11400</v>
      </c>
      <c r="AE248" s="501">
        <v>11400</v>
      </c>
      <c r="AF248" s="541"/>
      <c r="AG248" s="400"/>
      <c r="AH248" s="380" t="s">
        <v>1205</v>
      </c>
      <c r="AI248" s="576" t="str">
        <f>VLOOKUP(Complete[[#This Row],[Code
(PAP)]],[1]Sheet1!$A:$AO,35,FALSE)</f>
        <v>N/A</v>
      </c>
      <c r="AJ248" s="576" t="str">
        <f>VLOOKUP(Complete[[#This Row],[Code
(PAP)]],[1]Sheet1!$A:$AO,36,FALSE)</f>
        <v>N/A</v>
      </c>
      <c r="AK248" s="576" t="str">
        <f>VLOOKUP(Complete[[#This Row],[Code
(PAP)]],[1]Sheet1!$A:$AO,37,FALSE)</f>
        <v>N/A</v>
      </c>
      <c r="AL248" s="576" t="str">
        <f>VLOOKUP(Complete[[#This Row],[Code
(PAP)]],[1]Sheet1!$A:$AO,38,FALSE)</f>
        <v>N/A</v>
      </c>
      <c r="AM248" s="576" t="str">
        <f>VLOOKUP(Complete[[#This Row],[Code
(PAP)]],[1]Sheet1!$A:$AO,38,FALSE)</f>
        <v>N/A</v>
      </c>
      <c r="AN248" s="595" t="s">
        <v>713</v>
      </c>
      <c r="AO248" s="303" t="s">
        <v>139</v>
      </c>
      <c r="AP248" s="389"/>
      <c r="AQ248" s="389"/>
    </row>
    <row r="249" spans="1:43" s="224" customFormat="1" ht="75" customHeight="1" x14ac:dyDescent="0.25">
      <c r="A249" s="385" t="s">
        <v>427</v>
      </c>
      <c r="B249" s="406" t="str">
        <f>VLOOKUP(Complete[[#This Row],[Code
(PAP)]],[1]Sheet1!$A:$AO,2,FALSE)</f>
        <v>FOOD/CATERING SERVICES</v>
      </c>
      <c r="C249" s="408" t="str">
        <f>VLOOKUP(Complete[[#This Row],[Code
(PAP)]],[1]Sheet1!$A:$AO,3,FALSE)</f>
        <v>PAO</v>
      </c>
      <c r="D249" s="380" t="s">
        <v>712</v>
      </c>
      <c r="E249" s="409" t="str">
        <f>VLOOKUP(Complete[[#This Row],[Code
(PAP)]],[2]Sheet1!$A:$AO,5,FALSE)</f>
        <v>NP-53.9 - Small Value Procurement</v>
      </c>
      <c r="F249" s="393" t="str">
        <f>VLOOKUP(Complete[[#This Row],[Code
(PAP)]],[1]Sheet1!$A:$AO,6,FALSE)</f>
        <v>N/A</v>
      </c>
      <c r="G249" s="393">
        <f>VLOOKUP(Complete[[#This Row],[Code
(PAP)]],[1]Sheet1!$A:$AO,7,FALSE)</f>
        <v>45371</v>
      </c>
      <c r="H249" s="374"/>
      <c r="I249" s="394" t="str">
        <f>VLOOKUP(Complete[[#This Row],[Code
(PAP)]],[1]Sheet1!$A:$AO,9,FALSE)</f>
        <v>N/A</v>
      </c>
      <c r="J249" s="393">
        <f>VLOOKUP(Complete[[#This Row],[Code
(PAP)]],[1]Sheet1!$A:$AO,10,FALSE)</f>
        <v>45384</v>
      </c>
      <c r="K249" s="393">
        <f>VLOOKUP(Complete[[#This Row],[Code
(PAP)]],[1]Sheet1!$A:$AO,11,FALSE)</f>
        <v>45384</v>
      </c>
      <c r="L249" s="387"/>
      <c r="M249" s="393" t="str">
        <f>VLOOKUP(Complete[[#This Row],[Code
(PAP)]],[1]Sheet1!$A:$AO,13,FALSE)</f>
        <v>N/A</v>
      </c>
      <c r="N249" s="393" t="str">
        <f>VLOOKUP(Complete[[#This Row],[Code
(PAP)]],[1]Sheet1!$A:$AO,14,FALSE)</f>
        <v>N/A</v>
      </c>
      <c r="O249" s="393">
        <f>VLOOKUP(Complete[[#This Row],[Code
(PAP)]],[1]Sheet1!$A:$AO,15,FALSE)</f>
        <v>45386</v>
      </c>
      <c r="P249" s="387"/>
      <c r="Q249" s="387"/>
      <c r="R249" s="387"/>
      <c r="S249" s="576" t="str">
        <f>VLOOKUP(Complete[[#This Row],[Code
(PAP)]],[1]Sheet1!$A:$AO,19,FALSE)</f>
        <v>N/A</v>
      </c>
      <c r="T249" s="576">
        <f>VLOOKUP(Complete[[#This Row],[Code
(PAP)]],[1]Sheet1!$A:$AO,20,FALSE)</f>
        <v>45400</v>
      </c>
      <c r="U249" s="576">
        <f>VLOOKUP(Complete[[#This Row],[Code
(PAP)]],[1]Sheet1!$A:$AO,21,FALSE)</f>
        <v>45400</v>
      </c>
      <c r="V249" s="387"/>
      <c r="W249" s="387"/>
      <c r="X249" s="392">
        <f>VLOOKUP(Complete[[#This Row],[Code
(PAP)]],[1]Sheet1!$A:$AO,24,FALSE)</f>
        <v>45440</v>
      </c>
      <c r="Y249" s="392">
        <f>Complete[[#This Row],[Delivery/ Completion]]</f>
        <v>45440</v>
      </c>
      <c r="Z249" s="610" t="s">
        <v>1478</v>
      </c>
      <c r="AA249" s="462">
        <f>Complete[[#This Row],[MOOE]]+Complete[[#This Row],[CO]]</f>
        <v>30000</v>
      </c>
      <c r="AB249" s="466">
        <v>30000</v>
      </c>
      <c r="AC249" s="497"/>
      <c r="AD249" s="498">
        <f>IF(Complete[[#This Row],[Procurement Project]]="","",SUM(Complete[[#This Row],[MOOE2]]+Complete[[#This Row],[CO3]]))</f>
        <v>30000</v>
      </c>
      <c r="AE249" s="501">
        <v>30000</v>
      </c>
      <c r="AF249" s="541"/>
      <c r="AG249" s="400"/>
      <c r="AH249" s="380" t="s">
        <v>1205</v>
      </c>
      <c r="AI249" s="576" t="str">
        <f>VLOOKUP(Complete[[#This Row],[Code
(PAP)]],[1]Sheet1!$A:$AO,35,FALSE)</f>
        <v>N/A</v>
      </c>
      <c r="AJ249" s="576" t="str">
        <f>VLOOKUP(Complete[[#This Row],[Code
(PAP)]],[1]Sheet1!$A:$AO,36,FALSE)</f>
        <v>N/A</v>
      </c>
      <c r="AK249" s="576" t="str">
        <f>VLOOKUP(Complete[[#This Row],[Code
(PAP)]],[1]Sheet1!$A:$AO,37,FALSE)</f>
        <v>N/A</v>
      </c>
      <c r="AL249" s="576" t="str">
        <f>VLOOKUP(Complete[[#This Row],[Code
(PAP)]],[1]Sheet1!$A:$AO,38,FALSE)</f>
        <v>N/A</v>
      </c>
      <c r="AM249" s="576" t="str">
        <f>VLOOKUP(Complete[[#This Row],[Code
(PAP)]],[1]Sheet1!$A:$AO,38,FALSE)</f>
        <v>N/A</v>
      </c>
      <c r="AN249" s="595" t="s">
        <v>713</v>
      </c>
      <c r="AO249" s="303" t="s">
        <v>139</v>
      </c>
      <c r="AP249" s="389"/>
      <c r="AQ249" s="389"/>
    </row>
    <row r="250" spans="1:43" s="224" customFormat="1" ht="75" customHeight="1" x14ac:dyDescent="0.25">
      <c r="A250" s="385" t="s">
        <v>428</v>
      </c>
      <c r="B250" s="406" t="str">
        <f>VLOOKUP(Complete[[#This Row],[Code
(PAP)]],[1]Sheet1!$A:$AO,2,FALSE)</f>
        <v>FOOD/CATERING SERVICES</v>
      </c>
      <c r="C250" s="408" t="str">
        <f>VLOOKUP(Complete[[#This Row],[Code
(PAP)]],[1]Sheet1!$A:$AO,3,FALSE)</f>
        <v>PAO</v>
      </c>
      <c r="D250" s="380" t="s">
        <v>712</v>
      </c>
      <c r="E250" s="409" t="str">
        <f>VLOOKUP(Complete[[#This Row],[Code
(PAP)]],[2]Sheet1!$A:$AO,5,FALSE)</f>
        <v>NP-53.9 - Small Value Procurement</v>
      </c>
      <c r="F250" s="393" t="str">
        <f>VLOOKUP(Complete[[#This Row],[Code
(PAP)]],[1]Sheet1!$A:$AO,6,FALSE)</f>
        <v>N/A</v>
      </c>
      <c r="G250" s="393">
        <f>VLOOKUP(Complete[[#This Row],[Code
(PAP)]],[1]Sheet1!$A:$AO,7,FALSE)</f>
        <v>45371</v>
      </c>
      <c r="H250" s="374"/>
      <c r="I250" s="394" t="str">
        <f>VLOOKUP(Complete[[#This Row],[Code
(PAP)]],[1]Sheet1!$A:$AO,9,FALSE)</f>
        <v>N/A</v>
      </c>
      <c r="J250" s="393">
        <f>VLOOKUP(Complete[[#This Row],[Code
(PAP)]],[1]Sheet1!$A:$AO,10,FALSE)</f>
        <v>45384</v>
      </c>
      <c r="K250" s="393">
        <f>VLOOKUP(Complete[[#This Row],[Code
(PAP)]],[1]Sheet1!$A:$AO,11,FALSE)</f>
        <v>45384</v>
      </c>
      <c r="L250" s="387"/>
      <c r="M250" s="393" t="str">
        <f>VLOOKUP(Complete[[#This Row],[Code
(PAP)]],[1]Sheet1!$A:$AO,13,FALSE)</f>
        <v>N/A</v>
      </c>
      <c r="N250" s="393" t="str">
        <f>VLOOKUP(Complete[[#This Row],[Code
(PAP)]],[1]Sheet1!$A:$AO,14,FALSE)</f>
        <v>N/A</v>
      </c>
      <c r="O250" s="393">
        <f>VLOOKUP(Complete[[#This Row],[Code
(PAP)]],[1]Sheet1!$A:$AO,15,FALSE)</f>
        <v>45386</v>
      </c>
      <c r="P250" s="387"/>
      <c r="Q250" s="387"/>
      <c r="R250" s="387"/>
      <c r="S250" s="576">
        <f>VLOOKUP(Complete[[#This Row],[Code
(PAP)]],[1]Sheet1!$A:$AO,19,FALSE)</f>
        <v>45390</v>
      </c>
      <c r="T250" s="576">
        <f>VLOOKUP(Complete[[#This Row],[Code
(PAP)]],[1]Sheet1!$A:$AO,20,FALSE)</f>
        <v>45401</v>
      </c>
      <c r="U250" s="576">
        <f>VLOOKUP(Complete[[#This Row],[Code
(PAP)]],[1]Sheet1!$A:$AO,21,FALSE)</f>
        <v>45419</v>
      </c>
      <c r="V250" s="387"/>
      <c r="W250" s="387"/>
      <c r="X250" s="392">
        <f>VLOOKUP(Complete[[#This Row],[Code
(PAP)]],[1]Sheet1!$A:$AO,24,FALSE)</f>
        <v>45456</v>
      </c>
      <c r="Y250" s="392">
        <f>Complete[[#This Row],[Delivery/ Completion]]</f>
        <v>45456</v>
      </c>
      <c r="Z250" s="610" t="s">
        <v>1478</v>
      </c>
      <c r="AA250" s="462">
        <f>Complete[[#This Row],[MOOE]]+Complete[[#This Row],[CO]]</f>
        <v>150000</v>
      </c>
      <c r="AB250" s="466"/>
      <c r="AC250" s="497">
        <v>150000</v>
      </c>
      <c r="AD250" s="498">
        <f>IF(Complete[[#This Row],[Procurement Project]]="","",SUM(Complete[[#This Row],[MOOE2]]+Complete[[#This Row],[CO3]]))</f>
        <v>148250</v>
      </c>
      <c r="AE250" s="501"/>
      <c r="AF250" s="541">
        <v>148250</v>
      </c>
      <c r="AG250" s="400"/>
      <c r="AH250" s="380" t="s">
        <v>1205</v>
      </c>
      <c r="AI250" s="576" t="str">
        <f>VLOOKUP(Complete[[#This Row],[Code
(PAP)]],[1]Sheet1!$A:$AO,35,FALSE)</f>
        <v>N/A</v>
      </c>
      <c r="AJ250" s="576" t="str">
        <f>VLOOKUP(Complete[[#This Row],[Code
(PAP)]],[1]Sheet1!$A:$AO,36,FALSE)</f>
        <v>N/A</v>
      </c>
      <c r="AK250" s="576" t="str">
        <f>VLOOKUP(Complete[[#This Row],[Code
(PAP)]],[1]Sheet1!$A:$AO,37,FALSE)</f>
        <v>N/A</v>
      </c>
      <c r="AL250" s="576" t="str">
        <f>VLOOKUP(Complete[[#This Row],[Code
(PAP)]],[1]Sheet1!$A:$AO,38,FALSE)</f>
        <v>N/A</v>
      </c>
      <c r="AM250" s="576" t="str">
        <f>VLOOKUP(Complete[[#This Row],[Code
(PAP)]],[1]Sheet1!$A:$AO,38,FALSE)</f>
        <v>N/A</v>
      </c>
      <c r="AN250" s="595" t="s">
        <v>713</v>
      </c>
      <c r="AO250" s="303" t="s">
        <v>139</v>
      </c>
      <c r="AP250" s="389"/>
      <c r="AQ250" s="389"/>
    </row>
    <row r="251" spans="1:43" s="224" customFormat="1" ht="75" customHeight="1" x14ac:dyDescent="0.25">
      <c r="A251" s="385" t="s">
        <v>429</v>
      </c>
      <c r="B251" s="406" t="str">
        <f>VLOOKUP(Complete[[#This Row],[Code
(PAP)]],[1]Sheet1!$A:$AO,2,FALSE)</f>
        <v>ELECTRICAL SUPPLIES</v>
      </c>
      <c r="C251" s="408" t="str">
        <f>VLOOKUP(Complete[[#This Row],[Code
(PAP)]],[1]Sheet1!$A:$AO,3,FALSE)</f>
        <v>PHO</v>
      </c>
      <c r="D251" s="380" t="s">
        <v>712</v>
      </c>
      <c r="E251" s="409" t="str">
        <f>VLOOKUP(Complete[[#This Row],[Code
(PAP)]],[2]Sheet1!$A:$AO,5,FALSE)</f>
        <v>NP-53.9 - Small Value Procurement</v>
      </c>
      <c r="F251" s="393" t="str">
        <f>VLOOKUP(Complete[[#This Row],[Code
(PAP)]],[1]Sheet1!$A:$AO,6,FALSE)</f>
        <v>N/A</v>
      </c>
      <c r="G251" s="393">
        <f>VLOOKUP(Complete[[#This Row],[Code
(PAP)]],[1]Sheet1!$A:$AO,7,FALSE)</f>
        <v>45371</v>
      </c>
      <c r="H251" s="374"/>
      <c r="I251" s="394" t="str">
        <f>VLOOKUP(Complete[[#This Row],[Code
(PAP)]],[1]Sheet1!$A:$AO,9,FALSE)</f>
        <v>N/A</v>
      </c>
      <c r="J251" s="393">
        <f>VLOOKUP(Complete[[#This Row],[Code
(PAP)]],[1]Sheet1!$A:$AO,10,FALSE)</f>
        <v>45384</v>
      </c>
      <c r="K251" s="393">
        <f>VLOOKUP(Complete[[#This Row],[Code
(PAP)]],[1]Sheet1!$A:$AO,11,FALSE)</f>
        <v>45384</v>
      </c>
      <c r="L251" s="387"/>
      <c r="M251" s="393" t="str">
        <f>VLOOKUP(Complete[[#This Row],[Code
(PAP)]],[1]Sheet1!$A:$AO,13,FALSE)</f>
        <v>N/A</v>
      </c>
      <c r="N251" s="393" t="str">
        <f>VLOOKUP(Complete[[#This Row],[Code
(PAP)]],[1]Sheet1!$A:$AO,14,FALSE)</f>
        <v>N/A</v>
      </c>
      <c r="O251" s="393">
        <f>VLOOKUP(Complete[[#This Row],[Code
(PAP)]],[1]Sheet1!$A:$AO,15,FALSE)</f>
        <v>45386</v>
      </c>
      <c r="P251" s="387"/>
      <c r="Q251" s="387"/>
      <c r="R251" s="387"/>
      <c r="S251" s="576">
        <f>VLOOKUP(Complete[[#This Row],[Code
(PAP)]],[1]Sheet1!$A:$AO,19,FALSE)</f>
        <v>45393</v>
      </c>
      <c r="T251" s="576">
        <f>VLOOKUP(Complete[[#This Row],[Code
(PAP)]],[1]Sheet1!$A:$AO,20,FALSE)</f>
        <v>45405</v>
      </c>
      <c r="U251" s="576">
        <f>VLOOKUP(Complete[[#This Row],[Code
(PAP)]],[1]Sheet1!$A:$AO,21,FALSE)</f>
        <v>45426</v>
      </c>
      <c r="V251" s="387"/>
      <c r="W251" s="387"/>
      <c r="X251" s="392">
        <f>VLOOKUP(Complete[[#This Row],[Code
(PAP)]],[1]Sheet1!$A:$AO,24,FALSE)</f>
        <v>45426</v>
      </c>
      <c r="Y251" s="392">
        <f>Complete[[#This Row],[Delivery/ Completion]]</f>
        <v>45426</v>
      </c>
      <c r="Z251" s="610" t="s">
        <v>1478</v>
      </c>
      <c r="AA251" s="462">
        <f>Complete[[#This Row],[MOOE]]+Complete[[#This Row],[CO]]</f>
        <v>65650</v>
      </c>
      <c r="AB251" s="466">
        <f>VLOOKUP(Complete[[#This Row],[Code
(PAP)]],[1]Sheet1!$A:$AN,28,FALSE)</f>
        <v>65650</v>
      </c>
      <c r="AC251" s="497"/>
      <c r="AD251" s="498">
        <f>IF(Complete[[#This Row],[Procurement Project]]="","",SUM(Complete[[#This Row],[MOOE2]]+Complete[[#This Row],[CO3]]))</f>
        <v>40400</v>
      </c>
      <c r="AE251" s="501">
        <v>40400</v>
      </c>
      <c r="AF251" s="541"/>
      <c r="AG251" s="400"/>
      <c r="AH251" s="380" t="s">
        <v>1205</v>
      </c>
      <c r="AI251" s="576" t="str">
        <f>VLOOKUP(Complete[[#This Row],[Code
(PAP)]],[1]Sheet1!$A:$AO,35,FALSE)</f>
        <v>N/A</v>
      </c>
      <c r="AJ251" s="576" t="str">
        <f>VLOOKUP(Complete[[#This Row],[Code
(PAP)]],[1]Sheet1!$A:$AO,36,FALSE)</f>
        <v>N/A</v>
      </c>
      <c r="AK251" s="576" t="str">
        <f>VLOOKUP(Complete[[#This Row],[Code
(PAP)]],[1]Sheet1!$A:$AO,37,FALSE)</f>
        <v>N/A</v>
      </c>
      <c r="AL251" s="576" t="str">
        <f>VLOOKUP(Complete[[#This Row],[Code
(PAP)]],[1]Sheet1!$A:$AO,38,FALSE)</f>
        <v>N/A</v>
      </c>
      <c r="AM251" s="576" t="str">
        <f>VLOOKUP(Complete[[#This Row],[Code
(PAP)]],[1]Sheet1!$A:$AO,38,FALSE)</f>
        <v>N/A</v>
      </c>
      <c r="AN251" s="595" t="s">
        <v>713</v>
      </c>
      <c r="AO251" s="303" t="s">
        <v>139</v>
      </c>
      <c r="AP251" s="389"/>
      <c r="AQ251" s="389"/>
    </row>
    <row r="252" spans="1:43" s="224" customFormat="1" ht="75" customHeight="1" x14ac:dyDescent="0.25">
      <c r="A252" s="385" t="s">
        <v>430</v>
      </c>
      <c r="B252" s="406" t="str">
        <f>VLOOKUP(Complete[[#This Row],[Code
(PAP)]],[1]Sheet1!$A:$AO,2,FALSE)</f>
        <v>FOOD/CATERING SERVICES</v>
      </c>
      <c r="C252" s="408" t="str">
        <f>VLOOKUP(Complete[[#This Row],[Code
(PAP)]],[1]Sheet1!$A:$AO,3,FALSE)</f>
        <v>PIAO</v>
      </c>
      <c r="D252" s="380" t="s">
        <v>712</v>
      </c>
      <c r="E252" s="409" t="str">
        <f>VLOOKUP(Complete[[#This Row],[Code
(PAP)]],[2]Sheet1!$A:$AO,5,FALSE)</f>
        <v>NP-53.9 - Small Value Procurement</v>
      </c>
      <c r="F252" s="393" t="str">
        <f>VLOOKUP(Complete[[#This Row],[Code
(PAP)]],[1]Sheet1!$A:$AO,6,FALSE)</f>
        <v>N/A</v>
      </c>
      <c r="G252" s="393">
        <f>VLOOKUP(Complete[[#This Row],[Code
(PAP)]],[1]Sheet1!$A:$AO,7,FALSE)</f>
        <v>45371</v>
      </c>
      <c r="H252" s="374"/>
      <c r="I252" s="394" t="str">
        <f>VLOOKUP(Complete[[#This Row],[Code
(PAP)]],[1]Sheet1!$A:$AO,9,FALSE)</f>
        <v>N/A</v>
      </c>
      <c r="J252" s="393">
        <f>VLOOKUP(Complete[[#This Row],[Code
(PAP)]],[1]Sheet1!$A:$AO,10,FALSE)</f>
        <v>45384</v>
      </c>
      <c r="K252" s="393">
        <f>VLOOKUP(Complete[[#This Row],[Code
(PAP)]],[1]Sheet1!$A:$AO,11,FALSE)</f>
        <v>45384</v>
      </c>
      <c r="L252" s="387"/>
      <c r="M252" s="393" t="str">
        <f>VLOOKUP(Complete[[#This Row],[Code
(PAP)]],[1]Sheet1!$A:$AO,13,FALSE)</f>
        <v>N/A</v>
      </c>
      <c r="N252" s="393" t="str">
        <f>VLOOKUP(Complete[[#This Row],[Code
(PAP)]],[1]Sheet1!$A:$AO,14,FALSE)</f>
        <v>N/A</v>
      </c>
      <c r="O252" s="393">
        <f>VLOOKUP(Complete[[#This Row],[Code
(PAP)]],[1]Sheet1!$A:$AO,15,FALSE)</f>
        <v>45386</v>
      </c>
      <c r="P252" s="387"/>
      <c r="Q252" s="387"/>
      <c r="R252" s="387"/>
      <c r="S252" s="576" t="str">
        <f>VLOOKUP(Complete[[#This Row],[Code
(PAP)]],[1]Sheet1!$A:$AO,19,FALSE)</f>
        <v>N/A</v>
      </c>
      <c r="T252" s="576">
        <f>VLOOKUP(Complete[[#This Row],[Code
(PAP)]],[1]Sheet1!$A:$AO,20,FALSE)</f>
        <v>45405</v>
      </c>
      <c r="U252" s="576">
        <f>VLOOKUP(Complete[[#This Row],[Code
(PAP)]],[1]Sheet1!$A:$AO,21,FALSE)</f>
        <v>45407</v>
      </c>
      <c r="V252" s="387"/>
      <c r="W252" s="387"/>
      <c r="X252" s="392">
        <f>VLOOKUP(Complete[[#This Row],[Code
(PAP)]],[1]Sheet1!$A:$AO,24,FALSE)</f>
        <v>45461</v>
      </c>
      <c r="Y252" s="392">
        <f>Complete[[#This Row],[Delivery/ Completion]]</f>
        <v>45461</v>
      </c>
      <c r="Z252" s="610" t="s">
        <v>1478</v>
      </c>
      <c r="AA252" s="462">
        <f>Complete[[#This Row],[MOOE]]+Complete[[#This Row],[CO]]</f>
        <v>17000</v>
      </c>
      <c r="AB252" s="466">
        <v>17000</v>
      </c>
      <c r="AC252" s="497"/>
      <c r="AD252" s="498">
        <f>IF(Complete[[#This Row],[Procurement Project]]="","",SUM(Complete[[#This Row],[MOOE2]]+Complete[[#This Row],[CO3]]))</f>
        <v>16500</v>
      </c>
      <c r="AE252" s="501">
        <v>16500</v>
      </c>
      <c r="AF252" s="541"/>
      <c r="AG252" s="400"/>
      <c r="AH252" s="380" t="s">
        <v>1205</v>
      </c>
      <c r="AI252" s="576" t="str">
        <f>VLOOKUP(Complete[[#This Row],[Code
(PAP)]],[1]Sheet1!$A:$AO,35,FALSE)</f>
        <v>N/A</v>
      </c>
      <c r="AJ252" s="576" t="str">
        <f>VLOOKUP(Complete[[#This Row],[Code
(PAP)]],[1]Sheet1!$A:$AO,36,FALSE)</f>
        <v>N/A</v>
      </c>
      <c r="AK252" s="576" t="str">
        <f>VLOOKUP(Complete[[#This Row],[Code
(PAP)]],[1]Sheet1!$A:$AO,37,FALSE)</f>
        <v>N/A</v>
      </c>
      <c r="AL252" s="576" t="str">
        <f>VLOOKUP(Complete[[#This Row],[Code
(PAP)]],[1]Sheet1!$A:$AO,38,FALSE)</f>
        <v>N/A</v>
      </c>
      <c r="AM252" s="576" t="str">
        <f>VLOOKUP(Complete[[#This Row],[Code
(PAP)]],[1]Sheet1!$A:$AO,38,FALSE)</f>
        <v>N/A</v>
      </c>
      <c r="AN252" s="595" t="s">
        <v>713</v>
      </c>
      <c r="AO252" s="303" t="s">
        <v>139</v>
      </c>
      <c r="AP252" s="389"/>
      <c r="AQ252" s="389"/>
    </row>
    <row r="253" spans="1:43" s="224" customFormat="1" ht="75" customHeight="1" x14ac:dyDescent="0.25">
      <c r="A253" s="385" t="s">
        <v>431</v>
      </c>
      <c r="B253" s="406" t="str">
        <f>VLOOKUP(Complete[[#This Row],[Code
(PAP)]],[1]Sheet1!$A:$AO,2,FALSE)</f>
        <v>KITCHENWARE &amp; UTENSILS</v>
      </c>
      <c r="C253" s="408" t="str">
        <f>VLOOKUP(Complete[[#This Row],[Code
(PAP)]],[1]Sheet1!$A:$AO,3,FALSE)</f>
        <v>PAO</v>
      </c>
      <c r="D253" s="380" t="s">
        <v>712</v>
      </c>
      <c r="E253" s="409" t="str">
        <f>VLOOKUP(Complete[[#This Row],[Code
(PAP)]],[2]Sheet1!$A:$AO,5,FALSE)</f>
        <v>NP-53.9 - Small Value Procurement</v>
      </c>
      <c r="F253" s="393" t="str">
        <f>VLOOKUP(Complete[[#This Row],[Code
(PAP)]],[1]Sheet1!$A:$AO,6,FALSE)</f>
        <v>N/A</v>
      </c>
      <c r="G253" s="393">
        <f>VLOOKUP(Complete[[#This Row],[Code
(PAP)]],[1]Sheet1!$A:$AO,7,FALSE)</f>
        <v>45371</v>
      </c>
      <c r="H253" s="374"/>
      <c r="I253" s="394" t="str">
        <f>VLOOKUP(Complete[[#This Row],[Code
(PAP)]],[1]Sheet1!$A:$AO,9,FALSE)</f>
        <v>N/A</v>
      </c>
      <c r="J253" s="393">
        <f>VLOOKUP(Complete[[#This Row],[Code
(PAP)]],[1]Sheet1!$A:$AO,10,FALSE)</f>
        <v>45384</v>
      </c>
      <c r="K253" s="393">
        <f>VLOOKUP(Complete[[#This Row],[Code
(PAP)]],[1]Sheet1!$A:$AO,11,FALSE)</f>
        <v>45384</v>
      </c>
      <c r="L253" s="387"/>
      <c r="M253" s="393" t="str">
        <f>VLOOKUP(Complete[[#This Row],[Code
(PAP)]],[1]Sheet1!$A:$AO,13,FALSE)</f>
        <v>N/A</v>
      </c>
      <c r="N253" s="393" t="str">
        <f>VLOOKUP(Complete[[#This Row],[Code
(PAP)]],[1]Sheet1!$A:$AO,14,FALSE)</f>
        <v>N/A</v>
      </c>
      <c r="O253" s="393">
        <f>VLOOKUP(Complete[[#This Row],[Code
(PAP)]],[1]Sheet1!$A:$AO,15,FALSE)</f>
        <v>45386</v>
      </c>
      <c r="P253" s="387"/>
      <c r="Q253" s="387"/>
      <c r="R253" s="387"/>
      <c r="S253" s="576" t="str">
        <f>VLOOKUP(Complete[[#This Row],[Code
(PAP)]],[1]Sheet1!$A:$AO,19,FALSE)</f>
        <v>N/A</v>
      </c>
      <c r="T253" s="576">
        <f>VLOOKUP(Complete[[#This Row],[Code
(PAP)]],[1]Sheet1!$A:$AO,20,FALSE)</f>
        <v>45406</v>
      </c>
      <c r="U253" s="576">
        <f>VLOOKUP(Complete[[#This Row],[Code
(PAP)]],[1]Sheet1!$A:$AO,21,FALSE)</f>
        <v>45408</v>
      </c>
      <c r="V253" s="387"/>
      <c r="W253" s="387"/>
      <c r="X253" s="392">
        <f>VLOOKUP(Complete[[#This Row],[Code
(PAP)]],[1]Sheet1!$A:$AO,24,FALSE)</f>
        <v>45418</v>
      </c>
      <c r="Y253" s="392">
        <f>Complete[[#This Row],[Delivery/ Completion]]</f>
        <v>45418</v>
      </c>
      <c r="Z253" s="610" t="s">
        <v>1478</v>
      </c>
      <c r="AA253" s="462">
        <f>Complete[[#This Row],[MOOE]]+Complete[[#This Row],[CO]]</f>
        <v>17680</v>
      </c>
      <c r="AB253" s="466">
        <v>17680</v>
      </c>
      <c r="AC253" s="497"/>
      <c r="AD253" s="498">
        <f>IF(Complete[[#This Row],[Procurement Project]]="","",SUM(Complete[[#This Row],[MOOE2]]+Complete[[#This Row],[CO3]]))</f>
        <v>17670</v>
      </c>
      <c r="AE253" s="501">
        <v>17670</v>
      </c>
      <c r="AF253" s="541"/>
      <c r="AG253" s="400"/>
      <c r="AH253" s="380" t="s">
        <v>1205</v>
      </c>
      <c r="AI253" s="576" t="str">
        <f>VLOOKUP(Complete[[#This Row],[Code
(PAP)]],[1]Sheet1!$A:$AO,35,FALSE)</f>
        <v>N/A</v>
      </c>
      <c r="AJ253" s="576" t="str">
        <f>VLOOKUP(Complete[[#This Row],[Code
(PAP)]],[1]Sheet1!$A:$AO,36,FALSE)</f>
        <v>N/A</v>
      </c>
      <c r="AK253" s="576" t="str">
        <f>VLOOKUP(Complete[[#This Row],[Code
(PAP)]],[1]Sheet1!$A:$AO,37,FALSE)</f>
        <v>N/A</v>
      </c>
      <c r="AL253" s="576" t="str">
        <f>VLOOKUP(Complete[[#This Row],[Code
(PAP)]],[1]Sheet1!$A:$AO,38,FALSE)</f>
        <v>N/A</v>
      </c>
      <c r="AM253" s="576" t="str">
        <f>VLOOKUP(Complete[[#This Row],[Code
(PAP)]],[1]Sheet1!$A:$AO,38,FALSE)</f>
        <v>N/A</v>
      </c>
      <c r="AN253" s="595" t="s">
        <v>713</v>
      </c>
      <c r="AO253" s="303" t="s">
        <v>139</v>
      </c>
      <c r="AP253" s="389"/>
      <c r="AQ253" s="389"/>
    </row>
    <row r="254" spans="1:43" s="224" customFormat="1" ht="75" customHeight="1" x14ac:dyDescent="0.25">
      <c r="A254" s="385" t="s">
        <v>432</v>
      </c>
      <c r="B254" s="406" t="str">
        <f>VLOOKUP(Complete[[#This Row],[Code
(PAP)]],[1]Sheet1!$A:$AO,2,FALSE)</f>
        <v>AGRICULTURAL SUPPLIES</v>
      </c>
      <c r="C254" s="408" t="str">
        <f>VLOOKUP(Complete[[#This Row],[Code
(PAP)]],[1]Sheet1!$A:$AO,3,FALSE)</f>
        <v>PDRRMO</v>
      </c>
      <c r="D254" s="380" t="s">
        <v>712</v>
      </c>
      <c r="E254" s="409" t="str">
        <f>VLOOKUP(Complete[[#This Row],[Code
(PAP)]],[2]Sheet1!$A:$AO,5,FALSE)</f>
        <v>NP-53.9 - Small Value Procurement</v>
      </c>
      <c r="F254" s="393" t="str">
        <f>VLOOKUP(Complete[[#This Row],[Code
(PAP)]],[1]Sheet1!$A:$AO,6,FALSE)</f>
        <v>N/A</v>
      </c>
      <c r="G254" s="393">
        <f>VLOOKUP(Complete[[#This Row],[Code
(PAP)]],[1]Sheet1!$A:$AO,7,FALSE)</f>
        <v>45371</v>
      </c>
      <c r="H254" s="374"/>
      <c r="I254" s="394" t="str">
        <f>VLOOKUP(Complete[[#This Row],[Code
(PAP)]],[1]Sheet1!$A:$AO,9,FALSE)</f>
        <v>N/A</v>
      </c>
      <c r="J254" s="393">
        <f>VLOOKUP(Complete[[#This Row],[Code
(PAP)]],[1]Sheet1!$A:$AO,10,FALSE)</f>
        <v>45384</v>
      </c>
      <c r="K254" s="393">
        <f>VLOOKUP(Complete[[#This Row],[Code
(PAP)]],[1]Sheet1!$A:$AO,11,FALSE)</f>
        <v>45384</v>
      </c>
      <c r="L254" s="387"/>
      <c r="M254" s="393" t="str">
        <f>VLOOKUP(Complete[[#This Row],[Code
(PAP)]],[1]Sheet1!$A:$AO,13,FALSE)</f>
        <v>N/A</v>
      </c>
      <c r="N254" s="393" t="str">
        <f>VLOOKUP(Complete[[#This Row],[Code
(PAP)]],[1]Sheet1!$A:$AO,14,FALSE)</f>
        <v>N/A</v>
      </c>
      <c r="O254" s="393">
        <f>VLOOKUP(Complete[[#This Row],[Code
(PAP)]],[1]Sheet1!$A:$AO,15,FALSE)</f>
        <v>45386</v>
      </c>
      <c r="P254" s="387"/>
      <c r="Q254" s="387"/>
      <c r="R254" s="387"/>
      <c r="S254" s="576" t="str">
        <f>VLOOKUP(Complete[[#This Row],[Code
(PAP)]],[1]Sheet1!$A:$AO,19,FALSE)</f>
        <v>N/A</v>
      </c>
      <c r="T254" s="576">
        <f>VLOOKUP(Complete[[#This Row],[Code
(PAP)]],[1]Sheet1!$A:$AO,20,FALSE)</f>
        <v>45406</v>
      </c>
      <c r="U254" s="576">
        <f>VLOOKUP(Complete[[#This Row],[Code
(PAP)]],[1]Sheet1!$A:$AO,21,FALSE)</f>
        <v>45408</v>
      </c>
      <c r="V254" s="387"/>
      <c r="W254" s="387"/>
      <c r="X254" s="392">
        <f>VLOOKUP(Complete[[#This Row],[Code
(PAP)]],[1]Sheet1!$A:$AO,24,FALSE)</f>
        <v>45440</v>
      </c>
      <c r="Y254" s="392">
        <f>Complete[[#This Row],[Delivery/ Completion]]</f>
        <v>45440</v>
      </c>
      <c r="Z254" s="610" t="s">
        <v>1478</v>
      </c>
      <c r="AA254" s="462">
        <f>Complete[[#This Row],[MOOE]]+Complete[[#This Row],[CO]]</f>
        <v>12320</v>
      </c>
      <c r="AB254" s="466"/>
      <c r="AC254" s="497">
        <v>12320</v>
      </c>
      <c r="AD254" s="498">
        <f>IF(Complete[[#This Row],[Procurement Project]]="","",SUM(Complete[[#This Row],[MOOE2]]+Complete[[#This Row],[CO3]]))</f>
        <v>12316</v>
      </c>
      <c r="AE254" s="501"/>
      <c r="AF254" s="541">
        <v>12316</v>
      </c>
      <c r="AG254" s="400"/>
      <c r="AH254" s="380" t="s">
        <v>1205</v>
      </c>
      <c r="AI254" s="576" t="str">
        <f>VLOOKUP(Complete[[#This Row],[Code
(PAP)]],[1]Sheet1!$A:$AO,35,FALSE)</f>
        <v>N/A</v>
      </c>
      <c r="AJ254" s="576" t="str">
        <f>VLOOKUP(Complete[[#This Row],[Code
(PAP)]],[1]Sheet1!$A:$AO,36,FALSE)</f>
        <v>N/A</v>
      </c>
      <c r="AK254" s="576" t="str">
        <f>VLOOKUP(Complete[[#This Row],[Code
(PAP)]],[1]Sheet1!$A:$AO,37,FALSE)</f>
        <v>N/A</v>
      </c>
      <c r="AL254" s="576" t="str">
        <f>VLOOKUP(Complete[[#This Row],[Code
(PAP)]],[1]Sheet1!$A:$AO,38,FALSE)</f>
        <v>N/A</v>
      </c>
      <c r="AM254" s="576" t="str">
        <f>VLOOKUP(Complete[[#This Row],[Code
(PAP)]],[1]Sheet1!$A:$AO,38,FALSE)</f>
        <v>N/A</v>
      </c>
      <c r="AN254" s="595" t="s">
        <v>713</v>
      </c>
      <c r="AO254" s="303" t="s">
        <v>139</v>
      </c>
      <c r="AP254" s="389"/>
      <c r="AQ254" s="389"/>
    </row>
    <row r="255" spans="1:43" s="224" customFormat="1" ht="75" customHeight="1" x14ac:dyDescent="0.25">
      <c r="A255" s="385" t="s">
        <v>433</v>
      </c>
      <c r="B255" s="406" t="str">
        <f>VLOOKUP(Complete[[#This Row],[Code
(PAP)]],[1]Sheet1!$A:$AO,2,FALSE)</f>
        <v>VETERINARY DRUGS AND BIOLOGICS</v>
      </c>
      <c r="C255" s="408" t="str">
        <f>VLOOKUP(Complete[[#This Row],[Code
(PAP)]],[1]Sheet1!$A:$AO,3,FALSE)</f>
        <v>PGO</v>
      </c>
      <c r="D255" s="380" t="s">
        <v>712</v>
      </c>
      <c r="E255" s="409" t="str">
        <f>VLOOKUP(Complete[[#This Row],[Code
(PAP)]],[2]Sheet1!$A:$AO,5,FALSE)</f>
        <v>NP-53.9 - Small Value Procurement</v>
      </c>
      <c r="F255" s="393" t="str">
        <f>VLOOKUP(Complete[[#This Row],[Code
(PAP)]],[1]Sheet1!$A:$AO,6,FALSE)</f>
        <v>N/A</v>
      </c>
      <c r="G255" s="393">
        <f>VLOOKUP(Complete[[#This Row],[Code
(PAP)]],[1]Sheet1!$A:$AO,7,FALSE)</f>
        <v>45371</v>
      </c>
      <c r="H255" s="374"/>
      <c r="I255" s="394" t="str">
        <f>VLOOKUP(Complete[[#This Row],[Code
(PAP)]],[1]Sheet1!$A:$AO,9,FALSE)</f>
        <v>N/A</v>
      </c>
      <c r="J255" s="393">
        <f>VLOOKUP(Complete[[#This Row],[Code
(PAP)]],[1]Sheet1!$A:$AO,10,FALSE)</f>
        <v>45384</v>
      </c>
      <c r="K255" s="393">
        <f>VLOOKUP(Complete[[#This Row],[Code
(PAP)]],[1]Sheet1!$A:$AO,11,FALSE)</f>
        <v>45384</v>
      </c>
      <c r="L255" s="387"/>
      <c r="M255" s="393" t="str">
        <f>VLOOKUP(Complete[[#This Row],[Code
(PAP)]],[1]Sheet1!$A:$AO,13,FALSE)</f>
        <v>N/A</v>
      </c>
      <c r="N255" s="393" t="str">
        <f>VLOOKUP(Complete[[#This Row],[Code
(PAP)]],[1]Sheet1!$A:$AO,14,FALSE)</f>
        <v>N/A</v>
      </c>
      <c r="O255" s="393">
        <f>VLOOKUP(Complete[[#This Row],[Code
(PAP)]],[1]Sheet1!$A:$AO,15,FALSE)</f>
        <v>45386</v>
      </c>
      <c r="P255" s="387"/>
      <c r="Q255" s="387"/>
      <c r="R255" s="387"/>
      <c r="S255" s="576">
        <f>VLOOKUP(Complete[[#This Row],[Code
(PAP)]],[1]Sheet1!$A:$AO,19,FALSE)</f>
        <v>45387</v>
      </c>
      <c r="T255" s="576">
        <f>VLOOKUP(Complete[[#This Row],[Code
(PAP)]],[1]Sheet1!$A:$AO,20,FALSE)</f>
        <v>45394</v>
      </c>
      <c r="U255" s="576">
        <f>VLOOKUP(Complete[[#This Row],[Code
(PAP)]],[1]Sheet1!$A:$AO,21,FALSE)</f>
        <v>45422</v>
      </c>
      <c r="V255" s="387"/>
      <c r="W255" s="387"/>
      <c r="X255" s="392">
        <f>VLOOKUP(Complete[[#This Row],[Code
(PAP)]],[1]Sheet1!$A:$AO,24,FALSE)</f>
        <v>45446</v>
      </c>
      <c r="Y255" s="392">
        <f>Complete[[#This Row],[Delivery/ Completion]]</f>
        <v>45446</v>
      </c>
      <c r="Z255" s="610" t="s">
        <v>1478</v>
      </c>
      <c r="AA255" s="462">
        <f>Complete[[#This Row],[MOOE]]+Complete[[#This Row],[CO]]</f>
        <v>83500</v>
      </c>
      <c r="AB255" s="466"/>
      <c r="AC255" s="497">
        <v>83500</v>
      </c>
      <c r="AD255" s="498">
        <f>IF(Complete[[#This Row],[Procurement Project]]="","",SUM(Complete[[#This Row],[MOOE2]]+Complete[[#This Row],[CO3]]))</f>
        <v>83266</v>
      </c>
      <c r="AE255" s="501"/>
      <c r="AF255" s="541">
        <v>83266</v>
      </c>
      <c r="AG255" s="400"/>
      <c r="AH255" s="380" t="s">
        <v>1205</v>
      </c>
      <c r="AI255" s="576" t="str">
        <f>VLOOKUP(Complete[[#This Row],[Code
(PAP)]],[1]Sheet1!$A:$AO,35,FALSE)</f>
        <v>N/A</v>
      </c>
      <c r="AJ255" s="576" t="str">
        <f>VLOOKUP(Complete[[#This Row],[Code
(PAP)]],[1]Sheet1!$A:$AO,36,FALSE)</f>
        <v>N/A</v>
      </c>
      <c r="AK255" s="576" t="str">
        <f>VLOOKUP(Complete[[#This Row],[Code
(PAP)]],[1]Sheet1!$A:$AO,37,FALSE)</f>
        <v>N/A</v>
      </c>
      <c r="AL255" s="576" t="str">
        <f>VLOOKUP(Complete[[#This Row],[Code
(PAP)]],[1]Sheet1!$A:$AO,38,FALSE)</f>
        <v>N/A</v>
      </c>
      <c r="AM255" s="576" t="str">
        <f>VLOOKUP(Complete[[#This Row],[Code
(PAP)]],[1]Sheet1!$A:$AO,38,FALSE)</f>
        <v>N/A</v>
      </c>
      <c r="AN255" s="595" t="s">
        <v>713</v>
      </c>
      <c r="AO255" s="303" t="s">
        <v>139</v>
      </c>
      <c r="AP255" s="389"/>
      <c r="AQ255" s="389"/>
    </row>
    <row r="256" spans="1:43" s="224" customFormat="1" ht="75" customHeight="1" x14ac:dyDescent="0.25">
      <c r="A256" s="385" t="s">
        <v>434</v>
      </c>
      <c r="B256" s="406" t="str">
        <f>VLOOKUP(Complete[[#This Row],[Code
(PAP)]],[1]Sheet1!$A:$AO,2,FALSE)</f>
        <v>FOOD/CATERING SERVICES</v>
      </c>
      <c r="C256" s="408" t="str">
        <f>VLOOKUP(Complete[[#This Row],[Code
(PAP)]],[1]Sheet1!$A:$AO,3,FALSE)</f>
        <v>PBO</v>
      </c>
      <c r="D256" s="380" t="s">
        <v>712</v>
      </c>
      <c r="E256" s="409" t="str">
        <f>VLOOKUP(Complete[[#This Row],[Code
(PAP)]],[2]Sheet1!$A:$AO,5,FALSE)</f>
        <v>NP-53.9 - Small Value Procurement</v>
      </c>
      <c r="F256" s="393" t="str">
        <f>VLOOKUP(Complete[[#This Row],[Code
(PAP)]],[1]Sheet1!$A:$AO,6,FALSE)</f>
        <v>N/A</v>
      </c>
      <c r="G256" s="393">
        <f>VLOOKUP(Complete[[#This Row],[Code
(PAP)]],[1]Sheet1!$A:$AO,7,FALSE)</f>
        <v>45371</v>
      </c>
      <c r="H256" s="374"/>
      <c r="I256" s="394" t="str">
        <f>VLOOKUP(Complete[[#This Row],[Code
(PAP)]],[1]Sheet1!$A:$AO,9,FALSE)</f>
        <v>N/A</v>
      </c>
      <c r="J256" s="393">
        <f>VLOOKUP(Complete[[#This Row],[Code
(PAP)]],[1]Sheet1!$A:$AO,10,FALSE)</f>
        <v>45384</v>
      </c>
      <c r="K256" s="393">
        <f>VLOOKUP(Complete[[#This Row],[Code
(PAP)]],[1]Sheet1!$A:$AO,11,FALSE)</f>
        <v>45384</v>
      </c>
      <c r="L256" s="387"/>
      <c r="M256" s="393" t="str">
        <f>VLOOKUP(Complete[[#This Row],[Code
(PAP)]],[1]Sheet1!$A:$AO,13,FALSE)</f>
        <v>N/A</v>
      </c>
      <c r="N256" s="393" t="str">
        <f>VLOOKUP(Complete[[#This Row],[Code
(PAP)]],[1]Sheet1!$A:$AO,14,FALSE)</f>
        <v>N/A</v>
      </c>
      <c r="O256" s="393">
        <f>VLOOKUP(Complete[[#This Row],[Code
(PAP)]],[1]Sheet1!$A:$AO,15,FALSE)</f>
        <v>45386</v>
      </c>
      <c r="P256" s="387"/>
      <c r="Q256" s="387"/>
      <c r="R256" s="387"/>
      <c r="S256" s="576" t="str">
        <f>VLOOKUP(Complete[[#This Row],[Code
(PAP)]],[1]Sheet1!$A:$AO,19,FALSE)</f>
        <v>N/A</v>
      </c>
      <c r="T256" s="576">
        <f>VLOOKUP(Complete[[#This Row],[Code
(PAP)]],[1]Sheet1!$A:$AO,20,FALSE)</f>
        <v>45406</v>
      </c>
      <c r="U256" s="576">
        <f>VLOOKUP(Complete[[#This Row],[Code
(PAP)]],[1]Sheet1!$A:$AO,21,FALSE)</f>
        <v>45411</v>
      </c>
      <c r="V256" s="387"/>
      <c r="W256" s="387"/>
      <c r="X256" s="392">
        <f>VLOOKUP(Complete[[#This Row],[Code
(PAP)]],[1]Sheet1!$A:$AO,24,FALSE)</f>
        <v>45464</v>
      </c>
      <c r="Y256" s="392">
        <f>Complete[[#This Row],[Delivery/ Completion]]</f>
        <v>45464</v>
      </c>
      <c r="Z256" s="610" t="s">
        <v>1478</v>
      </c>
      <c r="AA256" s="462">
        <f>Complete[[#This Row],[MOOE]]+Complete[[#This Row],[CO]]</f>
        <v>25500</v>
      </c>
      <c r="AB256" s="466">
        <v>25500</v>
      </c>
      <c r="AC256" s="497"/>
      <c r="AD256" s="498">
        <f>IF(Complete[[#This Row],[Procurement Project]]="","",SUM(Complete[[#This Row],[MOOE2]]+Complete[[#This Row],[CO3]]))</f>
        <v>24975</v>
      </c>
      <c r="AE256" s="501">
        <v>24975</v>
      </c>
      <c r="AF256" s="541"/>
      <c r="AG256" s="400"/>
      <c r="AH256" s="380" t="s">
        <v>1205</v>
      </c>
      <c r="AI256" s="576" t="str">
        <f>VLOOKUP(Complete[[#This Row],[Code
(PAP)]],[1]Sheet1!$A:$AO,35,FALSE)</f>
        <v>N/A</v>
      </c>
      <c r="AJ256" s="576" t="str">
        <f>VLOOKUP(Complete[[#This Row],[Code
(PAP)]],[1]Sheet1!$A:$AO,36,FALSE)</f>
        <v>N/A</v>
      </c>
      <c r="AK256" s="576" t="str">
        <f>VLOOKUP(Complete[[#This Row],[Code
(PAP)]],[1]Sheet1!$A:$AO,37,FALSE)</f>
        <v>N/A</v>
      </c>
      <c r="AL256" s="576" t="str">
        <f>VLOOKUP(Complete[[#This Row],[Code
(PAP)]],[1]Sheet1!$A:$AO,38,FALSE)</f>
        <v>N/A</v>
      </c>
      <c r="AM256" s="576" t="str">
        <f>VLOOKUP(Complete[[#This Row],[Code
(PAP)]],[1]Sheet1!$A:$AO,38,FALSE)</f>
        <v>N/A</v>
      </c>
      <c r="AN256" s="595" t="s">
        <v>713</v>
      </c>
      <c r="AO256" s="303" t="s">
        <v>139</v>
      </c>
      <c r="AP256" s="389"/>
      <c r="AQ256" s="389"/>
    </row>
    <row r="257" spans="1:43" s="224" customFormat="1" ht="75" customHeight="1" x14ac:dyDescent="0.25">
      <c r="A257" s="385" t="s">
        <v>435</v>
      </c>
      <c r="B257" s="406" t="str">
        <f>VLOOKUP(Complete[[#This Row],[Code
(PAP)]],[1]Sheet1!$A:$AO,2,FALSE)</f>
        <v>ELECTRICAL SUPPLIES</v>
      </c>
      <c r="C257" s="408" t="str">
        <f>VLOOKUP(Complete[[#This Row],[Code
(PAP)]],[1]Sheet1!$A:$AO,3,FALSE)</f>
        <v>PGSO</v>
      </c>
      <c r="D257" s="380" t="s">
        <v>712</v>
      </c>
      <c r="E257" s="409" t="str">
        <f>VLOOKUP(Complete[[#This Row],[Code
(PAP)]],[2]Sheet1!$A:$AO,5,FALSE)</f>
        <v>NP-53.9 - Small Value Procurement</v>
      </c>
      <c r="F257" s="393" t="str">
        <f>VLOOKUP(Complete[[#This Row],[Code
(PAP)]],[1]Sheet1!$A:$AO,6,FALSE)</f>
        <v>N/A</v>
      </c>
      <c r="G257" s="393">
        <f>VLOOKUP(Complete[[#This Row],[Code
(PAP)]],[1]Sheet1!$A:$AO,7,FALSE)</f>
        <v>45371</v>
      </c>
      <c r="H257" s="374"/>
      <c r="I257" s="394" t="str">
        <f>VLOOKUP(Complete[[#This Row],[Code
(PAP)]],[1]Sheet1!$A:$AO,9,FALSE)</f>
        <v>N/A</v>
      </c>
      <c r="J257" s="393">
        <f>VLOOKUP(Complete[[#This Row],[Code
(PAP)]],[1]Sheet1!$A:$AO,10,FALSE)</f>
        <v>45384</v>
      </c>
      <c r="K257" s="393">
        <f>VLOOKUP(Complete[[#This Row],[Code
(PAP)]],[1]Sheet1!$A:$AO,11,FALSE)</f>
        <v>45384</v>
      </c>
      <c r="L257" s="387"/>
      <c r="M257" s="393" t="str">
        <f>VLOOKUP(Complete[[#This Row],[Code
(PAP)]],[1]Sheet1!$A:$AO,13,FALSE)</f>
        <v>N/A</v>
      </c>
      <c r="N257" s="393" t="str">
        <f>VLOOKUP(Complete[[#This Row],[Code
(PAP)]],[1]Sheet1!$A:$AO,14,FALSE)</f>
        <v>N/A</v>
      </c>
      <c r="O257" s="393">
        <f>VLOOKUP(Complete[[#This Row],[Code
(PAP)]],[1]Sheet1!$A:$AO,15,FALSE)</f>
        <v>45386</v>
      </c>
      <c r="P257" s="387"/>
      <c r="Q257" s="387"/>
      <c r="R257" s="387"/>
      <c r="S257" s="576" t="str">
        <f>VLOOKUP(Complete[[#This Row],[Code
(PAP)]],[1]Sheet1!$A:$AO,19,FALSE)</f>
        <v>N/A</v>
      </c>
      <c r="T257" s="576">
        <f>VLOOKUP(Complete[[#This Row],[Code
(PAP)]],[1]Sheet1!$A:$AO,20,FALSE)</f>
        <v>45405</v>
      </c>
      <c r="U257" s="576">
        <f>VLOOKUP(Complete[[#This Row],[Code
(PAP)]],[1]Sheet1!$A:$AO,21,FALSE)</f>
        <v>45418</v>
      </c>
      <c r="V257" s="387"/>
      <c r="W257" s="387"/>
      <c r="X257" s="392">
        <f>VLOOKUP(Complete[[#This Row],[Code
(PAP)]],[1]Sheet1!$A:$AO,24,FALSE)</f>
        <v>45443</v>
      </c>
      <c r="Y257" s="392">
        <f>Complete[[#This Row],[Delivery/ Completion]]</f>
        <v>45443</v>
      </c>
      <c r="Z257" s="610" t="s">
        <v>1478</v>
      </c>
      <c r="AA257" s="462">
        <f>Complete[[#This Row],[MOOE]]+Complete[[#This Row],[CO]]</f>
        <v>20400</v>
      </c>
      <c r="AB257" s="466">
        <v>20400</v>
      </c>
      <c r="AC257" s="497"/>
      <c r="AD257" s="498">
        <f>IF(Complete[[#This Row],[Procurement Project]]="","",SUM(Complete[[#This Row],[MOOE2]]+Complete[[#This Row],[CO3]]))</f>
        <v>20388</v>
      </c>
      <c r="AE257" s="501">
        <v>20388</v>
      </c>
      <c r="AF257" s="541"/>
      <c r="AG257" s="400"/>
      <c r="AH257" s="380" t="s">
        <v>1205</v>
      </c>
      <c r="AI257" s="576" t="str">
        <f>VLOOKUP(Complete[[#This Row],[Code
(PAP)]],[1]Sheet1!$A:$AO,35,FALSE)</f>
        <v>N/A</v>
      </c>
      <c r="AJ257" s="576" t="str">
        <f>VLOOKUP(Complete[[#This Row],[Code
(PAP)]],[1]Sheet1!$A:$AO,36,FALSE)</f>
        <v>N/A</v>
      </c>
      <c r="AK257" s="576" t="str">
        <f>VLOOKUP(Complete[[#This Row],[Code
(PAP)]],[1]Sheet1!$A:$AO,37,FALSE)</f>
        <v>N/A</v>
      </c>
      <c r="AL257" s="576" t="str">
        <f>VLOOKUP(Complete[[#This Row],[Code
(PAP)]],[1]Sheet1!$A:$AO,38,FALSE)</f>
        <v>N/A</v>
      </c>
      <c r="AM257" s="576" t="str">
        <f>VLOOKUP(Complete[[#This Row],[Code
(PAP)]],[1]Sheet1!$A:$AO,38,FALSE)</f>
        <v>N/A</v>
      </c>
      <c r="AN257" s="595" t="s">
        <v>713</v>
      </c>
      <c r="AO257" s="303" t="s">
        <v>139</v>
      </c>
      <c r="AP257" s="389"/>
      <c r="AQ257" s="389"/>
    </row>
    <row r="258" spans="1:43" s="224" customFormat="1" ht="75" customHeight="1" x14ac:dyDescent="0.25">
      <c r="A258" s="385" t="s">
        <v>436</v>
      </c>
      <c r="B258" s="406" t="str">
        <f>VLOOKUP(Complete[[#This Row],[Code
(PAP)]],[1]Sheet1!$A:$AO,2,FALSE)</f>
        <v>SAFETY GEARS</v>
      </c>
      <c r="C258" s="408" t="str">
        <f>VLOOKUP(Complete[[#This Row],[Code
(PAP)]],[1]Sheet1!$A:$AO,3,FALSE)</f>
        <v>PGSO</v>
      </c>
      <c r="D258" s="380" t="s">
        <v>712</v>
      </c>
      <c r="E258" s="409" t="str">
        <f>VLOOKUP(Complete[[#This Row],[Code
(PAP)]],[2]Sheet1!$A:$AO,5,FALSE)</f>
        <v>NP-53.9 - Small Value Procurement</v>
      </c>
      <c r="F258" s="393" t="str">
        <f>VLOOKUP(Complete[[#This Row],[Code
(PAP)]],[1]Sheet1!$A:$AO,6,FALSE)</f>
        <v>N/A</v>
      </c>
      <c r="G258" s="393">
        <f>VLOOKUP(Complete[[#This Row],[Code
(PAP)]],[1]Sheet1!$A:$AO,7,FALSE)</f>
        <v>45371</v>
      </c>
      <c r="H258" s="374"/>
      <c r="I258" s="394" t="str">
        <f>VLOOKUP(Complete[[#This Row],[Code
(PAP)]],[1]Sheet1!$A:$AO,9,FALSE)</f>
        <v>N/A</v>
      </c>
      <c r="J258" s="393">
        <f>VLOOKUP(Complete[[#This Row],[Code
(PAP)]],[1]Sheet1!$A:$AO,10,FALSE)</f>
        <v>45384</v>
      </c>
      <c r="K258" s="393">
        <f>VLOOKUP(Complete[[#This Row],[Code
(PAP)]],[1]Sheet1!$A:$AO,11,FALSE)</f>
        <v>45384</v>
      </c>
      <c r="L258" s="387"/>
      <c r="M258" s="393" t="str">
        <f>VLOOKUP(Complete[[#This Row],[Code
(PAP)]],[1]Sheet1!$A:$AO,13,FALSE)</f>
        <v>N/A</v>
      </c>
      <c r="N258" s="393" t="str">
        <f>VLOOKUP(Complete[[#This Row],[Code
(PAP)]],[1]Sheet1!$A:$AO,14,FALSE)</f>
        <v>N/A</v>
      </c>
      <c r="O258" s="393">
        <f>VLOOKUP(Complete[[#This Row],[Code
(PAP)]],[1]Sheet1!$A:$AO,15,FALSE)</f>
        <v>45386</v>
      </c>
      <c r="P258" s="387"/>
      <c r="Q258" s="387"/>
      <c r="R258" s="387"/>
      <c r="S258" s="576" t="str">
        <f>VLOOKUP(Complete[[#This Row],[Code
(PAP)]],[1]Sheet1!$A:$AO,19,FALSE)</f>
        <v>N/A</v>
      </c>
      <c r="T258" s="576">
        <f>VLOOKUP(Complete[[#This Row],[Code
(PAP)]],[1]Sheet1!$A:$AO,20,FALSE)</f>
        <v>45405</v>
      </c>
      <c r="U258" s="576">
        <f>VLOOKUP(Complete[[#This Row],[Code
(PAP)]],[1]Sheet1!$A:$AO,21,FALSE)</f>
        <v>45420</v>
      </c>
      <c r="V258" s="387"/>
      <c r="W258" s="387"/>
      <c r="X258" s="392">
        <f>VLOOKUP(Complete[[#This Row],[Code
(PAP)]],[1]Sheet1!$A:$AO,24,FALSE)</f>
        <v>45453</v>
      </c>
      <c r="Y258" s="392">
        <f>Complete[[#This Row],[Delivery/ Completion]]</f>
        <v>45453</v>
      </c>
      <c r="Z258" s="610" t="s">
        <v>1478</v>
      </c>
      <c r="AA258" s="462">
        <f>Complete[[#This Row],[MOOE]]+Complete[[#This Row],[CO]]</f>
        <v>37641.300000000003</v>
      </c>
      <c r="AB258" s="466">
        <v>37641.300000000003</v>
      </c>
      <c r="AC258" s="497"/>
      <c r="AD258" s="498">
        <f>IF(Complete[[#This Row],[Procurement Project]]="","",SUM(Complete[[#This Row],[MOOE2]]+Complete[[#This Row],[CO3]]))</f>
        <v>24750</v>
      </c>
      <c r="AE258" s="501">
        <v>24750</v>
      </c>
      <c r="AF258" s="541"/>
      <c r="AG258" s="400"/>
      <c r="AH258" s="380" t="s">
        <v>1205</v>
      </c>
      <c r="AI258" s="576" t="str">
        <f>VLOOKUP(Complete[[#This Row],[Code
(PAP)]],[1]Sheet1!$A:$AO,35,FALSE)</f>
        <v>N/A</v>
      </c>
      <c r="AJ258" s="576" t="str">
        <f>VLOOKUP(Complete[[#This Row],[Code
(PAP)]],[1]Sheet1!$A:$AO,36,FALSE)</f>
        <v>N/A</v>
      </c>
      <c r="AK258" s="576" t="str">
        <f>VLOOKUP(Complete[[#This Row],[Code
(PAP)]],[1]Sheet1!$A:$AO,37,FALSE)</f>
        <v>N/A</v>
      </c>
      <c r="AL258" s="576" t="str">
        <f>VLOOKUP(Complete[[#This Row],[Code
(PAP)]],[1]Sheet1!$A:$AO,38,FALSE)</f>
        <v>N/A</v>
      </c>
      <c r="AM258" s="576" t="str">
        <f>VLOOKUP(Complete[[#This Row],[Code
(PAP)]],[1]Sheet1!$A:$AO,38,FALSE)</f>
        <v>N/A</v>
      </c>
      <c r="AN258" s="595" t="s">
        <v>713</v>
      </c>
      <c r="AO258" s="303" t="s">
        <v>139</v>
      </c>
      <c r="AP258" s="389"/>
      <c r="AQ258" s="389"/>
    </row>
    <row r="259" spans="1:43" s="224" customFormat="1" ht="75" customHeight="1" x14ac:dyDescent="0.25">
      <c r="A259" s="385" t="s">
        <v>437</v>
      </c>
      <c r="B259" s="406" t="str">
        <f>VLOOKUP(Complete[[#This Row],[Code
(PAP)]],[1]Sheet1!$A:$AO,2,FALSE)</f>
        <v>FURNITURE &amp; FIXTURES</v>
      </c>
      <c r="C259" s="408" t="str">
        <f>VLOOKUP(Complete[[#This Row],[Code
(PAP)]],[1]Sheet1!$A:$AO,3,FALSE)</f>
        <v>PAO</v>
      </c>
      <c r="D259" s="380" t="s">
        <v>712</v>
      </c>
      <c r="E259" s="409" t="str">
        <f>VLOOKUP(Complete[[#This Row],[Code
(PAP)]],[2]Sheet1!$A:$AO,5,FALSE)</f>
        <v>NP-53.9 - Small Value Procurement</v>
      </c>
      <c r="F259" s="393" t="str">
        <f>VLOOKUP(Complete[[#This Row],[Code
(PAP)]],[1]Sheet1!$A:$AO,6,FALSE)</f>
        <v>N/A</v>
      </c>
      <c r="G259" s="393">
        <f>VLOOKUP(Complete[[#This Row],[Code
(PAP)]],[1]Sheet1!$A:$AO,7,FALSE)</f>
        <v>45363</v>
      </c>
      <c r="H259" s="374"/>
      <c r="I259" s="394" t="str">
        <f>VLOOKUP(Complete[[#This Row],[Code
(PAP)]],[1]Sheet1!$A:$AO,9,FALSE)</f>
        <v>N/A</v>
      </c>
      <c r="J259" s="393">
        <f>VLOOKUP(Complete[[#This Row],[Code
(PAP)]],[1]Sheet1!$A:$AO,10,FALSE)</f>
        <v>45384</v>
      </c>
      <c r="K259" s="393">
        <f>VLOOKUP(Complete[[#This Row],[Code
(PAP)]],[1]Sheet1!$A:$AO,11,FALSE)</f>
        <v>45384</v>
      </c>
      <c r="L259" s="387"/>
      <c r="M259" s="393" t="str">
        <f>VLOOKUP(Complete[[#This Row],[Code
(PAP)]],[1]Sheet1!$A:$AO,13,FALSE)</f>
        <v>N/A</v>
      </c>
      <c r="N259" s="393" t="str">
        <f>VLOOKUP(Complete[[#This Row],[Code
(PAP)]],[1]Sheet1!$A:$AO,14,FALSE)</f>
        <v>N/A</v>
      </c>
      <c r="O259" s="393">
        <f>VLOOKUP(Complete[[#This Row],[Code
(PAP)]],[1]Sheet1!$A:$AO,15,FALSE)</f>
        <v>45386</v>
      </c>
      <c r="P259" s="387"/>
      <c r="Q259" s="387"/>
      <c r="R259" s="387"/>
      <c r="S259" s="576">
        <f>VLOOKUP(Complete[[#This Row],[Code
(PAP)]],[1]Sheet1!$A:$AO,19,FALSE)</f>
        <v>45394</v>
      </c>
      <c r="T259" s="576">
        <f>VLOOKUP(Complete[[#This Row],[Code
(PAP)]],[1]Sheet1!$A:$AO,20,FALSE)</f>
        <v>45406</v>
      </c>
      <c r="U259" s="576">
        <f>VLOOKUP(Complete[[#This Row],[Code
(PAP)]],[1]Sheet1!$A:$AO,21,FALSE)</f>
        <v>45426</v>
      </c>
      <c r="V259" s="387"/>
      <c r="W259" s="387"/>
      <c r="X259" s="392">
        <f>VLOOKUP(Complete[[#This Row],[Code
(PAP)]],[1]Sheet1!$A:$AO,24,FALSE)</f>
        <v>45434</v>
      </c>
      <c r="Y259" s="392">
        <f>Complete[[#This Row],[Delivery/ Completion]]</f>
        <v>45434</v>
      </c>
      <c r="Z259" s="610" t="s">
        <v>1478</v>
      </c>
      <c r="AA259" s="462">
        <f>Complete[[#This Row],[MOOE]]+Complete[[#This Row],[CO]]</f>
        <v>64400</v>
      </c>
      <c r="AB259" s="466"/>
      <c r="AC259" s="497">
        <v>64400</v>
      </c>
      <c r="AD259" s="498">
        <f>IF(Complete[[#This Row],[Procurement Project]]="","",SUM(Complete[[#This Row],[MOOE2]]+Complete[[#This Row],[CO3]]))</f>
        <v>64395</v>
      </c>
      <c r="AE259" s="501"/>
      <c r="AF259" s="541">
        <v>64395</v>
      </c>
      <c r="AG259" s="400"/>
      <c r="AH259" s="380" t="s">
        <v>1205</v>
      </c>
      <c r="AI259" s="576" t="str">
        <f>VLOOKUP(Complete[[#This Row],[Code
(PAP)]],[1]Sheet1!$A:$AO,35,FALSE)</f>
        <v>N/A</v>
      </c>
      <c r="AJ259" s="576" t="str">
        <f>VLOOKUP(Complete[[#This Row],[Code
(PAP)]],[1]Sheet1!$A:$AO,36,FALSE)</f>
        <v>N/A</v>
      </c>
      <c r="AK259" s="576" t="str">
        <f>VLOOKUP(Complete[[#This Row],[Code
(PAP)]],[1]Sheet1!$A:$AO,37,FALSE)</f>
        <v>N/A</v>
      </c>
      <c r="AL259" s="576" t="str">
        <f>VLOOKUP(Complete[[#This Row],[Code
(PAP)]],[1]Sheet1!$A:$AO,38,FALSE)</f>
        <v>N/A</v>
      </c>
      <c r="AM259" s="576" t="str">
        <f>VLOOKUP(Complete[[#This Row],[Code
(PAP)]],[1]Sheet1!$A:$AO,38,FALSE)</f>
        <v>N/A</v>
      </c>
      <c r="AN259" s="595" t="s">
        <v>713</v>
      </c>
      <c r="AO259" s="303" t="s">
        <v>139</v>
      </c>
      <c r="AP259" s="389"/>
      <c r="AQ259" s="389"/>
    </row>
    <row r="260" spans="1:43" s="224" customFormat="1" ht="75" customHeight="1" x14ac:dyDescent="0.25">
      <c r="A260" s="385" t="s">
        <v>438</v>
      </c>
      <c r="B260" s="406" t="str">
        <f>VLOOKUP(Complete[[#This Row],[Code
(PAP)]],[1]Sheet1!$A:$AO,2,FALSE)</f>
        <v>JANITORIAL SUPPLIES/HOUSEKEEPING</v>
      </c>
      <c r="C260" s="408" t="str">
        <f>VLOOKUP(Complete[[#This Row],[Code
(PAP)]],[1]Sheet1!$A:$AO,3,FALSE)</f>
        <v>PTO</v>
      </c>
      <c r="D260" s="380" t="s">
        <v>712</v>
      </c>
      <c r="E260" s="409" t="str">
        <f>VLOOKUP(Complete[[#This Row],[Code
(PAP)]],[2]Sheet1!$A:$AO,5,FALSE)</f>
        <v>NP-53.9 - Small Value Procurement</v>
      </c>
      <c r="F260" s="393" t="str">
        <f>VLOOKUP(Complete[[#This Row],[Code
(PAP)]],[1]Sheet1!$A:$AO,6,FALSE)</f>
        <v>N/A</v>
      </c>
      <c r="G260" s="393">
        <f>VLOOKUP(Complete[[#This Row],[Code
(PAP)]],[1]Sheet1!$A:$AO,7,FALSE)</f>
        <v>45371</v>
      </c>
      <c r="H260" s="374"/>
      <c r="I260" s="394" t="str">
        <f>VLOOKUP(Complete[[#This Row],[Code
(PAP)]],[1]Sheet1!$A:$AO,9,FALSE)</f>
        <v>N/A</v>
      </c>
      <c r="J260" s="393">
        <f>VLOOKUP(Complete[[#This Row],[Code
(PAP)]],[1]Sheet1!$A:$AO,10,FALSE)</f>
        <v>45384</v>
      </c>
      <c r="K260" s="393">
        <f>VLOOKUP(Complete[[#This Row],[Code
(PAP)]],[1]Sheet1!$A:$AO,11,FALSE)</f>
        <v>45384</v>
      </c>
      <c r="L260" s="387"/>
      <c r="M260" s="393" t="str">
        <f>VLOOKUP(Complete[[#This Row],[Code
(PAP)]],[1]Sheet1!$A:$AO,13,FALSE)</f>
        <v>N/A</v>
      </c>
      <c r="N260" s="393" t="str">
        <f>VLOOKUP(Complete[[#This Row],[Code
(PAP)]],[1]Sheet1!$A:$AO,14,FALSE)</f>
        <v>N/A</v>
      </c>
      <c r="O260" s="393">
        <f>VLOOKUP(Complete[[#This Row],[Code
(PAP)]],[1]Sheet1!$A:$AO,15,FALSE)</f>
        <v>45386</v>
      </c>
      <c r="P260" s="387"/>
      <c r="Q260" s="387"/>
      <c r="R260" s="387"/>
      <c r="S260" s="576" t="str">
        <f>VLOOKUP(Complete[[#This Row],[Code
(PAP)]],[1]Sheet1!$A:$AO,19,FALSE)</f>
        <v>N/A</v>
      </c>
      <c r="T260" s="576">
        <f>VLOOKUP(Complete[[#This Row],[Code
(PAP)]],[1]Sheet1!$A:$AO,20,FALSE)</f>
        <v>45394</v>
      </c>
      <c r="U260" s="576">
        <f>VLOOKUP(Complete[[#This Row],[Code
(PAP)]],[1]Sheet1!$A:$AO,21,FALSE)</f>
        <v>45408</v>
      </c>
      <c r="V260" s="387"/>
      <c r="W260" s="387"/>
      <c r="X260" s="392">
        <f>VLOOKUP(Complete[[#This Row],[Code
(PAP)]],[1]Sheet1!$A:$AO,24,FALSE)</f>
        <v>45418</v>
      </c>
      <c r="Y260" s="392">
        <f>Complete[[#This Row],[Delivery/ Completion]]</f>
        <v>45418</v>
      </c>
      <c r="Z260" s="610" t="s">
        <v>1478</v>
      </c>
      <c r="AA260" s="462">
        <f>Complete[[#This Row],[MOOE]]+Complete[[#This Row],[CO]]</f>
        <v>14457</v>
      </c>
      <c r="AB260" s="466">
        <v>14457</v>
      </c>
      <c r="AC260" s="497"/>
      <c r="AD260" s="498">
        <f>IF(Complete[[#This Row],[Procurement Project]]="","",SUM(Complete[[#This Row],[MOOE2]]+Complete[[#This Row],[CO3]]))</f>
        <v>14077</v>
      </c>
      <c r="AE260" s="501">
        <v>14077</v>
      </c>
      <c r="AF260" s="541"/>
      <c r="AG260" s="400"/>
      <c r="AH260" s="380" t="s">
        <v>1205</v>
      </c>
      <c r="AI260" s="576" t="str">
        <f>VLOOKUP(Complete[[#This Row],[Code
(PAP)]],[1]Sheet1!$A:$AO,35,FALSE)</f>
        <v>N/A</v>
      </c>
      <c r="AJ260" s="576" t="str">
        <f>VLOOKUP(Complete[[#This Row],[Code
(PAP)]],[1]Sheet1!$A:$AO,36,FALSE)</f>
        <v>N/A</v>
      </c>
      <c r="AK260" s="576" t="str">
        <f>VLOOKUP(Complete[[#This Row],[Code
(PAP)]],[1]Sheet1!$A:$AO,37,FALSE)</f>
        <v>N/A</v>
      </c>
      <c r="AL260" s="576" t="str">
        <f>VLOOKUP(Complete[[#This Row],[Code
(PAP)]],[1]Sheet1!$A:$AO,38,FALSE)</f>
        <v>N/A</v>
      </c>
      <c r="AM260" s="576" t="str">
        <f>VLOOKUP(Complete[[#This Row],[Code
(PAP)]],[1]Sheet1!$A:$AO,38,FALSE)</f>
        <v>N/A</v>
      </c>
      <c r="AN260" s="595" t="s">
        <v>713</v>
      </c>
      <c r="AO260" s="303" t="s">
        <v>139</v>
      </c>
      <c r="AP260" s="389"/>
      <c r="AQ260" s="389"/>
    </row>
    <row r="261" spans="1:43" s="224" customFormat="1" ht="75" customHeight="1" x14ac:dyDescent="0.25">
      <c r="A261" s="385" t="s">
        <v>439</v>
      </c>
      <c r="B261" s="406" t="str">
        <f>VLOOKUP(Complete[[#This Row],[Code
(PAP)]],[1]Sheet1!$A:$AO,2,FALSE)</f>
        <v>LUBRICANTS</v>
      </c>
      <c r="C261" s="408" t="str">
        <f>VLOOKUP(Complete[[#This Row],[Code
(PAP)]],[1]Sheet1!$A:$AO,3,FALSE)</f>
        <v>PDRRMO</v>
      </c>
      <c r="D261" s="380" t="s">
        <v>712</v>
      </c>
      <c r="E261" s="409" t="str">
        <f>VLOOKUP(Complete[[#This Row],[Code
(PAP)]],[2]Sheet1!$A:$AO,5,FALSE)</f>
        <v>NP-53.9 - Small Value Procurement</v>
      </c>
      <c r="F261" s="393">
        <f>VLOOKUP(Complete[[#This Row],[Code
(PAP)]],[1]Sheet1!$A:$AO,6,FALSE)</f>
        <v>45356</v>
      </c>
      <c r="G261" s="393">
        <f>VLOOKUP(Complete[[#This Row],[Code
(PAP)]],[1]Sheet1!$A:$AO,7,FALSE)</f>
        <v>45359</v>
      </c>
      <c r="H261" s="374"/>
      <c r="I261" s="394" t="str">
        <f>VLOOKUP(Complete[[#This Row],[Code
(PAP)]],[1]Sheet1!$A:$AO,9,FALSE)</f>
        <v>N/A</v>
      </c>
      <c r="J261" s="393">
        <f>VLOOKUP(Complete[[#This Row],[Code
(PAP)]],[1]Sheet1!$A:$AO,10,FALSE)</f>
        <v>45384</v>
      </c>
      <c r="K261" s="393">
        <f>VLOOKUP(Complete[[#This Row],[Code
(PAP)]],[1]Sheet1!$A:$AO,11,FALSE)</f>
        <v>45384</v>
      </c>
      <c r="L261" s="387"/>
      <c r="M261" s="393" t="str">
        <f>VLOOKUP(Complete[[#This Row],[Code
(PAP)]],[1]Sheet1!$A:$AO,13,FALSE)</f>
        <v>N/A</v>
      </c>
      <c r="N261" s="393" t="str">
        <f>VLOOKUP(Complete[[#This Row],[Code
(PAP)]],[1]Sheet1!$A:$AO,14,FALSE)</f>
        <v>N/A</v>
      </c>
      <c r="O261" s="393">
        <f>VLOOKUP(Complete[[#This Row],[Code
(PAP)]],[1]Sheet1!$A:$AO,15,FALSE)</f>
        <v>45386</v>
      </c>
      <c r="P261" s="387"/>
      <c r="Q261" s="387"/>
      <c r="R261" s="387"/>
      <c r="S261" s="576">
        <f>VLOOKUP(Complete[[#This Row],[Code
(PAP)]],[1]Sheet1!$A:$AO,19,FALSE)</f>
        <v>45390</v>
      </c>
      <c r="T261" s="576">
        <f>VLOOKUP(Complete[[#This Row],[Code
(PAP)]],[1]Sheet1!$A:$AO,20,FALSE)</f>
        <v>45406</v>
      </c>
      <c r="U261" s="576">
        <f>VLOOKUP(Complete[[#This Row],[Code
(PAP)]],[1]Sheet1!$A:$AO,21,FALSE)</f>
        <v>45419</v>
      </c>
      <c r="V261" s="387"/>
      <c r="W261" s="387"/>
      <c r="X261" s="392">
        <f>VLOOKUP(Complete[[#This Row],[Code
(PAP)]],[1]Sheet1!$A:$AO,24,FALSE)</f>
        <v>45426</v>
      </c>
      <c r="Y261" s="392">
        <f>Complete[[#This Row],[Delivery/ Completion]]</f>
        <v>45426</v>
      </c>
      <c r="Z261" s="610" t="s">
        <v>1478</v>
      </c>
      <c r="AA261" s="462">
        <f>Complete[[#This Row],[MOOE]]+Complete[[#This Row],[CO]]</f>
        <v>133717</v>
      </c>
      <c r="AB261" s="466">
        <v>133717</v>
      </c>
      <c r="AC261" s="497"/>
      <c r="AD261" s="498">
        <f>IF(Complete[[#This Row],[Procurement Project]]="","",SUM(Complete[[#This Row],[MOOE2]]+Complete[[#This Row],[CO3]]))</f>
        <v>131105</v>
      </c>
      <c r="AE261" s="501">
        <v>131105</v>
      </c>
      <c r="AF261" s="541"/>
      <c r="AG261" s="400"/>
      <c r="AH261" s="380" t="s">
        <v>1205</v>
      </c>
      <c r="AI261" s="576" t="str">
        <f>VLOOKUP(Complete[[#This Row],[Code
(PAP)]],[1]Sheet1!$A:$AO,35,FALSE)</f>
        <v>N/A</v>
      </c>
      <c r="AJ261" s="576" t="str">
        <f>VLOOKUP(Complete[[#This Row],[Code
(PAP)]],[1]Sheet1!$A:$AO,36,FALSE)</f>
        <v>N/A</v>
      </c>
      <c r="AK261" s="576" t="str">
        <f>VLOOKUP(Complete[[#This Row],[Code
(PAP)]],[1]Sheet1!$A:$AO,37,FALSE)</f>
        <v>N/A</v>
      </c>
      <c r="AL261" s="576" t="str">
        <f>VLOOKUP(Complete[[#This Row],[Code
(PAP)]],[1]Sheet1!$A:$AO,38,FALSE)</f>
        <v>N/A</v>
      </c>
      <c r="AM261" s="576" t="str">
        <f>VLOOKUP(Complete[[#This Row],[Code
(PAP)]],[1]Sheet1!$A:$AO,38,FALSE)</f>
        <v>N/A</v>
      </c>
      <c r="AN261" s="595" t="s">
        <v>713</v>
      </c>
      <c r="AO261" s="303" t="s">
        <v>139</v>
      </c>
      <c r="AP261" s="389"/>
      <c r="AQ261" s="389"/>
    </row>
    <row r="262" spans="1:43" s="224" customFormat="1" ht="75" customHeight="1" x14ac:dyDescent="0.25">
      <c r="A262" s="385" t="s">
        <v>440</v>
      </c>
      <c r="B262" s="406" t="str">
        <f>VLOOKUP(Complete[[#This Row],[Code
(PAP)]],[1]Sheet1!$A:$AO,2,FALSE)</f>
        <v>BATTERY  &amp; EXTENSION WIRE</v>
      </c>
      <c r="C262" s="408" t="str">
        <f>VLOOKUP(Complete[[#This Row],[Code
(PAP)]],[1]Sheet1!$A:$AO,3,FALSE)</f>
        <v>PAGRO</v>
      </c>
      <c r="D262" s="380" t="s">
        <v>712</v>
      </c>
      <c r="E262" s="409" t="str">
        <f>VLOOKUP(Complete[[#This Row],[Code
(PAP)]],[2]Sheet1!$A:$AO,5,FALSE)</f>
        <v>NP-53.9 - Small Value Procurement</v>
      </c>
      <c r="F262" s="393" t="str">
        <f>VLOOKUP(Complete[[#This Row],[Code
(PAP)]],[1]Sheet1!$A:$AO,6,FALSE)</f>
        <v>N/A</v>
      </c>
      <c r="G262" s="393">
        <f>VLOOKUP(Complete[[#This Row],[Code
(PAP)]],[1]Sheet1!$A:$AO,7,FALSE)</f>
        <v>45371</v>
      </c>
      <c r="H262" s="374"/>
      <c r="I262" s="394" t="str">
        <f>VLOOKUP(Complete[[#This Row],[Code
(PAP)]],[1]Sheet1!$A:$AO,9,FALSE)</f>
        <v>N/A</v>
      </c>
      <c r="J262" s="393">
        <f>VLOOKUP(Complete[[#This Row],[Code
(PAP)]],[1]Sheet1!$A:$AO,10,FALSE)</f>
        <v>45384</v>
      </c>
      <c r="K262" s="393">
        <f>VLOOKUP(Complete[[#This Row],[Code
(PAP)]],[1]Sheet1!$A:$AO,11,FALSE)</f>
        <v>45384</v>
      </c>
      <c r="L262" s="387"/>
      <c r="M262" s="393" t="str">
        <f>VLOOKUP(Complete[[#This Row],[Code
(PAP)]],[1]Sheet1!$A:$AO,13,FALSE)</f>
        <v>N/A</v>
      </c>
      <c r="N262" s="393" t="str">
        <f>VLOOKUP(Complete[[#This Row],[Code
(PAP)]],[1]Sheet1!$A:$AO,14,FALSE)</f>
        <v>N/A</v>
      </c>
      <c r="O262" s="393">
        <f>VLOOKUP(Complete[[#This Row],[Code
(PAP)]],[1]Sheet1!$A:$AO,15,FALSE)</f>
        <v>45386</v>
      </c>
      <c r="P262" s="387"/>
      <c r="Q262" s="387"/>
      <c r="R262" s="387"/>
      <c r="S262" s="576" t="str">
        <f>VLOOKUP(Complete[[#This Row],[Code
(PAP)]],[1]Sheet1!$A:$AO,19,FALSE)</f>
        <v>N/A</v>
      </c>
      <c r="T262" s="576">
        <f>VLOOKUP(Complete[[#This Row],[Code
(PAP)]],[1]Sheet1!$A:$AO,20,FALSE)</f>
        <v>45401</v>
      </c>
      <c r="U262" s="576">
        <f>VLOOKUP(Complete[[#This Row],[Code
(PAP)]],[1]Sheet1!$A:$AO,21,FALSE)</f>
        <v>45405</v>
      </c>
      <c r="V262" s="387"/>
      <c r="W262" s="387"/>
      <c r="X262" s="392">
        <f>VLOOKUP(Complete[[#This Row],[Code
(PAP)]],[1]Sheet1!$A:$AO,24,FALSE)</f>
        <v>45415</v>
      </c>
      <c r="Y262" s="392">
        <f>Complete[[#This Row],[Delivery/ Completion]]</f>
        <v>45415</v>
      </c>
      <c r="Z262" s="610" t="s">
        <v>1478</v>
      </c>
      <c r="AA262" s="462">
        <f>Complete[[#This Row],[MOOE]]+Complete[[#This Row],[CO]]</f>
        <v>5004</v>
      </c>
      <c r="AB262" s="466"/>
      <c r="AC262" s="497">
        <v>5004</v>
      </c>
      <c r="AD262" s="498">
        <f>IF(Complete[[#This Row],[Procurement Project]]="","",SUM(Complete[[#This Row],[MOOE2]]+Complete[[#This Row],[CO3]]))</f>
        <v>4978</v>
      </c>
      <c r="AE262" s="501"/>
      <c r="AF262" s="541">
        <v>4978</v>
      </c>
      <c r="AG262" s="400"/>
      <c r="AH262" s="380" t="s">
        <v>1205</v>
      </c>
      <c r="AI262" s="576" t="str">
        <f>VLOOKUP(Complete[[#This Row],[Code
(PAP)]],[1]Sheet1!$A:$AO,35,FALSE)</f>
        <v>N/A</v>
      </c>
      <c r="AJ262" s="576" t="str">
        <f>VLOOKUP(Complete[[#This Row],[Code
(PAP)]],[1]Sheet1!$A:$AO,36,FALSE)</f>
        <v>N/A</v>
      </c>
      <c r="AK262" s="576" t="str">
        <f>VLOOKUP(Complete[[#This Row],[Code
(PAP)]],[1]Sheet1!$A:$AO,37,FALSE)</f>
        <v>N/A</v>
      </c>
      <c r="AL262" s="576" t="str">
        <f>VLOOKUP(Complete[[#This Row],[Code
(PAP)]],[1]Sheet1!$A:$AO,38,FALSE)</f>
        <v>N/A</v>
      </c>
      <c r="AM262" s="576" t="str">
        <f>VLOOKUP(Complete[[#This Row],[Code
(PAP)]],[1]Sheet1!$A:$AO,38,FALSE)</f>
        <v>N/A</v>
      </c>
      <c r="AN262" s="595" t="s">
        <v>713</v>
      </c>
      <c r="AO262" s="303" t="s">
        <v>139</v>
      </c>
      <c r="AP262" s="389"/>
      <c r="AQ262" s="389"/>
    </row>
    <row r="263" spans="1:43" s="224" customFormat="1" ht="75" customHeight="1" x14ac:dyDescent="0.25">
      <c r="A263" s="385" t="s">
        <v>441</v>
      </c>
      <c r="B263" s="406" t="str">
        <f>VLOOKUP(Complete[[#This Row],[Code
(PAP)]],[1]Sheet1!$A:$AO,2,FALSE)</f>
        <v>JANITORIAL SUPPLIES/HOUSEKEEPING</v>
      </c>
      <c r="C263" s="408" t="str">
        <f>VLOOKUP(Complete[[#This Row],[Code
(PAP)]],[1]Sheet1!$A:$AO,3,FALSE)</f>
        <v>PIAO</v>
      </c>
      <c r="D263" s="380" t="s">
        <v>712</v>
      </c>
      <c r="E263" s="409" t="str">
        <f>VLOOKUP(Complete[[#This Row],[Code
(PAP)]],[2]Sheet1!$A:$AO,5,FALSE)</f>
        <v>NP-53.9 - Small Value Procurement</v>
      </c>
      <c r="F263" s="393" t="str">
        <f>VLOOKUP(Complete[[#This Row],[Code
(PAP)]],[1]Sheet1!$A:$AO,6,FALSE)</f>
        <v>N/A</v>
      </c>
      <c r="G263" s="393">
        <f>VLOOKUP(Complete[[#This Row],[Code
(PAP)]],[1]Sheet1!$A:$AO,7,FALSE)</f>
        <v>45371</v>
      </c>
      <c r="H263" s="374"/>
      <c r="I263" s="394" t="str">
        <f>VLOOKUP(Complete[[#This Row],[Code
(PAP)]],[1]Sheet1!$A:$AO,9,FALSE)</f>
        <v>N/A</v>
      </c>
      <c r="J263" s="393">
        <f>VLOOKUP(Complete[[#This Row],[Code
(PAP)]],[1]Sheet1!$A:$AO,10,FALSE)</f>
        <v>45384</v>
      </c>
      <c r="K263" s="393">
        <f>VLOOKUP(Complete[[#This Row],[Code
(PAP)]],[1]Sheet1!$A:$AO,11,FALSE)</f>
        <v>45384</v>
      </c>
      <c r="L263" s="387"/>
      <c r="M263" s="393" t="str">
        <f>VLOOKUP(Complete[[#This Row],[Code
(PAP)]],[1]Sheet1!$A:$AO,13,FALSE)</f>
        <v>N/A</v>
      </c>
      <c r="N263" s="393" t="str">
        <f>VLOOKUP(Complete[[#This Row],[Code
(PAP)]],[1]Sheet1!$A:$AO,14,FALSE)</f>
        <v>N/A</v>
      </c>
      <c r="O263" s="393">
        <f>VLOOKUP(Complete[[#This Row],[Code
(PAP)]],[1]Sheet1!$A:$AO,15,FALSE)</f>
        <v>45386</v>
      </c>
      <c r="P263" s="387"/>
      <c r="Q263" s="387"/>
      <c r="R263" s="387"/>
      <c r="S263" s="576" t="str">
        <f>VLOOKUP(Complete[[#This Row],[Code
(PAP)]],[1]Sheet1!$A:$AO,19,FALSE)</f>
        <v>N/A</v>
      </c>
      <c r="T263" s="576">
        <f>VLOOKUP(Complete[[#This Row],[Code
(PAP)]],[1]Sheet1!$A:$AO,20,FALSE)</f>
        <v>45406</v>
      </c>
      <c r="U263" s="576">
        <f>VLOOKUP(Complete[[#This Row],[Code
(PAP)]],[1]Sheet1!$A:$AO,21,FALSE)</f>
        <v>45408</v>
      </c>
      <c r="V263" s="387"/>
      <c r="W263" s="387"/>
      <c r="X263" s="392">
        <f>VLOOKUP(Complete[[#This Row],[Code
(PAP)]],[1]Sheet1!$A:$AO,24,FALSE)</f>
        <v>45415</v>
      </c>
      <c r="Y263" s="392">
        <f>Complete[[#This Row],[Delivery/ Completion]]</f>
        <v>45415</v>
      </c>
      <c r="Z263" s="610" t="s">
        <v>1478</v>
      </c>
      <c r="AA263" s="462">
        <f>Complete[[#This Row],[MOOE]]+Complete[[#This Row],[CO]]</f>
        <v>6397</v>
      </c>
      <c r="AB263" s="466">
        <v>6397</v>
      </c>
      <c r="AC263" s="497"/>
      <c r="AD263" s="498">
        <f>IF(Complete[[#This Row],[Procurement Project]]="","",SUM(Complete[[#This Row],[MOOE2]]+Complete[[#This Row],[CO3]]))</f>
        <v>6170</v>
      </c>
      <c r="AE263" s="501">
        <v>6170</v>
      </c>
      <c r="AF263" s="541"/>
      <c r="AG263" s="400"/>
      <c r="AH263" s="380" t="s">
        <v>1205</v>
      </c>
      <c r="AI263" s="576" t="str">
        <f>VLOOKUP(Complete[[#This Row],[Code
(PAP)]],[1]Sheet1!$A:$AO,35,FALSE)</f>
        <v>N/A</v>
      </c>
      <c r="AJ263" s="576" t="str">
        <f>VLOOKUP(Complete[[#This Row],[Code
(PAP)]],[1]Sheet1!$A:$AO,36,FALSE)</f>
        <v>N/A</v>
      </c>
      <c r="AK263" s="576" t="str">
        <f>VLOOKUP(Complete[[#This Row],[Code
(PAP)]],[1]Sheet1!$A:$AO,37,FALSE)</f>
        <v>N/A</v>
      </c>
      <c r="AL263" s="576" t="str">
        <f>VLOOKUP(Complete[[#This Row],[Code
(PAP)]],[1]Sheet1!$A:$AO,38,FALSE)</f>
        <v>N/A</v>
      </c>
      <c r="AM263" s="576" t="str">
        <f>VLOOKUP(Complete[[#This Row],[Code
(PAP)]],[1]Sheet1!$A:$AO,38,FALSE)</f>
        <v>N/A</v>
      </c>
      <c r="AN263" s="595" t="s">
        <v>713</v>
      </c>
      <c r="AO263" s="303" t="s">
        <v>139</v>
      </c>
      <c r="AP263" s="389"/>
      <c r="AQ263" s="389"/>
    </row>
    <row r="264" spans="1:43" s="224" customFormat="1" ht="75" customHeight="1" x14ac:dyDescent="0.25">
      <c r="A264" s="385" t="s">
        <v>442</v>
      </c>
      <c r="B264" s="406" t="str">
        <f>VLOOKUP(Complete[[#This Row],[Code
(PAP)]],[1]Sheet1!$A:$AO,2,FALSE)</f>
        <v>JANITORIAL SUPPLIES/HOUSEKEEPING</v>
      </c>
      <c r="C264" s="408" t="str">
        <f>VLOOKUP(Complete[[#This Row],[Code
(PAP)]],[1]Sheet1!$A:$AO,3,FALSE)</f>
        <v>PAO</v>
      </c>
      <c r="D264" s="380" t="s">
        <v>712</v>
      </c>
      <c r="E264" s="409" t="str">
        <f>VLOOKUP(Complete[[#This Row],[Code
(PAP)]],[2]Sheet1!$A:$AO,5,FALSE)</f>
        <v>NP-53.9 - Small Value Procurement</v>
      </c>
      <c r="F264" s="393" t="str">
        <f>VLOOKUP(Complete[[#This Row],[Code
(PAP)]],[1]Sheet1!$A:$AO,6,FALSE)</f>
        <v>N/A</v>
      </c>
      <c r="G264" s="393">
        <f>VLOOKUP(Complete[[#This Row],[Code
(PAP)]],[1]Sheet1!$A:$AO,7,FALSE)</f>
        <v>45371</v>
      </c>
      <c r="H264" s="374"/>
      <c r="I264" s="394" t="str">
        <f>VLOOKUP(Complete[[#This Row],[Code
(PAP)]],[1]Sheet1!$A:$AO,9,FALSE)</f>
        <v>N/A</v>
      </c>
      <c r="J264" s="393">
        <f>VLOOKUP(Complete[[#This Row],[Code
(PAP)]],[1]Sheet1!$A:$AO,10,FALSE)</f>
        <v>45384</v>
      </c>
      <c r="K264" s="393">
        <f>VLOOKUP(Complete[[#This Row],[Code
(PAP)]],[1]Sheet1!$A:$AO,11,FALSE)</f>
        <v>45384</v>
      </c>
      <c r="L264" s="387"/>
      <c r="M264" s="393" t="str">
        <f>VLOOKUP(Complete[[#This Row],[Code
(PAP)]],[1]Sheet1!$A:$AO,13,FALSE)</f>
        <v>N/A</v>
      </c>
      <c r="N264" s="393" t="str">
        <f>VLOOKUP(Complete[[#This Row],[Code
(PAP)]],[1]Sheet1!$A:$AO,14,FALSE)</f>
        <v>N/A</v>
      </c>
      <c r="O264" s="393">
        <f>VLOOKUP(Complete[[#This Row],[Code
(PAP)]],[1]Sheet1!$A:$AO,15,FALSE)</f>
        <v>45386</v>
      </c>
      <c r="P264" s="387"/>
      <c r="Q264" s="387"/>
      <c r="R264" s="387"/>
      <c r="S264" s="576" t="str">
        <f>VLOOKUP(Complete[[#This Row],[Code
(PAP)]],[1]Sheet1!$A:$AO,19,FALSE)</f>
        <v>N/A</v>
      </c>
      <c r="T264" s="576">
        <f>VLOOKUP(Complete[[#This Row],[Code
(PAP)]],[1]Sheet1!$A:$AO,20,FALSE)</f>
        <v>45406</v>
      </c>
      <c r="U264" s="576">
        <f>VLOOKUP(Complete[[#This Row],[Code
(PAP)]],[1]Sheet1!$A:$AO,21,FALSE)</f>
        <v>45408</v>
      </c>
      <c r="V264" s="387"/>
      <c r="W264" s="387"/>
      <c r="X264" s="392">
        <f>VLOOKUP(Complete[[#This Row],[Code
(PAP)]],[1]Sheet1!$A:$AO,24,FALSE)</f>
        <v>45415</v>
      </c>
      <c r="Y264" s="392">
        <f>Complete[[#This Row],[Delivery/ Completion]]</f>
        <v>45415</v>
      </c>
      <c r="Z264" s="610" t="s">
        <v>1478</v>
      </c>
      <c r="AA264" s="462">
        <f>Complete[[#This Row],[MOOE]]+Complete[[#This Row],[CO]]</f>
        <v>8120.5</v>
      </c>
      <c r="AB264" s="466">
        <v>8120.5</v>
      </c>
      <c r="AC264" s="497"/>
      <c r="AD264" s="498">
        <f>IF(Complete[[#This Row],[Procurement Project]]="","",SUM(Complete[[#This Row],[MOOE2]]+Complete[[#This Row],[CO3]]))</f>
        <v>8055</v>
      </c>
      <c r="AE264" s="501">
        <v>8055</v>
      </c>
      <c r="AF264" s="541"/>
      <c r="AG264" s="400"/>
      <c r="AH264" s="380" t="s">
        <v>1205</v>
      </c>
      <c r="AI264" s="576" t="str">
        <f>VLOOKUP(Complete[[#This Row],[Code
(PAP)]],[1]Sheet1!$A:$AO,35,FALSE)</f>
        <v>N/A</v>
      </c>
      <c r="AJ264" s="576" t="str">
        <f>VLOOKUP(Complete[[#This Row],[Code
(PAP)]],[1]Sheet1!$A:$AO,36,FALSE)</f>
        <v>N/A</v>
      </c>
      <c r="AK264" s="576" t="str">
        <f>VLOOKUP(Complete[[#This Row],[Code
(PAP)]],[1]Sheet1!$A:$AO,37,FALSE)</f>
        <v>N/A</v>
      </c>
      <c r="AL264" s="576" t="str">
        <f>VLOOKUP(Complete[[#This Row],[Code
(PAP)]],[1]Sheet1!$A:$AO,38,FALSE)</f>
        <v>N/A</v>
      </c>
      <c r="AM264" s="576" t="str">
        <f>VLOOKUP(Complete[[#This Row],[Code
(PAP)]],[1]Sheet1!$A:$AO,38,FALSE)</f>
        <v>N/A</v>
      </c>
      <c r="AN264" s="595" t="s">
        <v>713</v>
      </c>
      <c r="AO264" s="303" t="s">
        <v>139</v>
      </c>
      <c r="AP264" s="389"/>
      <c r="AQ264" s="389"/>
    </row>
    <row r="265" spans="1:43" s="224" customFormat="1" ht="75" customHeight="1" x14ac:dyDescent="0.25">
      <c r="A265" s="385" t="s">
        <v>443</v>
      </c>
      <c r="B265" s="406" t="str">
        <f>VLOOKUP(Complete[[#This Row],[Code
(PAP)]],[1]Sheet1!$A:$AO,2,FALSE)</f>
        <v>CONSTRUCTION SUPPLIES</v>
      </c>
      <c r="C265" s="408" t="str">
        <f>VLOOKUP(Complete[[#This Row],[Code
(PAP)]],[1]Sheet1!$A:$AO,3,FALSE)</f>
        <v>PAO</v>
      </c>
      <c r="D265" s="380" t="s">
        <v>712</v>
      </c>
      <c r="E265" s="409" t="str">
        <f>VLOOKUP(Complete[[#This Row],[Code
(PAP)]],[2]Sheet1!$A:$AO,5,FALSE)</f>
        <v>NP-53.9 - Small Value Procurement</v>
      </c>
      <c r="F265" s="393" t="str">
        <f>VLOOKUP(Complete[[#This Row],[Code
(PAP)]],[1]Sheet1!$A:$AO,6,FALSE)</f>
        <v>N/A</v>
      </c>
      <c r="G265" s="393">
        <f>VLOOKUP(Complete[[#This Row],[Code
(PAP)]],[1]Sheet1!$A:$AO,7,FALSE)</f>
        <v>45371</v>
      </c>
      <c r="H265" s="374"/>
      <c r="I265" s="394" t="str">
        <f>VLOOKUP(Complete[[#This Row],[Code
(PAP)]],[1]Sheet1!$A:$AO,9,FALSE)</f>
        <v>N/A</v>
      </c>
      <c r="J265" s="393">
        <f>VLOOKUP(Complete[[#This Row],[Code
(PAP)]],[1]Sheet1!$A:$AO,10,FALSE)</f>
        <v>45384</v>
      </c>
      <c r="K265" s="393">
        <f>VLOOKUP(Complete[[#This Row],[Code
(PAP)]],[1]Sheet1!$A:$AO,11,FALSE)</f>
        <v>45384</v>
      </c>
      <c r="L265" s="387"/>
      <c r="M265" s="393" t="str">
        <f>VLOOKUP(Complete[[#This Row],[Code
(PAP)]],[1]Sheet1!$A:$AO,13,FALSE)</f>
        <v>N/A</v>
      </c>
      <c r="N265" s="393" t="str">
        <f>VLOOKUP(Complete[[#This Row],[Code
(PAP)]],[1]Sheet1!$A:$AO,14,FALSE)</f>
        <v>N/A</v>
      </c>
      <c r="O265" s="393">
        <f>VLOOKUP(Complete[[#This Row],[Code
(PAP)]],[1]Sheet1!$A:$AO,15,FALSE)</f>
        <v>45386</v>
      </c>
      <c r="P265" s="387"/>
      <c r="Q265" s="387"/>
      <c r="R265" s="387"/>
      <c r="S265" s="576" t="str">
        <f>VLOOKUP(Complete[[#This Row],[Code
(PAP)]],[1]Sheet1!$A:$AO,19,FALSE)</f>
        <v>N/A</v>
      </c>
      <c r="T265" s="576">
        <f>VLOOKUP(Complete[[#This Row],[Code
(PAP)]],[1]Sheet1!$A:$AO,20,FALSE)</f>
        <v>45406</v>
      </c>
      <c r="U265" s="576">
        <f>VLOOKUP(Complete[[#This Row],[Code
(PAP)]],[1]Sheet1!$A:$AO,21,FALSE)</f>
        <v>45408</v>
      </c>
      <c r="V265" s="387"/>
      <c r="W265" s="387"/>
      <c r="X265" s="392">
        <f>VLOOKUP(Complete[[#This Row],[Code
(PAP)]],[1]Sheet1!$A:$AO,24,FALSE)</f>
        <v>45415</v>
      </c>
      <c r="Y265" s="392">
        <f>Complete[[#This Row],[Delivery/ Completion]]</f>
        <v>45415</v>
      </c>
      <c r="Z265" s="610" t="s">
        <v>1478</v>
      </c>
      <c r="AA265" s="462">
        <f>Complete[[#This Row],[MOOE]]+Complete[[#This Row],[CO]]</f>
        <v>1350</v>
      </c>
      <c r="AB265" s="466">
        <v>1350</v>
      </c>
      <c r="AC265" s="497"/>
      <c r="AD265" s="498">
        <f>IF(Complete[[#This Row],[Procurement Project]]="","",SUM(Complete[[#This Row],[MOOE2]]+Complete[[#This Row],[CO3]]))</f>
        <v>1340</v>
      </c>
      <c r="AE265" s="501">
        <v>1340</v>
      </c>
      <c r="AF265" s="541"/>
      <c r="AG265" s="400"/>
      <c r="AH265" s="380" t="s">
        <v>1205</v>
      </c>
      <c r="AI265" s="576" t="str">
        <f>VLOOKUP(Complete[[#This Row],[Code
(PAP)]],[1]Sheet1!$A:$AO,35,FALSE)</f>
        <v>N/A</v>
      </c>
      <c r="AJ265" s="576" t="str">
        <f>VLOOKUP(Complete[[#This Row],[Code
(PAP)]],[1]Sheet1!$A:$AO,36,FALSE)</f>
        <v>N/A</v>
      </c>
      <c r="AK265" s="576" t="str">
        <f>VLOOKUP(Complete[[#This Row],[Code
(PAP)]],[1]Sheet1!$A:$AO,37,FALSE)</f>
        <v>N/A</v>
      </c>
      <c r="AL265" s="576" t="str">
        <f>VLOOKUP(Complete[[#This Row],[Code
(PAP)]],[1]Sheet1!$A:$AO,38,FALSE)</f>
        <v>N/A</v>
      </c>
      <c r="AM265" s="576" t="str">
        <f>VLOOKUP(Complete[[#This Row],[Code
(PAP)]],[1]Sheet1!$A:$AO,38,FALSE)</f>
        <v>N/A</v>
      </c>
      <c r="AN265" s="595" t="s">
        <v>713</v>
      </c>
      <c r="AO265" s="303" t="s">
        <v>139</v>
      </c>
      <c r="AP265" s="389"/>
      <c r="AQ265" s="389"/>
    </row>
    <row r="266" spans="1:43" s="224" customFormat="1" ht="75" customHeight="1" x14ac:dyDescent="0.25">
      <c r="A266" s="385" t="s">
        <v>444</v>
      </c>
      <c r="B266" s="406" t="str">
        <f>VLOOKUP(Complete[[#This Row],[Code
(PAP)]],[1]Sheet1!$A:$AO,2,FALSE)</f>
        <v>CONSTRUCTION SUPPLIES</v>
      </c>
      <c r="C266" s="408" t="str">
        <f>VLOOKUP(Complete[[#This Row],[Code
(PAP)]],[1]Sheet1!$A:$AO,3,FALSE)</f>
        <v>PAGRO</v>
      </c>
      <c r="D266" s="380" t="s">
        <v>712</v>
      </c>
      <c r="E266" s="409" t="str">
        <f>VLOOKUP(Complete[[#This Row],[Code
(PAP)]],[2]Sheet1!$A:$AO,5,FALSE)</f>
        <v>NP-53.9 - Small Value Procurement</v>
      </c>
      <c r="F266" s="393" t="str">
        <f>VLOOKUP(Complete[[#This Row],[Code
(PAP)]],[1]Sheet1!$A:$AO,6,FALSE)</f>
        <v>N/A</v>
      </c>
      <c r="G266" s="393">
        <f>VLOOKUP(Complete[[#This Row],[Code
(PAP)]],[1]Sheet1!$A:$AO,7,FALSE)</f>
        <v>45371</v>
      </c>
      <c r="H266" s="374"/>
      <c r="I266" s="394" t="str">
        <f>VLOOKUP(Complete[[#This Row],[Code
(PAP)]],[1]Sheet1!$A:$AO,9,FALSE)</f>
        <v>N/A</v>
      </c>
      <c r="J266" s="393">
        <f>VLOOKUP(Complete[[#This Row],[Code
(PAP)]],[1]Sheet1!$A:$AO,10,FALSE)</f>
        <v>45384</v>
      </c>
      <c r="K266" s="393">
        <f>VLOOKUP(Complete[[#This Row],[Code
(PAP)]],[1]Sheet1!$A:$AO,11,FALSE)</f>
        <v>45384</v>
      </c>
      <c r="L266" s="387"/>
      <c r="M266" s="393" t="str">
        <f>VLOOKUP(Complete[[#This Row],[Code
(PAP)]],[1]Sheet1!$A:$AO,13,FALSE)</f>
        <v>N/A</v>
      </c>
      <c r="N266" s="393" t="str">
        <f>VLOOKUP(Complete[[#This Row],[Code
(PAP)]],[1]Sheet1!$A:$AO,14,FALSE)</f>
        <v>N/A</v>
      </c>
      <c r="O266" s="393">
        <f>VLOOKUP(Complete[[#This Row],[Code
(PAP)]],[1]Sheet1!$A:$AO,15,FALSE)</f>
        <v>45386</v>
      </c>
      <c r="P266" s="387"/>
      <c r="Q266" s="387"/>
      <c r="R266" s="387"/>
      <c r="S266" s="576" t="str">
        <f>VLOOKUP(Complete[[#This Row],[Code
(PAP)]],[1]Sheet1!$A:$AO,19,FALSE)</f>
        <v>N/A</v>
      </c>
      <c r="T266" s="576">
        <f>VLOOKUP(Complete[[#This Row],[Code
(PAP)]],[1]Sheet1!$A:$AO,20,FALSE)</f>
        <v>45406</v>
      </c>
      <c r="U266" s="576">
        <f>VLOOKUP(Complete[[#This Row],[Code
(PAP)]],[1]Sheet1!$A:$AO,21,FALSE)</f>
        <v>45408</v>
      </c>
      <c r="V266" s="387"/>
      <c r="W266" s="387"/>
      <c r="X266" s="392">
        <f>VLOOKUP(Complete[[#This Row],[Code
(PAP)]],[1]Sheet1!$A:$AO,24,FALSE)</f>
        <v>45418</v>
      </c>
      <c r="Y266" s="392">
        <f>Complete[[#This Row],[Delivery/ Completion]]</f>
        <v>45418</v>
      </c>
      <c r="Z266" s="610" t="s">
        <v>1478</v>
      </c>
      <c r="AA266" s="462">
        <f>Complete[[#This Row],[MOOE]]+Complete[[#This Row],[CO]]</f>
        <v>5905</v>
      </c>
      <c r="AB266" s="466">
        <v>5905</v>
      </c>
      <c r="AC266" s="497"/>
      <c r="AD266" s="498">
        <f>IF(Complete[[#This Row],[Procurement Project]]="","",SUM(Complete[[#This Row],[MOOE2]]+Complete[[#This Row],[CO3]]))</f>
        <v>5773</v>
      </c>
      <c r="AE266" s="501">
        <v>5773</v>
      </c>
      <c r="AF266" s="541"/>
      <c r="AG266" s="400"/>
      <c r="AH266" s="380" t="s">
        <v>1205</v>
      </c>
      <c r="AI266" s="576" t="str">
        <f>VLOOKUP(Complete[[#This Row],[Code
(PAP)]],[1]Sheet1!$A:$AO,35,FALSE)</f>
        <v>N/A</v>
      </c>
      <c r="AJ266" s="576" t="str">
        <f>VLOOKUP(Complete[[#This Row],[Code
(PAP)]],[1]Sheet1!$A:$AO,36,FALSE)</f>
        <v>N/A</v>
      </c>
      <c r="AK266" s="576" t="str">
        <f>VLOOKUP(Complete[[#This Row],[Code
(PAP)]],[1]Sheet1!$A:$AO,37,FALSE)</f>
        <v>N/A</v>
      </c>
      <c r="AL266" s="576" t="str">
        <f>VLOOKUP(Complete[[#This Row],[Code
(PAP)]],[1]Sheet1!$A:$AO,38,FALSE)</f>
        <v>N/A</v>
      </c>
      <c r="AM266" s="576" t="str">
        <f>VLOOKUP(Complete[[#This Row],[Code
(PAP)]],[1]Sheet1!$A:$AO,38,FALSE)</f>
        <v>N/A</v>
      </c>
      <c r="AN266" s="595" t="s">
        <v>713</v>
      </c>
      <c r="AO266" s="303" t="s">
        <v>139</v>
      </c>
      <c r="AP266" s="389"/>
      <c r="AQ266" s="389"/>
    </row>
    <row r="267" spans="1:43" s="224" customFormat="1" ht="75" customHeight="1" x14ac:dyDescent="0.25">
      <c r="A267" s="385" t="s">
        <v>445</v>
      </c>
      <c r="B267" s="406" t="str">
        <f>VLOOKUP(Complete[[#This Row],[Code
(PAP)]],[1]Sheet1!$A:$AO,2,FALSE)</f>
        <v>FAUCET &amp; SILICONE GASKET</v>
      </c>
      <c r="C267" s="408" t="str">
        <f>VLOOKUP(Complete[[#This Row],[Code
(PAP)]],[1]Sheet1!$A:$AO,3,FALSE)</f>
        <v>PDRRMO</v>
      </c>
      <c r="D267" s="380" t="s">
        <v>712</v>
      </c>
      <c r="E267" s="409" t="str">
        <f>VLOOKUP(Complete[[#This Row],[Code
(PAP)]],[2]Sheet1!$A:$AO,5,FALSE)</f>
        <v>NP-53.9 - Small Value Procurement</v>
      </c>
      <c r="F267" s="393" t="str">
        <f>VLOOKUP(Complete[[#This Row],[Code
(PAP)]],[1]Sheet1!$A:$AO,6,FALSE)</f>
        <v>N/A</v>
      </c>
      <c r="G267" s="393">
        <f>VLOOKUP(Complete[[#This Row],[Code
(PAP)]],[1]Sheet1!$A:$AO,7,FALSE)</f>
        <v>45371</v>
      </c>
      <c r="H267" s="374"/>
      <c r="I267" s="394" t="str">
        <f>VLOOKUP(Complete[[#This Row],[Code
(PAP)]],[1]Sheet1!$A:$AO,9,FALSE)</f>
        <v>N/A</v>
      </c>
      <c r="J267" s="393">
        <f>VLOOKUP(Complete[[#This Row],[Code
(PAP)]],[1]Sheet1!$A:$AO,10,FALSE)</f>
        <v>45384</v>
      </c>
      <c r="K267" s="393">
        <f>VLOOKUP(Complete[[#This Row],[Code
(PAP)]],[1]Sheet1!$A:$AO,11,FALSE)</f>
        <v>45384</v>
      </c>
      <c r="L267" s="387"/>
      <c r="M267" s="393" t="str">
        <f>VLOOKUP(Complete[[#This Row],[Code
(PAP)]],[1]Sheet1!$A:$AO,13,FALSE)</f>
        <v>N/A</v>
      </c>
      <c r="N267" s="393" t="str">
        <f>VLOOKUP(Complete[[#This Row],[Code
(PAP)]],[1]Sheet1!$A:$AO,14,FALSE)</f>
        <v>N/A</v>
      </c>
      <c r="O267" s="393">
        <f>VLOOKUP(Complete[[#This Row],[Code
(PAP)]],[1]Sheet1!$A:$AO,15,FALSE)</f>
        <v>45386</v>
      </c>
      <c r="P267" s="387"/>
      <c r="Q267" s="387"/>
      <c r="R267" s="387"/>
      <c r="S267" s="576" t="str">
        <f>VLOOKUP(Complete[[#This Row],[Code
(PAP)]],[1]Sheet1!$A:$AO,19,FALSE)</f>
        <v>N/A</v>
      </c>
      <c r="T267" s="576">
        <f>VLOOKUP(Complete[[#This Row],[Code
(PAP)]],[1]Sheet1!$A:$AO,20,FALSE)</f>
        <v>45406</v>
      </c>
      <c r="U267" s="576">
        <f>VLOOKUP(Complete[[#This Row],[Code
(PAP)]],[1]Sheet1!$A:$AO,21,FALSE)</f>
        <v>45408</v>
      </c>
      <c r="V267" s="387"/>
      <c r="W267" s="387"/>
      <c r="X267" s="392">
        <f>VLOOKUP(Complete[[#This Row],[Code
(PAP)]],[1]Sheet1!$A:$AO,24,FALSE)</f>
        <v>45415</v>
      </c>
      <c r="Y267" s="392">
        <f>Complete[[#This Row],[Delivery/ Completion]]</f>
        <v>45415</v>
      </c>
      <c r="Z267" s="610" t="s">
        <v>1478</v>
      </c>
      <c r="AA267" s="462">
        <f>Complete[[#This Row],[MOOE]]+Complete[[#This Row],[CO]]</f>
        <v>3940</v>
      </c>
      <c r="AB267" s="466"/>
      <c r="AC267" s="497">
        <v>3940</v>
      </c>
      <c r="AD267" s="498">
        <f>IF(Complete[[#This Row],[Procurement Project]]="","",SUM(Complete[[#This Row],[MOOE2]]+Complete[[#This Row],[CO3]]))</f>
        <v>3905</v>
      </c>
      <c r="AE267" s="501"/>
      <c r="AF267" s="541">
        <v>3905</v>
      </c>
      <c r="AG267" s="400"/>
      <c r="AH267" s="380" t="s">
        <v>1205</v>
      </c>
      <c r="AI267" s="576" t="str">
        <f>VLOOKUP(Complete[[#This Row],[Code
(PAP)]],[1]Sheet1!$A:$AO,35,FALSE)</f>
        <v>N/A</v>
      </c>
      <c r="AJ267" s="576" t="str">
        <f>VLOOKUP(Complete[[#This Row],[Code
(PAP)]],[1]Sheet1!$A:$AO,36,FALSE)</f>
        <v>N/A</v>
      </c>
      <c r="AK267" s="576" t="str">
        <f>VLOOKUP(Complete[[#This Row],[Code
(PAP)]],[1]Sheet1!$A:$AO,37,FALSE)</f>
        <v>N/A</v>
      </c>
      <c r="AL267" s="576" t="str">
        <f>VLOOKUP(Complete[[#This Row],[Code
(PAP)]],[1]Sheet1!$A:$AO,38,FALSE)</f>
        <v>N/A</v>
      </c>
      <c r="AM267" s="576" t="str">
        <f>VLOOKUP(Complete[[#This Row],[Code
(PAP)]],[1]Sheet1!$A:$AO,38,FALSE)</f>
        <v>N/A</v>
      </c>
      <c r="AN267" s="595" t="s">
        <v>713</v>
      </c>
      <c r="AO267" s="303" t="s">
        <v>139</v>
      </c>
      <c r="AP267" s="389"/>
      <c r="AQ267" s="389"/>
    </row>
    <row r="268" spans="1:43" s="224" customFormat="1" ht="75" customHeight="1" x14ac:dyDescent="0.25">
      <c r="A268" s="385" t="s">
        <v>446</v>
      </c>
      <c r="B268" s="406" t="str">
        <f>VLOOKUP(Complete[[#This Row],[Code
(PAP)]],[1]Sheet1!$A:$AO,2,FALSE)</f>
        <v>KITCHENWARE &amp; UTENSILS</v>
      </c>
      <c r="C268" s="408" t="str">
        <f>VLOOKUP(Complete[[#This Row],[Code
(PAP)]],[1]Sheet1!$A:$AO,3,FALSE)</f>
        <v>PAO</v>
      </c>
      <c r="D268" s="380" t="s">
        <v>712</v>
      </c>
      <c r="E268" s="409" t="str">
        <f>VLOOKUP(Complete[[#This Row],[Code
(PAP)]],[2]Sheet1!$A:$AO,5,FALSE)</f>
        <v>NP-53.9 - Small Value Procurement</v>
      </c>
      <c r="F268" s="393" t="str">
        <f>VLOOKUP(Complete[[#This Row],[Code
(PAP)]],[1]Sheet1!$A:$AO,6,FALSE)</f>
        <v>N/A</v>
      </c>
      <c r="G268" s="393">
        <f>VLOOKUP(Complete[[#This Row],[Code
(PAP)]],[1]Sheet1!$A:$AO,7,FALSE)</f>
        <v>45371</v>
      </c>
      <c r="H268" s="374"/>
      <c r="I268" s="394" t="str">
        <f>VLOOKUP(Complete[[#This Row],[Code
(PAP)]],[1]Sheet1!$A:$AO,9,FALSE)</f>
        <v>N/A</v>
      </c>
      <c r="J268" s="393">
        <f>VLOOKUP(Complete[[#This Row],[Code
(PAP)]],[1]Sheet1!$A:$AO,10,FALSE)</f>
        <v>45384</v>
      </c>
      <c r="K268" s="393">
        <f>VLOOKUP(Complete[[#This Row],[Code
(PAP)]],[1]Sheet1!$A:$AO,11,FALSE)</f>
        <v>45384</v>
      </c>
      <c r="L268" s="387"/>
      <c r="M268" s="393" t="str">
        <f>VLOOKUP(Complete[[#This Row],[Code
(PAP)]],[1]Sheet1!$A:$AO,13,FALSE)</f>
        <v>N/A</v>
      </c>
      <c r="N268" s="393" t="str">
        <f>VLOOKUP(Complete[[#This Row],[Code
(PAP)]],[1]Sheet1!$A:$AO,14,FALSE)</f>
        <v>N/A</v>
      </c>
      <c r="O268" s="393">
        <f>VLOOKUP(Complete[[#This Row],[Code
(PAP)]],[1]Sheet1!$A:$AO,15,FALSE)</f>
        <v>45386</v>
      </c>
      <c r="P268" s="387"/>
      <c r="Q268" s="387"/>
      <c r="R268" s="387"/>
      <c r="S268" s="576" t="str">
        <f>VLOOKUP(Complete[[#This Row],[Code
(PAP)]],[1]Sheet1!$A:$AO,19,FALSE)</f>
        <v>N/A</v>
      </c>
      <c r="T268" s="576">
        <f>VLOOKUP(Complete[[#This Row],[Code
(PAP)]],[1]Sheet1!$A:$AO,20,FALSE)</f>
        <v>45406</v>
      </c>
      <c r="U268" s="576">
        <f>VLOOKUP(Complete[[#This Row],[Code
(PAP)]],[1]Sheet1!$A:$AO,21,FALSE)</f>
        <v>45408</v>
      </c>
      <c r="V268" s="387"/>
      <c r="W268" s="387"/>
      <c r="X268" s="392">
        <f>VLOOKUP(Complete[[#This Row],[Code
(PAP)]],[1]Sheet1!$A:$AO,24,FALSE)</f>
        <v>45415</v>
      </c>
      <c r="Y268" s="392">
        <f>Complete[[#This Row],[Delivery/ Completion]]</f>
        <v>45415</v>
      </c>
      <c r="Z268" s="610" t="s">
        <v>1478</v>
      </c>
      <c r="AA268" s="462">
        <f>Complete[[#This Row],[MOOE]]+Complete[[#This Row],[CO]]</f>
        <v>4675</v>
      </c>
      <c r="AB268" s="466">
        <v>4675</v>
      </c>
      <c r="AC268" s="497"/>
      <c r="AD268" s="498">
        <f>IF(Complete[[#This Row],[Procurement Project]]="","",SUM(Complete[[#This Row],[MOOE2]]+Complete[[#This Row],[CO3]]))</f>
        <v>4665</v>
      </c>
      <c r="AE268" s="501">
        <v>4665</v>
      </c>
      <c r="AF268" s="541"/>
      <c r="AG268" s="400"/>
      <c r="AH268" s="380" t="s">
        <v>1205</v>
      </c>
      <c r="AI268" s="576" t="str">
        <f>VLOOKUP(Complete[[#This Row],[Code
(PAP)]],[1]Sheet1!$A:$AO,35,FALSE)</f>
        <v>N/A</v>
      </c>
      <c r="AJ268" s="576" t="str">
        <f>VLOOKUP(Complete[[#This Row],[Code
(PAP)]],[1]Sheet1!$A:$AO,36,FALSE)</f>
        <v>N/A</v>
      </c>
      <c r="AK268" s="576" t="str">
        <f>VLOOKUP(Complete[[#This Row],[Code
(PAP)]],[1]Sheet1!$A:$AO,37,FALSE)</f>
        <v>N/A</v>
      </c>
      <c r="AL268" s="576" t="str">
        <f>VLOOKUP(Complete[[#This Row],[Code
(PAP)]],[1]Sheet1!$A:$AO,38,FALSE)</f>
        <v>N/A</v>
      </c>
      <c r="AM268" s="576" t="str">
        <f>VLOOKUP(Complete[[#This Row],[Code
(PAP)]],[1]Sheet1!$A:$AO,38,FALSE)</f>
        <v>N/A</v>
      </c>
      <c r="AN268" s="595" t="s">
        <v>713</v>
      </c>
      <c r="AO268" s="303" t="s">
        <v>139</v>
      </c>
      <c r="AP268" s="389"/>
      <c r="AQ268" s="389"/>
    </row>
    <row r="269" spans="1:43" s="224" customFormat="1" ht="75" customHeight="1" x14ac:dyDescent="0.25">
      <c r="A269" s="385" t="s">
        <v>447</v>
      </c>
      <c r="B269" s="406" t="str">
        <f>VLOOKUP(Complete[[#This Row],[Code
(PAP)]],[1]Sheet1!$A:$AO,2,FALSE)</f>
        <v>PADLOCK (BIG) HEAVY DUTY</v>
      </c>
      <c r="C269" s="408" t="str">
        <f>VLOOKUP(Complete[[#This Row],[Code
(PAP)]],[1]Sheet1!$A:$AO,3,FALSE)</f>
        <v>PTO</v>
      </c>
      <c r="D269" s="380" t="s">
        <v>712</v>
      </c>
      <c r="E269" s="409" t="str">
        <f>VLOOKUP(Complete[[#This Row],[Code
(PAP)]],[2]Sheet1!$A:$AO,5,FALSE)</f>
        <v>NP-53.9 - Small Value Procurement</v>
      </c>
      <c r="F269" s="393" t="str">
        <f>VLOOKUP(Complete[[#This Row],[Code
(PAP)]],[1]Sheet1!$A:$AO,6,FALSE)</f>
        <v>N/A</v>
      </c>
      <c r="G269" s="393">
        <f>VLOOKUP(Complete[[#This Row],[Code
(PAP)]],[1]Sheet1!$A:$AO,7,FALSE)</f>
        <v>45371</v>
      </c>
      <c r="H269" s="374"/>
      <c r="I269" s="394" t="str">
        <f>VLOOKUP(Complete[[#This Row],[Code
(PAP)]],[1]Sheet1!$A:$AO,9,FALSE)</f>
        <v>N/A</v>
      </c>
      <c r="J269" s="393">
        <f>VLOOKUP(Complete[[#This Row],[Code
(PAP)]],[1]Sheet1!$A:$AO,10,FALSE)</f>
        <v>45384</v>
      </c>
      <c r="K269" s="393">
        <f>VLOOKUP(Complete[[#This Row],[Code
(PAP)]],[1]Sheet1!$A:$AO,11,FALSE)</f>
        <v>45384</v>
      </c>
      <c r="L269" s="387"/>
      <c r="M269" s="393" t="str">
        <f>VLOOKUP(Complete[[#This Row],[Code
(PAP)]],[1]Sheet1!$A:$AO,13,FALSE)</f>
        <v>N/A</v>
      </c>
      <c r="N269" s="393" t="str">
        <f>VLOOKUP(Complete[[#This Row],[Code
(PAP)]],[1]Sheet1!$A:$AO,14,FALSE)</f>
        <v>N/A</v>
      </c>
      <c r="O269" s="393">
        <f>VLOOKUP(Complete[[#This Row],[Code
(PAP)]],[1]Sheet1!$A:$AO,15,FALSE)</f>
        <v>45386</v>
      </c>
      <c r="P269" s="387"/>
      <c r="Q269" s="387"/>
      <c r="R269" s="387"/>
      <c r="S269" s="576" t="str">
        <f>VLOOKUP(Complete[[#This Row],[Code
(PAP)]],[1]Sheet1!$A:$AO,19,FALSE)</f>
        <v>N/A</v>
      </c>
      <c r="T269" s="576">
        <f>VLOOKUP(Complete[[#This Row],[Code
(PAP)]],[1]Sheet1!$A:$AO,20,FALSE)</f>
        <v>45399</v>
      </c>
      <c r="U269" s="576">
        <f>VLOOKUP(Complete[[#This Row],[Code
(PAP)]],[1]Sheet1!$A:$AO,21,FALSE)</f>
        <v>45408</v>
      </c>
      <c r="V269" s="387"/>
      <c r="W269" s="387"/>
      <c r="X269" s="392">
        <f>VLOOKUP(Complete[[#This Row],[Code
(PAP)]],[1]Sheet1!$A:$AO,24,FALSE)</f>
        <v>45415</v>
      </c>
      <c r="Y269" s="392">
        <f>Complete[[#This Row],[Delivery/ Completion]]</f>
        <v>45415</v>
      </c>
      <c r="Z269" s="610" t="s">
        <v>1478</v>
      </c>
      <c r="AA269" s="462">
        <f>Complete[[#This Row],[MOOE]]+Complete[[#This Row],[CO]]</f>
        <v>84431</v>
      </c>
      <c r="AB269" s="466">
        <v>4400</v>
      </c>
      <c r="AC269" s="497">
        <f>VLOOKUP(Complete[[#This Row],[Code
(PAP)]],[1]Sheet1!$A:$AO,29,FALSE)</f>
        <v>80031</v>
      </c>
      <c r="AD269" s="498">
        <f>IF(Complete[[#This Row],[Procurement Project]]="","",SUM(Complete[[#This Row],[MOOE2]]+Complete[[#This Row],[CO3]]))</f>
        <v>4360</v>
      </c>
      <c r="AE269" s="501">
        <v>4360</v>
      </c>
      <c r="AF269" s="541"/>
      <c r="AG269" s="400"/>
      <c r="AH269" s="380" t="s">
        <v>1205</v>
      </c>
      <c r="AI269" s="576" t="str">
        <f>VLOOKUP(Complete[[#This Row],[Code
(PAP)]],[1]Sheet1!$A:$AO,35,FALSE)</f>
        <v>N/A</v>
      </c>
      <c r="AJ269" s="576" t="str">
        <f>VLOOKUP(Complete[[#This Row],[Code
(PAP)]],[1]Sheet1!$A:$AO,36,FALSE)</f>
        <v>N/A</v>
      </c>
      <c r="AK269" s="576" t="str">
        <f>VLOOKUP(Complete[[#This Row],[Code
(PAP)]],[1]Sheet1!$A:$AO,37,FALSE)</f>
        <v>N/A</v>
      </c>
      <c r="AL269" s="576" t="str">
        <f>VLOOKUP(Complete[[#This Row],[Code
(PAP)]],[1]Sheet1!$A:$AO,38,FALSE)</f>
        <v>N/A</v>
      </c>
      <c r="AM269" s="576" t="str">
        <f>VLOOKUP(Complete[[#This Row],[Code
(PAP)]],[1]Sheet1!$A:$AO,38,FALSE)</f>
        <v>N/A</v>
      </c>
      <c r="AN269" s="595" t="s">
        <v>713</v>
      </c>
      <c r="AO269" s="303" t="s">
        <v>139</v>
      </c>
      <c r="AP269" s="389"/>
      <c r="AQ269" s="389"/>
    </row>
    <row r="270" spans="1:43" s="224" customFormat="1" ht="75" customHeight="1" x14ac:dyDescent="0.25">
      <c r="A270" s="385" t="s">
        <v>448</v>
      </c>
      <c r="B270" s="406" t="str">
        <f>VLOOKUP(Complete[[#This Row],[Code
(PAP)]],[1]Sheet1!$A:$AO,2,FALSE)</f>
        <v>FOOD SUPPLIES</v>
      </c>
      <c r="C270" s="408" t="str">
        <f>VLOOKUP(Complete[[#This Row],[Code
(PAP)]],[1]Sheet1!$A:$AO,3,FALSE)</f>
        <v>PDRRMO</v>
      </c>
      <c r="D270" s="380" t="s">
        <v>712</v>
      </c>
      <c r="E270" s="409" t="str">
        <f>VLOOKUP(Complete[[#This Row],[Code
(PAP)]],[2]Sheet1!$A:$AO,5,FALSE)</f>
        <v>NP-53.2 Emergency Cases</v>
      </c>
      <c r="F270" s="393" t="str">
        <f>VLOOKUP(Complete[[#This Row],[Code
(PAP)]],[1]Sheet1!$A:$AO,6,FALSE)</f>
        <v>N/A</v>
      </c>
      <c r="G270" s="393">
        <f>VLOOKUP(Complete[[#This Row],[Code
(PAP)]],[1]Sheet1!$A:$AO,7,FALSE)</f>
        <v>45356</v>
      </c>
      <c r="H270" s="374"/>
      <c r="I270" s="394" t="str">
        <f>VLOOKUP(Complete[[#This Row],[Code
(PAP)]],[1]Sheet1!$A:$AO,9,FALSE)</f>
        <v>N/A</v>
      </c>
      <c r="J270" s="393">
        <f>VLOOKUP(Complete[[#This Row],[Code
(PAP)]],[1]Sheet1!$A:$AO,10,FALSE)</f>
        <v>45356</v>
      </c>
      <c r="K270" s="393">
        <f>VLOOKUP(Complete[[#This Row],[Code
(PAP)]],[1]Sheet1!$A:$AO,11,FALSE)</f>
        <v>45356</v>
      </c>
      <c r="L270" s="387"/>
      <c r="M270" s="393" t="str">
        <f>VLOOKUP(Complete[[#This Row],[Code
(PAP)]],[1]Sheet1!$A:$AO,13,FALSE)</f>
        <v>N/A</v>
      </c>
      <c r="N270" s="393" t="str">
        <f>VLOOKUP(Complete[[#This Row],[Code
(PAP)]],[1]Sheet1!$A:$AO,14,FALSE)</f>
        <v>N/A</v>
      </c>
      <c r="O270" s="393">
        <f>VLOOKUP(Complete[[#This Row],[Code
(PAP)]],[1]Sheet1!$A:$AO,15,FALSE)</f>
        <v>45357</v>
      </c>
      <c r="P270" s="387"/>
      <c r="Q270" s="387"/>
      <c r="R270" s="387"/>
      <c r="S270" s="576">
        <f>VLOOKUP(Complete[[#This Row],[Code
(PAP)]],[1]Sheet1!$A:$AO,19,FALSE)</f>
        <v>45358</v>
      </c>
      <c r="T270" s="576">
        <f>VLOOKUP(Complete[[#This Row],[Code
(PAP)]],[1]Sheet1!$A:$AO,20,FALSE)</f>
        <v>45358</v>
      </c>
      <c r="U270" s="576">
        <f>VLOOKUP(Complete[[#This Row],[Code
(PAP)]],[1]Sheet1!$A:$AO,21,FALSE)</f>
        <v>45361</v>
      </c>
      <c r="V270" s="387"/>
      <c r="W270" s="387"/>
      <c r="X270" s="392">
        <f>VLOOKUP(Complete[[#This Row],[Code
(PAP)]],[1]Sheet1!$A:$AO,24,FALSE)</f>
        <v>45361</v>
      </c>
      <c r="Y270" s="392">
        <f>Complete[[#This Row],[Delivery/ Completion]]</f>
        <v>45361</v>
      </c>
      <c r="Z270" s="610" t="s">
        <v>1478</v>
      </c>
      <c r="AA270" s="462">
        <f>Complete[[#This Row],[MOOE]]+Complete[[#This Row],[CO]]</f>
        <v>3104168</v>
      </c>
      <c r="AB270" s="466"/>
      <c r="AC270" s="497">
        <v>3104168</v>
      </c>
      <c r="AD270" s="498">
        <f>IF(Complete[[#This Row],[Procurement Project]]="","",SUM(Complete[[#This Row],[MOOE2]]+Complete[[#This Row],[CO3]]))</f>
        <v>3076724</v>
      </c>
      <c r="AE270" s="501"/>
      <c r="AF270" s="541">
        <v>3076724</v>
      </c>
      <c r="AG270" s="400"/>
      <c r="AH270" s="380" t="s">
        <v>1205</v>
      </c>
      <c r="AI270" s="576" t="str">
        <f>VLOOKUP(Complete[[#This Row],[Code
(PAP)]],[1]Sheet1!$A:$AO,35,FALSE)</f>
        <v>N/A</v>
      </c>
      <c r="AJ270" s="576" t="str">
        <f>VLOOKUP(Complete[[#This Row],[Code
(PAP)]],[1]Sheet1!$A:$AO,36,FALSE)</f>
        <v>N/A</v>
      </c>
      <c r="AK270" s="576" t="str">
        <f>VLOOKUP(Complete[[#This Row],[Code
(PAP)]],[1]Sheet1!$A:$AO,37,FALSE)</f>
        <v>N/A</v>
      </c>
      <c r="AL270" s="576" t="str">
        <f>VLOOKUP(Complete[[#This Row],[Code
(PAP)]],[1]Sheet1!$A:$AO,38,FALSE)</f>
        <v>N/A</v>
      </c>
      <c r="AM270" s="576" t="str">
        <f>VLOOKUP(Complete[[#This Row],[Code
(PAP)]],[1]Sheet1!$A:$AO,38,FALSE)</f>
        <v>N/A</v>
      </c>
      <c r="AN270" s="595" t="s">
        <v>713</v>
      </c>
      <c r="AO270" s="303" t="s">
        <v>139</v>
      </c>
      <c r="AP270" s="389"/>
      <c r="AQ270" s="389"/>
    </row>
    <row r="271" spans="1:43" s="224" customFormat="1" ht="75" customHeight="1" x14ac:dyDescent="0.25">
      <c r="A271" s="385" t="s">
        <v>449</v>
      </c>
      <c r="B271" s="406" t="str">
        <f>VLOOKUP(Complete[[#This Row],[Code
(PAP)]],[1]Sheet1!$A:$AO,2,FALSE)</f>
        <v>OFFICE SUPPLIES</v>
      </c>
      <c r="C271" s="408" t="str">
        <f>VLOOKUP(Complete[[#This Row],[Code
(PAP)]],[1]Sheet1!$A:$AO,3,FALSE)</f>
        <v>PAGRO</v>
      </c>
      <c r="D271" s="380" t="s">
        <v>712</v>
      </c>
      <c r="E271" s="409" t="str">
        <f>VLOOKUP(Complete[[#This Row],[Code
(PAP)]],[2]Sheet1!$A:$AO,5,FALSE)</f>
        <v>Shopping 52.1(b) - Regular Office Supplies and Equipment no available in PS</v>
      </c>
      <c r="F271" s="393" t="str">
        <f>VLOOKUP(Complete[[#This Row],[Code
(PAP)]],[1]Sheet1!$A:$AO,6,FALSE)</f>
        <v>N/A</v>
      </c>
      <c r="G271" s="393">
        <f>VLOOKUP(Complete[[#This Row],[Code
(PAP)]],[1]Sheet1!$A:$AO,7,FALSE)</f>
        <v>45371</v>
      </c>
      <c r="H271" s="374"/>
      <c r="I271" s="394" t="str">
        <f>VLOOKUP(Complete[[#This Row],[Code
(PAP)]],[1]Sheet1!$A:$AO,9,FALSE)</f>
        <v>N/A</v>
      </c>
      <c r="J271" s="393">
        <f>VLOOKUP(Complete[[#This Row],[Code
(PAP)]],[1]Sheet1!$A:$AO,10,FALSE)</f>
        <v>45384</v>
      </c>
      <c r="K271" s="393">
        <f>VLOOKUP(Complete[[#This Row],[Code
(PAP)]],[1]Sheet1!$A:$AO,11,FALSE)</f>
        <v>45384</v>
      </c>
      <c r="L271" s="387"/>
      <c r="M271" s="393" t="str">
        <f>VLOOKUP(Complete[[#This Row],[Code
(PAP)]],[1]Sheet1!$A:$AO,13,FALSE)</f>
        <v>N/A</v>
      </c>
      <c r="N271" s="393" t="str">
        <f>VLOOKUP(Complete[[#This Row],[Code
(PAP)]],[1]Sheet1!$A:$AO,14,FALSE)</f>
        <v>N/A</v>
      </c>
      <c r="O271" s="393">
        <f>VLOOKUP(Complete[[#This Row],[Code
(PAP)]],[1]Sheet1!$A:$AO,15,FALSE)</f>
        <v>45386</v>
      </c>
      <c r="P271" s="387"/>
      <c r="Q271" s="387"/>
      <c r="R271" s="387"/>
      <c r="S271" s="576">
        <f>VLOOKUP(Complete[[#This Row],[Code
(PAP)]],[1]Sheet1!$A:$AO,19,FALSE)</f>
        <v>45387</v>
      </c>
      <c r="T271" s="576">
        <f>VLOOKUP(Complete[[#This Row],[Code
(PAP)]],[1]Sheet1!$A:$AO,20,FALSE)</f>
        <v>45406</v>
      </c>
      <c r="U271" s="576">
        <f>VLOOKUP(Complete[[#This Row],[Code
(PAP)]],[1]Sheet1!$A:$AO,21,FALSE)</f>
        <v>45408</v>
      </c>
      <c r="V271" s="387"/>
      <c r="W271" s="387"/>
      <c r="X271" s="392">
        <f>VLOOKUP(Complete[[#This Row],[Code
(PAP)]],[1]Sheet1!$A:$AO,24,FALSE)</f>
        <v>45426</v>
      </c>
      <c r="Y271" s="392">
        <f>Complete[[#This Row],[Delivery/ Completion]]</f>
        <v>45426</v>
      </c>
      <c r="Z271" s="610" t="s">
        <v>1478</v>
      </c>
      <c r="AA271" s="462">
        <f>Complete[[#This Row],[MOOE]]+Complete[[#This Row],[CO]]</f>
        <v>80031</v>
      </c>
      <c r="AB271" s="466"/>
      <c r="AC271" s="497">
        <v>80031</v>
      </c>
      <c r="AD271" s="498">
        <f>IF(Complete[[#This Row],[Procurement Project]]="","",SUM(Complete[[#This Row],[MOOE2]]+Complete[[#This Row],[CO3]]))</f>
        <v>78316</v>
      </c>
      <c r="AE271" s="501"/>
      <c r="AF271" s="541">
        <v>78316</v>
      </c>
      <c r="AG271" s="400"/>
      <c r="AH271" s="380" t="s">
        <v>1205</v>
      </c>
      <c r="AI271" s="576" t="str">
        <f>VLOOKUP(Complete[[#This Row],[Code
(PAP)]],[1]Sheet1!$A:$AO,35,FALSE)</f>
        <v>N/A</v>
      </c>
      <c r="AJ271" s="576" t="str">
        <f>VLOOKUP(Complete[[#This Row],[Code
(PAP)]],[1]Sheet1!$A:$AO,36,FALSE)</f>
        <v>N/A</v>
      </c>
      <c r="AK271" s="576" t="str">
        <f>VLOOKUP(Complete[[#This Row],[Code
(PAP)]],[1]Sheet1!$A:$AO,37,FALSE)</f>
        <v>N/A</v>
      </c>
      <c r="AL271" s="576" t="str">
        <f>VLOOKUP(Complete[[#This Row],[Code
(PAP)]],[1]Sheet1!$A:$AO,38,FALSE)</f>
        <v>N/A</v>
      </c>
      <c r="AM271" s="576" t="str">
        <f>VLOOKUP(Complete[[#This Row],[Code
(PAP)]],[1]Sheet1!$A:$AO,38,FALSE)</f>
        <v>N/A</v>
      </c>
      <c r="AN271" s="595" t="s">
        <v>713</v>
      </c>
      <c r="AO271" s="303" t="s">
        <v>139</v>
      </c>
      <c r="AP271" s="389"/>
      <c r="AQ271" s="389"/>
    </row>
    <row r="272" spans="1:43" s="224" customFormat="1" ht="75" customHeight="1" x14ac:dyDescent="0.25">
      <c r="A272" s="385" t="s">
        <v>450</v>
      </c>
      <c r="B272" s="406" t="str">
        <f>VLOOKUP(Complete[[#This Row],[Code
(PAP)]],[1]Sheet1!$A:$AO,2,FALSE)</f>
        <v>HEMOGLOBIN A1C</v>
      </c>
      <c r="C272" s="408" t="str">
        <f>VLOOKUP(Complete[[#This Row],[Code
(PAP)]],[1]Sheet1!$A:$AO,3,FALSE)</f>
        <v>PEEMO</v>
      </c>
      <c r="D272" s="380" t="s">
        <v>712</v>
      </c>
      <c r="E272" s="409" t="str">
        <f>VLOOKUP(Complete[[#This Row],[Code
(PAP)]],[2]Sheet1!$A:$AO,5,FALSE)</f>
        <v>Direct Contracting</v>
      </c>
      <c r="F272" s="393" t="str">
        <f>VLOOKUP(Complete[[#This Row],[Code
(PAP)]],[1]Sheet1!$A:$AO,6,FALSE)</f>
        <v>N/A</v>
      </c>
      <c r="G272" s="393">
        <f>VLOOKUP(Complete[[#This Row],[Code
(PAP)]],[1]Sheet1!$A:$AO,7,FALSE)</f>
        <v>45371</v>
      </c>
      <c r="H272" s="374"/>
      <c r="I272" s="394" t="str">
        <f>VLOOKUP(Complete[[#This Row],[Code
(PAP)]],[1]Sheet1!$A:$AO,9,FALSE)</f>
        <v>N/A</v>
      </c>
      <c r="J272" s="393">
        <f>VLOOKUP(Complete[[#This Row],[Code
(PAP)]],[1]Sheet1!$A:$AO,10,FALSE)</f>
        <v>45384</v>
      </c>
      <c r="K272" s="393">
        <f>VLOOKUP(Complete[[#This Row],[Code
(PAP)]],[1]Sheet1!$A:$AO,11,FALSE)</f>
        <v>45384</v>
      </c>
      <c r="L272" s="387"/>
      <c r="M272" s="393" t="str">
        <f>VLOOKUP(Complete[[#This Row],[Code
(PAP)]],[1]Sheet1!$A:$AO,13,FALSE)</f>
        <v>N/A</v>
      </c>
      <c r="N272" s="393" t="str">
        <f>VLOOKUP(Complete[[#This Row],[Code
(PAP)]],[1]Sheet1!$A:$AO,14,FALSE)</f>
        <v>N/A</v>
      </c>
      <c r="O272" s="393">
        <f>VLOOKUP(Complete[[#This Row],[Code
(PAP)]],[1]Sheet1!$A:$AO,15,FALSE)</f>
        <v>45386</v>
      </c>
      <c r="P272" s="387"/>
      <c r="Q272" s="387"/>
      <c r="R272" s="387"/>
      <c r="S272" s="576" t="str">
        <f>VLOOKUP(Complete[[#This Row],[Code
(PAP)]],[1]Sheet1!$A:$AO,19,FALSE)</f>
        <v>N/A</v>
      </c>
      <c r="T272" s="576">
        <f>VLOOKUP(Complete[[#This Row],[Code
(PAP)]],[1]Sheet1!$A:$AO,20,FALSE)</f>
        <v>45411</v>
      </c>
      <c r="U272" s="576">
        <f>VLOOKUP(Complete[[#This Row],[Code
(PAP)]],[1]Sheet1!$A:$AO,21,FALSE)</f>
        <v>45436</v>
      </c>
      <c r="V272" s="387"/>
      <c r="W272" s="387"/>
      <c r="X272" s="392">
        <f>VLOOKUP(Complete[[#This Row],[Code
(PAP)]],[1]Sheet1!$A:$AO,24,FALSE)</f>
        <v>45450</v>
      </c>
      <c r="Y272" s="392">
        <f>Complete[[#This Row],[Delivery/ Completion]]</f>
        <v>45450</v>
      </c>
      <c r="Z272" s="610" t="s">
        <v>1478</v>
      </c>
      <c r="AA272" s="462">
        <f>Complete[[#This Row],[MOOE]]+Complete[[#This Row],[CO]]</f>
        <v>38340</v>
      </c>
      <c r="AB272" s="466">
        <v>38340</v>
      </c>
      <c r="AC272" s="497"/>
      <c r="AD272" s="498">
        <f>IF(Complete[[#This Row],[Procurement Project]]="","",SUM(Complete[[#This Row],[MOOE2]]+Complete[[#This Row],[CO3]]))</f>
        <v>38340</v>
      </c>
      <c r="AE272" s="501">
        <v>38340</v>
      </c>
      <c r="AF272" s="541"/>
      <c r="AG272" s="400"/>
      <c r="AH272" s="380" t="s">
        <v>1205</v>
      </c>
      <c r="AI272" s="576" t="str">
        <f>VLOOKUP(Complete[[#This Row],[Code
(PAP)]],[1]Sheet1!$A:$AO,35,FALSE)</f>
        <v>N/A</v>
      </c>
      <c r="AJ272" s="576" t="str">
        <f>VLOOKUP(Complete[[#This Row],[Code
(PAP)]],[1]Sheet1!$A:$AO,36,FALSE)</f>
        <v>N/A</v>
      </c>
      <c r="AK272" s="576" t="str">
        <f>VLOOKUP(Complete[[#This Row],[Code
(PAP)]],[1]Sheet1!$A:$AO,37,FALSE)</f>
        <v>N/A</v>
      </c>
      <c r="AL272" s="576" t="str">
        <f>VLOOKUP(Complete[[#This Row],[Code
(PAP)]],[1]Sheet1!$A:$AO,38,FALSE)</f>
        <v>N/A</v>
      </c>
      <c r="AM272" s="576" t="str">
        <f>VLOOKUP(Complete[[#This Row],[Code
(PAP)]],[1]Sheet1!$A:$AO,38,FALSE)</f>
        <v>N/A</v>
      </c>
      <c r="AN272" s="595" t="s">
        <v>713</v>
      </c>
      <c r="AO272" s="303" t="s">
        <v>139</v>
      </c>
      <c r="AP272" s="389"/>
      <c r="AQ272" s="389"/>
    </row>
    <row r="273" spans="1:43" s="224" customFormat="1" ht="75" customHeight="1" x14ac:dyDescent="0.25">
      <c r="A273" s="385" t="s">
        <v>451</v>
      </c>
      <c r="B273" s="406" t="str">
        <f>VLOOKUP(Complete[[#This Row],[Code
(PAP)]],[1]Sheet1!$A:$AO,2,FALSE)</f>
        <v>SUPPLY AND DELIVERY OF JANITORIAL SUPPLIES</v>
      </c>
      <c r="C273" s="408" t="str">
        <f>VLOOKUP(Complete[[#This Row],[Code
(PAP)]],[1]Sheet1!$A:$AO,3,FALSE)</f>
        <v>PEEMO</v>
      </c>
      <c r="D273" s="380" t="s">
        <v>712</v>
      </c>
      <c r="E273" s="409" t="str">
        <f>VLOOKUP(Complete[[#This Row],[Code
(PAP)]],[2]Sheet1!$A:$AO,5,FALSE)</f>
        <v>Competitive Bidding</v>
      </c>
      <c r="F273" s="393">
        <f>VLOOKUP(Complete[[#This Row],[Code
(PAP)]],[1]Sheet1!$A:$AO,6,FALSE)</f>
        <v>45342</v>
      </c>
      <c r="G273" s="393">
        <f>VLOOKUP(Complete[[#This Row],[Code
(PAP)]],[1]Sheet1!$A:$AO,7,FALSE)</f>
        <v>45348</v>
      </c>
      <c r="H273" s="374"/>
      <c r="I273" s="394">
        <f>VLOOKUP(Complete[[#This Row],[Code
(PAP)]],[1]Sheet1!$A:$AO,9,FALSE)</f>
        <v>45356</v>
      </c>
      <c r="J273" s="393">
        <f>VLOOKUP(Complete[[#This Row],[Code
(PAP)]],[1]Sheet1!$A:$AO,10,FALSE)</f>
        <v>45370</v>
      </c>
      <c r="K273" s="393">
        <f>VLOOKUP(Complete[[#This Row],[Code
(PAP)]],[1]Sheet1!$A:$AO,11,FALSE)</f>
        <v>45370</v>
      </c>
      <c r="L273" s="387"/>
      <c r="M273" s="393">
        <f>VLOOKUP(Complete[[#This Row],[Code
(PAP)]],[1]Sheet1!$A:$AO,13,FALSE)</f>
        <v>45370</v>
      </c>
      <c r="N273" s="393">
        <f>VLOOKUP(Complete[[#This Row],[Code
(PAP)]],[1]Sheet1!$A:$AO,14,FALSE)</f>
        <v>45383</v>
      </c>
      <c r="O273" s="393">
        <f>VLOOKUP(Complete[[#This Row],[Code
(PAP)]],[1]Sheet1!$A:$AO,15,FALSE)</f>
        <v>45386</v>
      </c>
      <c r="P273" s="387"/>
      <c r="Q273" s="387"/>
      <c r="R273" s="387"/>
      <c r="S273" s="576">
        <f>VLOOKUP(Complete[[#This Row],[Code
(PAP)]],[1]Sheet1!$A:$AO,19,FALSE)</f>
        <v>45397</v>
      </c>
      <c r="T273" s="576">
        <f>VLOOKUP(Complete[[#This Row],[Code
(PAP)]],[1]Sheet1!$A:$AO,20,FALSE)</f>
        <v>45412</v>
      </c>
      <c r="U273" s="576">
        <f>VLOOKUP(Complete[[#This Row],[Code
(PAP)]],[1]Sheet1!$A:$AO,21,FALSE)</f>
        <v>45414</v>
      </c>
      <c r="V273" s="387"/>
      <c r="W273" s="387"/>
      <c r="X273" s="392">
        <f>VLOOKUP(Complete[[#This Row],[Code
(PAP)]],[1]Sheet1!$A:$AO,24,FALSE)</f>
        <v>45422</v>
      </c>
      <c r="Y273" s="392">
        <f>Complete[[#This Row],[Delivery/ Completion]]</f>
        <v>45422</v>
      </c>
      <c r="Z273" s="610" t="s">
        <v>1478</v>
      </c>
      <c r="AA273" s="462">
        <f>Complete[[#This Row],[MOOE]]+Complete[[#This Row],[CO]]</f>
        <v>1105816</v>
      </c>
      <c r="AB273" s="466">
        <v>1105816</v>
      </c>
      <c r="AC273" s="497"/>
      <c r="AD273" s="498">
        <f>IF(Complete[[#This Row],[Procurement Project]]="","",SUM(Complete[[#This Row],[MOOE2]]+Complete[[#This Row],[CO3]]))</f>
        <v>1010945</v>
      </c>
      <c r="AE273" s="501">
        <v>1010945</v>
      </c>
      <c r="AF273" s="541"/>
      <c r="AG273" s="400"/>
      <c r="AH273" s="380" t="s">
        <v>1205</v>
      </c>
      <c r="AI273" s="576">
        <f>VLOOKUP(Complete[[#This Row],[Code
(PAP)]],[1]Sheet1!$A:$AO,35,FALSE)</f>
        <v>45352</v>
      </c>
      <c r="AJ273" s="576">
        <f>VLOOKUP(Complete[[#This Row],[Code
(PAP)]],[1]Sheet1!$A:$AO,36,FALSE)</f>
        <v>45366</v>
      </c>
      <c r="AK273" s="576">
        <f>VLOOKUP(Complete[[#This Row],[Code
(PAP)]],[1]Sheet1!$A:$AO,37,FALSE)</f>
        <v>45366</v>
      </c>
      <c r="AL273" s="576">
        <f>VLOOKUP(Complete[[#This Row],[Code
(PAP)]],[1]Sheet1!$A:$AO,38,FALSE)</f>
        <v>45366</v>
      </c>
      <c r="AM273" s="576">
        <f>VLOOKUP(Complete[[#This Row],[Code
(PAP)]],[1]Sheet1!$A:$AO,38,FALSE)</f>
        <v>45366</v>
      </c>
      <c r="AN273" s="595" t="s">
        <v>713</v>
      </c>
      <c r="AO273" s="303" t="s">
        <v>139</v>
      </c>
      <c r="AP273" s="389"/>
      <c r="AQ273" s="389"/>
    </row>
    <row r="274" spans="1:43" s="224" customFormat="1" ht="75" customHeight="1" x14ac:dyDescent="0.25">
      <c r="A274" s="385" t="s">
        <v>452</v>
      </c>
      <c r="B274" s="406" t="str">
        <f>VLOOKUP(Complete[[#This Row],[Code
(PAP)]],[1]Sheet1!$A:$AO,2,FALSE)</f>
        <v>SUPPLY AND DELIVERY OF RICE (WELL-MILLED) 50KG/SACK</v>
      </c>
      <c r="C274" s="408" t="str">
        <f>VLOOKUP(Complete[[#This Row],[Code
(PAP)]],[1]Sheet1!$A:$AO,3,FALSE)</f>
        <v>PGO</v>
      </c>
      <c r="D274" s="380" t="s">
        <v>712</v>
      </c>
      <c r="E274" s="409" t="str">
        <f>VLOOKUP(Complete[[#This Row],[Code
(PAP)]],[2]Sheet1!$A:$AO,5,FALSE)</f>
        <v>Competitive Bidding</v>
      </c>
      <c r="F274" s="393">
        <f>VLOOKUP(Complete[[#This Row],[Code
(PAP)]],[1]Sheet1!$A:$AO,6,FALSE)</f>
        <v>45342</v>
      </c>
      <c r="G274" s="393">
        <f>VLOOKUP(Complete[[#This Row],[Code
(PAP)]],[1]Sheet1!$A:$AO,7,FALSE)</f>
        <v>45348</v>
      </c>
      <c r="H274" s="374"/>
      <c r="I274" s="394">
        <f>VLOOKUP(Complete[[#This Row],[Code
(PAP)]],[1]Sheet1!$A:$AO,9,FALSE)</f>
        <v>45356</v>
      </c>
      <c r="J274" s="393">
        <f>VLOOKUP(Complete[[#This Row],[Code
(PAP)]],[1]Sheet1!$A:$AO,10,FALSE)</f>
        <v>45370</v>
      </c>
      <c r="K274" s="393">
        <f>VLOOKUP(Complete[[#This Row],[Code
(PAP)]],[1]Sheet1!$A:$AO,11,FALSE)</f>
        <v>45370</v>
      </c>
      <c r="L274" s="387"/>
      <c r="M274" s="393">
        <f>VLOOKUP(Complete[[#This Row],[Code
(PAP)]],[1]Sheet1!$A:$AO,13,FALSE)</f>
        <v>45370</v>
      </c>
      <c r="N274" s="393">
        <f>VLOOKUP(Complete[[#This Row],[Code
(PAP)]],[1]Sheet1!$A:$AO,14,FALSE)</f>
        <v>45383</v>
      </c>
      <c r="O274" s="393">
        <f>VLOOKUP(Complete[[#This Row],[Code
(PAP)]],[1]Sheet1!$A:$AO,15,FALSE)</f>
        <v>45386</v>
      </c>
      <c r="P274" s="387"/>
      <c r="Q274" s="387"/>
      <c r="R274" s="387"/>
      <c r="S274" s="576">
        <f>VLOOKUP(Complete[[#This Row],[Code
(PAP)]],[1]Sheet1!$A:$AO,19,FALSE)</f>
        <v>45390</v>
      </c>
      <c r="T274" s="576">
        <f>VLOOKUP(Complete[[#This Row],[Code
(PAP)]],[1]Sheet1!$A:$AO,20,FALSE)</f>
        <v>45399</v>
      </c>
      <c r="U274" s="576">
        <f>VLOOKUP(Complete[[#This Row],[Code
(PAP)]],[1]Sheet1!$A:$AO,21,FALSE)</f>
        <v>45408</v>
      </c>
      <c r="V274" s="387"/>
      <c r="W274" s="387"/>
      <c r="X274" s="392">
        <f>VLOOKUP(Complete[[#This Row],[Code
(PAP)]],[1]Sheet1!$A:$AO,24,FALSE)</f>
        <v>45415</v>
      </c>
      <c r="Y274" s="392">
        <f>Complete[[#This Row],[Delivery/ Completion]]</f>
        <v>45415</v>
      </c>
      <c r="Z274" s="610" t="s">
        <v>1478</v>
      </c>
      <c r="AA274" s="462">
        <f>Complete[[#This Row],[MOOE]]+Complete[[#This Row],[CO]]</f>
        <v>2276010</v>
      </c>
      <c r="AB274" s="466"/>
      <c r="AC274" s="497">
        <v>2276010</v>
      </c>
      <c r="AD274" s="498">
        <f>IF(Complete[[#This Row],[Procurement Project]]="","",SUM(Complete[[#This Row],[MOOE2]]+Complete[[#This Row],[CO3]]))</f>
        <v>2105400</v>
      </c>
      <c r="AE274" s="501"/>
      <c r="AF274" s="541">
        <v>2105400</v>
      </c>
      <c r="AG274" s="400"/>
      <c r="AH274" s="380" t="s">
        <v>1205</v>
      </c>
      <c r="AI274" s="576">
        <f>VLOOKUP(Complete[[#This Row],[Code
(PAP)]],[1]Sheet1!$A:$AO,35,FALSE)</f>
        <v>45352</v>
      </c>
      <c r="AJ274" s="576">
        <f>VLOOKUP(Complete[[#This Row],[Code
(PAP)]],[1]Sheet1!$A:$AO,36,FALSE)</f>
        <v>45366</v>
      </c>
      <c r="AK274" s="576">
        <f>VLOOKUP(Complete[[#This Row],[Code
(PAP)]],[1]Sheet1!$A:$AO,37,FALSE)</f>
        <v>45366</v>
      </c>
      <c r="AL274" s="576">
        <f>VLOOKUP(Complete[[#This Row],[Code
(PAP)]],[1]Sheet1!$A:$AO,38,FALSE)</f>
        <v>45366</v>
      </c>
      <c r="AM274" s="576">
        <f>VLOOKUP(Complete[[#This Row],[Code
(PAP)]],[1]Sheet1!$A:$AO,38,FALSE)</f>
        <v>45366</v>
      </c>
      <c r="AN274" s="595" t="s">
        <v>713</v>
      </c>
      <c r="AO274" s="303" t="s">
        <v>139</v>
      </c>
      <c r="AP274" s="389"/>
      <c r="AQ274" s="389"/>
    </row>
    <row r="275" spans="1:43" s="224" customFormat="1" ht="75" customHeight="1" x14ac:dyDescent="0.25">
      <c r="A275" s="385" t="s">
        <v>453</v>
      </c>
      <c r="B275" s="406" t="str">
        <f>VLOOKUP(Complete[[#This Row],[Code
(PAP)]],[1]Sheet1!$A:$AO,2,FALSE)</f>
        <v>SUPPLY AND DELIVERY OF MEALS AND SNACKS</v>
      </c>
      <c r="C275" s="408" t="str">
        <f>VLOOKUP(Complete[[#This Row],[Code
(PAP)]],[1]Sheet1!$A:$AO,3,FALSE)</f>
        <v>PDRRMO</v>
      </c>
      <c r="D275" s="380" t="s">
        <v>712</v>
      </c>
      <c r="E275" s="409" t="str">
        <f>VLOOKUP(Complete[[#This Row],[Code
(PAP)]],[2]Sheet1!$A:$AO,5,FALSE)</f>
        <v>Competitive Bidding</v>
      </c>
      <c r="F275" s="393" t="str">
        <f>VLOOKUP(Complete[[#This Row],[Code
(PAP)]],[1]Sheet1!$A:$AO,6,FALSE)</f>
        <v>N/A</v>
      </c>
      <c r="G275" s="393">
        <f>VLOOKUP(Complete[[#This Row],[Code
(PAP)]],[1]Sheet1!$A:$AO,7,FALSE)</f>
        <v>45356</v>
      </c>
      <c r="H275" s="374"/>
      <c r="I275" s="394" t="str">
        <f>VLOOKUP(Complete[[#This Row],[Code
(PAP)]],[1]Sheet1!$A:$AO,9,FALSE)</f>
        <v>N/A</v>
      </c>
      <c r="J275" s="393">
        <f>VLOOKUP(Complete[[#This Row],[Code
(PAP)]],[1]Sheet1!$A:$AO,10,FALSE)</f>
        <v>45370</v>
      </c>
      <c r="K275" s="393">
        <f>VLOOKUP(Complete[[#This Row],[Code
(PAP)]],[1]Sheet1!$A:$AO,11,FALSE)</f>
        <v>45370</v>
      </c>
      <c r="L275" s="387"/>
      <c r="M275" s="393">
        <f>VLOOKUP(Complete[[#This Row],[Code
(PAP)]],[1]Sheet1!$A:$AO,13,FALSE)</f>
        <v>45370</v>
      </c>
      <c r="N275" s="393">
        <f>VLOOKUP(Complete[[#This Row],[Code
(PAP)]],[1]Sheet1!$A:$AO,14,FALSE)</f>
        <v>45383</v>
      </c>
      <c r="O275" s="393">
        <f>VLOOKUP(Complete[[#This Row],[Code
(PAP)]],[1]Sheet1!$A:$AO,15,FALSE)</f>
        <v>45386</v>
      </c>
      <c r="P275" s="387"/>
      <c r="Q275" s="387"/>
      <c r="R275" s="387"/>
      <c r="S275" s="576">
        <f>VLOOKUP(Complete[[#This Row],[Code
(PAP)]],[1]Sheet1!$A:$AO,19,FALSE)</f>
        <v>45386</v>
      </c>
      <c r="T275" s="576">
        <f>VLOOKUP(Complete[[#This Row],[Code
(PAP)]],[1]Sheet1!$A:$AO,20,FALSE)</f>
        <v>45406</v>
      </c>
      <c r="U275" s="576">
        <f>VLOOKUP(Complete[[#This Row],[Code
(PAP)]],[1]Sheet1!$A:$AO,21,FALSE)</f>
        <v>45411</v>
      </c>
      <c r="V275" s="387"/>
      <c r="W275" s="387"/>
      <c r="X275" s="392">
        <f>VLOOKUP(Complete[[#This Row],[Code
(PAP)]],[1]Sheet1!$A:$AO,24,FALSE)</f>
        <v>45457</v>
      </c>
      <c r="Y275" s="392">
        <f>Complete[[#This Row],[Delivery/ Completion]]</f>
        <v>45457</v>
      </c>
      <c r="Z275" s="610" t="s">
        <v>1478</v>
      </c>
      <c r="AA275" s="462">
        <f>Complete[[#This Row],[MOOE]]+Complete[[#This Row],[CO]]</f>
        <v>1130610</v>
      </c>
      <c r="AB275" s="466"/>
      <c r="AC275" s="497">
        <v>1130610</v>
      </c>
      <c r="AD275" s="498">
        <f>IF(Complete[[#This Row],[Procurement Project]]="","",SUM(Complete[[#This Row],[MOOE2]]+Complete[[#This Row],[CO3]]))</f>
        <v>1117904</v>
      </c>
      <c r="AE275" s="501"/>
      <c r="AF275" s="541">
        <v>1117904</v>
      </c>
      <c r="AG275" s="400"/>
      <c r="AH275" s="380" t="s">
        <v>1205</v>
      </c>
      <c r="AI275" s="576" t="str">
        <f>VLOOKUP(Complete[[#This Row],[Code
(PAP)]],[1]Sheet1!$A:$AO,35,FALSE)</f>
        <v>N/A</v>
      </c>
      <c r="AJ275" s="576">
        <f>VLOOKUP(Complete[[#This Row],[Code
(PAP)]],[1]Sheet1!$A:$AO,36,FALSE)</f>
        <v>45366</v>
      </c>
      <c r="AK275" s="576">
        <f>VLOOKUP(Complete[[#This Row],[Code
(PAP)]],[1]Sheet1!$A:$AO,37,FALSE)</f>
        <v>45366</v>
      </c>
      <c r="AL275" s="576">
        <f>VLOOKUP(Complete[[#This Row],[Code
(PAP)]],[1]Sheet1!$A:$AO,38,FALSE)</f>
        <v>45366</v>
      </c>
      <c r="AM275" s="576">
        <f>VLOOKUP(Complete[[#This Row],[Code
(PAP)]],[1]Sheet1!$A:$AO,38,FALSE)</f>
        <v>45366</v>
      </c>
      <c r="AN275" s="595" t="s">
        <v>713</v>
      </c>
      <c r="AO275" s="303" t="s">
        <v>139</v>
      </c>
      <c r="AP275" s="389"/>
      <c r="AQ275" s="389"/>
    </row>
    <row r="276" spans="1:43" s="224" customFormat="1" ht="75" customHeight="1" x14ac:dyDescent="0.25">
      <c r="A276" s="385" t="s">
        <v>454</v>
      </c>
      <c r="B276" s="406" t="str">
        <f>VLOOKUP(Complete[[#This Row],[Code
(PAP)]],[1]Sheet1!$A:$AO,2,FALSE)</f>
        <v>SUPPLY AND DELIVERY OF MEALS AND SNACKS WITH ACCOMMODATION</v>
      </c>
      <c r="C276" s="408" t="str">
        <f>VLOOKUP(Complete[[#This Row],[Code
(PAP)]],[1]Sheet1!$A:$AO,3,FALSE)</f>
        <v>PWDO</v>
      </c>
      <c r="D276" s="380" t="s">
        <v>712</v>
      </c>
      <c r="E276" s="409" t="str">
        <f>VLOOKUP(Complete[[#This Row],[Code
(PAP)]],[2]Sheet1!$A:$AO,5,FALSE)</f>
        <v>Competitive Bidding</v>
      </c>
      <c r="F276" s="393" t="str">
        <f>VLOOKUP(Complete[[#This Row],[Code
(PAP)]],[1]Sheet1!$A:$AO,6,FALSE)</f>
        <v>N/A</v>
      </c>
      <c r="G276" s="393">
        <f>VLOOKUP(Complete[[#This Row],[Code
(PAP)]],[1]Sheet1!$A:$AO,7,FALSE)</f>
        <v>45362</v>
      </c>
      <c r="H276" s="374"/>
      <c r="I276" s="394" t="str">
        <f>VLOOKUP(Complete[[#This Row],[Code
(PAP)]],[1]Sheet1!$A:$AO,9,FALSE)</f>
        <v>N/A</v>
      </c>
      <c r="J276" s="393">
        <f>VLOOKUP(Complete[[#This Row],[Code
(PAP)]],[1]Sheet1!$A:$AO,10,FALSE)</f>
        <v>45370</v>
      </c>
      <c r="K276" s="393">
        <f>VLOOKUP(Complete[[#This Row],[Code
(PAP)]],[1]Sheet1!$A:$AO,11,FALSE)</f>
        <v>45370</v>
      </c>
      <c r="L276" s="387"/>
      <c r="M276" s="393">
        <f>VLOOKUP(Complete[[#This Row],[Code
(PAP)]],[1]Sheet1!$A:$AO,13,FALSE)</f>
        <v>45370</v>
      </c>
      <c r="N276" s="393">
        <f>VLOOKUP(Complete[[#This Row],[Code
(PAP)]],[1]Sheet1!$A:$AO,14,FALSE)</f>
        <v>45383</v>
      </c>
      <c r="O276" s="393">
        <f>VLOOKUP(Complete[[#This Row],[Code
(PAP)]],[1]Sheet1!$A:$AO,15,FALSE)</f>
        <v>45386</v>
      </c>
      <c r="P276" s="387"/>
      <c r="Q276" s="387"/>
      <c r="R276" s="387"/>
      <c r="S276" s="576">
        <f>VLOOKUP(Complete[[#This Row],[Code
(PAP)]],[1]Sheet1!$A:$AO,19,FALSE)</f>
        <v>45386</v>
      </c>
      <c r="T276" s="576">
        <f>VLOOKUP(Complete[[#This Row],[Code
(PAP)]],[1]Sheet1!$A:$AO,20,FALSE)</f>
        <v>45387</v>
      </c>
      <c r="U276" s="576">
        <f>VLOOKUP(Complete[[#This Row],[Code
(PAP)]],[1]Sheet1!$A:$AO,21,FALSE)</f>
        <v>45387</v>
      </c>
      <c r="V276" s="387"/>
      <c r="W276" s="387"/>
      <c r="X276" s="392">
        <f>VLOOKUP(Complete[[#This Row],[Code
(PAP)]],[1]Sheet1!$A:$AO,24,FALSE)</f>
        <v>45394</v>
      </c>
      <c r="Y276" s="392">
        <f>Complete[[#This Row],[Delivery/ Completion]]</f>
        <v>45394</v>
      </c>
      <c r="Z276" s="610" t="s">
        <v>1478</v>
      </c>
      <c r="AA276" s="462">
        <f>Complete[[#This Row],[MOOE]]+Complete[[#This Row],[CO]]</f>
        <v>653200</v>
      </c>
      <c r="AB276" s="466"/>
      <c r="AC276" s="497">
        <v>653200</v>
      </c>
      <c r="AD276" s="498">
        <f>IF(Complete[[#This Row],[Procurement Project]]="","",SUM(Complete[[#This Row],[MOOE2]]+Complete[[#This Row],[CO3]]))</f>
        <v>651780</v>
      </c>
      <c r="AE276" s="501"/>
      <c r="AF276" s="541">
        <v>651780</v>
      </c>
      <c r="AG276" s="400"/>
      <c r="AH276" s="380" t="s">
        <v>1205</v>
      </c>
      <c r="AI276" s="576" t="str">
        <f>VLOOKUP(Complete[[#This Row],[Code
(PAP)]],[1]Sheet1!$A:$AO,35,FALSE)</f>
        <v>N/A</v>
      </c>
      <c r="AJ276" s="576">
        <f>VLOOKUP(Complete[[#This Row],[Code
(PAP)]],[1]Sheet1!$A:$AO,36,FALSE)</f>
        <v>45366</v>
      </c>
      <c r="AK276" s="576">
        <f>VLOOKUP(Complete[[#This Row],[Code
(PAP)]],[1]Sheet1!$A:$AO,37,FALSE)</f>
        <v>45366</v>
      </c>
      <c r="AL276" s="576">
        <f>VLOOKUP(Complete[[#This Row],[Code
(PAP)]],[1]Sheet1!$A:$AO,38,FALSE)</f>
        <v>45366</v>
      </c>
      <c r="AM276" s="576">
        <f>VLOOKUP(Complete[[#This Row],[Code
(PAP)]],[1]Sheet1!$A:$AO,38,FALSE)</f>
        <v>45366</v>
      </c>
      <c r="AN276" s="595" t="s">
        <v>713</v>
      </c>
      <c r="AO276" s="303" t="s">
        <v>139</v>
      </c>
      <c r="AP276" s="389"/>
      <c r="AQ276" s="389"/>
    </row>
    <row r="277" spans="1:43" s="224" customFormat="1" ht="75" customHeight="1" x14ac:dyDescent="0.25">
      <c r="A277" s="385" t="s">
        <v>455</v>
      </c>
      <c r="B277" s="406" t="str">
        <f>VLOOKUP(Complete[[#This Row],[Code
(PAP)]],[1]Sheet1!$A:$AO,2,FALSE)</f>
        <v>SUPPLY AND DELIVERY OF MEALS AND SNACKS</v>
      </c>
      <c r="C277" s="408" t="str">
        <f>VLOOKUP(Complete[[#This Row],[Code
(PAP)]],[1]Sheet1!$A:$AO,3,FALSE)</f>
        <v>PVO</v>
      </c>
      <c r="D277" s="380" t="s">
        <v>712</v>
      </c>
      <c r="E277" s="409" t="str">
        <f>VLOOKUP(Complete[[#This Row],[Code
(PAP)]],[2]Sheet1!$A:$AO,5,FALSE)</f>
        <v>Competitive Bidding</v>
      </c>
      <c r="F277" s="393">
        <f>VLOOKUP(Complete[[#This Row],[Code
(PAP)]],[1]Sheet1!$A:$AO,6,FALSE)</f>
        <v>45356</v>
      </c>
      <c r="G277" s="393">
        <f>VLOOKUP(Complete[[#This Row],[Code
(PAP)]],[1]Sheet1!$A:$AO,7,FALSE)</f>
        <v>45362</v>
      </c>
      <c r="H277" s="374"/>
      <c r="I277" s="394" t="str">
        <f>VLOOKUP(Complete[[#This Row],[Code
(PAP)]],[1]Sheet1!$A:$AO,9,FALSE)</f>
        <v>N/A</v>
      </c>
      <c r="J277" s="393">
        <f>VLOOKUP(Complete[[#This Row],[Code
(PAP)]],[1]Sheet1!$A:$AO,10,FALSE)</f>
        <v>45370</v>
      </c>
      <c r="K277" s="393">
        <f>VLOOKUP(Complete[[#This Row],[Code
(PAP)]],[1]Sheet1!$A:$AO,11,FALSE)</f>
        <v>45370</v>
      </c>
      <c r="L277" s="387"/>
      <c r="M277" s="393">
        <f>VLOOKUP(Complete[[#This Row],[Code
(PAP)]],[1]Sheet1!$A:$AO,13,FALSE)</f>
        <v>45370</v>
      </c>
      <c r="N277" s="393">
        <f>VLOOKUP(Complete[[#This Row],[Code
(PAP)]],[1]Sheet1!$A:$AO,14,FALSE)</f>
        <v>45383</v>
      </c>
      <c r="O277" s="393">
        <f>VLOOKUP(Complete[[#This Row],[Code
(PAP)]],[1]Sheet1!$A:$AO,15,FALSE)</f>
        <v>45386</v>
      </c>
      <c r="P277" s="387"/>
      <c r="Q277" s="387"/>
      <c r="R277" s="387"/>
      <c r="S277" s="576">
        <f>VLOOKUP(Complete[[#This Row],[Code
(PAP)]],[1]Sheet1!$A:$AO,19,FALSE)</f>
        <v>45401</v>
      </c>
      <c r="T277" s="576">
        <f>VLOOKUP(Complete[[#This Row],[Code
(PAP)]],[1]Sheet1!$A:$AO,20,FALSE)</f>
        <v>45401</v>
      </c>
      <c r="U277" s="576">
        <f>VLOOKUP(Complete[[#This Row],[Code
(PAP)]],[1]Sheet1!$A:$AO,21,FALSE)</f>
        <v>45401</v>
      </c>
      <c r="V277" s="387"/>
      <c r="W277" s="387"/>
      <c r="X277" s="392">
        <f>VLOOKUP(Complete[[#This Row],[Code
(PAP)]],[1]Sheet1!$A:$AO,24,FALSE)</f>
        <v>45426</v>
      </c>
      <c r="Y277" s="392">
        <f>Complete[[#This Row],[Delivery/ Completion]]</f>
        <v>45426</v>
      </c>
      <c r="Z277" s="610" t="s">
        <v>1478</v>
      </c>
      <c r="AA277" s="462">
        <f>Complete[[#This Row],[MOOE]]+Complete[[#This Row],[CO]]</f>
        <v>802730</v>
      </c>
      <c r="AB277" s="466"/>
      <c r="AC277" s="497">
        <v>802730</v>
      </c>
      <c r="AD277" s="498">
        <f>IF(Complete[[#This Row],[Procurement Project]]="","",SUM(Complete[[#This Row],[MOOE2]]+Complete[[#This Row],[CO3]]))</f>
        <v>790748</v>
      </c>
      <c r="AE277" s="501"/>
      <c r="AF277" s="541">
        <v>790748</v>
      </c>
      <c r="AG277" s="400"/>
      <c r="AH277" s="380" t="s">
        <v>1205</v>
      </c>
      <c r="AI277" s="576" t="str">
        <f>VLOOKUP(Complete[[#This Row],[Code
(PAP)]],[1]Sheet1!$A:$AO,35,FALSE)</f>
        <v>N/A</v>
      </c>
      <c r="AJ277" s="576">
        <f>VLOOKUP(Complete[[#This Row],[Code
(PAP)]],[1]Sheet1!$A:$AO,36,FALSE)</f>
        <v>45366</v>
      </c>
      <c r="AK277" s="576">
        <f>VLOOKUP(Complete[[#This Row],[Code
(PAP)]],[1]Sheet1!$A:$AO,37,FALSE)</f>
        <v>45366</v>
      </c>
      <c r="AL277" s="576">
        <f>VLOOKUP(Complete[[#This Row],[Code
(PAP)]],[1]Sheet1!$A:$AO,38,FALSE)</f>
        <v>45366</v>
      </c>
      <c r="AM277" s="576">
        <f>VLOOKUP(Complete[[#This Row],[Code
(PAP)]],[1]Sheet1!$A:$AO,38,FALSE)</f>
        <v>45366</v>
      </c>
      <c r="AN277" s="595" t="s">
        <v>713</v>
      </c>
      <c r="AO277" s="303" t="s">
        <v>139</v>
      </c>
      <c r="AP277" s="389"/>
      <c r="AQ277" s="389"/>
    </row>
    <row r="278" spans="1:43" s="224" customFormat="1" ht="75" customHeight="1" x14ac:dyDescent="0.25">
      <c r="A278" s="385" t="s">
        <v>456</v>
      </c>
      <c r="B278" s="406" t="str">
        <f>VLOOKUP(Complete[[#This Row],[Code
(PAP)]],[1]Sheet1!$A:$AO,2,FALSE)</f>
        <v>SUPPLY AND DELIVERY OF MEALS AND SNACKS</v>
      </c>
      <c r="C278" s="408" t="str">
        <f>VLOOKUP(Complete[[#This Row],[Code
(PAP)]],[1]Sheet1!$A:$AO,3,FALSE)</f>
        <v>PSWDO</v>
      </c>
      <c r="D278" s="380" t="s">
        <v>712</v>
      </c>
      <c r="E278" s="409" t="str">
        <f>VLOOKUP(Complete[[#This Row],[Code
(PAP)]],[2]Sheet1!$A:$AO,5,FALSE)</f>
        <v>Competitive Bidding</v>
      </c>
      <c r="F278" s="393">
        <f>VLOOKUP(Complete[[#This Row],[Code
(PAP)]],[1]Sheet1!$A:$AO,6,FALSE)</f>
        <v>45356</v>
      </c>
      <c r="G278" s="393">
        <f>VLOOKUP(Complete[[#This Row],[Code
(PAP)]],[1]Sheet1!$A:$AO,7,FALSE)</f>
        <v>45362</v>
      </c>
      <c r="H278" s="374"/>
      <c r="I278" s="394" t="str">
        <f>VLOOKUP(Complete[[#This Row],[Code
(PAP)]],[1]Sheet1!$A:$AO,9,FALSE)</f>
        <v>N/A</v>
      </c>
      <c r="J278" s="393">
        <f>VLOOKUP(Complete[[#This Row],[Code
(PAP)]],[1]Sheet1!$A:$AO,10,FALSE)</f>
        <v>45370</v>
      </c>
      <c r="K278" s="393">
        <f>VLOOKUP(Complete[[#This Row],[Code
(PAP)]],[1]Sheet1!$A:$AO,11,FALSE)</f>
        <v>45370</v>
      </c>
      <c r="L278" s="387"/>
      <c r="M278" s="393">
        <f>VLOOKUP(Complete[[#This Row],[Code
(PAP)]],[1]Sheet1!$A:$AO,13,FALSE)</f>
        <v>45370</v>
      </c>
      <c r="N278" s="393">
        <f>VLOOKUP(Complete[[#This Row],[Code
(PAP)]],[1]Sheet1!$A:$AO,14,FALSE)</f>
        <v>45383</v>
      </c>
      <c r="O278" s="393">
        <f>VLOOKUP(Complete[[#This Row],[Code
(PAP)]],[1]Sheet1!$A:$AO,15,FALSE)</f>
        <v>45386</v>
      </c>
      <c r="P278" s="387"/>
      <c r="Q278" s="387"/>
      <c r="R278" s="387"/>
      <c r="S278" s="576">
        <f>VLOOKUP(Complete[[#This Row],[Code
(PAP)]],[1]Sheet1!$A:$AO,19,FALSE)</f>
        <v>45386</v>
      </c>
      <c r="T278" s="576">
        <f>VLOOKUP(Complete[[#This Row],[Code
(PAP)]],[1]Sheet1!$A:$AO,20,FALSE)</f>
        <v>45405</v>
      </c>
      <c r="U278" s="576">
        <f>VLOOKUP(Complete[[#This Row],[Code
(PAP)]],[1]Sheet1!$A:$AO,21,FALSE)</f>
        <v>45411</v>
      </c>
      <c r="V278" s="387"/>
      <c r="W278" s="387"/>
      <c r="X278" s="392">
        <f>VLOOKUP(Complete[[#This Row],[Code
(PAP)]],[1]Sheet1!$A:$AO,24,FALSE)</f>
        <v>45435</v>
      </c>
      <c r="Y278" s="392">
        <f>Complete[[#This Row],[Delivery/ Completion]]</f>
        <v>45435</v>
      </c>
      <c r="Z278" s="610" t="s">
        <v>1478</v>
      </c>
      <c r="AA278" s="462">
        <f>Complete[[#This Row],[MOOE]]+Complete[[#This Row],[CO]]</f>
        <v>795590</v>
      </c>
      <c r="AB278" s="466"/>
      <c r="AC278" s="497">
        <v>795590</v>
      </c>
      <c r="AD278" s="498">
        <f>IF(Complete[[#This Row],[Procurement Project]]="","",SUM(Complete[[#This Row],[MOOE2]]+Complete[[#This Row],[CO3]]))</f>
        <v>784904</v>
      </c>
      <c r="AE278" s="501"/>
      <c r="AF278" s="541">
        <v>784904</v>
      </c>
      <c r="AG278" s="400"/>
      <c r="AH278" s="380" t="s">
        <v>1205</v>
      </c>
      <c r="AI278" s="576" t="str">
        <f>VLOOKUP(Complete[[#This Row],[Code
(PAP)]],[1]Sheet1!$A:$AO,35,FALSE)</f>
        <v>N/A</v>
      </c>
      <c r="AJ278" s="576">
        <f>VLOOKUP(Complete[[#This Row],[Code
(PAP)]],[1]Sheet1!$A:$AO,36,FALSE)</f>
        <v>45366</v>
      </c>
      <c r="AK278" s="576">
        <f>VLOOKUP(Complete[[#This Row],[Code
(PAP)]],[1]Sheet1!$A:$AO,37,FALSE)</f>
        <v>45366</v>
      </c>
      <c r="AL278" s="576">
        <f>VLOOKUP(Complete[[#This Row],[Code
(PAP)]],[1]Sheet1!$A:$AO,38,FALSE)</f>
        <v>45366</v>
      </c>
      <c r="AM278" s="576">
        <f>VLOOKUP(Complete[[#This Row],[Code
(PAP)]],[1]Sheet1!$A:$AO,38,FALSE)</f>
        <v>45366</v>
      </c>
      <c r="AN278" s="595" t="s">
        <v>713</v>
      </c>
      <c r="AO278" s="303" t="s">
        <v>139</v>
      </c>
      <c r="AP278" s="389"/>
      <c r="AQ278" s="389"/>
    </row>
    <row r="279" spans="1:43" s="224" customFormat="1" ht="75" customHeight="1" x14ac:dyDescent="0.25">
      <c r="A279" s="385" t="s">
        <v>457</v>
      </c>
      <c r="B279" s="406" t="str">
        <f>VLOOKUP(Complete[[#This Row],[Code
(PAP)]],[1]Sheet1!$A:$AO,2,FALSE)</f>
        <v>SUPPLY AND DELIVERY OF MEALS AND SNACKS</v>
      </c>
      <c r="C279" s="408" t="str">
        <f>VLOOKUP(Complete[[#This Row],[Code
(PAP)]],[1]Sheet1!$A:$AO,3,FALSE)</f>
        <v>PGO</v>
      </c>
      <c r="D279" s="380" t="s">
        <v>712</v>
      </c>
      <c r="E279" s="409" t="str">
        <f>VLOOKUP(Complete[[#This Row],[Code
(PAP)]],[2]Sheet1!$A:$AO,5,FALSE)</f>
        <v>Competitive Bidding</v>
      </c>
      <c r="F279" s="393">
        <f>VLOOKUP(Complete[[#This Row],[Code
(PAP)]],[1]Sheet1!$A:$AO,6,FALSE)</f>
        <v>45356</v>
      </c>
      <c r="G279" s="393">
        <f>VLOOKUP(Complete[[#This Row],[Code
(PAP)]],[1]Sheet1!$A:$AO,7,FALSE)</f>
        <v>45362</v>
      </c>
      <c r="H279" s="374"/>
      <c r="I279" s="394" t="str">
        <f>VLOOKUP(Complete[[#This Row],[Code
(PAP)]],[1]Sheet1!$A:$AO,9,FALSE)</f>
        <v>N/A</v>
      </c>
      <c r="J279" s="393">
        <f>VLOOKUP(Complete[[#This Row],[Code
(PAP)]],[1]Sheet1!$A:$AO,10,FALSE)</f>
        <v>45370</v>
      </c>
      <c r="K279" s="393">
        <f>VLOOKUP(Complete[[#This Row],[Code
(PAP)]],[1]Sheet1!$A:$AO,11,FALSE)</f>
        <v>45370</v>
      </c>
      <c r="L279" s="387"/>
      <c r="M279" s="393">
        <f>VLOOKUP(Complete[[#This Row],[Code
(PAP)]],[1]Sheet1!$A:$AO,13,FALSE)</f>
        <v>45370</v>
      </c>
      <c r="N279" s="393">
        <f>VLOOKUP(Complete[[#This Row],[Code
(PAP)]],[1]Sheet1!$A:$AO,14,FALSE)</f>
        <v>45383</v>
      </c>
      <c r="O279" s="393">
        <f>VLOOKUP(Complete[[#This Row],[Code
(PAP)]],[1]Sheet1!$A:$AO,15,FALSE)</f>
        <v>45386</v>
      </c>
      <c r="P279" s="387"/>
      <c r="Q279" s="387"/>
      <c r="R279" s="387"/>
      <c r="S279" s="576">
        <f>VLOOKUP(Complete[[#This Row],[Code
(PAP)]],[1]Sheet1!$A:$AO,19,FALSE)</f>
        <v>45386</v>
      </c>
      <c r="T279" s="576">
        <f>VLOOKUP(Complete[[#This Row],[Code
(PAP)]],[1]Sheet1!$A:$AO,20,FALSE)</f>
        <v>45397</v>
      </c>
      <c r="U279" s="576">
        <f>VLOOKUP(Complete[[#This Row],[Code
(PAP)]],[1]Sheet1!$A:$AO,21,FALSE)</f>
        <v>45420</v>
      </c>
      <c r="V279" s="387"/>
      <c r="W279" s="387"/>
      <c r="X279" s="392">
        <f>VLOOKUP(Complete[[#This Row],[Code
(PAP)]],[1]Sheet1!$A:$AO,24,FALSE)</f>
        <v>45436</v>
      </c>
      <c r="Y279" s="392">
        <f>Complete[[#This Row],[Delivery/ Completion]]</f>
        <v>45436</v>
      </c>
      <c r="Z279" s="610" t="s">
        <v>1478</v>
      </c>
      <c r="AA279" s="462">
        <f>Complete[[#This Row],[MOOE]]+Complete[[#This Row],[CO]]</f>
        <v>414020</v>
      </c>
      <c r="AB279" s="466"/>
      <c r="AC279" s="497">
        <v>414020</v>
      </c>
      <c r="AD279" s="498">
        <f>IF(Complete[[#This Row],[Procurement Project]]="","",SUM(Complete[[#This Row],[MOOE2]]+Complete[[#This Row],[CO3]]))</f>
        <v>408920</v>
      </c>
      <c r="AE279" s="501"/>
      <c r="AF279" s="541">
        <v>408920</v>
      </c>
      <c r="AG279" s="400"/>
      <c r="AH279" s="380" t="s">
        <v>1205</v>
      </c>
      <c r="AI279" s="576" t="str">
        <f>VLOOKUP(Complete[[#This Row],[Code
(PAP)]],[1]Sheet1!$A:$AO,35,FALSE)</f>
        <v>N/A</v>
      </c>
      <c r="AJ279" s="576">
        <f>VLOOKUP(Complete[[#This Row],[Code
(PAP)]],[1]Sheet1!$A:$AO,36,FALSE)</f>
        <v>45366</v>
      </c>
      <c r="AK279" s="576">
        <f>VLOOKUP(Complete[[#This Row],[Code
(PAP)]],[1]Sheet1!$A:$AO,37,FALSE)</f>
        <v>45366</v>
      </c>
      <c r="AL279" s="576">
        <f>VLOOKUP(Complete[[#This Row],[Code
(PAP)]],[1]Sheet1!$A:$AO,38,FALSE)</f>
        <v>45366</v>
      </c>
      <c r="AM279" s="576">
        <f>VLOOKUP(Complete[[#This Row],[Code
(PAP)]],[1]Sheet1!$A:$AO,38,FALSE)</f>
        <v>45366</v>
      </c>
      <c r="AN279" s="595" t="s">
        <v>713</v>
      </c>
      <c r="AO279" s="303" t="s">
        <v>139</v>
      </c>
      <c r="AP279" s="389"/>
      <c r="AQ279" s="389"/>
    </row>
    <row r="280" spans="1:43" s="224" customFormat="1" ht="75" customHeight="1" x14ac:dyDescent="0.25">
      <c r="A280" s="385" t="s">
        <v>458</v>
      </c>
      <c r="B280" s="406" t="str">
        <f>VLOOKUP(Complete[[#This Row],[Code
(PAP)]],[1]Sheet1!$A:$AO,2,FALSE)</f>
        <v>SUPPLY AND DELIVERY OF MEALS AND SNACKS</v>
      </c>
      <c r="C280" s="408" t="str">
        <f>VLOOKUP(Complete[[#This Row],[Code
(PAP)]],[1]Sheet1!$A:$AO,3,FALSE)</f>
        <v>PGO</v>
      </c>
      <c r="D280" s="380" t="s">
        <v>712</v>
      </c>
      <c r="E280" s="409" t="str">
        <f>VLOOKUP(Complete[[#This Row],[Code
(PAP)]],[2]Sheet1!$A:$AO,5,FALSE)</f>
        <v>Competitive Bidding</v>
      </c>
      <c r="F280" s="393">
        <f>VLOOKUP(Complete[[#This Row],[Code
(PAP)]],[1]Sheet1!$A:$AO,6,FALSE)</f>
        <v>45356</v>
      </c>
      <c r="G280" s="393">
        <f>VLOOKUP(Complete[[#This Row],[Code
(PAP)]],[1]Sheet1!$A:$AO,7,FALSE)</f>
        <v>45362</v>
      </c>
      <c r="H280" s="374"/>
      <c r="I280" s="394" t="str">
        <f>VLOOKUP(Complete[[#This Row],[Code
(PAP)]],[1]Sheet1!$A:$AO,9,FALSE)</f>
        <v>N/A</v>
      </c>
      <c r="J280" s="393">
        <f>VLOOKUP(Complete[[#This Row],[Code
(PAP)]],[1]Sheet1!$A:$AO,10,FALSE)</f>
        <v>45370</v>
      </c>
      <c r="K280" s="393">
        <f>VLOOKUP(Complete[[#This Row],[Code
(PAP)]],[1]Sheet1!$A:$AO,11,FALSE)</f>
        <v>45370</v>
      </c>
      <c r="L280" s="387"/>
      <c r="M280" s="393">
        <f>VLOOKUP(Complete[[#This Row],[Code
(PAP)]],[1]Sheet1!$A:$AO,13,FALSE)</f>
        <v>45370</v>
      </c>
      <c r="N280" s="393">
        <f>VLOOKUP(Complete[[#This Row],[Code
(PAP)]],[1]Sheet1!$A:$AO,14,FALSE)</f>
        <v>45383</v>
      </c>
      <c r="O280" s="393">
        <f>VLOOKUP(Complete[[#This Row],[Code
(PAP)]],[1]Sheet1!$A:$AO,15,FALSE)</f>
        <v>45386</v>
      </c>
      <c r="P280" s="387"/>
      <c r="Q280" s="387"/>
      <c r="R280" s="387"/>
      <c r="S280" s="576">
        <f>VLOOKUP(Complete[[#This Row],[Code
(PAP)]],[1]Sheet1!$A:$AO,19,FALSE)</f>
        <v>45386</v>
      </c>
      <c r="T280" s="576">
        <f>VLOOKUP(Complete[[#This Row],[Code
(PAP)]],[1]Sheet1!$A:$AO,20,FALSE)</f>
        <v>45397</v>
      </c>
      <c r="U280" s="576">
        <f>VLOOKUP(Complete[[#This Row],[Code
(PAP)]],[1]Sheet1!$A:$AO,21,FALSE)</f>
        <v>45401</v>
      </c>
      <c r="V280" s="387"/>
      <c r="W280" s="387"/>
      <c r="X280" s="392">
        <f>VLOOKUP(Complete[[#This Row],[Code
(PAP)]],[1]Sheet1!$A:$AO,24,FALSE)</f>
        <v>45454</v>
      </c>
      <c r="Y280" s="392">
        <f>Complete[[#This Row],[Delivery/ Completion]]</f>
        <v>45454</v>
      </c>
      <c r="Z280" s="610" t="s">
        <v>1478</v>
      </c>
      <c r="AA280" s="462">
        <f>Complete[[#This Row],[MOOE]]+Complete[[#This Row],[CO]]</f>
        <v>621000</v>
      </c>
      <c r="AB280" s="466"/>
      <c r="AC280" s="497">
        <v>621000</v>
      </c>
      <c r="AD280" s="498">
        <f>IF(Complete[[#This Row],[Procurement Project]]="","",SUM(Complete[[#This Row],[MOOE2]]+Complete[[#This Row],[CO3]]))</f>
        <v>614960</v>
      </c>
      <c r="AE280" s="501"/>
      <c r="AF280" s="541">
        <v>614960</v>
      </c>
      <c r="AG280" s="400"/>
      <c r="AH280" s="380" t="s">
        <v>1205</v>
      </c>
      <c r="AI280" s="576" t="str">
        <f>VLOOKUP(Complete[[#This Row],[Code
(PAP)]],[1]Sheet1!$A:$AO,35,FALSE)</f>
        <v>N/A</v>
      </c>
      <c r="AJ280" s="576">
        <f>VLOOKUP(Complete[[#This Row],[Code
(PAP)]],[1]Sheet1!$A:$AO,36,FALSE)</f>
        <v>45366</v>
      </c>
      <c r="AK280" s="576">
        <f>VLOOKUP(Complete[[#This Row],[Code
(PAP)]],[1]Sheet1!$A:$AO,37,FALSE)</f>
        <v>45366</v>
      </c>
      <c r="AL280" s="576">
        <f>VLOOKUP(Complete[[#This Row],[Code
(PAP)]],[1]Sheet1!$A:$AO,38,FALSE)</f>
        <v>45366</v>
      </c>
      <c r="AM280" s="576">
        <f>VLOOKUP(Complete[[#This Row],[Code
(PAP)]],[1]Sheet1!$A:$AO,38,FALSE)</f>
        <v>45366</v>
      </c>
      <c r="AN280" s="595" t="s">
        <v>713</v>
      </c>
      <c r="AO280" s="303" t="s">
        <v>139</v>
      </c>
      <c r="AP280" s="389"/>
      <c r="AQ280" s="389"/>
    </row>
    <row r="281" spans="1:43" s="224" customFormat="1" ht="75" customHeight="1" x14ac:dyDescent="0.25">
      <c r="A281" s="385" t="s">
        <v>459</v>
      </c>
      <c r="B281" s="406" t="str">
        <f>VLOOKUP(Complete[[#This Row],[Code
(PAP)]],[1]Sheet1!$A:$AO,2,FALSE)</f>
        <v>OFFICE SUPPLIES</v>
      </c>
      <c r="C281" s="408" t="str">
        <f>VLOOKUP(Complete[[#This Row],[Code
(PAP)]],[1]Sheet1!$A:$AO,3,FALSE)</f>
        <v>PPDO</v>
      </c>
      <c r="D281" s="380" t="s">
        <v>712</v>
      </c>
      <c r="E281" s="409" t="str">
        <f>VLOOKUP(Complete[[#This Row],[Code
(PAP)]],[2]Sheet1!$A:$AO,5,FALSE)</f>
        <v>Shopping 52.1(b) - Regular Office Supplies and Equipment no available in PS</v>
      </c>
      <c r="F281" s="393" t="str">
        <f>VLOOKUP(Complete[[#This Row],[Code
(PAP)]],[1]Sheet1!$A:$AO,6,FALSE)</f>
        <v>N/A</v>
      </c>
      <c r="G281" s="393">
        <f>VLOOKUP(Complete[[#This Row],[Code
(PAP)]],[1]Sheet1!$A:$AO,7,FALSE)</f>
        <v>45376</v>
      </c>
      <c r="H281" s="374"/>
      <c r="I281" s="394" t="str">
        <f>VLOOKUP(Complete[[#This Row],[Code
(PAP)]],[1]Sheet1!$A:$AO,9,FALSE)</f>
        <v>N/A</v>
      </c>
      <c r="J281" s="393">
        <f>VLOOKUP(Complete[[#This Row],[Code
(PAP)]],[1]Sheet1!$A:$AO,10,FALSE)</f>
        <v>45385</v>
      </c>
      <c r="K281" s="393">
        <f>VLOOKUP(Complete[[#This Row],[Code
(PAP)]],[1]Sheet1!$A:$AO,11,FALSE)</f>
        <v>45385</v>
      </c>
      <c r="L281" s="387"/>
      <c r="M281" s="393" t="str">
        <f>VLOOKUP(Complete[[#This Row],[Code
(PAP)]],[1]Sheet1!$A:$AO,13,FALSE)</f>
        <v>N/A</v>
      </c>
      <c r="N281" s="393" t="str">
        <f>VLOOKUP(Complete[[#This Row],[Code
(PAP)]],[1]Sheet1!$A:$AO,14,FALSE)</f>
        <v>N/A</v>
      </c>
      <c r="O281" s="393">
        <f>VLOOKUP(Complete[[#This Row],[Code
(PAP)]],[1]Sheet1!$A:$AO,15,FALSE)</f>
        <v>45386</v>
      </c>
      <c r="P281" s="387"/>
      <c r="Q281" s="387"/>
      <c r="R281" s="387"/>
      <c r="S281" s="576">
        <f>VLOOKUP(Complete[[#This Row],[Code
(PAP)]],[1]Sheet1!$A:$AO,19,FALSE)</f>
        <v>45387</v>
      </c>
      <c r="T281" s="576">
        <f>VLOOKUP(Complete[[#This Row],[Code
(PAP)]],[1]Sheet1!$A:$AO,20,FALSE)</f>
        <v>45406</v>
      </c>
      <c r="U281" s="576">
        <f>VLOOKUP(Complete[[#This Row],[Code
(PAP)]],[1]Sheet1!$A:$AO,21,FALSE)</f>
        <v>45408</v>
      </c>
      <c r="V281" s="387"/>
      <c r="W281" s="387"/>
      <c r="X281" s="392">
        <f>VLOOKUP(Complete[[#This Row],[Code
(PAP)]],[1]Sheet1!$A:$AO,24,FALSE)</f>
        <v>45420</v>
      </c>
      <c r="Y281" s="392">
        <f>Complete[[#This Row],[Delivery/ Completion]]</f>
        <v>45420</v>
      </c>
      <c r="Z281" s="610" t="s">
        <v>1478</v>
      </c>
      <c r="AA281" s="462">
        <f>Complete[[#This Row],[MOOE]]+Complete[[#This Row],[CO]]</f>
        <v>261449</v>
      </c>
      <c r="AB281" s="466">
        <v>261449</v>
      </c>
      <c r="AC281" s="497"/>
      <c r="AD281" s="498">
        <f>IF(Complete[[#This Row],[Procurement Project]]="","",SUM(Complete[[#This Row],[MOOE2]]+Complete[[#This Row],[CO3]]))</f>
        <v>255010</v>
      </c>
      <c r="AE281" s="501">
        <v>255010</v>
      </c>
      <c r="AF281" s="541"/>
      <c r="AG281" s="400"/>
      <c r="AH281" s="380" t="s">
        <v>1205</v>
      </c>
      <c r="AI281" s="576" t="str">
        <f>VLOOKUP(Complete[[#This Row],[Code
(PAP)]],[1]Sheet1!$A:$AO,35,FALSE)</f>
        <v>N/A</v>
      </c>
      <c r="AJ281" s="576" t="str">
        <f>VLOOKUP(Complete[[#This Row],[Code
(PAP)]],[1]Sheet1!$A:$AO,36,FALSE)</f>
        <v>N/A</v>
      </c>
      <c r="AK281" s="576" t="str">
        <f>VLOOKUP(Complete[[#This Row],[Code
(PAP)]],[1]Sheet1!$A:$AO,37,FALSE)</f>
        <v>N/A</v>
      </c>
      <c r="AL281" s="576" t="str">
        <f>VLOOKUP(Complete[[#This Row],[Code
(PAP)]],[1]Sheet1!$A:$AO,38,FALSE)</f>
        <v>N/A</v>
      </c>
      <c r="AM281" s="576" t="str">
        <f>VLOOKUP(Complete[[#This Row],[Code
(PAP)]],[1]Sheet1!$A:$AO,38,FALSE)</f>
        <v>N/A</v>
      </c>
      <c r="AN281" s="595" t="s">
        <v>713</v>
      </c>
      <c r="AO281" s="303" t="s">
        <v>139</v>
      </c>
      <c r="AP281" s="389"/>
      <c r="AQ281" s="389"/>
    </row>
    <row r="282" spans="1:43" s="224" customFormat="1" ht="75" customHeight="1" x14ac:dyDescent="0.25">
      <c r="A282" s="385" t="s">
        <v>460</v>
      </c>
      <c r="B282" s="406" t="str">
        <f>VLOOKUP(Complete[[#This Row],[Code
(PAP)]],[1]Sheet1!$A:$AO,2,FALSE)</f>
        <v>CONSTRUCTION SUPPLIES</v>
      </c>
      <c r="C282" s="408" t="str">
        <f>VLOOKUP(Complete[[#This Row],[Code
(PAP)]],[1]Sheet1!$A:$AO,3,FALSE)</f>
        <v>PDRRMO</v>
      </c>
      <c r="D282" s="380" t="s">
        <v>712</v>
      </c>
      <c r="E282" s="409" t="str">
        <f>VLOOKUP(Complete[[#This Row],[Code
(PAP)]],[2]Sheet1!$A:$AO,5,FALSE)</f>
        <v>NP-53.2 Emergency Cases</v>
      </c>
      <c r="F282" s="393" t="str">
        <f>VLOOKUP(Complete[[#This Row],[Code
(PAP)]],[1]Sheet1!$A:$AO,6,FALSE)</f>
        <v>N/A</v>
      </c>
      <c r="G282" s="393">
        <f>VLOOKUP(Complete[[#This Row],[Code
(PAP)]],[1]Sheet1!$A:$AO,7,FALSE)</f>
        <v>45385</v>
      </c>
      <c r="H282" s="374"/>
      <c r="I282" s="394" t="str">
        <f>VLOOKUP(Complete[[#This Row],[Code
(PAP)]],[1]Sheet1!$A:$AO,9,FALSE)</f>
        <v>N/A</v>
      </c>
      <c r="J282" s="393">
        <f>VLOOKUP(Complete[[#This Row],[Code
(PAP)]],[1]Sheet1!$A:$AO,10,FALSE)</f>
        <v>45385</v>
      </c>
      <c r="K282" s="393">
        <f>VLOOKUP(Complete[[#This Row],[Code
(PAP)]],[1]Sheet1!$A:$AO,11,FALSE)</f>
        <v>45385</v>
      </c>
      <c r="L282" s="387"/>
      <c r="M282" s="393" t="str">
        <f>VLOOKUP(Complete[[#This Row],[Code
(PAP)]],[1]Sheet1!$A:$AO,13,FALSE)</f>
        <v>N/A</v>
      </c>
      <c r="N282" s="393" t="str">
        <f>VLOOKUP(Complete[[#This Row],[Code
(PAP)]],[1]Sheet1!$A:$AO,14,FALSE)</f>
        <v>N/A</v>
      </c>
      <c r="O282" s="393">
        <f>VLOOKUP(Complete[[#This Row],[Code
(PAP)]],[1]Sheet1!$A:$AO,15,FALSE)</f>
        <v>45386</v>
      </c>
      <c r="P282" s="387"/>
      <c r="Q282" s="387"/>
      <c r="R282" s="387"/>
      <c r="S282" s="576">
        <f>VLOOKUP(Complete[[#This Row],[Code
(PAP)]],[1]Sheet1!$A:$AO,19,FALSE)</f>
        <v>45386</v>
      </c>
      <c r="T282" s="576">
        <f>VLOOKUP(Complete[[#This Row],[Code
(PAP)]],[1]Sheet1!$A:$AO,20,FALSE)</f>
        <v>45387</v>
      </c>
      <c r="U282" s="576">
        <f>VLOOKUP(Complete[[#This Row],[Code
(PAP)]],[1]Sheet1!$A:$AO,21,FALSE)</f>
        <v>45390</v>
      </c>
      <c r="V282" s="387"/>
      <c r="W282" s="387"/>
      <c r="X282" s="392">
        <f>VLOOKUP(Complete[[#This Row],[Code
(PAP)]],[1]Sheet1!$A:$AO,24,FALSE)</f>
        <v>45427</v>
      </c>
      <c r="Y282" s="392">
        <f>Complete[[#This Row],[Delivery/ Completion]]</f>
        <v>45427</v>
      </c>
      <c r="Z282" s="610" t="s">
        <v>1478</v>
      </c>
      <c r="AA282" s="462">
        <f>Complete[[#This Row],[MOOE]]+Complete[[#This Row],[CO]]</f>
        <v>2599011.85</v>
      </c>
      <c r="AB282" s="466"/>
      <c r="AC282" s="497">
        <v>2599011.85</v>
      </c>
      <c r="AD282" s="498">
        <f>IF(Complete[[#This Row],[Procurement Project]]="","",SUM(Complete[[#This Row],[MOOE2]]+Complete[[#This Row],[CO3]]))</f>
        <v>2594573.25</v>
      </c>
      <c r="AE282" s="501"/>
      <c r="AF282" s="541">
        <v>2594573.25</v>
      </c>
      <c r="AG282" s="400"/>
      <c r="AH282" s="380" t="s">
        <v>1205</v>
      </c>
      <c r="AI282" s="576" t="str">
        <f>VLOOKUP(Complete[[#This Row],[Code
(PAP)]],[1]Sheet1!$A:$AO,35,FALSE)</f>
        <v>N/A</v>
      </c>
      <c r="AJ282" s="576" t="str">
        <f>VLOOKUP(Complete[[#This Row],[Code
(PAP)]],[1]Sheet1!$A:$AO,36,FALSE)</f>
        <v>N/A</v>
      </c>
      <c r="AK282" s="576" t="str">
        <f>VLOOKUP(Complete[[#This Row],[Code
(PAP)]],[1]Sheet1!$A:$AO,37,FALSE)</f>
        <v>N/A</v>
      </c>
      <c r="AL282" s="576" t="str">
        <f>VLOOKUP(Complete[[#This Row],[Code
(PAP)]],[1]Sheet1!$A:$AO,38,FALSE)</f>
        <v>N/A</v>
      </c>
      <c r="AM282" s="576" t="str">
        <f>VLOOKUP(Complete[[#This Row],[Code
(PAP)]],[1]Sheet1!$A:$AO,38,FALSE)</f>
        <v>N/A</v>
      </c>
      <c r="AN282" s="595" t="s">
        <v>713</v>
      </c>
      <c r="AO282" s="303" t="s">
        <v>139</v>
      </c>
      <c r="AP282" s="389"/>
      <c r="AQ282" s="389"/>
    </row>
    <row r="283" spans="1:43" s="224" customFormat="1" ht="75" customHeight="1" x14ac:dyDescent="0.25">
      <c r="A283" s="385" t="s">
        <v>758</v>
      </c>
      <c r="B283" s="406" t="str">
        <f>VLOOKUP(Complete[[#This Row],[Code
(PAP)]],[1]Sheet1!$A:$AO,2,FALSE)</f>
        <v>OTHER SUPPLIES/MATERIALS</v>
      </c>
      <c r="C283" s="408" t="str">
        <f>VLOOKUP(Complete[[#This Row],[Code
(PAP)]],[1]Sheet1!$A:$AO,3,FALSE)</f>
        <v>PDRRMO</v>
      </c>
      <c r="D283" s="380" t="s">
        <v>712</v>
      </c>
      <c r="E283" s="409" t="str">
        <f>VLOOKUP(Complete[[#This Row],[Code
(PAP)]],[2]Sheet1!$A:$AO,5,FALSE)</f>
        <v>NP-53.9 - Small Value Procurement</v>
      </c>
      <c r="F283" s="393" t="str">
        <f>VLOOKUP(Complete[[#This Row],[Code
(PAP)]],[1]Sheet1!$A:$AO,6,FALSE)</f>
        <v>N/A</v>
      </c>
      <c r="G283" s="393">
        <f>VLOOKUP(Complete[[#This Row],[Code
(PAP)]],[1]Sheet1!$A:$AO,7,FALSE)</f>
        <v>45359</v>
      </c>
      <c r="H283" s="374"/>
      <c r="I283" s="394" t="str">
        <f>VLOOKUP(Complete[[#This Row],[Code
(PAP)]],[1]Sheet1!$A:$AO,9,FALSE)</f>
        <v>N/A</v>
      </c>
      <c r="J283" s="393">
        <f>VLOOKUP(Complete[[#This Row],[Code
(PAP)]],[1]Sheet1!$A:$AO,10,FALSE)</f>
        <v>45370</v>
      </c>
      <c r="K283" s="393">
        <f>VLOOKUP(Complete[[#This Row],[Code
(PAP)]],[1]Sheet1!$A:$AO,11,FALSE)</f>
        <v>45370</v>
      </c>
      <c r="L283" s="387"/>
      <c r="M283" s="393" t="str">
        <f>VLOOKUP(Complete[[#This Row],[Code
(PAP)]],[1]Sheet1!$A:$AO,13,FALSE)</f>
        <v>N/A</v>
      </c>
      <c r="N283" s="393" t="str">
        <f>VLOOKUP(Complete[[#This Row],[Code
(PAP)]],[1]Sheet1!$A:$AO,14,FALSE)</f>
        <v>N/A</v>
      </c>
      <c r="O283" s="393">
        <f>VLOOKUP(Complete[[#This Row],[Code
(PAP)]],[1]Sheet1!$A:$AO,15,FALSE)</f>
        <v>45372</v>
      </c>
      <c r="P283" s="387"/>
      <c r="Q283" s="387"/>
      <c r="R283" s="387"/>
      <c r="S283" s="576" t="str">
        <f>VLOOKUP(Complete[[#This Row],[Code
(PAP)]],[1]Sheet1!$A:$AO,19,FALSE)</f>
        <v>N/A</v>
      </c>
      <c r="T283" s="576">
        <f>VLOOKUP(Complete[[#This Row],[Code
(PAP)]],[1]Sheet1!$A:$AO,20,FALSE)</f>
        <v>45387</v>
      </c>
      <c r="U283" s="576">
        <f>VLOOKUP(Complete[[#This Row],[Code
(PAP)]],[1]Sheet1!$A:$AO,21,FALSE)</f>
        <v>45394</v>
      </c>
      <c r="V283" s="387"/>
      <c r="W283" s="387"/>
      <c r="X283" s="392">
        <v>45408</v>
      </c>
      <c r="Y283" s="392">
        <v>45408</v>
      </c>
      <c r="Z283" s="610" t="s">
        <v>1478</v>
      </c>
      <c r="AA283" s="462">
        <f>Complete[[#This Row],[MOOE]]+Complete[[#This Row],[CO]]</f>
        <v>71288</v>
      </c>
      <c r="AB283" s="466"/>
      <c r="AC283" s="497">
        <v>71288</v>
      </c>
      <c r="AD283" s="498">
        <f>IF(Complete[[#This Row],[Procurement Project]]="","",SUM(Complete[[#This Row],[MOOE2]]+Complete[[#This Row],[CO3]]))</f>
        <v>63232.800000000003</v>
      </c>
      <c r="AE283" s="501"/>
      <c r="AF283" s="541">
        <v>63232.800000000003</v>
      </c>
      <c r="AG283" s="400"/>
      <c r="AH283" s="380" t="s">
        <v>1205</v>
      </c>
      <c r="AI283" s="576" t="str">
        <f>VLOOKUP(Complete[[#This Row],[Code
(PAP)]],[1]Sheet1!$A:$AO,35,FALSE)</f>
        <v>N/A</v>
      </c>
      <c r="AJ283" s="576" t="str">
        <f>VLOOKUP(Complete[[#This Row],[Code
(PAP)]],[1]Sheet1!$A:$AO,36,FALSE)</f>
        <v>N/A</v>
      </c>
      <c r="AK283" s="576" t="str">
        <f>VLOOKUP(Complete[[#This Row],[Code
(PAP)]],[1]Sheet1!$A:$AO,37,FALSE)</f>
        <v>N/A</v>
      </c>
      <c r="AL283" s="576" t="str">
        <f>VLOOKUP(Complete[[#This Row],[Code
(PAP)]],[1]Sheet1!$A:$AO,38,FALSE)</f>
        <v>N/A</v>
      </c>
      <c r="AM283" s="576" t="str">
        <f>VLOOKUP(Complete[[#This Row],[Code
(PAP)]],[1]Sheet1!$A:$AO,38,FALSE)</f>
        <v>N/A</v>
      </c>
      <c r="AN283" s="595" t="s">
        <v>713</v>
      </c>
      <c r="AO283" s="303" t="s">
        <v>139</v>
      </c>
      <c r="AP283" s="389"/>
      <c r="AQ283" s="389"/>
    </row>
    <row r="284" spans="1:43" s="224" customFormat="1" ht="75" customHeight="1" x14ac:dyDescent="0.25">
      <c r="A284" s="385" t="s">
        <v>462</v>
      </c>
      <c r="B284" s="406" t="str">
        <f>VLOOKUP(Complete[[#This Row],[Code
(PAP)]],[1]Sheet1!$A:$AO,2,FALSE)</f>
        <v>SPORTS SUPPLIES &amp; EQUIPMENT</v>
      </c>
      <c r="C284" s="408" t="str">
        <f>VLOOKUP(Complete[[#This Row],[Code
(PAP)]],[1]Sheet1!$A:$AO,3,FALSE)</f>
        <v>SEF</v>
      </c>
      <c r="D284" s="380" t="s">
        <v>712</v>
      </c>
      <c r="E284" s="409" t="str">
        <f>VLOOKUP(Complete[[#This Row],[Code
(PAP)]],[2]Sheet1!$A:$AO,5,FALSE)</f>
        <v>NP-53.9 - Small Value Procurement</v>
      </c>
      <c r="F284" s="393" t="str">
        <f>VLOOKUP(Complete[[#This Row],[Code
(PAP)]],[1]Sheet1!$A:$AO,6,FALSE)</f>
        <v>N/A</v>
      </c>
      <c r="G284" s="393">
        <f>VLOOKUP(Complete[[#This Row],[Code
(PAP)]],[1]Sheet1!$A:$AO,7,FALSE)</f>
        <v>45376</v>
      </c>
      <c r="H284" s="374"/>
      <c r="I284" s="394" t="str">
        <f>VLOOKUP(Complete[[#This Row],[Code
(PAP)]],[1]Sheet1!$A:$AO,9,FALSE)</f>
        <v>N/A</v>
      </c>
      <c r="J284" s="393">
        <f>VLOOKUP(Complete[[#This Row],[Code
(PAP)]],[1]Sheet1!$A:$AO,10,FALSE)</f>
        <v>45385</v>
      </c>
      <c r="K284" s="393">
        <f>VLOOKUP(Complete[[#This Row],[Code
(PAP)]],[1]Sheet1!$A:$AO,11,FALSE)</f>
        <v>45385</v>
      </c>
      <c r="L284" s="387"/>
      <c r="M284" s="393" t="str">
        <f>VLOOKUP(Complete[[#This Row],[Code
(PAP)]],[1]Sheet1!$A:$AO,13,FALSE)</f>
        <v>N/A</v>
      </c>
      <c r="N284" s="393" t="str">
        <f>VLOOKUP(Complete[[#This Row],[Code
(PAP)]],[1]Sheet1!$A:$AO,14,FALSE)</f>
        <v>N/A</v>
      </c>
      <c r="O284" s="393">
        <f>VLOOKUP(Complete[[#This Row],[Code
(PAP)]],[1]Sheet1!$A:$AO,15,FALSE)</f>
        <v>45386</v>
      </c>
      <c r="P284" s="387"/>
      <c r="Q284" s="387"/>
      <c r="R284" s="387"/>
      <c r="S284" s="576">
        <f>VLOOKUP(Complete[[#This Row],[Code
(PAP)]],[1]Sheet1!$A:$AO,19,FALSE)</f>
        <v>45387</v>
      </c>
      <c r="T284" s="576">
        <f>VLOOKUP(Complete[[#This Row],[Code
(PAP)]],[1]Sheet1!$A:$AO,20,FALSE)</f>
        <v>45415</v>
      </c>
      <c r="U284" s="576">
        <f>VLOOKUP(Complete[[#This Row],[Code
(PAP)]],[1]Sheet1!$A:$AO,21,FALSE)</f>
        <v>45418</v>
      </c>
      <c r="V284" s="387"/>
      <c r="W284" s="387"/>
      <c r="X284" s="392">
        <f>VLOOKUP(Complete[[#This Row],[Code
(PAP)]],[1]Sheet1!$A:$AO,24,FALSE)</f>
        <v>45446</v>
      </c>
      <c r="Y284" s="392">
        <f>Complete[[#This Row],[Delivery/ Completion]]</f>
        <v>45446</v>
      </c>
      <c r="Z284" s="610" t="s">
        <v>1478</v>
      </c>
      <c r="AA284" s="462">
        <f>Complete[[#This Row],[MOOE]]+Complete[[#This Row],[CO]]</f>
        <v>422848</v>
      </c>
      <c r="AB284" s="466"/>
      <c r="AC284" s="497">
        <v>422848</v>
      </c>
      <c r="AD284" s="498">
        <f>IF(Complete[[#This Row],[Procurement Project]]="","",SUM(Complete[[#This Row],[MOOE2]]+Complete[[#This Row],[CO3]]))</f>
        <v>418361.5</v>
      </c>
      <c r="AE284" s="501"/>
      <c r="AF284" s="541">
        <v>418361.5</v>
      </c>
      <c r="AG284" s="400"/>
      <c r="AH284" s="380" t="s">
        <v>1205</v>
      </c>
      <c r="AI284" s="576" t="str">
        <f>VLOOKUP(Complete[[#This Row],[Code
(PAP)]],[1]Sheet1!$A:$AO,35,FALSE)</f>
        <v>N/A</v>
      </c>
      <c r="AJ284" s="576" t="str">
        <f>VLOOKUP(Complete[[#This Row],[Code
(PAP)]],[1]Sheet1!$A:$AO,36,FALSE)</f>
        <v>N/A</v>
      </c>
      <c r="AK284" s="576" t="str">
        <f>VLOOKUP(Complete[[#This Row],[Code
(PAP)]],[1]Sheet1!$A:$AO,37,FALSE)</f>
        <v>N/A</v>
      </c>
      <c r="AL284" s="576" t="str">
        <f>VLOOKUP(Complete[[#This Row],[Code
(PAP)]],[1]Sheet1!$A:$AO,38,FALSE)</f>
        <v>N/A</v>
      </c>
      <c r="AM284" s="576" t="str">
        <f>VLOOKUP(Complete[[#This Row],[Code
(PAP)]],[1]Sheet1!$A:$AO,38,FALSE)</f>
        <v>N/A</v>
      </c>
      <c r="AN284" s="595" t="s">
        <v>713</v>
      </c>
      <c r="AO284" s="303" t="s">
        <v>139</v>
      </c>
      <c r="AP284" s="389"/>
      <c r="AQ284" s="389"/>
    </row>
    <row r="285" spans="1:43" s="224" customFormat="1" ht="75" customHeight="1" x14ac:dyDescent="0.25">
      <c r="A285" s="385" t="s">
        <v>463</v>
      </c>
      <c r="B285" s="406" t="str">
        <f>VLOOKUP(Complete[[#This Row],[Code
(PAP)]],[1]Sheet1!$A:$AO,2,FALSE)</f>
        <v>SPAREPARTS (GRASS CUTTER)</v>
      </c>
      <c r="C285" s="408" t="str">
        <f>VLOOKUP(Complete[[#This Row],[Code
(PAP)]],[1]Sheet1!$A:$AO,3,FALSE)</f>
        <v>PGSO</v>
      </c>
      <c r="D285" s="380" t="s">
        <v>712</v>
      </c>
      <c r="E285" s="409" t="str">
        <f>VLOOKUP(Complete[[#This Row],[Code
(PAP)]],[2]Sheet1!$A:$AO,5,FALSE)</f>
        <v>NP-53.9 - Small Value Procurement</v>
      </c>
      <c r="F285" s="393" t="str">
        <f>VLOOKUP(Complete[[#This Row],[Code
(PAP)]],[1]Sheet1!$A:$AO,6,FALSE)</f>
        <v>N/A</v>
      </c>
      <c r="G285" s="393">
        <f>VLOOKUP(Complete[[#This Row],[Code
(PAP)]],[1]Sheet1!$A:$AO,7,FALSE)</f>
        <v>45371</v>
      </c>
      <c r="H285" s="374"/>
      <c r="I285" s="394" t="str">
        <f>VLOOKUP(Complete[[#This Row],[Code
(PAP)]],[1]Sheet1!$A:$AO,9,FALSE)</f>
        <v>N/A</v>
      </c>
      <c r="J285" s="393">
        <f>VLOOKUP(Complete[[#This Row],[Code
(PAP)]],[1]Sheet1!$A:$AO,10,FALSE)</f>
        <v>45385</v>
      </c>
      <c r="K285" s="393">
        <f>VLOOKUP(Complete[[#This Row],[Code
(PAP)]],[1]Sheet1!$A:$AO,11,FALSE)</f>
        <v>45385</v>
      </c>
      <c r="L285" s="387"/>
      <c r="M285" s="393" t="str">
        <f>VLOOKUP(Complete[[#This Row],[Code
(PAP)]],[1]Sheet1!$A:$AO,13,FALSE)</f>
        <v>N/A</v>
      </c>
      <c r="N285" s="393" t="str">
        <f>VLOOKUP(Complete[[#This Row],[Code
(PAP)]],[1]Sheet1!$A:$AO,14,FALSE)</f>
        <v>N/A</v>
      </c>
      <c r="O285" s="393">
        <f>VLOOKUP(Complete[[#This Row],[Code
(PAP)]],[1]Sheet1!$A:$AO,15,FALSE)</f>
        <v>45386</v>
      </c>
      <c r="P285" s="387"/>
      <c r="Q285" s="387"/>
      <c r="R285" s="387"/>
      <c r="S285" s="576" t="str">
        <f>VLOOKUP(Complete[[#This Row],[Code
(PAP)]],[1]Sheet1!$A:$AO,19,FALSE)</f>
        <v>N/A</v>
      </c>
      <c r="T285" s="576">
        <f>VLOOKUP(Complete[[#This Row],[Code
(PAP)]],[1]Sheet1!$A:$AO,20,FALSE)</f>
        <v>45394</v>
      </c>
      <c r="U285" s="576">
        <f>VLOOKUP(Complete[[#This Row],[Code
(PAP)]],[1]Sheet1!$A:$AO,21,FALSE)</f>
        <v>45420</v>
      </c>
      <c r="V285" s="387"/>
      <c r="W285" s="387"/>
      <c r="X285" s="392">
        <f>VLOOKUP(Complete[[#This Row],[Code
(PAP)]],[1]Sheet1!$A:$AO,24,FALSE)</f>
        <v>45436</v>
      </c>
      <c r="Y285" s="392">
        <f>Complete[[#This Row],[Delivery/ Completion]]</f>
        <v>45436</v>
      </c>
      <c r="Z285" s="610" t="s">
        <v>1478</v>
      </c>
      <c r="AA285" s="462">
        <f>Complete[[#This Row],[MOOE]]+Complete[[#This Row],[CO]]</f>
        <v>15580</v>
      </c>
      <c r="AB285" s="466">
        <v>15580</v>
      </c>
      <c r="AC285" s="497"/>
      <c r="AD285" s="498">
        <f>IF(Complete[[#This Row],[Procurement Project]]="","",SUM(Complete[[#This Row],[MOOE2]]+Complete[[#This Row],[CO3]]))</f>
        <v>15100</v>
      </c>
      <c r="AE285" s="501">
        <v>15100</v>
      </c>
      <c r="AF285" s="541"/>
      <c r="AG285" s="400"/>
      <c r="AH285" s="380" t="s">
        <v>1205</v>
      </c>
      <c r="AI285" s="576" t="str">
        <f>VLOOKUP(Complete[[#This Row],[Code
(PAP)]],[1]Sheet1!$A:$AO,35,FALSE)</f>
        <v>N/A</v>
      </c>
      <c r="AJ285" s="576" t="str">
        <f>VLOOKUP(Complete[[#This Row],[Code
(PAP)]],[1]Sheet1!$A:$AO,36,FALSE)</f>
        <v>N/A</v>
      </c>
      <c r="AK285" s="576" t="str">
        <f>VLOOKUP(Complete[[#This Row],[Code
(PAP)]],[1]Sheet1!$A:$AO,37,FALSE)</f>
        <v>N/A</v>
      </c>
      <c r="AL285" s="576" t="str">
        <f>VLOOKUP(Complete[[#This Row],[Code
(PAP)]],[1]Sheet1!$A:$AO,38,FALSE)</f>
        <v>N/A</v>
      </c>
      <c r="AM285" s="576" t="str">
        <f>VLOOKUP(Complete[[#This Row],[Code
(PAP)]],[1]Sheet1!$A:$AO,38,FALSE)</f>
        <v>N/A</v>
      </c>
      <c r="AN285" s="595" t="s">
        <v>713</v>
      </c>
      <c r="AO285" s="303" t="s">
        <v>139</v>
      </c>
      <c r="AP285" s="389"/>
      <c r="AQ285" s="389"/>
    </row>
    <row r="286" spans="1:43" s="224" customFormat="1" ht="75" customHeight="1" x14ac:dyDescent="0.25">
      <c r="A286" s="385" t="s">
        <v>464</v>
      </c>
      <c r="B286" s="406" t="str">
        <f>VLOOKUP(Complete[[#This Row],[Code
(PAP)]],[1]Sheet1!$A:$AO,2,FALSE)</f>
        <v>SPAREPARTS (MOTORCYCLE)</v>
      </c>
      <c r="C286" s="408" t="str">
        <f>VLOOKUP(Complete[[#This Row],[Code
(PAP)]],[1]Sheet1!$A:$AO,3,FALSE)</f>
        <v>PGSO</v>
      </c>
      <c r="D286" s="380" t="s">
        <v>712</v>
      </c>
      <c r="E286" s="409" t="str">
        <f>VLOOKUP(Complete[[#This Row],[Code
(PAP)]],[2]Sheet1!$A:$AO,5,FALSE)</f>
        <v>NP-53.9 - Small Value Procurement</v>
      </c>
      <c r="F286" s="393">
        <f>VLOOKUP(Complete[[#This Row],[Code
(PAP)]],[1]Sheet1!$A:$AO,6,FALSE)</f>
        <v>45356</v>
      </c>
      <c r="G286" s="393">
        <f>VLOOKUP(Complete[[#This Row],[Code
(PAP)]],[1]Sheet1!$A:$AO,7,FALSE)</f>
        <v>45359</v>
      </c>
      <c r="H286" s="374"/>
      <c r="I286" s="394" t="str">
        <f>VLOOKUP(Complete[[#This Row],[Code
(PAP)]],[1]Sheet1!$A:$AO,9,FALSE)</f>
        <v>N/A</v>
      </c>
      <c r="J286" s="393">
        <f>VLOOKUP(Complete[[#This Row],[Code
(PAP)]],[1]Sheet1!$A:$AO,10,FALSE)</f>
        <v>45385</v>
      </c>
      <c r="K286" s="393">
        <f>VLOOKUP(Complete[[#This Row],[Code
(PAP)]],[1]Sheet1!$A:$AO,11,FALSE)</f>
        <v>45385</v>
      </c>
      <c r="L286" s="387"/>
      <c r="M286" s="393" t="str">
        <f>VLOOKUP(Complete[[#This Row],[Code
(PAP)]],[1]Sheet1!$A:$AO,13,FALSE)</f>
        <v>N/A</v>
      </c>
      <c r="N286" s="393" t="str">
        <f>VLOOKUP(Complete[[#This Row],[Code
(PAP)]],[1]Sheet1!$A:$AO,14,FALSE)</f>
        <v>N/A</v>
      </c>
      <c r="O286" s="393">
        <f>VLOOKUP(Complete[[#This Row],[Code
(PAP)]],[1]Sheet1!$A:$AO,15,FALSE)</f>
        <v>45386</v>
      </c>
      <c r="P286" s="387"/>
      <c r="Q286" s="387"/>
      <c r="R286" s="387"/>
      <c r="S286" s="576" t="str">
        <f>VLOOKUP(Complete[[#This Row],[Code
(PAP)]],[1]Sheet1!$A:$AO,19,FALSE)</f>
        <v>N/A</v>
      </c>
      <c r="T286" s="576">
        <f>VLOOKUP(Complete[[#This Row],[Code
(PAP)]],[1]Sheet1!$A:$AO,20,FALSE)</f>
        <v>45394</v>
      </c>
      <c r="U286" s="576">
        <f>VLOOKUP(Complete[[#This Row],[Code
(PAP)]],[1]Sheet1!$A:$AO,21,FALSE)</f>
        <v>45433</v>
      </c>
      <c r="V286" s="387"/>
      <c r="W286" s="387"/>
      <c r="X286" s="392">
        <f>VLOOKUP(Complete[[#This Row],[Code
(PAP)]],[1]Sheet1!$A:$AO,24,FALSE)</f>
        <v>45440</v>
      </c>
      <c r="Y286" s="392">
        <f>Complete[[#This Row],[Delivery/ Completion]]</f>
        <v>45440</v>
      </c>
      <c r="Z286" s="610" t="s">
        <v>1478</v>
      </c>
      <c r="AA286" s="462">
        <f>Complete[[#This Row],[MOOE]]+Complete[[#This Row],[CO]]</f>
        <v>810</v>
      </c>
      <c r="AB286" s="466">
        <v>810</v>
      </c>
      <c r="AC286" s="497"/>
      <c r="AD286" s="498">
        <f>Complete[[#This Row],[MOOE2]]+Complete[[#This Row],[CO3]]</f>
        <v>810</v>
      </c>
      <c r="AE286" s="501">
        <v>810</v>
      </c>
      <c r="AF286" s="541"/>
      <c r="AG286" s="400"/>
      <c r="AH286" s="380" t="s">
        <v>1205</v>
      </c>
      <c r="AI286" s="576" t="str">
        <f>VLOOKUP(Complete[[#This Row],[Code
(PAP)]],[1]Sheet1!$A:$AO,35,FALSE)</f>
        <v>N/A</v>
      </c>
      <c r="AJ286" s="576" t="str">
        <f>VLOOKUP(Complete[[#This Row],[Code
(PAP)]],[1]Sheet1!$A:$AO,36,FALSE)</f>
        <v>N/A</v>
      </c>
      <c r="AK286" s="576" t="str">
        <f>VLOOKUP(Complete[[#This Row],[Code
(PAP)]],[1]Sheet1!$A:$AO,37,FALSE)</f>
        <v>N/A</v>
      </c>
      <c r="AL286" s="576" t="str">
        <f>VLOOKUP(Complete[[#This Row],[Code
(PAP)]],[1]Sheet1!$A:$AO,38,FALSE)</f>
        <v>N/A</v>
      </c>
      <c r="AM286" s="576" t="str">
        <f>VLOOKUP(Complete[[#This Row],[Code
(PAP)]],[1]Sheet1!$A:$AO,38,FALSE)</f>
        <v>N/A</v>
      </c>
      <c r="AN286" s="595" t="s">
        <v>713</v>
      </c>
      <c r="AO286" s="303" t="s">
        <v>139</v>
      </c>
      <c r="AP286" s="389"/>
      <c r="AQ286" s="389"/>
    </row>
    <row r="287" spans="1:43" s="224" customFormat="1" ht="75" customHeight="1" x14ac:dyDescent="0.25">
      <c r="A287" s="385" t="s">
        <v>465</v>
      </c>
      <c r="B287" s="406" t="str">
        <f>VLOOKUP(Complete[[#This Row],[Code
(PAP)]],[1]Sheet1!$A:$AO,2,FALSE)</f>
        <v>SPAREPARTS (MOTORCYCLE)</v>
      </c>
      <c r="C287" s="408" t="str">
        <f>VLOOKUP(Complete[[#This Row],[Code
(PAP)]],[1]Sheet1!$A:$AO,3,FALSE)</f>
        <v>PGSO</v>
      </c>
      <c r="D287" s="380" t="s">
        <v>712</v>
      </c>
      <c r="E287" s="409" t="str">
        <f>VLOOKUP(Complete[[#This Row],[Code
(PAP)]],[2]Sheet1!$A:$AO,5,FALSE)</f>
        <v>NP-53.9 - Small Value Procurement</v>
      </c>
      <c r="F287" s="393">
        <f>VLOOKUP(Complete[[#This Row],[Code
(PAP)]],[1]Sheet1!$A:$AO,6,FALSE)</f>
        <v>45356</v>
      </c>
      <c r="G287" s="393">
        <f>VLOOKUP(Complete[[#This Row],[Code
(PAP)]],[1]Sheet1!$A:$AO,7,FALSE)</f>
        <v>45359</v>
      </c>
      <c r="H287" s="374"/>
      <c r="I287" s="394" t="str">
        <f>VLOOKUP(Complete[[#This Row],[Code
(PAP)]],[1]Sheet1!$A:$AO,9,FALSE)</f>
        <v>N/A</v>
      </c>
      <c r="J287" s="393">
        <f>VLOOKUP(Complete[[#This Row],[Code
(PAP)]],[1]Sheet1!$A:$AO,10,FALSE)</f>
        <v>45385</v>
      </c>
      <c r="K287" s="393">
        <f>VLOOKUP(Complete[[#This Row],[Code
(PAP)]],[1]Sheet1!$A:$AO,11,FALSE)</f>
        <v>45385</v>
      </c>
      <c r="L287" s="387"/>
      <c r="M287" s="393" t="str">
        <f>VLOOKUP(Complete[[#This Row],[Code
(PAP)]],[1]Sheet1!$A:$AO,13,FALSE)</f>
        <v>N/A</v>
      </c>
      <c r="N287" s="393" t="str">
        <f>VLOOKUP(Complete[[#This Row],[Code
(PAP)]],[1]Sheet1!$A:$AO,14,FALSE)</f>
        <v>N/A</v>
      </c>
      <c r="O287" s="393">
        <f>VLOOKUP(Complete[[#This Row],[Code
(PAP)]],[1]Sheet1!$A:$AO,15,FALSE)</f>
        <v>45386</v>
      </c>
      <c r="P287" s="387"/>
      <c r="Q287" s="387"/>
      <c r="R287" s="387"/>
      <c r="S287" s="576" t="str">
        <f>VLOOKUP(Complete[[#This Row],[Code
(PAP)]],[1]Sheet1!$A:$AO,19,FALSE)</f>
        <v>N/A</v>
      </c>
      <c r="T287" s="576">
        <f>VLOOKUP(Complete[[#This Row],[Code
(PAP)]],[1]Sheet1!$A:$AO,20,FALSE)</f>
        <v>45394</v>
      </c>
      <c r="U287" s="576">
        <f>VLOOKUP(Complete[[#This Row],[Code
(PAP)]],[1]Sheet1!$A:$AO,21,FALSE)</f>
        <v>45433</v>
      </c>
      <c r="V287" s="387"/>
      <c r="W287" s="387"/>
      <c r="X287" s="392">
        <f>VLOOKUP(Complete[[#This Row],[Code
(PAP)]],[1]Sheet1!$A:$AO,24,FALSE)</f>
        <v>45440</v>
      </c>
      <c r="Y287" s="392">
        <f>Complete[[#This Row],[Delivery/ Completion]]</f>
        <v>45440</v>
      </c>
      <c r="Z287" s="610" t="s">
        <v>1478</v>
      </c>
      <c r="AA287" s="462">
        <f>Complete[[#This Row],[MOOE]]+Complete[[#This Row],[CO]]</f>
        <v>8400</v>
      </c>
      <c r="AB287" s="466">
        <v>8400</v>
      </c>
      <c r="AC287" s="497"/>
      <c r="AD287" s="498">
        <f>IF(Complete[[#This Row],[Procurement Project]]="","",SUM(Complete[[#This Row],[MOOE2]]+Complete[[#This Row],[CO3]]))</f>
        <v>8400</v>
      </c>
      <c r="AE287" s="501">
        <v>8400</v>
      </c>
      <c r="AF287" s="541"/>
      <c r="AG287" s="400"/>
      <c r="AH287" s="380" t="s">
        <v>1205</v>
      </c>
      <c r="AI287" s="576" t="str">
        <f>VLOOKUP(Complete[[#This Row],[Code
(PAP)]],[1]Sheet1!$A:$AO,35,FALSE)</f>
        <v>N/A</v>
      </c>
      <c r="AJ287" s="576" t="str">
        <f>VLOOKUP(Complete[[#This Row],[Code
(PAP)]],[1]Sheet1!$A:$AO,36,FALSE)</f>
        <v>N/A</v>
      </c>
      <c r="AK287" s="576" t="str">
        <f>VLOOKUP(Complete[[#This Row],[Code
(PAP)]],[1]Sheet1!$A:$AO,37,FALSE)</f>
        <v>N/A</v>
      </c>
      <c r="AL287" s="576" t="str">
        <f>VLOOKUP(Complete[[#This Row],[Code
(PAP)]],[1]Sheet1!$A:$AO,38,FALSE)</f>
        <v>N/A</v>
      </c>
      <c r="AM287" s="576" t="str">
        <f>VLOOKUP(Complete[[#This Row],[Code
(PAP)]],[1]Sheet1!$A:$AO,38,FALSE)</f>
        <v>N/A</v>
      </c>
      <c r="AN287" s="595" t="s">
        <v>713</v>
      </c>
      <c r="AO287" s="303" t="s">
        <v>139</v>
      </c>
      <c r="AP287" s="389"/>
      <c r="AQ287" s="389"/>
    </row>
    <row r="288" spans="1:43" s="224" customFormat="1" ht="75" customHeight="1" x14ac:dyDescent="0.25">
      <c r="A288" s="385" t="s">
        <v>466</v>
      </c>
      <c r="B288" s="406" t="str">
        <f>VLOOKUP(Complete[[#This Row],[Code
(PAP)]],[1]Sheet1!$A:$AO,2,FALSE)</f>
        <v>SPAREPARTS (MOTORCYCLE)</v>
      </c>
      <c r="C288" s="408" t="str">
        <f>VLOOKUP(Complete[[#This Row],[Code
(PAP)]],[1]Sheet1!$A:$AO,3,FALSE)</f>
        <v>PGSO</v>
      </c>
      <c r="D288" s="380" t="s">
        <v>712</v>
      </c>
      <c r="E288" s="409" t="str">
        <f>VLOOKUP(Complete[[#This Row],[Code
(PAP)]],[2]Sheet1!$A:$AO,5,FALSE)</f>
        <v>NP-53.9 - Small Value Procurement</v>
      </c>
      <c r="F288" s="393">
        <f>VLOOKUP(Complete[[#This Row],[Code
(PAP)]],[1]Sheet1!$A:$AO,6,FALSE)</f>
        <v>45356</v>
      </c>
      <c r="G288" s="393">
        <f>VLOOKUP(Complete[[#This Row],[Code
(PAP)]],[1]Sheet1!$A:$AO,7,FALSE)</f>
        <v>45359</v>
      </c>
      <c r="H288" s="374"/>
      <c r="I288" s="394" t="str">
        <f>VLOOKUP(Complete[[#This Row],[Code
(PAP)]],[1]Sheet1!$A:$AO,9,FALSE)</f>
        <v>N/A</v>
      </c>
      <c r="J288" s="393">
        <f>VLOOKUP(Complete[[#This Row],[Code
(PAP)]],[1]Sheet1!$A:$AO,10,FALSE)</f>
        <v>45385</v>
      </c>
      <c r="K288" s="393">
        <f>VLOOKUP(Complete[[#This Row],[Code
(PAP)]],[1]Sheet1!$A:$AO,11,FALSE)</f>
        <v>45385</v>
      </c>
      <c r="L288" s="387"/>
      <c r="M288" s="393" t="str">
        <f>VLOOKUP(Complete[[#This Row],[Code
(PAP)]],[1]Sheet1!$A:$AO,13,FALSE)</f>
        <v>N/A</v>
      </c>
      <c r="N288" s="393" t="str">
        <f>VLOOKUP(Complete[[#This Row],[Code
(PAP)]],[1]Sheet1!$A:$AO,14,FALSE)</f>
        <v>N/A</v>
      </c>
      <c r="O288" s="393">
        <f>VLOOKUP(Complete[[#This Row],[Code
(PAP)]],[1]Sheet1!$A:$AO,15,FALSE)</f>
        <v>45386</v>
      </c>
      <c r="P288" s="387"/>
      <c r="Q288" s="387"/>
      <c r="R288" s="387"/>
      <c r="S288" s="576" t="str">
        <f>VLOOKUP(Complete[[#This Row],[Code
(PAP)]],[1]Sheet1!$A:$AO,19,FALSE)</f>
        <v>N/A</v>
      </c>
      <c r="T288" s="576">
        <f>VLOOKUP(Complete[[#This Row],[Code
(PAP)]],[1]Sheet1!$A:$AO,20,FALSE)</f>
        <v>45394</v>
      </c>
      <c r="U288" s="576">
        <f>VLOOKUP(Complete[[#This Row],[Code
(PAP)]],[1]Sheet1!$A:$AO,21,FALSE)</f>
        <v>45433</v>
      </c>
      <c r="V288" s="387"/>
      <c r="W288" s="387"/>
      <c r="X288" s="392">
        <f>VLOOKUP(Complete[[#This Row],[Code
(PAP)]],[1]Sheet1!$A:$AO,24,FALSE)</f>
        <v>45440</v>
      </c>
      <c r="Y288" s="392">
        <f>Complete[[#This Row],[Delivery/ Completion]]</f>
        <v>45440</v>
      </c>
      <c r="Z288" s="610" t="s">
        <v>1478</v>
      </c>
      <c r="AA288" s="462">
        <f>Complete[[#This Row],[MOOE]]+Complete[[#This Row],[CO]]</f>
        <v>9850</v>
      </c>
      <c r="AB288" s="466">
        <v>9850</v>
      </c>
      <c r="AC288" s="497"/>
      <c r="AD288" s="498">
        <f>IF(Complete[[#This Row],[Procurement Project]]="","",SUM(Complete[[#This Row],[MOOE2]]+Complete[[#This Row],[CO3]]))</f>
        <v>9850</v>
      </c>
      <c r="AE288" s="501">
        <v>9850</v>
      </c>
      <c r="AF288" s="541"/>
      <c r="AG288" s="400"/>
      <c r="AH288" s="380" t="s">
        <v>1205</v>
      </c>
      <c r="AI288" s="576" t="str">
        <f>VLOOKUP(Complete[[#This Row],[Code
(PAP)]],[1]Sheet1!$A:$AO,35,FALSE)</f>
        <v>N/A</v>
      </c>
      <c r="AJ288" s="576" t="str">
        <f>VLOOKUP(Complete[[#This Row],[Code
(PAP)]],[1]Sheet1!$A:$AO,36,FALSE)</f>
        <v>N/A</v>
      </c>
      <c r="AK288" s="576" t="str">
        <f>VLOOKUP(Complete[[#This Row],[Code
(PAP)]],[1]Sheet1!$A:$AO,37,FALSE)</f>
        <v>N/A</v>
      </c>
      <c r="AL288" s="576" t="str">
        <f>VLOOKUP(Complete[[#This Row],[Code
(PAP)]],[1]Sheet1!$A:$AO,38,FALSE)</f>
        <v>N/A</v>
      </c>
      <c r="AM288" s="576" t="str">
        <f>VLOOKUP(Complete[[#This Row],[Code
(PAP)]],[1]Sheet1!$A:$AO,38,FALSE)</f>
        <v>N/A</v>
      </c>
      <c r="AN288" s="595" t="s">
        <v>713</v>
      </c>
      <c r="AO288" s="303" t="s">
        <v>139</v>
      </c>
      <c r="AP288" s="389"/>
      <c r="AQ288" s="389"/>
    </row>
    <row r="289" spans="1:43" s="224" customFormat="1" ht="75" customHeight="1" x14ac:dyDescent="0.25">
      <c r="A289" s="385" t="s">
        <v>467</v>
      </c>
      <c r="B289" s="406" t="str">
        <f>VLOOKUP(Complete[[#This Row],[Code
(PAP)]],[1]Sheet1!$A:$AO,2,FALSE)</f>
        <v>SPORTS UNIFORM</v>
      </c>
      <c r="C289" s="408" t="str">
        <f>VLOOKUP(Complete[[#This Row],[Code
(PAP)]],[1]Sheet1!$A:$AO,3,FALSE)</f>
        <v>SEF</v>
      </c>
      <c r="D289" s="380" t="s">
        <v>712</v>
      </c>
      <c r="E289" s="409" t="str">
        <f>VLOOKUP(Complete[[#This Row],[Code
(PAP)]],[2]Sheet1!$A:$AO,5,FALSE)</f>
        <v>Competitive Bidding</v>
      </c>
      <c r="F289" s="393" t="str">
        <f>VLOOKUP(Complete[[#This Row],[Code
(PAP)]],[1]Sheet1!$A:$AO,6,FALSE)</f>
        <v>N/A</v>
      </c>
      <c r="G289" s="393">
        <f>VLOOKUP(Complete[[#This Row],[Code
(PAP)]],[1]Sheet1!$A:$AO,7,FALSE)</f>
        <v>45365</v>
      </c>
      <c r="H289" s="374"/>
      <c r="I289" s="394">
        <f>VLOOKUP(Complete[[#This Row],[Code
(PAP)]],[1]Sheet1!$A:$AO,9,FALSE)</f>
        <v>45373</v>
      </c>
      <c r="J289" s="393">
        <f>VLOOKUP(Complete[[#This Row],[Code
(PAP)]],[1]Sheet1!$A:$AO,10,FALSE)</f>
        <v>45385</v>
      </c>
      <c r="K289" s="393">
        <f>VLOOKUP(Complete[[#This Row],[Code
(PAP)]],[1]Sheet1!$A:$AO,11,FALSE)</f>
        <v>45385</v>
      </c>
      <c r="L289" s="387"/>
      <c r="M289" s="393">
        <f>VLOOKUP(Complete[[#This Row],[Code
(PAP)]],[1]Sheet1!$A:$AO,13,FALSE)</f>
        <v>45385</v>
      </c>
      <c r="N289" s="393">
        <f>VLOOKUP(Complete[[#This Row],[Code
(PAP)]],[1]Sheet1!$A:$AO,14,FALSE)</f>
        <v>45387</v>
      </c>
      <c r="O289" s="393">
        <f>VLOOKUP(Complete[[#This Row],[Code
(PAP)]],[1]Sheet1!$A:$AO,15,FALSE)</f>
        <v>45387</v>
      </c>
      <c r="P289" s="387"/>
      <c r="Q289" s="387"/>
      <c r="R289" s="387"/>
      <c r="S289" s="576">
        <f>VLOOKUP(Complete[[#This Row],[Code
(PAP)]],[1]Sheet1!$A:$AO,19,FALSE)</f>
        <v>45388</v>
      </c>
      <c r="T289" s="576">
        <f>VLOOKUP(Complete[[#This Row],[Code
(PAP)]],[1]Sheet1!$A:$AO,20,FALSE)</f>
        <v>45390</v>
      </c>
      <c r="U289" s="576">
        <f>VLOOKUP(Complete[[#This Row],[Code
(PAP)]],[1]Sheet1!$A:$AO,21,FALSE)</f>
        <v>45390</v>
      </c>
      <c r="V289" s="387"/>
      <c r="W289" s="387"/>
      <c r="X289" s="392">
        <f>VLOOKUP(Complete[[#This Row],[Code
(PAP)]],[1]Sheet1!$A:$AO,24,FALSE)</f>
        <v>45406</v>
      </c>
      <c r="Y289" s="392">
        <f>Complete[[#This Row],[Delivery/ Completion]]</f>
        <v>45406</v>
      </c>
      <c r="Z289" s="610" t="s">
        <v>1478</v>
      </c>
      <c r="AA289" s="462">
        <f>Complete[[#This Row],[MOOE]]+Complete[[#This Row],[CO]]</f>
        <v>1133060</v>
      </c>
      <c r="AB289" s="466"/>
      <c r="AC289" s="497">
        <v>1133060</v>
      </c>
      <c r="AD289" s="498">
        <f>IF(Complete[[#This Row],[Procurement Project]]="","",SUM(Complete[[#This Row],[MOOE2]]+Complete[[#This Row],[CO3]]))</f>
        <v>1132791.75</v>
      </c>
      <c r="AE289" s="501"/>
      <c r="AF289" s="541">
        <v>1132791.75</v>
      </c>
      <c r="AG289" s="400"/>
      <c r="AH289" s="380" t="s">
        <v>1205</v>
      </c>
      <c r="AI289" s="576">
        <f>VLOOKUP(Complete[[#This Row],[Code
(PAP)]],[1]Sheet1!$A:$AO,35,FALSE)</f>
        <v>45372</v>
      </c>
      <c r="AJ289" s="576">
        <f>VLOOKUP(Complete[[#This Row],[Code
(PAP)]],[1]Sheet1!$A:$AO,36,FALSE)</f>
        <v>45383</v>
      </c>
      <c r="AK289" s="576">
        <f>VLOOKUP(Complete[[#This Row],[Code
(PAP)]],[1]Sheet1!$A:$AO,37,FALSE)</f>
        <v>45383</v>
      </c>
      <c r="AL289" s="576">
        <f>VLOOKUP(Complete[[#This Row],[Code
(PAP)]],[1]Sheet1!$A:$AO,38,FALSE)</f>
        <v>45383</v>
      </c>
      <c r="AM289" s="576">
        <f>VLOOKUP(Complete[[#This Row],[Code
(PAP)]],[1]Sheet1!$A:$AO,38,FALSE)</f>
        <v>45383</v>
      </c>
      <c r="AN289" s="595" t="s">
        <v>713</v>
      </c>
      <c r="AO289" s="303" t="s">
        <v>139</v>
      </c>
      <c r="AP289" s="389"/>
      <c r="AQ289" s="389"/>
    </row>
    <row r="290" spans="1:43" s="224" customFormat="1" ht="75" customHeight="1" x14ac:dyDescent="0.25">
      <c r="A290" s="385" t="s">
        <v>468</v>
      </c>
      <c r="B290" s="406" t="str">
        <f>VLOOKUP(Complete[[#This Row],[Code
(PAP)]],[1]Sheet1!$A:$AO,2,FALSE)</f>
        <v>MEDICAL SUPPLIES</v>
      </c>
      <c r="C290" s="408" t="str">
        <f>VLOOKUP(Complete[[#This Row],[Code
(PAP)]],[1]Sheet1!$A:$AO,3,FALSE)</f>
        <v>PGO</v>
      </c>
      <c r="D290" s="380" t="s">
        <v>712</v>
      </c>
      <c r="E290" s="409" t="str">
        <f>VLOOKUP(Complete[[#This Row],[Code
(PAP)]],[2]Sheet1!$A:$AO,5,FALSE)</f>
        <v>Competitive Bidding</v>
      </c>
      <c r="F290" s="393" t="str">
        <f>VLOOKUP(Complete[[#This Row],[Code
(PAP)]],[1]Sheet1!$A:$AO,6,FALSE)</f>
        <v>N/A</v>
      </c>
      <c r="G290" s="393">
        <f>VLOOKUP(Complete[[#This Row],[Code
(PAP)]],[1]Sheet1!$A:$AO,7,FALSE)</f>
        <v>45362</v>
      </c>
      <c r="H290" s="374"/>
      <c r="I290" s="394" t="str">
        <f>VLOOKUP(Complete[[#This Row],[Code
(PAP)]],[1]Sheet1!$A:$AO,9,FALSE)</f>
        <v>N/A</v>
      </c>
      <c r="J290" s="393">
        <f>VLOOKUP(Complete[[#This Row],[Code
(PAP)]],[1]Sheet1!$A:$AO,10,FALSE)</f>
        <v>45370</v>
      </c>
      <c r="K290" s="393">
        <f>VLOOKUP(Complete[[#This Row],[Code
(PAP)]],[1]Sheet1!$A:$AO,11,FALSE)</f>
        <v>45370</v>
      </c>
      <c r="L290" s="387"/>
      <c r="M290" s="393">
        <f>VLOOKUP(Complete[[#This Row],[Code
(PAP)]],[1]Sheet1!$A:$AO,13,FALSE)</f>
        <v>45370</v>
      </c>
      <c r="N290" s="393">
        <f>VLOOKUP(Complete[[#This Row],[Code
(PAP)]],[1]Sheet1!$A:$AO,14,FALSE)</f>
        <v>45386</v>
      </c>
      <c r="O290" s="393">
        <f>VLOOKUP(Complete[[#This Row],[Code
(PAP)]],[1]Sheet1!$A:$AO,15,FALSE)</f>
        <v>45388</v>
      </c>
      <c r="P290" s="387"/>
      <c r="Q290" s="387"/>
      <c r="R290" s="387"/>
      <c r="S290" s="576">
        <f>VLOOKUP(Complete[[#This Row],[Code
(PAP)]],[1]Sheet1!$A:$AO,19,FALSE)</f>
        <v>45393</v>
      </c>
      <c r="T290" s="576">
        <f>VLOOKUP(Complete[[#This Row],[Code
(PAP)]],[1]Sheet1!$A:$AO,20,FALSE)</f>
        <v>45412</v>
      </c>
      <c r="U290" s="576">
        <f>VLOOKUP(Complete[[#This Row],[Code
(PAP)]],[1]Sheet1!$A:$AO,21,FALSE)</f>
        <v>45433</v>
      </c>
      <c r="V290" s="387"/>
      <c r="W290" s="387"/>
      <c r="X290" s="392">
        <f>VLOOKUP(Complete[[#This Row],[Code
(PAP)]],[1]Sheet1!$A:$AO,24,FALSE)</f>
        <v>45462</v>
      </c>
      <c r="Y290" s="392">
        <f>Complete[[#This Row],[Delivery/ Completion]]</f>
        <v>45462</v>
      </c>
      <c r="Z290" s="610" t="s">
        <v>1478</v>
      </c>
      <c r="AA290" s="462">
        <f>Complete[[#This Row],[MOOE]]+Complete[[#This Row],[CO]]</f>
        <v>323640</v>
      </c>
      <c r="AB290" s="466"/>
      <c r="AC290" s="497">
        <v>323640</v>
      </c>
      <c r="AD290" s="498">
        <f>IF(Complete[[#This Row],[Procurement Project]]="","",SUM(Complete[[#This Row],[MOOE2]]+Complete[[#This Row],[CO3]]))</f>
        <v>152980</v>
      </c>
      <c r="AE290" s="501"/>
      <c r="AF290" s="541">
        <v>152980</v>
      </c>
      <c r="AG290" s="400"/>
      <c r="AH290" s="380" t="s">
        <v>1205</v>
      </c>
      <c r="AI290" s="576" t="str">
        <f>VLOOKUP(Complete[[#This Row],[Code
(PAP)]],[1]Sheet1!$A:$AO,35,FALSE)</f>
        <v>N/A</v>
      </c>
      <c r="AJ290" s="576">
        <f>VLOOKUP(Complete[[#This Row],[Code
(PAP)]],[1]Sheet1!$A:$AO,36,FALSE)</f>
        <v>45366</v>
      </c>
      <c r="AK290" s="576">
        <f>VLOOKUP(Complete[[#This Row],[Code
(PAP)]],[1]Sheet1!$A:$AO,37,FALSE)</f>
        <v>45366</v>
      </c>
      <c r="AL290" s="576">
        <f>VLOOKUP(Complete[[#This Row],[Code
(PAP)]],[1]Sheet1!$A:$AO,38,FALSE)</f>
        <v>45366</v>
      </c>
      <c r="AM290" s="576">
        <f>VLOOKUP(Complete[[#This Row],[Code
(PAP)]],[1]Sheet1!$A:$AO,38,FALSE)</f>
        <v>45366</v>
      </c>
      <c r="AN290" s="595" t="s">
        <v>713</v>
      </c>
      <c r="AO290" s="303" t="s">
        <v>139</v>
      </c>
      <c r="AP290" s="389"/>
      <c r="AQ290" s="389"/>
    </row>
    <row r="291" spans="1:43" s="224" customFormat="1" ht="75" customHeight="1" x14ac:dyDescent="0.25">
      <c r="A291" s="385" t="s">
        <v>469</v>
      </c>
      <c r="B291" s="406" t="str">
        <f>VLOOKUP(Complete[[#This Row],[Code
(PAP)]],[1]Sheet1!$A:$AO,2,FALSE)</f>
        <v>SPAREPARTS (MOTORCYCLE)</v>
      </c>
      <c r="C291" s="408" t="str">
        <f>VLOOKUP(Complete[[#This Row],[Code
(PAP)]],[1]Sheet1!$A:$AO,3,FALSE)</f>
        <v>PGSO</v>
      </c>
      <c r="D291" s="380" t="s">
        <v>712</v>
      </c>
      <c r="E291" s="409" t="str">
        <f>VLOOKUP(Complete[[#This Row],[Code
(PAP)]],[2]Sheet1!$A:$AO,5,FALSE)</f>
        <v>Shopping 52.1(a) - Unforeseen Contingency</v>
      </c>
      <c r="F291" s="393">
        <f>VLOOKUP(Complete[[#This Row],[Code
(PAP)]],[1]Sheet1!$A:$AO,6,FALSE)</f>
        <v>45356</v>
      </c>
      <c r="G291" s="393">
        <f>VLOOKUP(Complete[[#This Row],[Code
(PAP)]],[1]Sheet1!$A:$AO,7,FALSE)</f>
        <v>45371</v>
      </c>
      <c r="H291" s="374"/>
      <c r="I291" s="394" t="str">
        <f>VLOOKUP(Complete[[#This Row],[Code
(PAP)]],[1]Sheet1!$A:$AO,9,FALSE)</f>
        <v>N/A</v>
      </c>
      <c r="J291" s="393">
        <f>VLOOKUP(Complete[[#This Row],[Code
(PAP)]],[1]Sheet1!$A:$AO,10,FALSE)</f>
        <v>45387</v>
      </c>
      <c r="K291" s="393">
        <f>VLOOKUP(Complete[[#This Row],[Code
(PAP)]],[1]Sheet1!$A:$AO,11,FALSE)</f>
        <v>45387</v>
      </c>
      <c r="L291" s="387"/>
      <c r="M291" s="393" t="str">
        <f>VLOOKUP(Complete[[#This Row],[Code
(PAP)]],[1]Sheet1!$A:$AO,13,FALSE)</f>
        <v>N/A</v>
      </c>
      <c r="N291" s="393" t="str">
        <f>VLOOKUP(Complete[[#This Row],[Code
(PAP)]],[1]Sheet1!$A:$AO,14,FALSE)</f>
        <v>N/A</v>
      </c>
      <c r="O291" s="393">
        <f>VLOOKUP(Complete[[#This Row],[Code
(PAP)]],[1]Sheet1!$A:$AO,15,FALSE)</f>
        <v>45394</v>
      </c>
      <c r="P291" s="387"/>
      <c r="Q291" s="387"/>
      <c r="R291" s="387"/>
      <c r="S291" s="576" t="str">
        <f>VLOOKUP(Complete[[#This Row],[Code
(PAP)]],[1]Sheet1!$A:$AO,19,FALSE)</f>
        <v>N/A</v>
      </c>
      <c r="T291" s="576">
        <f>VLOOKUP(Complete[[#This Row],[Code
(PAP)]],[1]Sheet1!$A:$AO,20,FALSE)</f>
        <v>45405</v>
      </c>
      <c r="U291" s="576">
        <f>VLOOKUP(Complete[[#This Row],[Code
(PAP)]],[1]Sheet1!$A:$AO,21,FALSE)</f>
        <v>45420</v>
      </c>
      <c r="V291" s="387"/>
      <c r="W291" s="387"/>
      <c r="X291" s="392">
        <f>VLOOKUP(Complete[[#This Row],[Code
(PAP)]],[1]Sheet1!$A:$AO,24,FALSE)</f>
        <v>45420</v>
      </c>
      <c r="Y291" s="392">
        <f>Complete[[#This Row],[Delivery/ Completion]]</f>
        <v>45420</v>
      </c>
      <c r="Z291" s="610" t="s">
        <v>1478</v>
      </c>
      <c r="AA291" s="462">
        <f>Complete[[#This Row],[MOOE]]+Complete[[#This Row],[CO]]</f>
        <v>31620</v>
      </c>
      <c r="AB291" s="466">
        <v>31620</v>
      </c>
      <c r="AC291" s="497"/>
      <c r="AD291" s="498">
        <f>IF(Complete[[#This Row],[Procurement Project]]="","",SUM(Complete[[#This Row],[MOOE2]]+Complete[[#This Row],[CO3]]))</f>
        <v>31620</v>
      </c>
      <c r="AE291" s="501">
        <v>31620</v>
      </c>
      <c r="AF291" s="541"/>
      <c r="AG291" s="400"/>
      <c r="AH291" s="380" t="s">
        <v>1205</v>
      </c>
      <c r="AI291" s="576" t="str">
        <f>VLOOKUP(Complete[[#This Row],[Code
(PAP)]],[1]Sheet1!$A:$AO,35,FALSE)</f>
        <v>N/A</v>
      </c>
      <c r="AJ291" s="576" t="str">
        <f>VLOOKUP(Complete[[#This Row],[Code
(PAP)]],[1]Sheet1!$A:$AO,36,FALSE)</f>
        <v>N/A</v>
      </c>
      <c r="AK291" s="576" t="str">
        <f>VLOOKUP(Complete[[#This Row],[Code
(PAP)]],[1]Sheet1!$A:$AO,37,FALSE)</f>
        <v>N/A</v>
      </c>
      <c r="AL291" s="576" t="str">
        <f>VLOOKUP(Complete[[#This Row],[Code
(PAP)]],[1]Sheet1!$A:$AO,38,FALSE)</f>
        <v>N/A</v>
      </c>
      <c r="AM291" s="576" t="str">
        <f>VLOOKUP(Complete[[#This Row],[Code
(PAP)]],[1]Sheet1!$A:$AO,38,FALSE)</f>
        <v>N/A</v>
      </c>
      <c r="AN291" s="595" t="s">
        <v>713</v>
      </c>
      <c r="AO291" s="303" t="s">
        <v>139</v>
      </c>
      <c r="AP291" s="389"/>
      <c r="AQ291" s="389"/>
    </row>
    <row r="292" spans="1:43" s="224" customFormat="1" ht="75" customHeight="1" x14ac:dyDescent="0.25">
      <c r="A292" s="385" t="s">
        <v>470</v>
      </c>
      <c r="B292" s="406" t="str">
        <f>VLOOKUP(Complete[[#This Row],[Code
(PAP)]],[1]Sheet1!$A:$AO,2,FALSE)</f>
        <v>SPAREPARTS (LIGHT VEHICLES)</v>
      </c>
      <c r="C292" s="408" t="str">
        <f>VLOOKUP(Complete[[#This Row],[Code
(PAP)]],[1]Sheet1!$A:$AO,3,FALSE)</f>
        <v>PGSO</v>
      </c>
      <c r="D292" s="380" t="s">
        <v>712</v>
      </c>
      <c r="E292" s="409" t="str">
        <f>VLOOKUP(Complete[[#This Row],[Code
(PAP)]],[2]Sheet1!$A:$AO,5,FALSE)</f>
        <v>Shopping 52.1(a) - Unforeseen Contingency</v>
      </c>
      <c r="F292" s="393" t="str">
        <f>VLOOKUP(Complete[[#This Row],[Code
(PAP)]],[1]Sheet1!$A:$AO,6,FALSE)</f>
        <v>N/A</v>
      </c>
      <c r="G292" s="393">
        <f>VLOOKUP(Complete[[#This Row],[Code
(PAP)]],[1]Sheet1!$A:$AO,7,FALSE)</f>
        <v>45371</v>
      </c>
      <c r="H292" s="374"/>
      <c r="I292" s="394" t="str">
        <f>VLOOKUP(Complete[[#This Row],[Code
(PAP)]],[1]Sheet1!$A:$AO,9,FALSE)</f>
        <v>N/A</v>
      </c>
      <c r="J292" s="393">
        <f>VLOOKUP(Complete[[#This Row],[Code
(PAP)]],[1]Sheet1!$A:$AO,10,FALSE)</f>
        <v>45387</v>
      </c>
      <c r="K292" s="393">
        <f>VLOOKUP(Complete[[#This Row],[Code
(PAP)]],[1]Sheet1!$A:$AO,11,FALSE)</f>
        <v>45387</v>
      </c>
      <c r="L292" s="387"/>
      <c r="M292" s="393" t="str">
        <f>VLOOKUP(Complete[[#This Row],[Code
(PAP)]],[1]Sheet1!$A:$AO,13,FALSE)</f>
        <v>N/A</v>
      </c>
      <c r="N292" s="393" t="str">
        <f>VLOOKUP(Complete[[#This Row],[Code
(PAP)]],[1]Sheet1!$A:$AO,14,FALSE)</f>
        <v>N/A</v>
      </c>
      <c r="O292" s="393">
        <f>VLOOKUP(Complete[[#This Row],[Code
(PAP)]],[1]Sheet1!$A:$AO,15,FALSE)</f>
        <v>45394</v>
      </c>
      <c r="P292" s="387"/>
      <c r="Q292" s="387"/>
      <c r="R292" s="387"/>
      <c r="S292" s="576" t="str">
        <f>VLOOKUP(Complete[[#This Row],[Code
(PAP)]],[1]Sheet1!$A:$AO,19,FALSE)</f>
        <v>N/A</v>
      </c>
      <c r="T292" s="576">
        <f>VLOOKUP(Complete[[#This Row],[Code
(PAP)]],[1]Sheet1!$A:$AO,20,FALSE)</f>
        <v>45405</v>
      </c>
      <c r="U292" s="576">
        <f>VLOOKUP(Complete[[#This Row],[Code
(PAP)]],[1]Sheet1!$A:$AO,21,FALSE)</f>
        <v>45420</v>
      </c>
      <c r="V292" s="387"/>
      <c r="W292" s="387"/>
      <c r="X292" s="392">
        <f>VLOOKUP(Complete[[#This Row],[Code
(PAP)]],[1]Sheet1!$A:$AO,24,FALSE)</f>
        <v>45420</v>
      </c>
      <c r="Y292" s="392">
        <f>Complete[[#This Row],[Delivery/ Completion]]</f>
        <v>45420</v>
      </c>
      <c r="Z292" s="610" t="s">
        <v>1478</v>
      </c>
      <c r="AA292" s="462">
        <f>Complete[[#This Row],[MOOE]]+Complete[[#This Row],[CO]]</f>
        <v>8700</v>
      </c>
      <c r="AB292" s="466">
        <v>8700</v>
      </c>
      <c r="AC292" s="497"/>
      <c r="AD292" s="498">
        <f>IF(Complete[[#This Row],[Procurement Project]]="","",SUM(Complete[[#This Row],[MOOE2]]+Complete[[#This Row],[CO3]]))</f>
        <v>8700</v>
      </c>
      <c r="AE292" s="501">
        <v>8700</v>
      </c>
      <c r="AF292" s="541"/>
      <c r="AG292" s="400"/>
      <c r="AH292" s="380" t="s">
        <v>1205</v>
      </c>
      <c r="AI292" s="576" t="str">
        <f>VLOOKUP(Complete[[#This Row],[Code
(PAP)]],[1]Sheet1!$A:$AO,35,FALSE)</f>
        <v>N/A</v>
      </c>
      <c r="AJ292" s="576" t="str">
        <f>VLOOKUP(Complete[[#This Row],[Code
(PAP)]],[1]Sheet1!$A:$AO,36,FALSE)</f>
        <v>N/A</v>
      </c>
      <c r="AK292" s="576" t="str">
        <f>VLOOKUP(Complete[[#This Row],[Code
(PAP)]],[1]Sheet1!$A:$AO,37,FALSE)</f>
        <v>N/A</v>
      </c>
      <c r="AL292" s="576" t="str">
        <f>VLOOKUP(Complete[[#This Row],[Code
(PAP)]],[1]Sheet1!$A:$AO,38,FALSE)</f>
        <v>N/A</v>
      </c>
      <c r="AM292" s="576" t="str">
        <f>VLOOKUP(Complete[[#This Row],[Code
(PAP)]],[1]Sheet1!$A:$AO,38,FALSE)</f>
        <v>N/A</v>
      </c>
      <c r="AN292" s="595" t="s">
        <v>713</v>
      </c>
      <c r="AO292" s="303" t="s">
        <v>139</v>
      </c>
      <c r="AP292" s="389"/>
      <c r="AQ292" s="389"/>
    </row>
    <row r="293" spans="1:43" s="224" customFormat="1" ht="75" customHeight="1" x14ac:dyDescent="0.25">
      <c r="A293" s="385" t="s">
        <v>471</v>
      </c>
      <c r="B293" s="406" t="str">
        <f>VLOOKUP(Complete[[#This Row],[Code
(PAP)]],[1]Sheet1!$A:$AO,2,FALSE)</f>
        <v>SPAREPARTS (LIGHT VEHICLES)</v>
      </c>
      <c r="C293" s="408" t="str">
        <f>VLOOKUP(Complete[[#This Row],[Code
(PAP)]],[1]Sheet1!$A:$AO,3,FALSE)</f>
        <v>PGSO</v>
      </c>
      <c r="D293" s="380" t="s">
        <v>712</v>
      </c>
      <c r="E293" s="409" t="str">
        <f>VLOOKUP(Complete[[#This Row],[Code
(PAP)]],[2]Sheet1!$A:$AO,5,FALSE)</f>
        <v>Shopping 52.1(a) - Unforeseen Contingency</v>
      </c>
      <c r="F293" s="393" t="str">
        <f>VLOOKUP(Complete[[#This Row],[Code
(PAP)]],[1]Sheet1!$A:$AO,6,FALSE)</f>
        <v>N/A</v>
      </c>
      <c r="G293" s="393">
        <f>VLOOKUP(Complete[[#This Row],[Code
(PAP)]],[1]Sheet1!$A:$AO,7,FALSE)</f>
        <v>45371</v>
      </c>
      <c r="H293" s="374"/>
      <c r="I293" s="394" t="str">
        <f>VLOOKUP(Complete[[#This Row],[Code
(PAP)]],[1]Sheet1!$A:$AO,9,FALSE)</f>
        <v>N/A</v>
      </c>
      <c r="J293" s="393">
        <f>VLOOKUP(Complete[[#This Row],[Code
(PAP)]],[1]Sheet1!$A:$AO,10,FALSE)</f>
        <v>45387</v>
      </c>
      <c r="K293" s="393">
        <f>VLOOKUP(Complete[[#This Row],[Code
(PAP)]],[1]Sheet1!$A:$AO,11,FALSE)</f>
        <v>45387</v>
      </c>
      <c r="L293" s="387"/>
      <c r="M293" s="393" t="str">
        <f>VLOOKUP(Complete[[#This Row],[Code
(PAP)]],[1]Sheet1!$A:$AO,13,FALSE)</f>
        <v>N/A</v>
      </c>
      <c r="N293" s="393" t="str">
        <f>VLOOKUP(Complete[[#This Row],[Code
(PAP)]],[1]Sheet1!$A:$AO,14,FALSE)</f>
        <v>N/A</v>
      </c>
      <c r="O293" s="393">
        <f>VLOOKUP(Complete[[#This Row],[Code
(PAP)]],[1]Sheet1!$A:$AO,15,FALSE)</f>
        <v>45394</v>
      </c>
      <c r="P293" s="387"/>
      <c r="Q293" s="387"/>
      <c r="R293" s="387"/>
      <c r="S293" s="576" t="str">
        <f>VLOOKUP(Complete[[#This Row],[Code
(PAP)]],[1]Sheet1!$A:$AO,19,FALSE)</f>
        <v>N/A</v>
      </c>
      <c r="T293" s="576">
        <f>VLOOKUP(Complete[[#This Row],[Code
(PAP)]],[1]Sheet1!$A:$AO,20,FALSE)</f>
        <v>45405</v>
      </c>
      <c r="U293" s="576">
        <f>VLOOKUP(Complete[[#This Row],[Code
(PAP)]],[1]Sheet1!$A:$AO,21,FALSE)</f>
        <v>45426</v>
      </c>
      <c r="V293" s="387"/>
      <c r="W293" s="387"/>
      <c r="X293" s="392">
        <f>VLOOKUP(Complete[[#This Row],[Code
(PAP)]],[1]Sheet1!$A:$AO,24,FALSE)</f>
        <v>45426</v>
      </c>
      <c r="Y293" s="392">
        <f>Complete[[#This Row],[Delivery/ Completion]]</f>
        <v>45426</v>
      </c>
      <c r="Z293" s="610" t="s">
        <v>1478</v>
      </c>
      <c r="AA293" s="462">
        <f>Complete[[#This Row],[MOOE]]+Complete[[#This Row],[CO]]</f>
        <v>52550</v>
      </c>
      <c r="AB293" s="466">
        <v>52550</v>
      </c>
      <c r="AC293" s="497"/>
      <c r="AD293" s="498">
        <f>IF(Complete[[#This Row],[Procurement Project]]="","",SUM(Complete[[#This Row],[MOOE2]]+Complete[[#This Row],[CO3]]))</f>
        <v>52550</v>
      </c>
      <c r="AE293" s="501">
        <v>52550</v>
      </c>
      <c r="AF293" s="541"/>
      <c r="AG293" s="400"/>
      <c r="AH293" s="380" t="s">
        <v>1205</v>
      </c>
      <c r="AI293" s="576" t="str">
        <f>VLOOKUP(Complete[[#This Row],[Code
(PAP)]],[1]Sheet1!$A:$AO,35,FALSE)</f>
        <v>N/A</v>
      </c>
      <c r="AJ293" s="576" t="str">
        <f>VLOOKUP(Complete[[#This Row],[Code
(PAP)]],[1]Sheet1!$A:$AO,36,FALSE)</f>
        <v>N/A</v>
      </c>
      <c r="AK293" s="576" t="str">
        <f>VLOOKUP(Complete[[#This Row],[Code
(PAP)]],[1]Sheet1!$A:$AO,37,FALSE)</f>
        <v>N/A</v>
      </c>
      <c r="AL293" s="576" t="str">
        <f>VLOOKUP(Complete[[#This Row],[Code
(PAP)]],[1]Sheet1!$A:$AO,38,FALSE)</f>
        <v>N/A</v>
      </c>
      <c r="AM293" s="576" t="str">
        <f>VLOOKUP(Complete[[#This Row],[Code
(PAP)]],[1]Sheet1!$A:$AO,38,FALSE)</f>
        <v>N/A</v>
      </c>
      <c r="AN293" s="595" t="s">
        <v>713</v>
      </c>
      <c r="AO293" s="303" t="s">
        <v>139</v>
      </c>
      <c r="AP293" s="389"/>
      <c r="AQ293" s="389"/>
    </row>
    <row r="294" spans="1:43" s="224" customFormat="1" ht="75" customHeight="1" x14ac:dyDescent="0.25">
      <c r="A294" s="385" t="s">
        <v>472</v>
      </c>
      <c r="B294" s="406" t="str">
        <f>VLOOKUP(Complete[[#This Row],[Code
(PAP)]],[1]Sheet1!$A:$AO,2,FALSE)</f>
        <v>OFFICE SUPPLIES</v>
      </c>
      <c r="C294" s="408" t="str">
        <f>VLOOKUP(Complete[[#This Row],[Code
(PAP)]],[1]Sheet1!$A:$AO,3,FALSE)</f>
        <v>PGO</v>
      </c>
      <c r="D294" s="380" t="s">
        <v>712</v>
      </c>
      <c r="E294" s="409" t="str">
        <f>VLOOKUP(Complete[[#This Row],[Code
(PAP)]],[2]Sheet1!$A:$AO,5,FALSE)</f>
        <v>Shopping 52.1(b) - Regular Office Supplies and Equipment no available in PS</v>
      </c>
      <c r="F294" s="393" t="str">
        <f>VLOOKUP(Complete[[#This Row],[Code
(PAP)]],[1]Sheet1!$A:$AO,6,FALSE)</f>
        <v>N/A</v>
      </c>
      <c r="G294" s="393">
        <f>VLOOKUP(Complete[[#This Row],[Code
(PAP)]],[1]Sheet1!$A:$AO,7,FALSE)</f>
        <v>45363</v>
      </c>
      <c r="H294" s="374"/>
      <c r="I294" s="394" t="str">
        <f>VLOOKUP(Complete[[#This Row],[Code
(PAP)]],[1]Sheet1!$A:$AO,9,FALSE)</f>
        <v>N/A</v>
      </c>
      <c r="J294" s="393">
        <f>VLOOKUP(Complete[[#This Row],[Code
(PAP)]],[1]Sheet1!$A:$AO,10,FALSE)</f>
        <v>45387</v>
      </c>
      <c r="K294" s="393">
        <f>VLOOKUP(Complete[[#This Row],[Code
(PAP)]],[1]Sheet1!$A:$AO,11,FALSE)</f>
        <v>45387</v>
      </c>
      <c r="L294" s="387"/>
      <c r="M294" s="393" t="str">
        <f>VLOOKUP(Complete[[#This Row],[Code
(PAP)]],[1]Sheet1!$A:$AO,13,FALSE)</f>
        <v>N/A</v>
      </c>
      <c r="N294" s="393" t="str">
        <f>VLOOKUP(Complete[[#This Row],[Code
(PAP)]],[1]Sheet1!$A:$AO,14,FALSE)</f>
        <v>N/A</v>
      </c>
      <c r="O294" s="393">
        <f>VLOOKUP(Complete[[#This Row],[Code
(PAP)]],[1]Sheet1!$A:$AO,15,FALSE)</f>
        <v>45394</v>
      </c>
      <c r="P294" s="387"/>
      <c r="Q294" s="387"/>
      <c r="R294" s="387"/>
      <c r="S294" s="576">
        <f>VLOOKUP(Complete[[#This Row],[Code
(PAP)]],[1]Sheet1!$A:$AO,19,FALSE)</f>
        <v>45401</v>
      </c>
      <c r="T294" s="576">
        <f>VLOOKUP(Complete[[#This Row],[Code
(PAP)]],[1]Sheet1!$A:$AO,20,FALSE)</f>
        <v>45405</v>
      </c>
      <c r="U294" s="576">
        <f>VLOOKUP(Complete[[#This Row],[Code
(PAP)]],[1]Sheet1!$A:$AO,21,FALSE)</f>
        <v>45418</v>
      </c>
      <c r="V294" s="387"/>
      <c r="W294" s="387"/>
      <c r="X294" s="392">
        <f>VLOOKUP(Complete[[#This Row],[Code
(PAP)]],[1]Sheet1!$A:$AO,24,FALSE)</f>
        <v>45428</v>
      </c>
      <c r="Y294" s="392">
        <f>Complete[[#This Row],[Delivery/ Completion]]</f>
        <v>45428</v>
      </c>
      <c r="Z294" s="610" t="s">
        <v>1478</v>
      </c>
      <c r="AA294" s="462">
        <f>Complete[[#This Row],[MOOE]]+Complete[[#This Row],[CO]]</f>
        <v>53059</v>
      </c>
      <c r="AB294" s="466"/>
      <c r="AC294" s="497">
        <v>53059</v>
      </c>
      <c r="AD294" s="498">
        <f>IF(Complete[[#This Row],[Procurement Project]]="","",SUM(Complete[[#This Row],[MOOE2]]+Complete[[#This Row],[CO3]]))</f>
        <v>52008</v>
      </c>
      <c r="AE294" s="501"/>
      <c r="AF294" s="541">
        <v>52008</v>
      </c>
      <c r="AG294" s="400"/>
      <c r="AH294" s="380" t="s">
        <v>1205</v>
      </c>
      <c r="AI294" s="576" t="str">
        <f>VLOOKUP(Complete[[#This Row],[Code
(PAP)]],[1]Sheet1!$A:$AO,35,FALSE)</f>
        <v>N/A</v>
      </c>
      <c r="AJ294" s="576" t="str">
        <f>VLOOKUP(Complete[[#This Row],[Code
(PAP)]],[1]Sheet1!$A:$AO,36,FALSE)</f>
        <v>N/A</v>
      </c>
      <c r="AK294" s="576" t="str">
        <f>VLOOKUP(Complete[[#This Row],[Code
(PAP)]],[1]Sheet1!$A:$AO,37,FALSE)</f>
        <v>N/A</v>
      </c>
      <c r="AL294" s="576" t="str">
        <f>VLOOKUP(Complete[[#This Row],[Code
(PAP)]],[1]Sheet1!$A:$AO,38,FALSE)</f>
        <v>N/A</v>
      </c>
      <c r="AM294" s="576" t="str">
        <f>VLOOKUP(Complete[[#This Row],[Code
(PAP)]],[1]Sheet1!$A:$AO,38,FALSE)</f>
        <v>N/A</v>
      </c>
      <c r="AN294" s="595" t="s">
        <v>713</v>
      </c>
      <c r="AO294" s="303" t="s">
        <v>139</v>
      </c>
      <c r="AP294" s="389"/>
      <c r="AQ294" s="389"/>
    </row>
    <row r="295" spans="1:43" s="224" customFormat="1" ht="75" customHeight="1" x14ac:dyDescent="0.25">
      <c r="A295" s="385" t="s">
        <v>473</v>
      </c>
      <c r="B295" s="406" t="str">
        <f>VLOOKUP(Complete[[#This Row],[Code
(PAP)]],[1]Sheet1!$A:$AO,2,FALSE)</f>
        <v>OFFICE SUPPLIES</v>
      </c>
      <c r="C295" s="408" t="str">
        <f>VLOOKUP(Complete[[#This Row],[Code
(PAP)]],[1]Sheet1!$A:$AO,3,FALSE)</f>
        <v>PBO</v>
      </c>
      <c r="D295" s="380" t="s">
        <v>712</v>
      </c>
      <c r="E295" s="409" t="str">
        <f>VLOOKUP(Complete[[#This Row],[Code
(PAP)]],[2]Sheet1!$A:$AO,5,FALSE)</f>
        <v>Shopping 52.1(b) - Regular Office Supplies and Equipment no available in PS</v>
      </c>
      <c r="F295" s="393" t="str">
        <f>VLOOKUP(Complete[[#This Row],[Code
(PAP)]],[1]Sheet1!$A:$AO,6,FALSE)</f>
        <v>N/A</v>
      </c>
      <c r="G295" s="393">
        <f>VLOOKUP(Complete[[#This Row],[Code
(PAP)]],[1]Sheet1!$A:$AO,7,FALSE)</f>
        <v>45363</v>
      </c>
      <c r="H295" s="374"/>
      <c r="I295" s="394" t="str">
        <f>VLOOKUP(Complete[[#This Row],[Code
(PAP)]],[1]Sheet1!$A:$AO,9,FALSE)</f>
        <v>N/A</v>
      </c>
      <c r="J295" s="393">
        <f>VLOOKUP(Complete[[#This Row],[Code
(PAP)]],[1]Sheet1!$A:$AO,10,FALSE)</f>
        <v>45387</v>
      </c>
      <c r="K295" s="393">
        <f>VLOOKUP(Complete[[#This Row],[Code
(PAP)]],[1]Sheet1!$A:$AO,11,FALSE)</f>
        <v>45387</v>
      </c>
      <c r="L295" s="387"/>
      <c r="M295" s="393" t="str">
        <f>VLOOKUP(Complete[[#This Row],[Code
(PAP)]],[1]Sheet1!$A:$AO,13,FALSE)</f>
        <v>N/A</v>
      </c>
      <c r="N295" s="393" t="str">
        <f>VLOOKUP(Complete[[#This Row],[Code
(PAP)]],[1]Sheet1!$A:$AO,14,FALSE)</f>
        <v>N/A</v>
      </c>
      <c r="O295" s="393">
        <f>VLOOKUP(Complete[[#This Row],[Code
(PAP)]],[1]Sheet1!$A:$AO,15,FALSE)</f>
        <v>45394</v>
      </c>
      <c r="P295" s="387"/>
      <c r="Q295" s="387"/>
      <c r="R295" s="387"/>
      <c r="S295" s="576" t="str">
        <f>VLOOKUP(Complete[[#This Row],[Code
(PAP)]],[1]Sheet1!$A:$AO,19,FALSE)</f>
        <v>N/A</v>
      </c>
      <c r="T295" s="576">
        <f>VLOOKUP(Complete[[#This Row],[Code
(PAP)]],[1]Sheet1!$A:$AO,20,FALSE)</f>
        <v>45405</v>
      </c>
      <c r="U295" s="576">
        <f>VLOOKUP(Complete[[#This Row],[Code
(PAP)]],[1]Sheet1!$A:$AO,21,FALSE)</f>
        <v>45419</v>
      </c>
      <c r="V295" s="387"/>
      <c r="W295" s="387"/>
      <c r="X295" s="392">
        <f>VLOOKUP(Complete[[#This Row],[Code
(PAP)]],[1]Sheet1!$A:$AO,24,FALSE)</f>
        <v>45421</v>
      </c>
      <c r="Y295" s="392">
        <f>Complete[[#This Row],[Delivery/ Completion]]</f>
        <v>45421</v>
      </c>
      <c r="Z295" s="610" t="s">
        <v>1478</v>
      </c>
      <c r="AA295" s="462">
        <f>Complete[[#This Row],[MOOE]]+Complete[[#This Row],[CO]]</f>
        <v>12405</v>
      </c>
      <c r="AB295" s="466">
        <v>12405</v>
      </c>
      <c r="AC295" s="497"/>
      <c r="AD295" s="498">
        <f>IF(Complete[[#This Row],[Procurement Project]]="","",SUM(Complete[[#This Row],[MOOE2]]+Complete[[#This Row],[CO3]]))</f>
        <v>40779</v>
      </c>
      <c r="AE295" s="501">
        <v>12400</v>
      </c>
      <c r="AF295" s="541">
        <f>VLOOKUP(Complete[[#This Row],[Code
(PAP)]],[1]Sheet1!$A:$AO,32,FALSE)</f>
        <v>28379</v>
      </c>
      <c r="AG295" s="400"/>
      <c r="AH295" s="380" t="s">
        <v>1205</v>
      </c>
      <c r="AI295" s="576" t="str">
        <f>VLOOKUP(Complete[[#This Row],[Code
(PAP)]],[1]Sheet1!$A:$AO,35,FALSE)</f>
        <v>N/A</v>
      </c>
      <c r="AJ295" s="576" t="str">
        <f>VLOOKUP(Complete[[#This Row],[Code
(PAP)]],[1]Sheet1!$A:$AO,36,FALSE)</f>
        <v>N/A</v>
      </c>
      <c r="AK295" s="576" t="str">
        <f>VLOOKUP(Complete[[#This Row],[Code
(PAP)]],[1]Sheet1!$A:$AO,37,FALSE)</f>
        <v>N/A</v>
      </c>
      <c r="AL295" s="576" t="str">
        <f>VLOOKUP(Complete[[#This Row],[Code
(PAP)]],[1]Sheet1!$A:$AO,38,FALSE)</f>
        <v>N/A</v>
      </c>
      <c r="AM295" s="576" t="str">
        <f>VLOOKUP(Complete[[#This Row],[Code
(PAP)]],[1]Sheet1!$A:$AO,38,FALSE)</f>
        <v>N/A</v>
      </c>
      <c r="AN295" s="595" t="s">
        <v>713</v>
      </c>
      <c r="AO295" s="303" t="s">
        <v>139</v>
      </c>
      <c r="AP295" s="389"/>
      <c r="AQ295" s="389"/>
    </row>
    <row r="296" spans="1:43" s="224" customFormat="1" ht="75" customHeight="1" x14ac:dyDescent="0.25">
      <c r="A296" s="385" t="s">
        <v>474</v>
      </c>
      <c r="B296" s="406" t="str">
        <f>VLOOKUP(Complete[[#This Row],[Code
(PAP)]],[1]Sheet1!$A:$AO,2,FALSE)</f>
        <v>OFFICE SUPPLIES</v>
      </c>
      <c r="C296" s="408" t="str">
        <f>VLOOKUP(Complete[[#This Row],[Code
(PAP)]],[1]Sheet1!$A:$AO,3,FALSE)</f>
        <v>PGO</v>
      </c>
      <c r="D296" s="380" t="s">
        <v>712</v>
      </c>
      <c r="E296" s="409" t="str">
        <f>VLOOKUP(Complete[[#This Row],[Code
(PAP)]],[2]Sheet1!$A:$AO,5,FALSE)</f>
        <v>Shopping 52.1(b) - Regular Office Supplies and Equipment no available in PS</v>
      </c>
      <c r="F296" s="393" t="str">
        <f>VLOOKUP(Complete[[#This Row],[Code
(PAP)]],[1]Sheet1!$A:$AO,6,FALSE)</f>
        <v>N/A</v>
      </c>
      <c r="G296" s="393">
        <f>VLOOKUP(Complete[[#This Row],[Code
(PAP)]],[1]Sheet1!$A:$AO,7,FALSE)</f>
        <v>45363</v>
      </c>
      <c r="H296" s="374"/>
      <c r="I296" s="394" t="str">
        <f>VLOOKUP(Complete[[#This Row],[Code
(PAP)]],[1]Sheet1!$A:$AO,9,FALSE)</f>
        <v>N/A</v>
      </c>
      <c r="J296" s="393">
        <f>VLOOKUP(Complete[[#This Row],[Code
(PAP)]],[1]Sheet1!$A:$AO,10,FALSE)</f>
        <v>45387</v>
      </c>
      <c r="K296" s="393">
        <f>VLOOKUP(Complete[[#This Row],[Code
(PAP)]],[1]Sheet1!$A:$AO,11,FALSE)</f>
        <v>45387</v>
      </c>
      <c r="L296" s="387"/>
      <c r="M296" s="393" t="str">
        <f>VLOOKUP(Complete[[#This Row],[Code
(PAP)]],[1]Sheet1!$A:$AO,13,FALSE)</f>
        <v>N/A</v>
      </c>
      <c r="N296" s="393" t="str">
        <f>VLOOKUP(Complete[[#This Row],[Code
(PAP)]],[1]Sheet1!$A:$AO,14,FALSE)</f>
        <v>N/A</v>
      </c>
      <c r="O296" s="393">
        <f>VLOOKUP(Complete[[#This Row],[Code
(PAP)]],[1]Sheet1!$A:$AO,15,FALSE)</f>
        <v>45394</v>
      </c>
      <c r="P296" s="387"/>
      <c r="Q296" s="387"/>
      <c r="R296" s="387"/>
      <c r="S296" s="576" t="str">
        <f>VLOOKUP(Complete[[#This Row],[Code
(PAP)]],[1]Sheet1!$A:$AO,19,FALSE)</f>
        <v>N/A</v>
      </c>
      <c r="T296" s="576">
        <f>VLOOKUP(Complete[[#This Row],[Code
(PAP)]],[1]Sheet1!$A:$AO,20,FALSE)</f>
        <v>45406</v>
      </c>
      <c r="U296" s="576">
        <f>VLOOKUP(Complete[[#This Row],[Code
(PAP)]],[1]Sheet1!$A:$AO,21,FALSE)</f>
        <v>45412</v>
      </c>
      <c r="V296" s="387"/>
      <c r="W296" s="387"/>
      <c r="X296" s="392">
        <f>VLOOKUP(Complete[[#This Row],[Code
(PAP)]],[1]Sheet1!$A:$AO,24,FALSE)</f>
        <v>45419</v>
      </c>
      <c r="Y296" s="392">
        <f>Complete[[#This Row],[Delivery/ Completion]]</f>
        <v>45419</v>
      </c>
      <c r="Z296" s="610" t="s">
        <v>1478</v>
      </c>
      <c r="AA296" s="462">
        <f>Complete[[#This Row],[MOOE]]+Complete[[#This Row],[CO]]</f>
        <v>5983</v>
      </c>
      <c r="AB296" s="466"/>
      <c r="AC296" s="497">
        <v>5983</v>
      </c>
      <c r="AD296" s="498">
        <f>IF(Complete[[#This Row],[Procurement Project]]="","",SUM(Complete[[#This Row],[MOOE2]]+Complete[[#This Row],[CO3]]))</f>
        <v>5968</v>
      </c>
      <c r="AE296" s="501"/>
      <c r="AF296" s="541">
        <v>5968</v>
      </c>
      <c r="AG296" s="400"/>
      <c r="AH296" s="380" t="s">
        <v>1205</v>
      </c>
      <c r="AI296" s="576" t="str">
        <f>VLOOKUP(Complete[[#This Row],[Code
(PAP)]],[1]Sheet1!$A:$AO,35,FALSE)</f>
        <v>N/A</v>
      </c>
      <c r="AJ296" s="576" t="str">
        <f>VLOOKUP(Complete[[#This Row],[Code
(PAP)]],[1]Sheet1!$A:$AO,36,FALSE)</f>
        <v>N/A</v>
      </c>
      <c r="AK296" s="576" t="str">
        <f>VLOOKUP(Complete[[#This Row],[Code
(PAP)]],[1]Sheet1!$A:$AO,37,FALSE)</f>
        <v>N/A</v>
      </c>
      <c r="AL296" s="576" t="str">
        <f>VLOOKUP(Complete[[#This Row],[Code
(PAP)]],[1]Sheet1!$A:$AO,38,FALSE)</f>
        <v>N/A</v>
      </c>
      <c r="AM296" s="576" t="str">
        <f>VLOOKUP(Complete[[#This Row],[Code
(PAP)]],[1]Sheet1!$A:$AO,38,FALSE)</f>
        <v>N/A</v>
      </c>
      <c r="AN296" s="595" t="s">
        <v>713</v>
      </c>
      <c r="AO296" s="303" t="s">
        <v>139</v>
      </c>
      <c r="AP296" s="389"/>
      <c r="AQ296" s="389"/>
    </row>
    <row r="297" spans="1:43" s="224" customFormat="1" ht="75" customHeight="1" x14ac:dyDescent="0.25">
      <c r="A297" s="385" t="s">
        <v>475</v>
      </c>
      <c r="B297" s="406" t="str">
        <f>VLOOKUP(Complete[[#This Row],[Code
(PAP)]],[1]Sheet1!$A:$AO,2,FALSE)</f>
        <v>OFFICE SUPPLIES</v>
      </c>
      <c r="C297" s="408" t="str">
        <f>VLOOKUP(Complete[[#This Row],[Code
(PAP)]],[1]Sheet1!$A:$AO,3,FALSE)</f>
        <v>PGO</v>
      </c>
      <c r="D297" s="380" t="s">
        <v>712</v>
      </c>
      <c r="E297" s="409" t="str">
        <f>VLOOKUP(Complete[[#This Row],[Code
(PAP)]],[2]Sheet1!$A:$AO,5,FALSE)</f>
        <v>Shopping 52.1(b) - Regular Office Supplies and Equipment no available in PS</v>
      </c>
      <c r="F297" s="393" t="str">
        <f>VLOOKUP(Complete[[#This Row],[Code
(PAP)]],[1]Sheet1!$A:$AO,6,FALSE)</f>
        <v>N/A</v>
      </c>
      <c r="G297" s="393">
        <f>VLOOKUP(Complete[[#This Row],[Code
(PAP)]],[1]Sheet1!$A:$AO,7,FALSE)</f>
        <v>45363</v>
      </c>
      <c r="H297" s="374"/>
      <c r="I297" s="394" t="str">
        <f>VLOOKUP(Complete[[#This Row],[Code
(PAP)]],[1]Sheet1!$A:$AO,9,FALSE)</f>
        <v>N/A</v>
      </c>
      <c r="J297" s="393">
        <f>VLOOKUP(Complete[[#This Row],[Code
(PAP)]],[1]Sheet1!$A:$AO,10,FALSE)</f>
        <v>45387</v>
      </c>
      <c r="K297" s="393">
        <f>VLOOKUP(Complete[[#This Row],[Code
(PAP)]],[1]Sheet1!$A:$AO,11,FALSE)</f>
        <v>45387</v>
      </c>
      <c r="L297" s="387"/>
      <c r="M297" s="393" t="str">
        <f>VLOOKUP(Complete[[#This Row],[Code
(PAP)]],[1]Sheet1!$A:$AO,13,FALSE)</f>
        <v>N/A</v>
      </c>
      <c r="N297" s="393" t="str">
        <f>VLOOKUP(Complete[[#This Row],[Code
(PAP)]],[1]Sheet1!$A:$AO,14,FALSE)</f>
        <v>N/A</v>
      </c>
      <c r="O297" s="393">
        <f>VLOOKUP(Complete[[#This Row],[Code
(PAP)]],[1]Sheet1!$A:$AO,15,FALSE)</f>
        <v>45394</v>
      </c>
      <c r="P297" s="387"/>
      <c r="Q297" s="387"/>
      <c r="R297" s="387"/>
      <c r="S297" s="576" t="str">
        <f>VLOOKUP(Complete[[#This Row],[Code
(PAP)]],[1]Sheet1!$A:$AO,19,FALSE)</f>
        <v>N/A</v>
      </c>
      <c r="T297" s="576">
        <f>VLOOKUP(Complete[[#This Row],[Code
(PAP)]],[1]Sheet1!$A:$AO,20,FALSE)</f>
        <v>45406</v>
      </c>
      <c r="U297" s="576">
        <f>VLOOKUP(Complete[[#This Row],[Code
(PAP)]],[1]Sheet1!$A:$AO,21,FALSE)</f>
        <v>45412</v>
      </c>
      <c r="V297" s="387"/>
      <c r="W297" s="387"/>
      <c r="X297" s="392">
        <f>VLOOKUP(Complete[[#This Row],[Code
(PAP)]],[1]Sheet1!$A:$AO,24,FALSE)</f>
        <v>45419</v>
      </c>
      <c r="Y297" s="392">
        <f>Complete[[#This Row],[Delivery/ Completion]]</f>
        <v>45419</v>
      </c>
      <c r="Z297" s="610" t="s">
        <v>1478</v>
      </c>
      <c r="AA297" s="462">
        <f>Complete[[#This Row],[MOOE]]+Complete[[#This Row],[CO]]</f>
        <v>16927</v>
      </c>
      <c r="AB297" s="466"/>
      <c r="AC297" s="497">
        <v>16927</v>
      </c>
      <c r="AD297" s="498">
        <f>IF(Complete[[#This Row],[Procurement Project]]="","",SUM(Complete[[#This Row],[MOOE2]]+Complete[[#This Row],[CO3]]))</f>
        <v>16921</v>
      </c>
      <c r="AE297" s="501"/>
      <c r="AF297" s="541">
        <v>16921</v>
      </c>
      <c r="AG297" s="400"/>
      <c r="AH297" s="380" t="s">
        <v>1205</v>
      </c>
      <c r="AI297" s="576" t="str">
        <f>VLOOKUP(Complete[[#This Row],[Code
(PAP)]],[1]Sheet1!$A:$AO,35,FALSE)</f>
        <v>N/A</v>
      </c>
      <c r="AJ297" s="576" t="str">
        <f>VLOOKUP(Complete[[#This Row],[Code
(PAP)]],[1]Sheet1!$A:$AO,36,FALSE)</f>
        <v>N/A</v>
      </c>
      <c r="AK297" s="576" t="str">
        <f>VLOOKUP(Complete[[#This Row],[Code
(PAP)]],[1]Sheet1!$A:$AO,37,FALSE)</f>
        <v>N/A</v>
      </c>
      <c r="AL297" s="576" t="str">
        <f>VLOOKUP(Complete[[#This Row],[Code
(PAP)]],[1]Sheet1!$A:$AO,38,FALSE)</f>
        <v>N/A</v>
      </c>
      <c r="AM297" s="576" t="str">
        <f>VLOOKUP(Complete[[#This Row],[Code
(PAP)]],[1]Sheet1!$A:$AO,38,FALSE)</f>
        <v>N/A</v>
      </c>
      <c r="AN297" s="595" t="s">
        <v>713</v>
      </c>
      <c r="AO297" s="303" t="s">
        <v>139</v>
      </c>
      <c r="AP297" s="389"/>
      <c r="AQ297" s="389"/>
    </row>
    <row r="298" spans="1:43" s="224" customFormat="1" ht="75" customHeight="1" x14ac:dyDescent="0.25">
      <c r="A298" s="385" t="s">
        <v>476</v>
      </c>
      <c r="B298" s="406" t="str">
        <f>VLOOKUP(Complete[[#This Row],[Code
(PAP)]],[1]Sheet1!$A:$AO,2,FALSE)</f>
        <v>OFFICE SUPPLIES</v>
      </c>
      <c r="C298" s="408" t="str">
        <f>VLOOKUP(Complete[[#This Row],[Code
(PAP)]],[1]Sheet1!$A:$AO,3,FALSE)</f>
        <v>PGO</v>
      </c>
      <c r="D298" s="380" t="s">
        <v>712</v>
      </c>
      <c r="E298" s="409" t="str">
        <f>VLOOKUP(Complete[[#This Row],[Code
(PAP)]],[2]Sheet1!$A:$AO,5,FALSE)</f>
        <v>Shopping 52.1(b) - Regular Office Supplies and Equipment no available in PS</v>
      </c>
      <c r="F298" s="393" t="str">
        <f>VLOOKUP(Complete[[#This Row],[Code
(PAP)]],[1]Sheet1!$A:$AO,6,FALSE)</f>
        <v>N/A</v>
      </c>
      <c r="G298" s="393">
        <f>VLOOKUP(Complete[[#This Row],[Code
(PAP)]],[1]Sheet1!$A:$AO,7,FALSE)</f>
        <v>45371</v>
      </c>
      <c r="H298" s="374"/>
      <c r="I298" s="394" t="str">
        <f>VLOOKUP(Complete[[#This Row],[Code
(PAP)]],[1]Sheet1!$A:$AO,9,FALSE)</f>
        <v>N/A</v>
      </c>
      <c r="J298" s="393">
        <f>VLOOKUP(Complete[[#This Row],[Code
(PAP)]],[1]Sheet1!$A:$AO,10,FALSE)</f>
        <v>45387</v>
      </c>
      <c r="K298" s="393">
        <f>VLOOKUP(Complete[[#This Row],[Code
(PAP)]],[1]Sheet1!$A:$AO,11,FALSE)</f>
        <v>45387</v>
      </c>
      <c r="L298" s="387"/>
      <c r="M298" s="393" t="str">
        <f>VLOOKUP(Complete[[#This Row],[Code
(PAP)]],[1]Sheet1!$A:$AO,13,FALSE)</f>
        <v>N/A</v>
      </c>
      <c r="N298" s="393" t="str">
        <f>VLOOKUP(Complete[[#This Row],[Code
(PAP)]],[1]Sheet1!$A:$AO,14,FALSE)</f>
        <v>N/A</v>
      </c>
      <c r="O298" s="393">
        <f>VLOOKUP(Complete[[#This Row],[Code
(PAP)]],[1]Sheet1!$A:$AO,15,FALSE)</f>
        <v>45394</v>
      </c>
      <c r="P298" s="387"/>
      <c r="Q298" s="387"/>
      <c r="R298" s="387"/>
      <c r="S298" s="576" t="str">
        <f>VLOOKUP(Complete[[#This Row],[Code
(PAP)]],[1]Sheet1!$A:$AO,19,FALSE)</f>
        <v>N/A</v>
      </c>
      <c r="T298" s="576">
        <f>VLOOKUP(Complete[[#This Row],[Code
(PAP)]],[1]Sheet1!$A:$AO,20,FALSE)</f>
        <v>45399</v>
      </c>
      <c r="U298" s="576">
        <f>VLOOKUP(Complete[[#This Row],[Code
(PAP)]],[1]Sheet1!$A:$AO,21,FALSE)</f>
        <v>45412</v>
      </c>
      <c r="V298" s="387"/>
      <c r="W298" s="387"/>
      <c r="X298" s="392">
        <f>VLOOKUP(Complete[[#This Row],[Code
(PAP)]],[1]Sheet1!$A:$AO,24,FALSE)</f>
        <v>45428</v>
      </c>
      <c r="Y298" s="392">
        <f>Complete[[#This Row],[Delivery/ Completion]]</f>
        <v>45428</v>
      </c>
      <c r="Z298" s="610" t="s">
        <v>1478</v>
      </c>
      <c r="AA298" s="462">
        <f>Complete[[#This Row],[MOOE]]+Complete[[#This Row],[CO]]</f>
        <v>29402</v>
      </c>
      <c r="AB298" s="466"/>
      <c r="AC298" s="497">
        <v>29402</v>
      </c>
      <c r="AD298" s="498">
        <f>IF(Complete[[#This Row],[Procurement Project]]="","",SUM(Complete[[#This Row],[MOOE2]]+Complete[[#This Row],[CO3]]))</f>
        <v>28379</v>
      </c>
      <c r="AE298" s="501"/>
      <c r="AF298" s="541">
        <v>28379</v>
      </c>
      <c r="AG298" s="400"/>
      <c r="AH298" s="380" t="s">
        <v>1205</v>
      </c>
      <c r="AI298" s="576" t="str">
        <f>VLOOKUP(Complete[[#This Row],[Code
(PAP)]],[1]Sheet1!$A:$AO,35,FALSE)</f>
        <v>N/A</v>
      </c>
      <c r="AJ298" s="576" t="str">
        <f>VLOOKUP(Complete[[#This Row],[Code
(PAP)]],[1]Sheet1!$A:$AO,36,FALSE)</f>
        <v>N/A</v>
      </c>
      <c r="AK298" s="576" t="str">
        <f>VLOOKUP(Complete[[#This Row],[Code
(PAP)]],[1]Sheet1!$A:$AO,37,FALSE)</f>
        <v>N/A</v>
      </c>
      <c r="AL298" s="576" t="str">
        <f>VLOOKUP(Complete[[#This Row],[Code
(PAP)]],[1]Sheet1!$A:$AO,38,FALSE)</f>
        <v>N/A</v>
      </c>
      <c r="AM298" s="576" t="str">
        <f>VLOOKUP(Complete[[#This Row],[Code
(PAP)]],[1]Sheet1!$A:$AO,38,FALSE)</f>
        <v>N/A</v>
      </c>
      <c r="AN298" s="595" t="s">
        <v>713</v>
      </c>
      <c r="AO298" s="303" t="s">
        <v>139</v>
      </c>
      <c r="AP298" s="389"/>
      <c r="AQ298" s="389"/>
    </row>
    <row r="299" spans="1:43" s="224" customFormat="1" ht="75" customHeight="1" x14ac:dyDescent="0.25">
      <c r="A299" s="385" t="s">
        <v>477</v>
      </c>
      <c r="B299" s="406" t="str">
        <f>VLOOKUP(Complete[[#This Row],[Code
(PAP)]],[1]Sheet1!$A:$AO,2,FALSE)</f>
        <v>OFFICE SUPPLIES</v>
      </c>
      <c r="C299" s="408" t="str">
        <f>VLOOKUP(Complete[[#This Row],[Code
(PAP)]],[1]Sheet1!$A:$AO,3,FALSE)</f>
        <v>PIAO</v>
      </c>
      <c r="D299" s="380" t="s">
        <v>712</v>
      </c>
      <c r="E299" s="409" t="str">
        <f>VLOOKUP(Complete[[#This Row],[Code
(PAP)]],[2]Sheet1!$A:$AO,5,FALSE)</f>
        <v>Shopping 52.1(b) - Regular Office Supplies and Equipment no available in PS</v>
      </c>
      <c r="F299" s="393" t="str">
        <f>VLOOKUP(Complete[[#This Row],[Code
(PAP)]],[1]Sheet1!$A:$AO,6,FALSE)</f>
        <v>N/A</v>
      </c>
      <c r="G299" s="393">
        <f>VLOOKUP(Complete[[#This Row],[Code
(PAP)]],[1]Sheet1!$A:$AO,7,FALSE)</f>
        <v>45371</v>
      </c>
      <c r="H299" s="374"/>
      <c r="I299" s="394" t="str">
        <f>VLOOKUP(Complete[[#This Row],[Code
(PAP)]],[1]Sheet1!$A:$AO,9,FALSE)</f>
        <v>N/A</v>
      </c>
      <c r="J299" s="393">
        <f>VLOOKUP(Complete[[#This Row],[Code
(PAP)]],[1]Sheet1!$A:$AO,10,FALSE)</f>
        <v>45387</v>
      </c>
      <c r="K299" s="393">
        <f>VLOOKUP(Complete[[#This Row],[Code
(PAP)]],[1]Sheet1!$A:$AO,11,FALSE)</f>
        <v>45387</v>
      </c>
      <c r="L299" s="387"/>
      <c r="M299" s="393" t="str">
        <f>VLOOKUP(Complete[[#This Row],[Code
(PAP)]],[1]Sheet1!$A:$AO,13,FALSE)</f>
        <v>N/A</v>
      </c>
      <c r="N299" s="393" t="str">
        <f>VLOOKUP(Complete[[#This Row],[Code
(PAP)]],[1]Sheet1!$A:$AO,14,FALSE)</f>
        <v>N/A</v>
      </c>
      <c r="O299" s="393">
        <f>VLOOKUP(Complete[[#This Row],[Code
(PAP)]],[1]Sheet1!$A:$AO,15,FALSE)</f>
        <v>45394</v>
      </c>
      <c r="P299" s="387"/>
      <c r="Q299" s="387"/>
      <c r="R299" s="387"/>
      <c r="S299" s="576" t="str">
        <f>VLOOKUP(Complete[[#This Row],[Code
(PAP)]],[1]Sheet1!$A:$AO,19,FALSE)</f>
        <v>N/A</v>
      </c>
      <c r="T299" s="576">
        <f>VLOOKUP(Complete[[#This Row],[Code
(PAP)]],[1]Sheet1!$A:$AO,20,FALSE)</f>
        <v>45406</v>
      </c>
      <c r="U299" s="576">
        <f>VLOOKUP(Complete[[#This Row],[Code
(PAP)]],[1]Sheet1!$A:$AO,21,FALSE)</f>
        <v>45412</v>
      </c>
      <c r="V299" s="387"/>
      <c r="W299" s="387"/>
      <c r="X299" s="392">
        <f>VLOOKUP(Complete[[#This Row],[Code
(PAP)]],[1]Sheet1!$A:$AO,24,FALSE)</f>
        <v>45422</v>
      </c>
      <c r="Y299" s="392">
        <f>Complete[[#This Row],[Delivery/ Completion]]</f>
        <v>45422</v>
      </c>
      <c r="Z299" s="610" t="s">
        <v>1478</v>
      </c>
      <c r="AA299" s="462">
        <f>Complete[[#This Row],[MOOE]]+Complete[[#This Row],[CO]]</f>
        <v>23780</v>
      </c>
      <c r="AB299" s="466">
        <f>VLOOKUP(Complete[[#This Row],[Code
(PAP)]],[1]Sheet1!$A:$AN,28,FALSE)</f>
        <v>23780</v>
      </c>
      <c r="AC299" s="497"/>
      <c r="AD299" s="498">
        <f>IF(Complete[[#This Row],[Procurement Project]]="","",SUM(Complete[[#This Row],[MOOE2]]+Complete[[#This Row],[CO3]]))</f>
        <v>23308</v>
      </c>
      <c r="AE299" s="501">
        <v>23308</v>
      </c>
      <c r="AF299" s="541"/>
      <c r="AG299" s="400"/>
      <c r="AH299" s="380" t="s">
        <v>1205</v>
      </c>
      <c r="AI299" s="576" t="str">
        <f>VLOOKUP(Complete[[#This Row],[Code
(PAP)]],[1]Sheet1!$A:$AO,35,FALSE)</f>
        <v>N/A</v>
      </c>
      <c r="AJ299" s="576" t="str">
        <f>VLOOKUP(Complete[[#This Row],[Code
(PAP)]],[1]Sheet1!$A:$AO,36,FALSE)</f>
        <v>N/A</v>
      </c>
      <c r="AK299" s="576" t="str">
        <f>VLOOKUP(Complete[[#This Row],[Code
(PAP)]],[1]Sheet1!$A:$AO,37,FALSE)</f>
        <v>N/A</v>
      </c>
      <c r="AL299" s="576" t="str">
        <f>VLOOKUP(Complete[[#This Row],[Code
(PAP)]],[1]Sheet1!$A:$AO,38,FALSE)</f>
        <v>N/A</v>
      </c>
      <c r="AM299" s="576" t="str">
        <f>VLOOKUP(Complete[[#This Row],[Code
(PAP)]],[1]Sheet1!$A:$AO,38,FALSE)</f>
        <v>N/A</v>
      </c>
      <c r="AN299" s="595" t="s">
        <v>713</v>
      </c>
      <c r="AO299" s="303" t="s">
        <v>139</v>
      </c>
      <c r="AP299" s="389"/>
      <c r="AQ299" s="389"/>
    </row>
    <row r="300" spans="1:43" s="224" customFormat="1" ht="75" customHeight="1" x14ac:dyDescent="0.25">
      <c r="A300" s="385" t="s">
        <v>478</v>
      </c>
      <c r="B300" s="406" t="str">
        <f>VLOOKUP(Complete[[#This Row],[Code
(PAP)]],[1]Sheet1!$A:$AO,2,FALSE)</f>
        <v>SPAREPARTS (LIGHT VEHICLES)</v>
      </c>
      <c r="C300" s="408" t="str">
        <f>VLOOKUP(Complete[[#This Row],[Code
(PAP)]],[1]Sheet1!$A:$AO,3,FALSE)</f>
        <v>PGO</v>
      </c>
      <c r="D300" s="380" t="s">
        <v>712</v>
      </c>
      <c r="E300" s="409" t="str">
        <f>VLOOKUP(Complete[[#This Row],[Code
(PAP)]],[2]Sheet1!$A:$AO,5,FALSE)</f>
        <v>NP-53.9 - Small Value Procurement</v>
      </c>
      <c r="F300" s="393">
        <f>VLOOKUP(Complete[[#This Row],[Code
(PAP)]],[1]Sheet1!$A:$AO,6,FALSE)</f>
        <v>45356</v>
      </c>
      <c r="G300" s="393">
        <f>VLOOKUP(Complete[[#This Row],[Code
(PAP)]],[1]Sheet1!$A:$AO,7,FALSE)</f>
        <v>45359</v>
      </c>
      <c r="H300" s="374"/>
      <c r="I300" s="394" t="str">
        <f>VLOOKUP(Complete[[#This Row],[Code
(PAP)]],[1]Sheet1!$A:$AO,9,FALSE)</f>
        <v>N/A</v>
      </c>
      <c r="J300" s="393">
        <f>VLOOKUP(Complete[[#This Row],[Code
(PAP)]],[1]Sheet1!$A:$AO,10,FALSE)</f>
        <v>45387</v>
      </c>
      <c r="K300" s="393">
        <f>VLOOKUP(Complete[[#This Row],[Code
(PAP)]],[1]Sheet1!$A:$AO,11,FALSE)</f>
        <v>45387</v>
      </c>
      <c r="L300" s="387"/>
      <c r="M300" s="393" t="str">
        <f>VLOOKUP(Complete[[#This Row],[Code
(PAP)]],[1]Sheet1!$A:$AO,13,FALSE)</f>
        <v>N/A</v>
      </c>
      <c r="N300" s="393" t="str">
        <f>VLOOKUP(Complete[[#This Row],[Code
(PAP)]],[1]Sheet1!$A:$AO,14,FALSE)</f>
        <v>N/A</v>
      </c>
      <c r="O300" s="393">
        <f>VLOOKUP(Complete[[#This Row],[Code
(PAP)]],[1]Sheet1!$A:$AO,15,FALSE)</f>
        <v>45394</v>
      </c>
      <c r="P300" s="387"/>
      <c r="Q300" s="387"/>
      <c r="R300" s="387"/>
      <c r="S300" s="576">
        <f>VLOOKUP(Complete[[#This Row],[Code
(PAP)]],[1]Sheet1!$A:$AO,19,FALSE)</f>
        <v>45399</v>
      </c>
      <c r="T300" s="576">
        <f>VLOOKUP(Complete[[#This Row],[Code
(PAP)]],[1]Sheet1!$A:$AO,20,FALSE)</f>
        <v>45406</v>
      </c>
      <c r="U300" s="576">
        <f>VLOOKUP(Complete[[#This Row],[Code
(PAP)]],[1]Sheet1!$A:$AO,21,FALSE)</f>
        <v>45411</v>
      </c>
      <c r="V300" s="387"/>
      <c r="W300" s="387"/>
      <c r="X300" s="392">
        <f>VLOOKUP(Complete[[#This Row],[Code
(PAP)]],[1]Sheet1!$A:$AO,24,FALSE)</f>
        <v>45420</v>
      </c>
      <c r="Y300" s="392">
        <f>Complete[[#This Row],[Delivery/ Completion]]</f>
        <v>45420</v>
      </c>
      <c r="Z300" s="610" t="s">
        <v>1478</v>
      </c>
      <c r="AA300" s="462">
        <f>Complete[[#This Row],[MOOE]]+Complete[[#This Row],[CO]]</f>
        <v>350000</v>
      </c>
      <c r="AB300" s="466"/>
      <c r="AC300" s="497">
        <v>350000</v>
      </c>
      <c r="AD300" s="498">
        <f>IF(Complete[[#This Row],[Procurement Project]]="","",SUM(Complete[[#This Row],[MOOE2]]+Complete[[#This Row],[CO3]]))</f>
        <v>350000</v>
      </c>
      <c r="AE300" s="501"/>
      <c r="AF300" s="675">
        <v>350000</v>
      </c>
      <c r="AG300" s="400"/>
      <c r="AH300" s="380" t="s">
        <v>1205</v>
      </c>
      <c r="AI300" s="576" t="str">
        <f>VLOOKUP(Complete[[#This Row],[Code
(PAP)]],[1]Sheet1!$A:$AO,35,FALSE)</f>
        <v>N/A</v>
      </c>
      <c r="AJ300" s="576" t="str">
        <f>VLOOKUP(Complete[[#This Row],[Code
(PAP)]],[1]Sheet1!$A:$AO,36,FALSE)</f>
        <v>N/A</v>
      </c>
      <c r="AK300" s="576" t="str">
        <f>VLOOKUP(Complete[[#This Row],[Code
(PAP)]],[1]Sheet1!$A:$AO,37,FALSE)</f>
        <v>N/A</v>
      </c>
      <c r="AL300" s="576" t="str">
        <f>VLOOKUP(Complete[[#This Row],[Code
(PAP)]],[1]Sheet1!$A:$AO,38,FALSE)</f>
        <v>N/A</v>
      </c>
      <c r="AM300" s="576" t="str">
        <f>VLOOKUP(Complete[[#This Row],[Code
(PAP)]],[1]Sheet1!$A:$AO,38,FALSE)</f>
        <v>N/A</v>
      </c>
      <c r="AN300" s="595" t="s">
        <v>713</v>
      </c>
      <c r="AO300" s="303" t="s">
        <v>139</v>
      </c>
      <c r="AP300" s="389"/>
      <c r="AQ300" s="389"/>
    </row>
    <row r="301" spans="1:43" s="224" customFormat="1" ht="75" customHeight="1" x14ac:dyDescent="0.25">
      <c r="A301" s="385" t="s">
        <v>479</v>
      </c>
      <c r="B301" s="406" t="str">
        <f>VLOOKUP(Complete[[#This Row],[Code
(PAP)]],[1]Sheet1!$A:$AO,2,FALSE)</f>
        <v>SPAREPARTS (LIGHT VEHICLES)</v>
      </c>
      <c r="C301" s="408" t="str">
        <f>VLOOKUP(Complete[[#This Row],[Code
(PAP)]],[1]Sheet1!$A:$AO,3,FALSE)</f>
        <v>PGSO</v>
      </c>
      <c r="D301" s="380" t="s">
        <v>712</v>
      </c>
      <c r="E301" s="409" t="str">
        <f>VLOOKUP(Complete[[#This Row],[Code
(PAP)]],[2]Sheet1!$A:$AO,5,FALSE)</f>
        <v>NP-53.9 - Small Value Procurement</v>
      </c>
      <c r="F301" s="393">
        <f>VLOOKUP(Complete[[#This Row],[Code
(PAP)]],[1]Sheet1!$A:$AO,6,FALSE)</f>
        <v>45356</v>
      </c>
      <c r="G301" s="393">
        <f>VLOOKUP(Complete[[#This Row],[Code
(PAP)]],[1]Sheet1!$A:$AO,7,FALSE)</f>
        <v>45359</v>
      </c>
      <c r="H301" s="374"/>
      <c r="I301" s="394" t="str">
        <f>VLOOKUP(Complete[[#This Row],[Code
(PAP)]],[1]Sheet1!$A:$AO,9,FALSE)</f>
        <v>N/A</v>
      </c>
      <c r="J301" s="393">
        <f>VLOOKUP(Complete[[#This Row],[Code
(PAP)]],[1]Sheet1!$A:$AO,10,FALSE)</f>
        <v>45387</v>
      </c>
      <c r="K301" s="393">
        <f>VLOOKUP(Complete[[#This Row],[Code
(PAP)]],[1]Sheet1!$A:$AO,11,FALSE)</f>
        <v>45387</v>
      </c>
      <c r="L301" s="387"/>
      <c r="M301" s="393" t="str">
        <f>VLOOKUP(Complete[[#This Row],[Code
(PAP)]],[1]Sheet1!$A:$AO,13,FALSE)</f>
        <v>N/A</v>
      </c>
      <c r="N301" s="393" t="str">
        <f>VLOOKUP(Complete[[#This Row],[Code
(PAP)]],[1]Sheet1!$A:$AO,14,FALSE)</f>
        <v>N/A</v>
      </c>
      <c r="O301" s="393">
        <f>VLOOKUP(Complete[[#This Row],[Code
(PAP)]],[1]Sheet1!$A:$AO,15,FALSE)</f>
        <v>45394</v>
      </c>
      <c r="P301" s="387"/>
      <c r="Q301" s="387"/>
      <c r="R301" s="387"/>
      <c r="S301" s="576" t="str">
        <f>VLOOKUP(Complete[[#This Row],[Code
(PAP)]],[1]Sheet1!$A:$AO,19,FALSE)</f>
        <v>N/A</v>
      </c>
      <c r="T301" s="576">
        <f>VLOOKUP(Complete[[#This Row],[Code
(PAP)]],[1]Sheet1!$A:$AO,20,FALSE)</f>
        <v>45405</v>
      </c>
      <c r="U301" s="576">
        <f>VLOOKUP(Complete[[#This Row],[Code
(PAP)]],[1]Sheet1!$A:$AO,21,FALSE)</f>
        <v>45435</v>
      </c>
      <c r="V301" s="387"/>
      <c r="W301" s="387"/>
      <c r="X301" s="392">
        <f>VLOOKUP(Complete[[#This Row],[Code
(PAP)]],[1]Sheet1!$A:$AO,24,FALSE)</f>
        <v>45440</v>
      </c>
      <c r="Y301" s="392">
        <f>Complete[[#This Row],[Delivery/ Completion]]</f>
        <v>45440</v>
      </c>
      <c r="Z301" s="610" t="s">
        <v>1478</v>
      </c>
      <c r="AA301" s="462">
        <f>Complete[[#This Row],[MOOE]]+Complete[[#This Row],[CO]]</f>
        <v>40500</v>
      </c>
      <c r="AB301" s="466">
        <v>40500</v>
      </c>
      <c r="AC301" s="497"/>
      <c r="AD301" s="498">
        <f>IF(Complete[[#This Row],[Procurement Project]]="","",SUM(Complete[[#This Row],[MOOE2]]+Complete[[#This Row],[CO3]]))</f>
        <v>40500</v>
      </c>
      <c r="AE301" s="501">
        <v>40500</v>
      </c>
      <c r="AF301" s="541"/>
      <c r="AG301" s="400"/>
      <c r="AH301" s="380" t="s">
        <v>1205</v>
      </c>
      <c r="AI301" s="576" t="str">
        <f>VLOOKUP(Complete[[#This Row],[Code
(PAP)]],[1]Sheet1!$A:$AO,35,FALSE)</f>
        <v>N/A</v>
      </c>
      <c r="AJ301" s="576" t="str">
        <f>VLOOKUP(Complete[[#This Row],[Code
(PAP)]],[1]Sheet1!$A:$AO,36,FALSE)</f>
        <v>N/A</v>
      </c>
      <c r="AK301" s="576" t="str">
        <f>VLOOKUP(Complete[[#This Row],[Code
(PAP)]],[1]Sheet1!$A:$AO,37,FALSE)</f>
        <v>N/A</v>
      </c>
      <c r="AL301" s="576" t="str">
        <f>VLOOKUP(Complete[[#This Row],[Code
(PAP)]],[1]Sheet1!$A:$AO,38,FALSE)</f>
        <v>N/A</v>
      </c>
      <c r="AM301" s="576" t="str">
        <f>VLOOKUP(Complete[[#This Row],[Code
(PAP)]],[1]Sheet1!$A:$AO,38,FALSE)</f>
        <v>N/A</v>
      </c>
      <c r="AN301" s="595" t="s">
        <v>713</v>
      </c>
      <c r="AO301" s="303" t="s">
        <v>139</v>
      </c>
      <c r="AP301" s="389"/>
      <c r="AQ301" s="389"/>
    </row>
    <row r="302" spans="1:43" s="224" customFormat="1" ht="75" customHeight="1" x14ac:dyDescent="0.25">
      <c r="A302" s="385" t="s">
        <v>480</v>
      </c>
      <c r="B302" s="406" t="str">
        <f>VLOOKUP(Complete[[#This Row],[Code
(PAP)]],[1]Sheet1!$A:$AO,2,FALSE)</f>
        <v>LEAFLETS, LEGAL SIZE</v>
      </c>
      <c r="C302" s="408" t="str">
        <f>VLOOKUP(Complete[[#This Row],[Code
(PAP)]],[1]Sheet1!$A:$AO,3,FALSE)</f>
        <v>PTO</v>
      </c>
      <c r="D302" s="380" t="s">
        <v>712</v>
      </c>
      <c r="E302" s="409" t="str">
        <f>VLOOKUP(Complete[[#This Row],[Code
(PAP)]],[2]Sheet1!$A:$AO,5,FALSE)</f>
        <v>NP-53.9 - Small Value Procurement</v>
      </c>
      <c r="F302" s="393" t="str">
        <f>VLOOKUP(Complete[[#This Row],[Code
(PAP)]],[1]Sheet1!$A:$AO,6,FALSE)</f>
        <v>N/A</v>
      </c>
      <c r="G302" s="393">
        <f>VLOOKUP(Complete[[#This Row],[Code
(PAP)]],[1]Sheet1!$A:$AO,7,FALSE)</f>
        <v>45371</v>
      </c>
      <c r="H302" s="374"/>
      <c r="I302" s="394" t="str">
        <f>VLOOKUP(Complete[[#This Row],[Code
(PAP)]],[1]Sheet1!$A:$AO,9,FALSE)</f>
        <v>N/A</v>
      </c>
      <c r="J302" s="393">
        <f>VLOOKUP(Complete[[#This Row],[Code
(PAP)]],[1]Sheet1!$A:$AO,10,FALSE)</f>
        <v>45387</v>
      </c>
      <c r="K302" s="393">
        <f>VLOOKUP(Complete[[#This Row],[Code
(PAP)]],[1]Sheet1!$A:$AO,11,FALSE)</f>
        <v>45387</v>
      </c>
      <c r="L302" s="387"/>
      <c r="M302" s="393" t="str">
        <f>VLOOKUP(Complete[[#This Row],[Code
(PAP)]],[1]Sheet1!$A:$AO,13,FALSE)</f>
        <v>N/A</v>
      </c>
      <c r="N302" s="393" t="str">
        <f>VLOOKUP(Complete[[#This Row],[Code
(PAP)]],[1]Sheet1!$A:$AO,14,FALSE)</f>
        <v>N/A</v>
      </c>
      <c r="O302" s="393">
        <f>VLOOKUP(Complete[[#This Row],[Code
(PAP)]],[1]Sheet1!$A:$AO,15,FALSE)</f>
        <v>45394</v>
      </c>
      <c r="P302" s="387"/>
      <c r="Q302" s="387"/>
      <c r="R302" s="387"/>
      <c r="S302" s="576">
        <f>VLOOKUP(Complete[[#This Row],[Code
(PAP)]],[1]Sheet1!$A:$AO,19,FALSE)</f>
        <v>45398</v>
      </c>
      <c r="T302" s="576">
        <f>VLOOKUP(Complete[[#This Row],[Code
(PAP)]],[1]Sheet1!$A:$AO,20,FALSE)</f>
        <v>45405</v>
      </c>
      <c r="U302" s="576">
        <f>VLOOKUP(Complete[[#This Row],[Code
(PAP)]],[1]Sheet1!$A:$AO,21,FALSE)</f>
        <v>45420</v>
      </c>
      <c r="V302" s="387"/>
      <c r="W302" s="387"/>
      <c r="X302" s="392">
        <f>VLOOKUP(Complete[[#This Row],[Code
(PAP)]],[1]Sheet1!$A:$AO,24,FALSE)</f>
        <v>45428</v>
      </c>
      <c r="Y302" s="392">
        <f>Complete[[#This Row],[Delivery/ Completion]]</f>
        <v>45428</v>
      </c>
      <c r="Z302" s="610" t="s">
        <v>1478</v>
      </c>
      <c r="AA302" s="462">
        <f>Complete[[#This Row],[MOOE]]+Complete[[#This Row],[CO]]</f>
        <v>50000</v>
      </c>
      <c r="AB302" s="466">
        <v>50000</v>
      </c>
      <c r="AC302" s="497"/>
      <c r="AD302" s="498">
        <f>IF(Complete[[#This Row],[Procurement Project]]="","",SUM(Complete[[#This Row],[MOOE2]]+Complete[[#This Row],[CO3]]))</f>
        <v>44000</v>
      </c>
      <c r="AE302" s="501">
        <v>44000</v>
      </c>
      <c r="AF302" s="541"/>
      <c r="AG302" s="400"/>
      <c r="AH302" s="380" t="s">
        <v>1205</v>
      </c>
      <c r="AI302" s="576" t="str">
        <f>VLOOKUP(Complete[[#This Row],[Code
(PAP)]],[1]Sheet1!$A:$AO,35,FALSE)</f>
        <v>N/A</v>
      </c>
      <c r="AJ302" s="576" t="str">
        <f>VLOOKUP(Complete[[#This Row],[Code
(PAP)]],[1]Sheet1!$A:$AO,36,FALSE)</f>
        <v>N/A</v>
      </c>
      <c r="AK302" s="576" t="str">
        <f>VLOOKUP(Complete[[#This Row],[Code
(PAP)]],[1]Sheet1!$A:$AO,37,FALSE)</f>
        <v>N/A</v>
      </c>
      <c r="AL302" s="576" t="str">
        <f>VLOOKUP(Complete[[#This Row],[Code
(PAP)]],[1]Sheet1!$A:$AO,38,FALSE)</f>
        <v>N/A</v>
      </c>
      <c r="AM302" s="576" t="str">
        <f>VLOOKUP(Complete[[#This Row],[Code
(PAP)]],[1]Sheet1!$A:$AO,38,FALSE)</f>
        <v>N/A</v>
      </c>
      <c r="AN302" s="595" t="s">
        <v>713</v>
      </c>
      <c r="AO302" s="303" t="s">
        <v>139</v>
      </c>
      <c r="AP302" s="389"/>
      <c r="AQ302" s="389"/>
    </row>
    <row r="303" spans="1:43" s="224" customFormat="1" ht="75" customHeight="1" x14ac:dyDescent="0.25">
      <c r="A303" s="385" t="s">
        <v>481</v>
      </c>
      <c r="B303" s="406" t="str">
        <f>VLOOKUP(Complete[[#This Row],[Code
(PAP)]],[1]Sheet1!$A:$AO,2,FALSE)</f>
        <v>SPAREPARTS (LIGHT VEHICLES)</v>
      </c>
      <c r="C303" s="408" t="str">
        <f>VLOOKUP(Complete[[#This Row],[Code
(PAP)]],[1]Sheet1!$A:$AO,3,FALSE)</f>
        <v>PGSO</v>
      </c>
      <c r="D303" s="380" t="s">
        <v>712</v>
      </c>
      <c r="E303" s="409" t="str">
        <f>VLOOKUP(Complete[[#This Row],[Code
(PAP)]],[2]Sheet1!$A:$AO,5,FALSE)</f>
        <v>NP-53.9 - Small Value Procurement</v>
      </c>
      <c r="F303" s="393">
        <f>VLOOKUP(Complete[[#This Row],[Code
(PAP)]],[1]Sheet1!$A:$AO,6,FALSE)</f>
        <v>45356</v>
      </c>
      <c r="G303" s="393">
        <f>VLOOKUP(Complete[[#This Row],[Code
(PAP)]],[1]Sheet1!$A:$AO,7,FALSE)</f>
        <v>45359</v>
      </c>
      <c r="H303" s="374"/>
      <c r="I303" s="394" t="str">
        <f>VLOOKUP(Complete[[#This Row],[Code
(PAP)]],[1]Sheet1!$A:$AO,9,FALSE)</f>
        <v>N/A</v>
      </c>
      <c r="J303" s="393">
        <f>VLOOKUP(Complete[[#This Row],[Code
(PAP)]],[1]Sheet1!$A:$AO,10,FALSE)</f>
        <v>45387</v>
      </c>
      <c r="K303" s="393">
        <f>VLOOKUP(Complete[[#This Row],[Code
(PAP)]],[1]Sheet1!$A:$AO,11,FALSE)</f>
        <v>45387</v>
      </c>
      <c r="L303" s="387"/>
      <c r="M303" s="393" t="str">
        <f>VLOOKUP(Complete[[#This Row],[Code
(PAP)]],[1]Sheet1!$A:$AO,13,FALSE)</f>
        <v>N/A</v>
      </c>
      <c r="N303" s="393" t="str">
        <f>VLOOKUP(Complete[[#This Row],[Code
(PAP)]],[1]Sheet1!$A:$AO,14,FALSE)</f>
        <v>N/A</v>
      </c>
      <c r="O303" s="393">
        <f>VLOOKUP(Complete[[#This Row],[Code
(PAP)]],[1]Sheet1!$A:$AO,15,FALSE)</f>
        <v>45394</v>
      </c>
      <c r="P303" s="387"/>
      <c r="Q303" s="387"/>
      <c r="R303" s="387"/>
      <c r="S303" s="576" t="str">
        <f>VLOOKUP(Complete[[#This Row],[Code
(PAP)]],[1]Sheet1!$A:$AO,19,FALSE)</f>
        <v>N/A</v>
      </c>
      <c r="T303" s="576">
        <f>VLOOKUP(Complete[[#This Row],[Code
(PAP)]],[1]Sheet1!$A:$AO,20,FALSE)</f>
        <v>45405</v>
      </c>
      <c r="U303" s="576">
        <f>VLOOKUP(Complete[[#This Row],[Code
(PAP)]],[1]Sheet1!$A:$AO,21,FALSE)</f>
        <v>45425</v>
      </c>
      <c r="V303" s="387"/>
      <c r="W303" s="387"/>
      <c r="X303" s="392">
        <f>VLOOKUP(Complete[[#This Row],[Code
(PAP)]],[1]Sheet1!$A:$AO,24,FALSE)</f>
        <v>45426</v>
      </c>
      <c r="Y303" s="392">
        <f>Complete[[#This Row],[Delivery/ Completion]]</f>
        <v>45426</v>
      </c>
      <c r="Z303" s="610" t="s">
        <v>1478</v>
      </c>
      <c r="AA303" s="462">
        <f>Complete[[#This Row],[MOOE]]+Complete[[#This Row],[CO]]</f>
        <v>8500</v>
      </c>
      <c r="AB303" s="466">
        <v>8500</v>
      </c>
      <c r="AC303" s="497"/>
      <c r="AD303" s="498">
        <f>IF(Complete[[#This Row],[Procurement Project]]="","",SUM(Complete[[#This Row],[MOOE2]]+Complete[[#This Row],[CO3]]))</f>
        <v>8500</v>
      </c>
      <c r="AE303" s="501">
        <v>8500</v>
      </c>
      <c r="AF303" s="541"/>
      <c r="AG303" s="400"/>
      <c r="AH303" s="380" t="s">
        <v>1205</v>
      </c>
      <c r="AI303" s="576" t="str">
        <f>VLOOKUP(Complete[[#This Row],[Code
(PAP)]],[1]Sheet1!$A:$AO,35,FALSE)</f>
        <v>N/A</v>
      </c>
      <c r="AJ303" s="576" t="str">
        <f>VLOOKUP(Complete[[#This Row],[Code
(PAP)]],[1]Sheet1!$A:$AO,36,FALSE)</f>
        <v>N/A</v>
      </c>
      <c r="AK303" s="576" t="str">
        <f>VLOOKUP(Complete[[#This Row],[Code
(PAP)]],[1]Sheet1!$A:$AO,37,FALSE)</f>
        <v>N/A</v>
      </c>
      <c r="AL303" s="576" t="str">
        <f>VLOOKUP(Complete[[#This Row],[Code
(PAP)]],[1]Sheet1!$A:$AO,38,FALSE)</f>
        <v>N/A</v>
      </c>
      <c r="AM303" s="576" t="str">
        <f>VLOOKUP(Complete[[#This Row],[Code
(PAP)]],[1]Sheet1!$A:$AO,38,FALSE)</f>
        <v>N/A</v>
      </c>
      <c r="AN303" s="595" t="s">
        <v>713</v>
      </c>
      <c r="AO303" s="303" t="s">
        <v>139</v>
      </c>
      <c r="AP303" s="389"/>
      <c r="AQ303" s="389"/>
    </row>
    <row r="304" spans="1:43" s="224" customFormat="1" ht="75" customHeight="1" x14ac:dyDescent="0.25">
      <c r="A304" s="385" t="s">
        <v>482</v>
      </c>
      <c r="B304" s="406" t="str">
        <f>VLOOKUP(Complete[[#This Row],[Code
(PAP)]],[1]Sheet1!$A:$AO,2,FALSE)</f>
        <v>SPAREPARTS (MOTORCYCLE)</v>
      </c>
      <c r="C304" s="408" t="str">
        <f>VLOOKUP(Complete[[#This Row],[Code
(PAP)]],[1]Sheet1!$A:$AO,3,FALSE)</f>
        <v>PGSO</v>
      </c>
      <c r="D304" s="380" t="s">
        <v>712</v>
      </c>
      <c r="E304" s="409" t="str">
        <f>VLOOKUP(Complete[[#This Row],[Code
(PAP)]],[2]Sheet1!$A:$AO,5,FALSE)</f>
        <v>NP-53.9 - Small Value Procurement</v>
      </c>
      <c r="F304" s="393">
        <f>VLOOKUP(Complete[[#This Row],[Code
(PAP)]],[1]Sheet1!$A:$AO,6,FALSE)</f>
        <v>45356</v>
      </c>
      <c r="G304" s="393">
        <f>VLOOKUP(Complete[[#This Row],[Code
(PAP)]],[1]Sheet1!$A:$AO,7,FALSE)</f>
        <v>45359</v>
      </c>
      <c r="H304" s="374"/>
      <c r="I304" s="394" t="str">
        <f>VLOOKUP(Complete[[#This Row],[Code
(PAP)]],[1]Sheet1!$A:$AO,9,FALSE)</f>
        <v>N/A</v>
      </c>
      <c r="J304" s="393">
        <f>VLOOKUP(Complete[[#This Row],[Code
(PAP)]],[1]Sheet1!$A:$AO,10,FALSE)</f>
        <v>45387</v>
      </c>
      <c r="K304" s="393">
        <f>VLOOKUP(Complete[[#This Row],[Code
(PAP)]],[1]Sheet1!$A:$AO,11,FALSE)</f>
        <v>45387</v>
      </c>
      <c r="L304" s="387"/>
      <c r="M304" s="393" t="str">
        <f>VLOOKUP(Complete[[#This Row],[Code
(PAP)]],[1]Sheet1!$A:$AO,13,FALSE)</f>
        <v>N/A</v>
      </c>
      <c r="N304" s="393" t="str">
        <f>VLOOKUP(Complete[[#This Row],[Code
(PAP)]],[1]Sheet1!$A:$AO,14,FALSE)</f>
        <v>N/A</v>
      </c>
      <c r="O304" s="393">
        <f>VLOOKUP(Complete[[#This Row],[Code
(PAP)]],[1]Sheet1!$A:$AO,15,FALSE)</f>
        <v>45394</v>
      </c>
      <c r="P304" s="387"/>
      <c r="Q304" s="387"/>
      <c r="R304" s="387"/>
      <c r="S304" s="576" t="str">
        <f>VLOOKUP(Complete[[#This Row],[Code
(PAP)]],[1]Sheet1!$A:$AO,19,FALSE)</f>
        <v>N/A</v>
      </c>
      <c r="T304" s="576">
        <f>VLOOKUP(Complete[[#This Row],[Code
(PAP)]],[1]Sheet1!$A:$AO,20,FALSE)</f>
        <v>45405</v>
      </c>
      <c r="U304" s="576">
        <f>VLOOKUP(Complete[[#This Row],[Code
(PAP)]],[1]Sheet1!$A:$AO,21,FALSE)</f>
        <v>45435</v>
      </c>
      <c r="V304" s="387"/>
      <c r="W304" s="387"/>
      <c r="X304" s="392">
        <f>VLOOKUP(Complete[[#This Row],[Code
(PAP)]],[1]Sheet1!$A:$AO,24,FALSE)</f>
        <v>45440</v>
      </c>
      <c r="Y304" s="392">
        <f>Complete[[#This Row],[Delivery/ Completion]]</f>
        <v>45440</v>
      </c>
      <c r="Z304" s="610" t="s">
        <v>1478</v>
      </c>
      <c r="AA304" s="462">
        <f>Complete[[#This Row],[MOOE]]+Complete[[#This Row],[CO]]</f>
        <v>8415</v>
      </c>
      <c r="AB304" s="466">
        <v>8415</v>
      </c>
      <c r="AC304" s="497"/>
      <c r="AD304" s="498">
        <f>IF(Complete[[#This Row],[Procurement Project]]="","",SUM(Complete[[#This Row],[MOOE2]]+Complete[[#This Row],[CO3]]))</f>
        <v>8415</v>
      </c>
      <c r="AE304" s="501">
        <v>8415</v>
      </c>
      <c r="AF304" s="541"/>
      <c r="AG304" s="400"/>
      <c r="AH304" s="380" t="s">
        <v>1205</v>
      </c>
      <c r="AI304" s="576" t="str">
        <f>VLOOKUP(Complete[[#This Row],[Code
(PAP)]],[1]Sheet1!$A:$AO,35,FALSE)</f>
        <v>N/A</v>
      </c>
      <c r="AJ304" s="576" t="str">
        <f>VLOOKUP(Complete[[#This Row],[Code
(PAP)]],[1]Sheet1!$A:$AO,36,FALSE)</f>
        <v>N/A</v>
      </c>
      <c r="AK304" s="576" t="str">
        <f>VLOOKUP(Complete[[#This Row],[Code
(PAP)]],[1]Sheet1!$A:$AO,37,FALSE)</f>
        <v>N/A</v>
      </c>
      <c r="AL304" s="576" t="str">
        <f>VLOOKUP(Complete[[#This Row],[Code
(PAP)]],[1]Sheet1!$A:$AO,38,FALSE)</f>
        <v>N/A</v>
      </c>
      <c r="AM304" s="576" t="str">
        <f>VLOOKUP(Complete[[#This Row],[Code
(PAP)]],[1]Sheet1!$A:$AO,38,FALSE)</f>
        <v>N/A</v>
      </c>
      <c r="AN304" s="595" t="s">
        <v>713</v>
      </c>
      <c r="AO304" s="303" t="s">
        <v>139</v>
      </c>
      <c r="AP304" s="389"/>
      <c r="AQ304" s="389"/>
    </row>
    <row r="305" spans="1:43" s="224" customFormat="1" ht="75" customHeight="1" x14ac:dyDescent="0.25">
      <c r="A305" s="385" t="s">
        <v>483</v>
      </c>
      <c r="B305" s="406" t="str">
        <f>VLOOKUP(Complete[[#This Row],[Code
(PAP)]],[1]Sheet1!$A:$AO,2,FALSE)</f>
        <v>TARPAULIN</v>
      </c>
      <c r="C305" s="408" t="str">
        <f>VLOOKUP(Complete[[#This Row],[Code
(PAP)]],[1]Sheet1!$A:$AO,3,FALSE)</f>
        <v>PEO</v>
      </c>
      <c r="D305" s="380" t="s">
        <v>712</v>
      </c>
      <c r="E305" s="409" t="str">
        <f>VLOOKUP(Complete[[#This Row],[Code
(PAP)]],[2]Sheet1!$A:$AO,5,FALSE)</f>
        <v>NP-53.9 - Small Value Procurement</v>
      </c>
      <c r="F305" s="393">
        <f>VLOOKUP(Complete[[#This Row],[Code
(PAP)]],[1]Sheet1!$A:$AO,6,FALSE)</f>
        <v>45356</v>
      </c>
      <c r="G305" s="393">
        <f>VLOOKUP(Complete[[#This Row],[Code
(PAP)]],[1]Sheet1!$A:$AO,7,FALSE)</f>
        <v>45359</v>
      </c>
      <c r="H305" s="374"/>
      <c r="I305" s="394" t="str">
        <f>VLOOKUP(Complete[[#This Row],[Code
(PAP)]],[1]Sheet1!$A:$AO,9,FALSE)</f>
        <v>N/A</v>
      </c>
      <c r="J305" s="393">
        <f>VLOOKUP(Complete[[#This Row],[Code
(PAP)]],[1]Sheet1!$A:$AO,10,FALSE)</f>
        <v>45387</v>
      </c>
      <c r="K305" s="393">
        <f>VLOOKUP(Complete[[#This Row],[Code
(PAP)]],[1]Sheet1!$A:$AO,11,FALSE)</f>
        <v>45387</v>
      </c>
      <c r="L305" s="387"/>
      <c r="M305" s="393" t="str">
        <f>VLOOKUP(Complete[[#This Row],[Code
(PAP)]],[1]Sheet1!$A:$AO,13,FALSE)</f>
        <v>N/A</v>
      </c>
      <c r="N305" s="393" t="str">
        <f>VLOOKUP(Complete[[#This Row],[Code
(PAP)]],[1]Sheet1!$A:$AO,14,FALSE)</f>
        <v>N/A</v>
      </c>
      <c r="O305" s="393">
        <f>VLOOKUP(Complete[[#This Row],[Code
(PAP)]],[1]Sheet1!$A:$AO,15,FALSE)</f>
        <v>45394</v>
      </c>
      <c r="P305" s="387"/>
      <c r="Q305" s="387"/>
      <c r="R305" s="387"/>
      <c r="S305" s="576" t="str">
        <f>VLOOKUP(Complete[[#This Row],[Code
(PAP)]],[1]Sheet1!$A:$AO,19,FALSE)</f>
        <v>N/A</v>
      </c>
      <c r="T305" s="576">
        <f>VLOOKUP(Complete[[#This Row],[Code
(PAP)]],[1]Sheet1!$A:$AO,20,FALSE)</f>
        <v>45405</v>
      </c>
      <c r="U305" s="576">
        <f>VLOOKUP(Complete[[#This Row],[Code
(PAP)]],[1]Sheet1!$A:$AO,21,FALSE)</f>
        <v>45426</v>
      </c>
      <c r="V305" s="387"/>
      <c r="W305" s="387"/>
      <c r="X305" s="392">
        <f>VLOOKUP(Complete[[#This Row],[Code
(PAP)]],[1]Sheet1!$A:$AO,24,FALSE)</f>
        <v>45434</v>
      </c>
      <c r="Y305" s="392">
        <f>Complete[[#This Row],[Delivery/ Completion]]</f>
        <v>45434</v>
      </c>
      <c r="Z305" s="610" t="s">
        <v>1478</v>
      </c>
      <c r="AA305" s="462">
        <f>Complete[[#This Row],[MOOE]]+Complete[[#This Row],[CO]]</f>
        <v>1792</v>
      </c>
      <c r="AB305" s="466"/>
      <c r="AC305" s="497">
        <v>1792</v>
      </c>
      <c r="AD305" s="498">
        <f>IF(Complete[[#This Row],[Procurement Project]]="","",SUM(Complete[[#This Row],[MOOE2]]+Complete[[#This Row],[CO3]]))</f>
        <v>1779.2</v>
      </c>
      <c r="AE305" s="501"/>
      <c r="AF305" s="541">
        <v>1779.2</v>
      </c>
      <c r="AG305" s="400"/>
      <c r="AH305" s="380" t="s">
        <v>1205</v>
      </c>
      <c r="AI305" s="576" t="str">
        <f>VLOOKUP(Complete[[#This Row],[Code
(PAP)]],[1]Sheet1!$A:$AO,35,FALSE)</f>
        <v>N/A</v>
      </c>
      <c r="AJ305" s="576" t="str">
        <f>VLOOKUP(Complete[[#This Row],[Code
(PAP)]],[1]Sheet1!$A:$AO,36,FALSE)</f>
        <v>N/A</v>
      </c>
      <c r="AK305" s="576" t="str">
        <f>VLOOKUP(Complete[[#This Row],[Code
(PAP)]],[1]Sheet1!$A:$AO,37,FALSE)</f>
        <v>N/A</v>
      </c>
      <c r="AL305" s="576" t="str">
        <f>VLOOKUP(Complete[[#This Row],[Code
(PAP)]],[1]Sheet1!$A:$AO,38,FALSE)</f>
        <v>N/A</v>
      </c>
      <c r="AM305" s="576" t="str">
        <f>VLOOKUP(Complete[[#This Row],[Code
(PAP)]],[1]Sheet1!$A:$AO,38,FALSE)</f>
        <v>N/A</v>
      </c>
      <c r="AN305" s="595" t="s">
        <v>713</v>
      </c>
      <c r="AO305" s="303" t="s">
        <v>139</v>
      </c>
      <c r="AP305" s="389"/>
      <c r="AQ305" s="389"/>
    </row>
    <row r="306" spans="1:43" s="224" customFormat="1" ht="75" customHeight="1" x14ac:dyDescent="0.25">
      <c r="A306" s="385" t="s">
        <v>484</v>
      </c>
      <c r="B306" s="406" t="str">
        <f>VLOOKUP(Complete[[#This Row],[Code
(PAP)]],[1]Sheet1!$A:$AO,2,FALSE)</f>
        <v>STICKER, OUTDOOR</v>
      </c>
      <c r="C306" s="408" t="str">
        <f>VLOOKUP(Complete[[#This Row],[Code
(PAP)]],[1]Sheet1!$A:$AO,3,FALSE)</f>
        <v>PTO</v>
      </c>
      <c r="D306" s="380" t="s">
        <v>712</v>
      </c>
      <c r="E306" s="409" t="str">
        <f>VLOOKUP(Complete[[#This Row],[Code
(PAP)]],[2]Sheet1!$A:$AO,5,FALSE)</f>
        <v>NP-53.9 - Small Value Procurement</v>
      </c>
      <c r="F306" s="393" t="str">
        <f>VLOOKUP(Complete[[#This Row],[Code
(PAP)]],[1]Sheet1!$A:$AO,6,FALSE)</f>
        <v>N/A</v>
      </c>
      <c r="G306" s="393">
        <f>VLOOKUP(Complete[[#This Row],[Code
(PAP)]],[1]Sheet1!$A:$AO,7,FALSE)</f>
        <v>45359</v>
      </c>
      <c r="H306" s="374"/>
      <c r="I306" s="394" t="str">
        <f>VLOOKUP(Complete[[#This Row],[Code
(PAP)]],[1]Sheet1!$A:$AO,9,FALSE)</f>
        <v>N/A</v>
      </c>
      <c r="J306" s="393">
        <f>VLOOKUP(Complete[[#This Row],[Code
(PAP)]],[1]Sheet1!$A:$AO,10,FALSE)</f>
        <v>45387</v>
      </c>
      <c r="K306" s="393">
        <f>VLOOKUP(Complete[[#This Row],[Code
(PAP)]],[1]Sheet1!$A:$AO,11,FALSE)</f>
        <v>45387</v>
      </c>
      <c r="L306" s="387"/>
      <c r="M306" s="393" t="str">
        <f>VLOOKUP(Complete[[#This Row],[Code
(PAP)]],[1]Sheet1!$A:$AO,13,FALSE)</f>
        <v>N/A</v>
      </c>
      <c r="N306" s="393" t="str">
        <f>VLOOKUP(Complete[[#This Row],[Code
(PAP)]],[1]Sheet1!$A:$AO,14,FALSE)</f>
        <v>N/A</v>
      </c>
      <c r="O306" s="393">
        <f>VLOOKUP(Complete[[#This Row],[Code
(PAP)]],[1]Sheet1!$A:$AO,15,FALSE)</f>
        <v>45394</v>
      </c>
      <c r="P306" s="387"/>
      <c r="Q306" s="387"/>
      <c r="R306" s="387"/>
      <c r="S306" s="576" t="str">
        <f>VLOOKUP(Complete[[#This Row],[Code
(PAP)]],[1]Sheet1!$A:$AO,19,FALSE)</f>
        <v>N/A</v>
      </c>
      <c r="T306" s="576">
        <f>VLOOKUP(Complete[[#This Row],[Code
(PAP)]],[1]Sheet1!$A:$AO,20,FALSE)</f>
        <v>45407</v>
      </c>
      <c r="U306" s="576">
        <f>VLOOKUP(Complete[[#This Row],[Code
(PAP)]],[1]Sheet1!$A:$AO,21,FALSE)</f>
        <v>45426</v>
      </c>
      <c r="V306" s="387"/>
      <c r="W306" s="387"/>
      <c r="X306" s="392">
        <f>VLOOKUP(Complete[[#This Row],[Code
(PAP)]],[1]Sheet1!$A:$AO,24,FALSE)</f>
        <v>45434</v>
      </c>
      <c r="Y306" s="392">
        <f>Complete[[#This Row],[Delivery/ Completion]]</f>
        <v>45434</v>
      </c>
      <c r="Z306" s="610" t="s">
        <v>1478</v>
      </c>
      <c r="AA306" s="462">
        <f>Complete[[#This Row],[MOOE]]+Complete[[#This Row],[CO]]</f>
        <v>14000</v>
      </c>
      <c r="AB306" s="466">
        <v>14000</v>
      </c>
      <c r="AC306" s="497"/>
      <c r="AD306" s="498">
        <f>IF(Complete[[#This Row],[Procurement Project]]="","",SUM(Complete[[#This Row],[MOOE2]]+Complete[[#This Row],[CO3]]))</f>
        <v>14000</v>
      </c>
      <c r="AE306" s="501">
        <v>14000</v>
      </c>
      <c r="AF306" s="541"/>
      <c r="AG306" s="400"/>
      <c r="AH306" s="380" t="s">
        <v>1205</v>
      </c>
      <c r="AI306" s="576" t="str">
        <f>VLOOKUP(Complete[[#This Row],[Code
(PAP)]],[1]Sheet1!$A:$AO,35,FALSE)</f>
        <v>N/A</v>
      </c>
      <c r="AJ306" s="576" t="str">
        <f>VLOOKUP(Complete[[#This Row],[Code
(PAP)]],[1]Sheet1!$A:$AO,36,FALSE)</f>
        <v>N/A</v>
      </c>
      <c r="AK306" s="576" t="str">
        <f>VLOOKUP(Complete[[#This Row],[Code
(PAP)]],[1]Sheet1!$A:$AO,37,FALSE)</f>
        <v>N/A</v>
      </c>
      <c r="AL306" s="576" t="str">
        <f>VLOOKUP(Complete[[#This Row],[Code
(PAP)]],[1]Sheet1!$A:$AO,38,FALSE)</f>
        <v>N/A</v>
      </c>
      <c r="AM306" s="576" t="str">
        <f>VLOOKUP(Complete[[#This Row],[Code
(PAP)]],[1]Sheet1!$A:$AO,38,FALSE)</f>
        <v>N/A</v>
      </c>
      <c r="AN306" s="595" t="s">
        <v>713</v>
      </c>
      <c r="AO306" s="303" t="s">
        <v>139</v>
      </c>
      <c r="AP306" s="389"/>
      <c r="AQ306" s="389"/>
    </row>
    <row r="307" spans="1:43" s="224" customFormat="1" ht="75" customHeight="1" x14ac:dyDescent="0.25">
      <c r="A307" s="385" t="s">
        <v>485</v>
      </c>
      <c r="B307" s="406" t="str">
        <f>VLOOKUP(Complete[[#This Row],[Code
(PAP)]],[1]Sheet1!$A:$AO,2,FALSE)</f>
        <v>JANITORIAL SUPPLIES/HOUSEKEEPING</v>
      </c>
      <c r="C307" s="408" t="str">
        <f>VLOOKUP(Complete[[#This Row],[Code
(PAP)]],[1]Sheet1!$A:$AO,3,FALSE)</f>
        <v>PHO</v>
      </c>
      <c r="D307" s="380" t="s">
        <v>712</v>
      </c>
      <c r="E307" s="409" t="str">
        <f>VLOOKUP(Complete[[#This Row],[Code
(PAP)]],[2]Sheet1!$A:$AO,5,FALSE)</f>
        <v>NP-53.9 - Small Value Procurement</v>
      </c>
      <c r="F307" s="393" t="str">
        <f>VLOOKUP(Complete[[#This Row],[Code
(PAP)]],[1]Sheet1!$A:$AO,6,FALSE)</f>
        <v>N/A</v>
      </c>
      <c r="G307" s="393">
        <f>VLOOKUP(Complete[[#This Row],[Code
(PAP)]],[1]Sheet1!$A:$AO,7,FALSE)</f>
        <v>45363</v>
      </c>
      <c r="H307" s="374"/>
      <c r="I307" s="394" t="str">
        <f>VLOOKUP(Complete[[#This Row],[Code
(PAP)]],[1]Sheet1!$A:$AO,9,FALSE)</f>
        <v>N/A</v>
      </c>
      <c r="J307" s="393">
        <f>VLOOKUP(Complete[[#This Row],[Code
(PAP)]],[1]Sheet1!$A:$AO,10,FALSE)</f>
        <v>45387</v>
      </c>
      <c r="K307" s="393">
        <f>VLOOKUP(Complete[[#This Row],[Code
(PAP)]],[1]Sheet1!$A:$AO,11,FALSE)</f>
        <v>45387</v>
      </c>
      <c r="L307" s="387"/>
      <c r="M307" s="393" t="str">
        <f>VLOOKUP(Complete[[#This Row],[Code
(PAP)]],[1]Sheet1!$A:$AO,13,FALSE)</f>
        <v>N/A</v>
      </c>
      <c r="N307" s="393" t="str">
        <f>VLOOKUP(Complete[[#This Row],[Code
(PAP)]],[1]Sheet1!$A:$AO,14,FALSE)</f>
        <v>N/A</v>
      </c>
      <c r="O307" s="393">
        <f>VLOOKUP(Complete[[#This Row],[Code
(PAP)]],[1]Sheet1!$A:$AO,15,FALSE)</f>
        <v>45394</v>
      </c>
      <c r="P307" s="387"/>
      <c r="Q307" s="387"/>
      <c r="R307" s="387"/>
      <c r="S307" s="576" t="str">
        <f>VLOOKUP(Complete[[#This Row],[Code
(PAP)]],[1]Sheet1!$A:$AO,19,FALSE)</f>
        <v>N/A</v>
      </c>
      <c r="T307" s="576">
        <f>VLOOKUP(Complete[[#This Row],[Code
(PAP)]],[1]Sheet1!$A:$AO,20,FALSE)</f>
        <v>45405</v>
      </c>
      <c r="U307" s="576">
        <f>VLOOKUP(Complete[[#This Row],[Code
(PAP)]],[1]Sheet1!$A:$AO,21,FALSE)</f>
        <v>45419</v>
      </c>
      <c r="V307" s="387"/>
      <c r="W307" s="387"/>
      <c r="X307" s="392">
        <f>VLOOKUP(Complete[[#This Row],[Code
(PAP)]],[1]Sheet1!$A:$AO,24,FALSE)</f>
        <v>45421</v>
      </c>
      <c r="Y307" s="392">
        <f>Complete[[#This Row],[Delivery/ Completion]]</f>
        <v>45421</v>
      </c>
      <c r="Z307" s="610" t="s">
        <v>1478</v>
      </c>
      <c r="AA307" s="462">
        <f>Complete[[#This Row],[MOOE]]+Complete[[#This Row],[CO]]</f>
        <v>1339</v>
      </c>
      <c r="AB307" s="466">
        <v>1339</v>
      </c>
      <c r="AC307" s="497"/>
      <c r="AD307" s="498">
        <f>IF(Complete[[#This Row],[Procurement Project]]="","",SUM(Complete[[#This Row],[MOOE2]]+Complete[[#This Row],[CO3]]))</f>
        <v>1339</v>
      </c>
      <c r="AE307" s="501">
        <v>1339</v>
      </c>
      <c r="AF307" s="541"/>
      <c r="AG307" s="400"/>
      <c r="AH307" s="380" t="s">
        <v>1205</v>
      </c>
      <c r="AI307" s="576" t="str">
        <f>VLOOKUP(Complete[[#This Row],[Code
(PAP)]],[1]Sheet1!$A:$AO,35,FALSE)</f>
        <v>N/A</v>
      </c>
      <c r="AJ307" s="576" t="str">
        <f>VLOOKUP(Complete[[#This Row],[Code
(PAP)]],[1]Sheet1!$A:$AO,36,FALSE)</f>
        <v>N/A</v>
      </c>
      <c r="AK307" s="576" t="str">
        <f>VLOOKUP(Complete[[#This Row],[Code
(PAP)]],[1]Sheet1!$A:$AO,37,FALSE)</f>
        <v>N/A</v>
      </c>
      <c r="AL307" s="576" t="str">
        <f>VLOOKUP(Complete[[#This Row],[Code
(PAP)]],[1]Sheet1!$A:$AO,38,FALSE)</f>
        <v>N/A</v>
      </c>
      <c r="AM307" s="576" t="str">
        <f>VLOOKUP(Complete[[#This Row],[Code
(PAP)]],[1]Sheet1!$A:$AO,38,FALSE)</f>
        <v>N/A</v>
      </c>
      <c r="AN307" s="595" t="s">
        <v>713</v>
      </c>
      <c r="AO307" s="303" t="s">
        <v>139</v>
      </c>
      <c r="AP307" s="389"/>
      <c r="AQ307" s="389"/>
    </row>
    <row r="308" spans="1:43" s="224" customFormat="1" ht="75" customHeight="1" x14ac:dyDescent="0.25">
      <c r="A308" s="385" t="s">
        <v>486</v>
      </c>
      <c r="B308" s="406" t="str">
        <f>VLOOKUP(Complete[[#This Row],[Code
(PAP)]],[1]Sheet1!$A:$AO,2,FALSE)</f>
        <v>PRINTER, INK TANK SYSTEM</v>
      </c>
      <c r="C308" s="408" t="str">
        <f>VLOOKUP(Complete[[#This Row],[Code
(PAP)]],[1]Sheet1!$A:$AO,3,FALSE)</f>
        <v>PHO</v>
      </c>
      <c r="D308" s="380" t="s">
        <v>712</v>
      </c>
      <c r="E308" s="409" t="str">
        <f>VLOOKUP(Complete[[#This Row],[Code
(PAP)]],[2]Sheet1!$A:$AO,5,FALSE)</f>
        <v>NP-53.9 - Small Value Procurement</v>
      </c>
      <c r="F308" s="393" t="str">
        <f>VLOOKUP(Complete[[#This Row],[Code
(PAP)]],[1]Sheet1!$A:$AO,6,FALSE)</f>
        <v>N/A</v>
      </c>
      <c r="G308" s="393">
        <f>VLOOKUP(Complete[[#This Row],[Code
(PAP)]],[1]Sheet1!$A:$AO,7,FALSE)</f>
        <v>45363</v>
      </c>
      <c r="H308" s="374"/>
      <c r="I308" s="394" t="str">
        <f>VLOOKUP(Complete[[#This Row],[Code
(PAP)]],[1]Sheet1!$A:$AO,9,FALSE)</f>
        <v>N/A</v>
      </c>
      <c r="J308" s="393">
        <f>VLOOKUP(Complete[[#This Row],[Code
(PAP)]],[1]Sheet1!$A:$AO,10,FALSE)</f>
        <v>45387</v>
      </c>
      <c r="K308" s="393">
        <f>VLOOKUP(Complete[[#This Row],[Code
(PAP)]],[1]Sheet1!$A:$AO,11,FALSE)</f>
        <v>45387</v>
      </c>
      <c r="L308" s="387"/>
      <c r="M308" s="393" t="str">
        <f>VLOOKUP(Complete[[#This Row],[Code
(PAP)]],[1]Sheet1!$A:$AO,13,FALSE)</f>
        <v>N/A</v>
      </c>
      <c r="N308" s="393" t="str">
        <f>VLOOKUP(Complete[[#This Row],[Code
(PAP)]],[1]Sheet1!$A:$AO,14,FALSE)</f>
        <v>N/A</v>
      </c>
      <c r="O308" s="393">
        <f>VLOOKUP(Complete[[#This Row],[Code
(PAP)]],[1]Sheet1!$A:$AO,15,FALSE)</f>
        <v>45394</v>
      </c>
      <c r="P308" s="387"/>
      <c r="Q308" s="387"/>
      <c r="R308" s="387"/>
      <c r="S308" s="576" t="str">
        <f>VLOOKUP(Complete[[#This Row],[Code
(PAP)]],[1]Sheet1!$A:$AO,19,FALSE)</f>
        <v>N/A</v>
      </c>
      <c r="T308" s="576">
        <f>VLOOKUP(Complete[[#This Row],[Code
(PAP)]],[1]Sheet1!$A:$AO,20,FALSE)</f>
        <v>45405</v>
      </c>
      <c r="U308" s="576">
        <f>VLOOKUP(Complete[[#This Row],[Code
(PAP)]],[1]Sheet1!$A:$AO,21,FALSE)</f>
        <v>45419</v>
      </c>
      <c r="V308" s="387"/>
      <c r="W308" s="387"/>
      <c r="X308" s="392">
        <f>VLOOKUP(Complete[[#This Row],[Code
(PAP)]],[1]Sheet1!$A:$AO,24,FALSE)</f>
        <v>45421</v>
      </c>
      <c r="Y308" s="392">
        <f>Complete[[#This Row],[Delivery/ Completion]]</f>
        <v>45421</v>
      </c>
      <c r="Z308" s="610" t="s">
        <v>1478</v>
      </c>
      <c r="AA308" s="462">
        <f>Complete[[#This Row],[MOOE]]+Complete[[#This Row],[CO]]</f>
        <v>43500</v>
      </c>
      <c r="AB308" s="466">
        <v>43500</v>
      </c>
      <c r="AC308" s="497"/>
      <c r="AD308" s="498">
        <f>IF(Complete[[#This Row],[Procurement Project]]="","",SUM(Complete[[#This Row],[MOOE2]]+Complete[[#This Row],[CO3]]))</f>
        <v>43494</v>
      </c>
      <c r="AE308" s="501">
        <v>43494</v>
      </c>
      <c r="AF308" s="541"/>
      <c r="AG308" s="400"/>
      <c r="AH308" s="380" t="s">
        <v>1205</v>
      </c>
      <c r="AI308" s="576" t="str">
        <f>VLOOKUP(Complete[[#This Row],[Code
(PAP)]],[1]Sheet1!$A:$AO,35,FALSE)</f>
        <v>N/A</v>
      </c>
      <c r="AJ308" s="576" t="str">
        <f>VLOOKUP(Complete[[#This Row],[Code
(PAP)]],[1]Sheet1!$A:$AO,36,FALSE)</f>
        <v>N/A</v>
      </c>
      <c r="AK308" s="576" t="str">
        <f>VLOOKUP(Complete[[#This Row],[Code
(PAP)]],[1]Sheet1!$A:$AO,37,FALSE)</f>
        <v>N/A</v>
      </c>
      <c r="AL308" s="576" t="str">
        <f>VLOOKUP(Complete[[#This Row],[Code
(PAP)]],[1]Sheet1!$A:$AO,38,FALSE)</f>
        <v>N/A</v>
      </c>
      <c r="AM308" s="576" t="str">
        <f>VLOOKUP(Complete[[#This Row],[Code
(PAP)]],[1]Sheet1!$A:$AO,38,FALSE)</f>
        <v>N/A</v>
      </c>
      <c r="AN308" s="595" t="s">
        <v>713</v>
      </c>
      <c r="AO308" s="303" t="s">
        <v>139</v>
      </c>
      <c r="AP308" s="389"/>
      <c r="AQ308" s="389"/>
    </row>
    <row r="309" spans="1:43" s="224" customFormat="1" ht="75" customHeight="1" x14ac:dyDescent="0.25">
      <c r="A309" s="385" t="s">
        <v>487</v>
      </c>
      <c r="B309" s="406" t="str">
        <f>VLOOKUP(Complete[[#This Row],[Code
(PAP)]],[1]Sheet1!$A:$AO,2,FALSE)</f>
        <v>TARPAULIN</v>
      </c>
      <c r="C309" s="408" t="str">
        <f>VLOOKUP(Complete[[#This Row],[Code
(PAP)]],[1]Sheet1!$A:$AO,3,FALSE)</f>
        <v>PENRO</v>
      </c>
      <c r="D309" s="380" t="s">
        <v>712</v>
      </c>
      <c r="E309" s="409" t="str">
        <f>VLOOKUP(Complete[[#This Row],[Code
(PAP)]],[2]Sheet1!$A:$AO,5,FALSE)</f>
        <v>NP-53.9 - Small Value Procurement</v>
      </c>
      <c r="F309" s="393" t="str">
        <f>VLOOKUP(Complete[[#This Row],[Code
(PAP)]],[1]Sheet1!$A:$AO,6,FALSE)</f>
        <v>N/A</v>
      </c>
      <c r="G309" s="393">
        <f>VLOOKUP(Complete[[#This Row],[Code
(PAP)]],[1]Sheet1!$A:$AO,7,FALSE)</f>
        <v>45363</v>
      </c>
      <c r="H309" s="374"/>
      <c r="I309" s="394" t="str">
        <f>VLOOKUP(Complete[[#This Row],[Code
(PAP)]],[1]Sheet1!$A:$AO,9,FALSE)</f>
        <v>N/A</v>
      </c>
      <c r="J309" s="393">
        <f>VLOOKUP(Complete[[#This Row],[Code
(PAP)]],[1]Sheet1!$A:$AO,10,FALSE)</f>
        <v>45387</v>
      </c>
      <c r="K309" s="393">
        <f>VLOOKUP(Complete[[#This Row],[Code
(PAP)]],[1]Sheet1!$A:$AO,11,FALSE)</f>
        <v>45387</v>
      </c>
      <c r="L309" s="387"/>
      <c r="M309" s="393" t="str">
        <f>VLOOKUP(Complete[[#This Row],[Code
(PAP)]],[1]Sheet1!$A:$AO,13,FALSE)</f>
        <v>N/A</v>
      </c>
      <c r="N309" s="393" t="str">
        <f>VLOOKUP(Complete[[#This Row],[Code
(PAP)]],[1]Sheet1!$A:$AO,14,FALSE)</f>
        <v>N/A</v>
      </c>
      <c r="O309" s="393">
        <f>VLOOKUP(Complete[[#This Row],[Code
(PAP)]],[1]Sheet1!$A:$AO,15,FALSE)</f>
        <v>45394</v>
      </c>
      <c r="P309" s="387"/>
      <c r="Q309" s="387"/>
      <c r="R309" s="387"/>
      <c r="S309" s="576" t="str">
        <f>VLOOKUP(Complete[[#This Row],[Code
(PAP)]],[1]Sheet1!$A:$AO,19,FALSE)</f>
        <v>N/A</v>
      </c>
      <c r="T309" s="576">
        <f>VLOOKUP(Complete[[#This Row],[Code
(PAP)]],[1]Sheet1!$A:$AO,20,FALSE)</f>
        <v>45406</v>
      </c>
      <c r="U309" s="576">
        <f>VLOOKUP(Complete[[#This Row],[Code
(PAP)]],[1]Sheet1!$A:$AO,21,FALSE)</f>
        <v>45412</v>
      </c>
      <c r="V309" s="387"/>
      <c r="W309" s="387"/>
      <c r="X309" s="392">
        <f>VLOOKUP(Complete[[#This Row],[Code
(PAP)]],[1]Sheet1!$A:$AO,24,FALSE)</f>
        <v>45441</v>
      </c>
      <c r="Y309" s="392">
        <f>Complete[[#This Row],[Delivery/ Completion]]</f>
        <v>45441</v>
      </c>
      <c r="Z309" s="610" t="s">
        <v>1478</v>
      </c>
      <c r="AA309" s="462">
        <f>Complete[[#This Row],[MOOE]]+Complete[[#This Row],[CO]]</f>
        <v>33964</v>
      </c>
      <c r="AB309" s="466"/>
      <c r="AC309" s="497">
        <v>33964</v>
      </c>
      <c r="AD309" s="498">
        <f>IF(Complete[[#This Row],[Procurement Project]]="","",SUM(Complete[[#This Row],[MOOE2]]+Complete[[#This Row],[CO3]]))</f>
        <v>33721.4</v>
      </c>
      <c r="AE309" s="501"/>
      <c r="AF309" s="541">
        <v>33721.4</v>
      </c>
      <c r="AG309" s="400"/>
      <c r="AH309" s="380" t="s">
        <v>1205</v>
      </c>
      <c r="AI309" s="576" t="str">
        <f>VLOOKUP(Complete[[#This Row],[Code
(PAP)]],[1]Sheet1!$A:$AO,35,FALSE)</f>
        <v>N/A</v>
      </c>
      <c r="AJ309" s="576" t="str">
        <f>VLOOKUP(Complete[[#This Row],[Code
(PAP)]],[1]Sheet1!$A:$AO,36,FALSE)</f>
        <v>N/A</v>
      </c>
      <c r="AK309" s="576" t="str">
        <f>VLOOKUP(Complete[[#This Row],[Code
(PAP)]],[1]Sheet1!$A:$AO,37,FALSE)</f>
        <v>N/A</v>
      </c>
      <c r="AL309" s="576" t="str">
        <f>VLOOKUP(Complete[[#This Row],[Code
(PAP)]],[1]Sheet1!$A:$AO,38,FALSE)</f>
        <v>N/A</v>
      </c>
      <c r="AM309" s="576" t="str">
        <f>VLOOKUP(Complete[[#This Row],[Code
(PAP)]],[1]Sheet1!$A:$AO,38,FALSE)</f>
        <v>N/A</v>
      </c>
      <c r="AN309" s="595" t="s">
        <v>713</v>
      </c>
      <c r="AO309" s="303" t="s">
        <v>139</v>
      </c>
      <c r="AP309" s="389"/>
      <c r="AQ309" s="389"/>
    </row>
    <row r="310" spans="1:43" s="224" customFormat="1" ht="75" customHeight="1" x14ac:dyDescent="0.25">
      <c r="A310" s="385" t="s">
        <v>488</v>
      </c>
      <c r="B310" s="406" t="str">
        <f>VLOOKUP(Complete[[#This Row],[Code
(PAP)]],[1]Sheet1!$A:$AO,2,FALSE)</f>
        <v>PLASTIC STORAGE BOX</v>
      </c>
      <c r="C310" s="408" t="str">
        <f>VLOOKUP(Complete[[#This Row],[Code
(PAP)]],[1]Sheet1!$A:$AO,3,FALSE)</f>
        <v>PGO</v>
      </c>
      <c r="D310" s="380" t="s">
        <v>712</v>
      </c>
      <c r="E310" s="409" t="str">
        <f>VLOOKUP(Complete[[#This Row],[Code
(PAP)]],[2]Sheet1!$A:$AO,5,FALSE)</f>
        <v>NP-53.9 - Small Value Procurement</v>
      </c>
      <c r="F310" s="393" t="str">
        <f>VLOOKUP(Complete[[#This Row],[Code
(PAP)]],[1]Sheet1!$A:$AO,6,FALSE)</f>
        <v>N/A</v>
      </c>
      <c r="G310" s="393">
        <f>VLOOKUP(Complete[[#This Row],[Code
(PAP)]],[1]Sheet1!$A:$AO,7,FALSE)</f>
        <v>45363</v>
      </c>
      <c r="H310" s="374"/>
      <c r="I310" s="394" t="str">
        <f>VLOOKUP(Complete[[#This Row],[Code
(PAP)]],[1]Sheet1!$A:$AO,9,FALSE)</f>
        <v>N/A</v>
      </c>
      <c r="J310" s="393">
        <f>VLOOKUP(Complete[[#This Row],[Code
(PAP)]],[1]Sheet1!$A:$AO,10,FALSE)</f>
        <v>45387</v>
      </c>
      <c r="K310" s="393">
        <f>VLOOKUP(Complete[[#This Row],[Code
(PAP)]],[1]Sheet1!$A:$AO,11,FALSE)</f>
        <v>45387</v>
      </c>
      <c r="L310" s="387"/>
      <c r="M310" s="393" t="str">
        <f>VLOOKUP(Complete[[#This Row],[Code
(PAP)]],[1]Sheet1!$A:$AO,13,FALSE)</f>
        <v>N/A</v>
      </c>
      <c r="N310" s="393" t="str">
        <f>VLOOKUP(Complete[[#This Row],[Code
(PAP)]],[1]Sheet1!$A:$AO,14,FALSE)</f>
        <v>N/A</v>
      </c>
      <c r="O310" s="393">
        <f>VLOOKUP(Complete[[#This Row],[Code
(PAP)]],[1]Sheet1!$A:$AO,15,FALSE)</f>
        <v>45394</v>
      </c>
      <c r="P310" s="387"/>
      <c r="Q310" s="387"/>
      <c r="R310" s="387"/>
      <c r="S310" s="576" t="str">
        <f>VLOOKUP(Complete[[#This Row],[Code
(PAP)]],[1]Sheet1!$A:$AO,19,FALSE)</f>
        <v>N/A</v>
      </c>
      <c r="T310" s="576">
        <f>VLOOKUP(Complete[[#This Row],[Code
(PAP)]],[1]Sheet1!$A:$AO,20,FALSE)</f>
        <v>45405</v>
      </c>
      <c r="U310" s="576">
        <f>VLOOKUP(Complete[[#This Row],[Code
(PAP)]],[1]Sheet1!$A:$AO,21,FALSE)</f>
        <v>45419</v>
      </c>
      <c r="V310" s="387"/>
      <c r="W310" s="387"/>
      <c r="X310" s="392">
        <f>VLOOKUP(Complete[[#This Row],[Code
(PAP)]],[1]Sheet1!$A:$AO,24,FALSE)</f>
        <v>45421</v>
      </c>
      <c r="Y310" s="392">
        <f>Complete[[#This Row],[Delivery/ Completion]]</f>
        <v>45421</v>
      </c>
      <c r="Z310" s="610" t="s">
        <v>1478</v>
      </c>
      <c r="AA310" s="462">
        <f>Complete[[#This Row],[MOOE]]+Complete[[#This Row],[CO]]</f>
        <v>3200</v>
      </c>
      <c r="AB310" s="466"/>
      <c r="AC310" s="497">
        <v>3200</v>
      </c>
      <c r="AD310" s="498">
        <f>IF(Complete[[#This Row],[Procurement Project]]="","",SUM(Complete[[#This Row],[MOOE2]]+Complete[[#This Row],[CO3]]))</f>
        <v>3196</v>
      </c>
      <c r="AE310" s="501"/>
      <c r="AF310" s="541">
        <v>3196</v>
      </c>
      <c r="AG310" s="400"/>
      <c r="AH310" s="380" t="s">
        <v>1205</v>
      </c>
      <c r="AI310" s="576" t="str">
        <f>VLOOKUP(Complete[[#This Row],[Code
(PAP)]],[1]Sheet1!$A:$AO,35,FALSE)</f>
        <v>N/A</v>
      </c>
      <c r="AJ310" s="576" t="str">
        <f>VLOOKUP(Complete[[#This Row],[Code
(PAP)]],[1]Sheet1!$A:$AO,36,FALSE)</f>
        <v>N/A</v>
      </c>
      <c r="AK310" s="576" t="str">
        <f>VLOOKUP(Complete[[#This Row],[Code
(PAP)]],[1]Sheet1!$A:$AO,37,FALSE)</f>
        <v>N/A</v>
      </c>
      <c r="AL310" s="576" t="str">
        <f>VLOOKUP(Complete[[#This Row],[Code
(PAP)]],[1]Sheet1!$A:$AO,38,FALSE)</f>
        <v>N/A</v>
      </c>
      <c r="AM310" s="576" t="str">
        <f>VLOOKUP(Complete[[#This Row],[Code
(PAP)]],[1]Sheet1!$A:$AO,38,FALSE)</f>
        <v>N/A</v>
      </c>
      <c r="AN310" s="595" t="s">
        <v>713</v>
      </c>
      <c r="AO310" s="303" t="s">
        <v>139</v>
      </c>
      <c r="AP310" s="389"/>
      <c r="AQ310" s="389"/>
    </row>
    <row r="311" spans="1:43" s="224" customFormat="1" ht="75" customHeight="1" x14ac:dyDescent="0.25">
      <c r="A311" s="385" t="s">
        <v>489</v>
      </c>
      <c r="B311" s="406" t="str">
        <f>VLOOKUP(Complete[[#This Row],[Code
(PAP)]],[1]Sheet1!$A:$AO,2,FALSE)</f>
        <v>PLASTIC UTILITY BOX</v>
      </c>
      <c r="C311" s="408" t="str">
        <f>VLOOKUP(Complete[[#This Row],[Code
(PAP)]],[1]Sheet1!$A:$AO,3,FALSE)</f>
        <v>PBO</v>
      </c>
      <c r="D311" s="380" t="s">
        <v>712</v>
      </c>
      <c r="E311" s="409" t="str">
        <f>VLOOKUP(Complete[[#This Row],[Code
(PAP)]],[2]Sheet1!$A:$AO,5,FALSE)</f>
        <v>NP-53.9 - Small Value Procurement</v>
      </c>
      <c r="F311" s="393" t="str">
        <f>VLOOKUP(Complete[[#This Row],[Code
(PAP)]],[1]Sheet1!$A:$AO,6,FALSE)</f>
        <v>N/A</v>
      </c>
      <c r="G311" s="393">
        <f>VLOOKUP(Complete[[#This Row],[Code
(PAP)]],[1]Sheet1!$A:$AO,7,FALSE)</f>
        <v>45363</v>
      </c>
      <c r="H311" s="374"/>
      <c r="I311" s="394" t="str">
        <f>VLOOKUP(Complete[[#This Row],[Code
(PAP)]],[1]Sheet1!$A:$AO,9,FALSE)</f>
        <v>N/A</v>
      </c>
      <c r="J311" s="393">
        <f>VLOOKUP(Complete[[#This Row],[Code
(PAP)]],[1]Sheet1!$A:$AO,10,FALSE)</f>
        <v>45387</v>
      </c>
      <c r="K311" s="393">
        <f>VLOOKUP(Complete[[#This Row],[Code
(PAP)]],[1]Sheet1!$A:$AO,11,FALSE)</f>
        <v>45387</v>
      </c>
      <c r="L311" s="387"/>
      <c r="M311" s="393" t="str">
        <f>VLOOKUP(Complete[[#This Row],[Code
(PAP)]],[1]Sheet1!$A:$AO,13,FALSE)</f>
        <v>N/A</v>
      </c>
      <c r="N311" s="393" t="str">
        <f>VLOOKUP(Complete[[#This Row],[Code
(PAP)]],[1]Sheet1!$A:$AO,14,FALSE)</f>
        <v>N/A</v>
      </c>
      <c r="O311" s="393">
        <f>VLOOKUP(Complete[[#This Row],[Code
(PAP)]],[1]Sheet1!$A:$AO,15,FALSE)</f>
        <v>45394</v>
      </c>
      <c r="P311" s="387"/>
      <c r="Q311" s="387"/>
      <c r="R311" s="387"/>
      <c r="S311" s="576" t="str">
        <f>VLOOKUP(Complete[[#This Row],[Code
(PAP)]],[1]Sheet1!$A:$AO,19,FALSE)</f>
        <v>N/A</v>
      </c>
      <c r="T311" s="576">
        <f>VLOOKUP(Complete[[#This Row],[Code
(PAP)]],[1]Sheet1!$A:$AO,20,FALSE)</f>
        <v>45405</v>
      </c>
      <c r="U311" s="576">
        <f>VLOOKUP(Complete[[#This Row],[Code
(PAP)]],[1]Sheet1!$A:$AO,21,FALSE)</f>
        <v>45414</v>
      </c>
      <c r="V311" s="387"/>
      <c r="W311" s="387"/>
      <c r="X311" s="392">
        <f>VLOOKUP(Complete[[#This Row],[Code
(PAP)]],[1]Sheet1!$A:$AO,24,FALSE)</f>
        <v>45443</v>
      </c>
      <c r="Y311" s="392">
        <f>Complete[[#This Row],[Delivery/ Completion]]</f>
        <v>45443</v>
      </c>
      <c r="Z311" s="610" t="s">
        <v>1478</v>
      </c>
      <c r="AA311" s="462">
        <f>Complete[[#This Row],[MOOE]]+Complete[[#This Row],[CO]]</f>
        <v>1800</v>
      </c>
      <c r="AB311" s="466">
        <v>1800</v>
      </c>
      <c r="AC311" s="497"/>
      <c r="AD311" s="498">
        <f>IF(Complete[[#This Row],[Procurement Project]]="","",SUM(Complete[[#This Row],[MOOE2]]+Complete[[#This Row],[CO3]]))</f>
        <v>1800</v>
      </c>
      <c r="AE311" s="501">
        <v>1800</v>
      </c>
      <c r="AF311" s="541"/>
      <c r="AG311" s="400"/>
      <c r="AH311" s="380" t="s">
        <v>1205</v>
      </c>
      <c r="AI311" s="576" t="str">
        <f>VLOOKUP(Complete[[#This Row],[Code
(PAP)]],[1]Sheet1!$A:$AO,35,FALSE)</f>
        <v>N/A</v>
      </c>
      <c r="AJ311" s="576" t="str">
        <f>VLOOKUP(Complete[[#This Row],[Code
(PAP)]],[1]Sheet1!$A:$AO,36,FALSE)</f>
        <v>N/A</v>
      </c>
      <c r="AK311" s="576" t="str">
        <f>VLOOKUP(Complete[[#This Row],[Code
(PAP)]],[1]Sheet1!$A:$AO,37,FALSE)</f>
        <v>N/A</v>
      </c>
      <c r="AL311" s="576" t="str">
        <f>VLOOKUP(Complete[[#This Row],[Code
(PAP)]],[1]Sheet1!$A:$AO,38,FALSE)</f>
        <v>N/A</v>
      </c>
      <c r="AM311" s="576" t="str">
        <f>VLOOKUP(Complete[[#This Row],[Code
(PAP)]],[1]Sheet1!$A:$AO,38,FALSE)</f>
        <v>N/A</v>
      </c>
      <c r="AN311" s="595" t="s">
        <v>713</v>
      </c>
      <c r="AO311" s="303" t="s">
        <v>139</v>
      </c>
      <c r="AP311" s="389"/>
      <c r="AQ311" s="389"/>
    </row>
    <row r="312" spans="1:43" s="224" customFormat="1" ht="75" customHeight="1" x14ac:dyDescent="0.25">
      <c r="A312" s="385" t="s">
        <v>490</v>
      </c>
      <c r="B312" s="406" t="str">
        <f>VLOOKUP(Complete[[#This Row],[Code
(PAP)]],[1]Sheet1!$A:$AO,2,FALSE)</f>
        <v>ECO TANK ALL-IN-ONE INK PRINTER</v>
      </c>
      <c r="C312" s="408" t="str">
        <f>VLOOKUP(Complete[[#This Row],[Code
(PAP)]],[1]Sheet1!$A:$AO,3,FALSE)</f>
        <v>PGO</v>
      </c>
      <c r="D312" s="380" t="s">
        <v>712</v>
      </c>
      <c r="E312" s="409" t="str">
        <f>VLOOKUP(Complete[[#This Row],[Code
(PAP)]],[2]Sheet1!$A:$AO,5,FALSE)</f>
        <v>NP-53.9 - Small Value Procurement</v>
      </c>
      <c r="F312" s="393" t="str">
        <f>VLOOKUP(Complete[[#This Row],[Code
(PAP)]],[1]Sheet1!$A:$AO,6,FALSE)</f>
        <v>N/A</v>
      </c>
      <c r="G312" s="393">
        <f>VLOOKUP(Complete[[#This Row],[Code
(PAP)]],[1]Sheet1!$A:$AO,7,FALSE)</f>
        <v>45363</v>
      </c>
      <c r="H312" s="374"/>
      <c r="I312" s="394" t="str">
        <f>VLOOKUP(Complete[[#This Row],[Code
(PAP)]],[1]Sheet1!$A:$AO,9,FALSE)</f>
        <v>N/A</v>
      </c>
      <c r="J312" s="393">
        <f>VLOOKUP(Complete[[#This Row],[Code
(PAP)]],[1]Sheet1!$A:$AO,10,FALSE)</f>
        <v>45387</v>
      </c>
      <c r="K312" s="393">
        <f>VLOOKUP(Complete[[#This Row],[Code
(PAP)]],[1]Sheet1!$A:$AO,11,FALSE)</f>
        <v>45387</v>
      </c>
      <c r="L312" s="387"/>
      <c r="M312" s="393" t="str">
        <f>VLOOKUP(Complete[[#This Row],[Code
(PAP)]],[1]Sheet1!$A:$AO,13,FALSE)</f>
        <v>N/A</v>
      </c>
      <c r="N312" s="393" t="str">
        <f>VLOOKUP(Complete[[#This Row],[Code
(PAP)]],[1]Sheet1!$A:$AO,14,FALSE)</f>
        <v>N/A</v>
      </c>
      <c r="O312" s="393">
        <f>VLOOKUP(Complete[[#This Row],[Code
(PAP)]],[1]Sheet1!$A:$AO,15,FALSE)</f>
        <v>45394</v>
      </c>
      <c r="P312" s="387"/>
      <c r="Q312" s="387"/>
      <c r="R312" s="387"/>
      <c r="S312" s="576" t="str">
        <f>VLOOKUP(Complete[[#This Row],[Code
(PAP)]],[1]Sheet1!$A:$AO,19,FALSE)</f>
        <v>N/A</v>
      </c>
      <c r="T312" s="576">
        <f>VLOOKUP(Complete[[#This Row],[Code
(PAP)]],[1]Sheet1!$A:$AO,20,FALSE)</f>
        <v>45401</v>
      </c>
      <c r="U312" s="576">
        <f>VLOOKUP(Complete[[#This Row],[Code
(PAP)]],[1]Sheet1!$A:$AO,21,FALSE)</f>
        <v>45422</v>
      </c>
      <c r="V312" s="387"/>
      <c r="W312" s="387"/>
      <c r="X312" s="392">
        <f>VLOOKUP(Complete[[#This Row],[Code
(PAP)]],[1]Sheet1!$A:$AO,24,FALSE)</f>
        <v>45425</v>
      </c>
      <c r="Y312" s="392">
        <f>Complete[[#This Row],[Delivery/ Completion]]</f>
        <v>45425</v>
      </c>
      <c r="Z312" s="610" t="s">
        <v>1478</v>
      </c>
      <c r="AA312" s="462">
        <f>Complete[[#This Row],[MOOE]]+Complete[[#This Row],[CO]]</f>
        <v>15400</v>
      </c>
      <c r="AB312" s="466"/>
      <c r="AC312" s="497">
        <v>15400</v>
      </c>
      <c r="AD312" s="498">
        <f>IF(Complete[[#This Row],[Procurement Project]]="","",SUM(Complete[[#This Row],[MOOE2]]+Complete[[#This Row],[CO3]]))</f>
        <v>15398</v>
      </c>
      <c r="AE312" s="501"/>
      <c r="AF312" s="541">
        <v>15398</v>
      </c>
      <c r="AG312" s="400"/>
      <c r="AH312" s="380" t="s">
        <v>1205</v>
      </c>
      <c r="AI312" s="576" t="str">
        <f>VLOOKUP(Complete[[#This Row],[Code
(PAP)]],[1]Sheet1!$A:$AO,35,FALSE)</f>
        <v>N/A</v>
      </c>
      <c r="AJ312" s="576" t="str">
        <f>VLOOKUP(Complete[[#This Row],[Code
(PAP)]],[1]Sheet1!$A:$AO,36,FALSE)</f>
        <v>N/A</v>
      </c>
      <c r="AK312" s="576" t="str">
        <f>VLOOKUP(Complete[[#This Row],[Code
(PAP)]],[1]Sheet1!$A:$AO,37,FALSE)</f>
        <v>N/A</v>
      </c>
      <c r="AL312" s="576" t="str">
        <f>VLOOKUP(Complete[[#This Row],[Code
(PAP)]],[1]Sheet1!$A:$AO,38,FALSE)</f>
        <v>N/A</v>
      </c>
      <c r="AM312" s="576" t="str">
        <f>VLOOKUP(Complete[[#This Row],[Code
(PAP)]],[1]Sheet1!$A:$AO,38,FALSE)</f>
        <v>N/A</v>
      </c>
      <c r="AN312" s="595" t="s">
        <v>713</v>
      </c>
      <c r="AO312" s="303" t="s">
        <v>139</v>
      </c>
      <c r="AP312" s="389"/>
      <c r="AQ312" s="389"/>
    </row>
    <row r="313" spans="1:43" s="224" customFormat="1" ht="75" customHeight="1" x14ac:dyDescent="0.25">
      <c r="A313" s="385" t="s">
        <v>491</v>
      </c>
      <c r="B313" s="406" t="str">
        <f>VLOOKUP(Complete[[#This Row],[Code
(PAP)]],[1]Sheet1!$A:$AO,2,FALSE)</f>
        <v>FOOD SUPPLIES</v>
      </c>
      <c r="C313" s="408" t="str">
        <f>VLOOKUP(Complete[[#This Row],[Code
(PAP)]],[1]Sheet1!$A:$AO,3,FALSE)</f>
        <v>PSWDO</v>
      </c>
      <c r="D313" s="380" t="s">
        <v>712</v>
      </c>
      <c r="E313" s="409" t="str">
        <f>VLOOKUP(Complete[[#This Row],[Code
(PAP)]],[2]Sheet1!$A:$AO,5,FALSE)</f>
        <v>NP-53.9 - Small Value Procurement</v>
      </c>
      <c r="F313" s="393" t="str">
        <f>VLOOKUP(Complete[[#This Row],[Code
(PAP)]],[1]Sheet1!$A:$AO,6,FALSE)</f>
        <v>N/A</v>
      </c>
      <c r="G313" s="393">
        <f>VLOOKUP(Complete[[#This Row],[Code
(PAP)]],[1]Sheet1!$A:$AO,7,FALSE)</f>
        <v>45363</v>
      </c>
      <c r="H313" s="374"/>
      <c r="I313" s="394" t="str">
        <f>VLOOKUP(Complete[[#This Row],[Code
(PAP)]],[1]Sheet1!$A:$AO,9,FALSE)</f>
        <v>N/A</v>
      </c>
      <c r="J313" s="393">
        <f>VLOOKUP(Complete[[#This Row],[Code
(PAP)]],[1]Sheet1!$A:$AO,10,FALSE)</f>
        <v>45387</v>
      </c>
      <c r="K313" s="393">
        <f>VLOOKUP(Complete[[#This Row],[Code
(PAP)]],[1]Sheet1!$A:$AO,11,FALSE)</f>
        <v>45387</v>
      </c>
      <c r="L313" s="387"/>
      <c r="M313" s="393" t="str">
        <f>VLOOKUP(Complete[[#This Row],[Code
(PAP)]],[1]Sheet1!$A:$AO,13,FALSE)</f>
        <v>N/A</v>
      </c>
      <c r="N313" s="393" t="str">
        <f>VLOOKUP(Complete[[#This Row],[Code
(PAP)]],[1]Sheet1!$A:$AO,14,FALSE)</f>
        <v>N/A</v>
      </c>
      <c r="O313" s="393">
        <f>VLOOKUP(Complete[[#This Row],[Code
(PAP)]],[1]Sheet1!$A:$AO,15,FALSE)</f>
        <v>45394</v>
      </c>
      <c r="P313" s="387"/>
      <c r="Q313" s="387"/>
      <c r="R313" s="387"/>
      <c r="S313" s="576" t="str">
        <f>VLOOKUP(Complete[[#This Row],[Code
(PAP)]],[1]Sheet1!$A:$AO,19,FALSE)</f>
        <v>N/A</v>
      </c>
      <c r="T313" s="576">
        <f>VLOOKUP(Complete[[#This Row],[Code
(PAP)]],[1]Sheet1!$A:$AO,20,FALSE)</f>
        <v>45405</v>
      </c>
      <c r="U313" s="576">
        <f>VLOOKUP(Complete[[#This Row],[Code
(PAP)]],[1]Sheet1!$A:$AO,21,FALSE)</f>
        <v>45433</v>
      </c>
      <c r="V313" s="387"/>
      <c r="W313" s="387"/>
      <c r="X313" s="392">
        <f>VLOOKUP(Complete[[#This Row],[Code
(PAP)]],[1]Sheet1!$A:$AO,24,FALSE)</f>
        <v>45449</v>
      </c>
      <c r="Y313" s="392">
        <f>Complete[[#This Row],[Delivery/ Completion]]</f>
        <v>45449</v>
      </c>
      <c r="Z313" s="610" t="s">
        <v>1478</v>
      </c>
      <c r="AA313" s="462">
        <f>Complete[[#This Row],[MOOE]]+Complete[[#This Row],[CO]]</f>
        <v>21945</v>
      </c>
      <c r="AB313" s="466">
        <v>21945</v>
      </c>
      <c r="AC313" s="497"/>
      <c r="AD313" s="498">
        <f>IF(Complete[[#This Row],[Procurement Project]]="","",SUM(Complete[[#This Row],[MOOE2]]+Complete[[#This Row],[CO3]]))</f>
        <v>21398</v>
      </c>
      <c r="AE313" s="501">
        <v>21398</v>
      </c>
      <c r="AF313" s="541"/>
      <c r="AG313" s="400"/>
      <c r="AH313" s="380" t="s">
        <v>1205</v>
      </c>
      <c r="AI313" s="576" t="str">
        <f>VLOOKUP(Complete[[#This Row],[Code
(PAP)]],[1]Sheet1!$A:$AO,35,FALSE)</f>
        <v>N/A</v>
      </c>
      <c r="AJ313" s="576" t="str">
        <f>VLOOKUP(Complete[[#This Row],[Code
(PAP)]],[1]Sheet1!$A:$AO,36,FALSE)</f>
        <v>N/A</v>
      </c>
      <c r="AK313" s="576" t="str">
        <f>VLOOKUP(Complete[[#This Row],[Code
(PAP)]],[1]Sheet1!$A:$AO,37,FALSE)</f>
        <v>N/A</v>
      </c>
      <c r="AL313" s="576" t="str">
        <f>VLOOKUP(Complete[[#This Row],[Code
(PAP)]],[1]Sheet1!$A:$AO,38,FALSE)</f>
        <v>N/A</v>
      </c>
      <c r="AM313" s="576" t="str">
        <f>VLOOKUP(Complete[[#This Row],[Code
(PAP)]],[1]Sheet1!$A:$AO,38,FALSE)</f>
        <v>N/A</v>
      </c>
      <c r="AN313" s="595" t="s">
        <v>713</v>
      </c>
      <c r="AO313" s="303" t="s">
        <v>139</v>
      </c>
      <c r="AP313" s="389"/>
      <c r="AQ313" s="389"/>
    </row>
    <row r="314" spans="1:43" s="224" customFormat="1" ht="75" customHeight="1" x14ac:dyDescent="0.25">
      <c r="A314" s="385" t="s">
        <v>492</v>
      </c>
      <c r="B314" s="406" t="str">
        <f>VLOOKUP(Complete[[#This Row],[Code
(PAP)]],[1]Sheet1!$A:$AO,2,FALSE)</f>
        <v>DISTILLED WATER</v>
      </c>
      <c r="C314" s="408" t="str">
        <f>VLOOKUP(Complete[[#This Row],[Code
(PAP)]],[1]Sheet1!$A:$AO,3,FALSE)</f>
        <v>PAGRO</v>
      </c>
      <c r="D314" s="380" t="s">
        <v>712</v>
      </c>
      <c r="E314" s="409" t="str">
        <f>VLOOKUP(Complete[[#This Row],[Code
(PAP)]],[2]Sheet1!$A:$AO,5,FALSE)</f>
        <v>NP-53.9 - Small Value Procurement</v>
      </c>
      <c r="F314" s="393" t="str">
        <f>VLOOKUP(Complete[[#This Row],[Code
(PAP)]],[1]Sheet1!$A:$AO,6,FALSE)</f>
        <v>N/A</v>
      </c>
      <c r="G314" s="393">
        <f>VLOOKUP(Complete[[#This Row],[Code
(PAP)]],[1]Sheet1!$A:$AO,7,FALSE)</f>
        <v>45371</v>
      </c>
      <c r="H314" s="374"/>
      <c r="I314" s="394" t="str">
        <f>VLOOKUP(Complete[[#This Row],[Code
(PAP)]],[1]Sheet1!$A:$AO,9,FALSE)</f>
        <v>N/A</v>
      </c>
      <c r="J314" s="393">
        <f>VLOOKUP(Complete[[#This Row],[Code
(PAP)]],[1]Sheet1!$A:$AO,10,FALSE)</f>
        <v>45387</v>
      </c>
      <c r="K314" s="393">
        <f>VLOOKUP(Complete[[#This Row],[Code
(PAP)]],[1]Sheet1!$A:$AO,11,FALSE)</f>
        <v>45387</v>
      </c>
      <c r="L314" s="387"/>
      <c r="M314" s="393" t="str">
        <f>VLOOKUP(Complete[[#This Row],[Code
(PAP)]],[1]Sheet1!$A:$AO,13,FALSE)</f>
        <v>N/A</v>
      </c>
      <c r="N314" s="393" t="str">
        <f>VLOOKUP(Complete[[#This Row],[Code
(PAP)]],[1]Sheet1!$A:$AO,14,FALSE)</f>
        <v>N/A</v>
      </c>
      <c r="O314" s="393">
        <f>VLOOKUP(Complete[[#This Row],[Code
(PAP)]],[1]Sheet1!$A:$AO,15,FALSE)</f>
        <v>45394</v>
      </c>
      <c r="P314" s="387"/>
      <c r="Q314" s="387"/>
      <c r="R314" s="387"/>
      <c r="S314" s="576" t="str">
        <f>VLOOKUP(Complete[[#This Row],[Code
(PAP)]],[1]Sheet1!$A:$AO,19,FALSE)</f>
        <v>N/A</v>
      </c>
      <c r="T314" s="576">
        <f>VLOOKUP(Complete[[#This Row],[Code
(PAP)]],[1]Sheet1!$A:$AO,20,FALSE)</f>
        <v>45405</v>
      </c>
      <c r="U314" s="576">
        <f>VLOOKUP(Complete[[#This Row],[Code
(PAP)]],[1]Sheet1!$A:$AO,21,FALSE)</f>
        <v>45419</v>
      </c>
      <c r="V314" s="387"/>
      <c r="W314" s="387"/>
      <c r="X314" s="392">
        <f>VLOOKUP(Complete[[#This Row],[Code
(PAP)]],[1]Sheet1!$A:$AO,24,FALSE)</f>
        <v>45421</v>
      </c>
      <c r="Y314" s="392">
        <f>Complete[[#This Row],[Delivery/ Completion]]</f>
        <v>45421</v>
      </c>
      <c r="Z314" s="610" t="s">
        <v>1478</v>
      </c>
      <c r="AA314" s="462">
        <f>Complete[[#This Row],[MOOE]]+Complete[[#This Row],[CO]]</f>
        <v>2970</v>
      </c>
      <c r="AB314" s="466"/>
      <c r="AC314" s="497">
        <v>2970</v>
      </c>
      <c r="AD314" s="498">
        <f>IF(Complete[[#This Row],[Procurement Project]]="","",SUM(Complete[[#This Row],[MOOE2]]+Complete[[#This Row],[CO3]]))</f>
        <v>2960</v>
      </c>
      <c r="AE314" s="501"/>
      <c r="AF314" s="541">
        <v>2960</v>
      </c>
      <c r="AG314" s="400"/>
      <c r="AH314" s="380" t="s">
        <v>1205</v>
      </c>
      <c r="AI314" s="576" t="str">
        <f>VLOOKUP(Complete[[#This Row],[Code
(PAP)]],[1]Sheet1!$A:$AO,35,FALSE)</f>
        <v>N/A</v>
      </c>
      <c r="AJ314" s="576" t="str">
        <f>VLOOKUP(Complete[[#This Row],[Code
(PAP)]],[1]Sheet1!$A:$AO,36,FALSE)</f>
        <v>N/A</v>
      </c>
      <c r="AK314" s="576" t="str">
        <f>VLOOKUP(Complete[[#This Row],[Code
(PAP)]],[1]Sheet1!$A:$AO,37,FALSE)</f>
        <v>N/A</v>
      </c>
      <c r="AL314" s="576" t="str">
        <f>VLOOKUP(Complete[[#This Row],[Code
(PAP)]],[1]Sheet1!$A:$AO,38,FALSE)</f>
        <v>N/A</v>
      </c>
      <c r="AM314" s="576" t="str">
        <f>VLOOKUP(Complete[[#This Row],[Code
(PAP)]],[1]Sheet1!$A:$AO,38,FALSE)</f>
        <v>N/A</v>
      </c>
      <c r="AN314" s="595" t="s">
        <v>713</v>
      </c>
      <c r="AO314" s="303" t="s">
        <v>139</v>
      </c>
      <c r="AP314" s="389"/>
      <c r="AQ314" s="389"/>
    </row>
    <row r="315" spans="1:43" s="224" customFormat="1" ht="75" customHeight="1" x14ac:dyDescent="0.25">
      <c r="A315" s="385" t="s">
        <v>493</v>
      </c>
      <c r="B315" s="406" t="str">
        <f>VLOOKUP(Complete[[#This Row],[Code
(PAP)]],[1]Sheet1!$A:$AO,2,FALSE)</f>
        <v>COMPUTER SUPPLIES/SPAREPARTS</v>
      </c>
      <c r="C315" s="408" t="str">
        <f>VLOOKUP(Complete[[#This Row],[Code
(PAP)]],[1]Sheet1!$A:$AO,3,FALSE)</f>
        <v>PIAO</v>
      </c>
      <c r="D315" s="380" t="s">
        <v>712</v>
      </c>
      <c r="E315" s="409" t="str">
        <f>VLOOKUP(Complete[[#This Row],[Code
(PAP)]],[2]Sheet1!$A:$AO,5,FALSE)</f>
        <v>NP-53.9 - Small Value Procurement</v>
      </c>
      <c r="F315" s="393" t="str">
        <f>VLOOKUP(Complete[[#This Row],[Code
(PAP)]],[1]Sheet1!$A:$AO,6,FALSE)</f>
        <v>N/A</v>
      </c>
      <c r="G315" s="393">
        <f>VLOOKUP(Complete[[#This Row],[Code
(PAP)]],[1]Sheet1!$A:$AO,7,FALSE)</f>
        <v>45371</v>
      </c>
      <c r="H315" s="374"/>
      <c r="I315" s="394" t="str">
        <f>VLOOKUP(Complete[[#This Row],[Code
(PAP)]],[1]Sheet1!$A:$AO,9,FALSE)</f>
        <v>N/A</v>
      </c>
      <c r="J315" s="393">
        <f>VLOOKUP(Complete[[#This Row],[Code
(PAP)]],[1]Sheet1!$A:$AO,10,FALSE)</f>
        <v>45387</v>
      </c>
      <c r="K315" s="393">
        <f>VLOOKUP(Complete[[#This Row],[Code
(PAP)]],[1]Sheet1!$A:$AO,11,FALSE)</f>
        <v>45387</v>
      </c>
      <c r="L315" s="387"/>
      <c r="M315" s="393" t="str">
        <f>VLOOKUP(Complete[[#This Row],[Code
(PAP)]],[1]Sheet1!$A:$AO,13,FALSE)</f>
        <v>N/A</v>
      </c>
      <c r="N315" s="393" t="str">
        <f>VLOOKUP(Complete[[#This Row],[Code
(PAP)]],[1]Sheet1!$A:$AO,14,FALSE)</f>
        <v>N/A</v>
      </c>
      <c r="O315" s="393">
        <f>VLOOKUP(Complete[[#This Row],[Code
(PAP)]],[1]Sheet1!$A:$AO,15,FALSE)</f>
        <v>45394</v>
      </c>
      <c r="P315" s="387"/>
      <c r="Q315" s="387"/>
      <c r="R315" s="387"/>
      <c r="S315" s="576" t="str">
        <f>VLOOKUP(Complete[[#This Row],[Code
(PAP)]],[1]Sheet1!$A:$AO,19,FALSE)</f>
        <v>N/A</v>
      </c>
      <c r="T315" s="576">
        <f>VLOOKUP(Complete[[#This Row],[Code
(PAP)]],[1]Sheet1!$A:$AO,20,FALSE)</f>
        <v>45406</v>
      </c>
      <c r="U315" s="576">
        <f>VLOOKUP(Complete[[#This Row],[Code
(PAP)]],[1]Sheet1!$A:$AO,21,FALSE)</f>
        <v>45411</v>
      </c>
      <c r="V315" s="387"/>
      <c r="W315" s="387"/>
      <c r="X315" s="392">
        <f>VLOOKUP(Complete[[#This Row],[Code
(PAP)]],[1]Sheet1!$A:$AO,24,FALSE)</f>
        <v>45418</v>
      </c>
      <c r="Y315" s="392">
        <f>Complete[[#This Row],[Delivery/ Completion]]</f>
        <v>45418</v>
      </c>
      <c r="Z315" s="610" t="s">
        <v>1478</v>
      </c>
      <c r="AA315" s="462">
        <f>Complete[[#This Row],[MOOE]]+Complete[[#This Row],[CO]]</f>
        <v>9000</v>
      </c>
      <c r="AB315" s="466">
        <v>9000</v>
      </c>
      <c r="AC315" s="497"/>
      <c r="AD315" s="498">
        <f>IF(Complete[[#This Row],[Procurement Project]]="","",SUM(Complete[[#This Row],[MOOE2]]+Complete[[#This Row],[CO3]]))</f>
        <v>8900</v>
      </c>
      <c r="AE315" s="501">
        <v>8900</v>
      </c>
      <c r="AF315" s="541"/>
      <c r="AG315" s="400"/>
      <c r="AH315" s="380" t="s">
        <v>1205</v>
      </c>
      <c r="AI315" s="576" t="str">
        <f>VLOOKUP(Complete[[#This Row],[Code
(PAP)]],[1]Sheet1!$A:$AO,35,FALSE)</f>
        <v>N/A</v>
      </c>
      <c r="AJ315" s="576" t="str">
        <f>VLOOKUP(Complete[[#This Row],[Code
(PAP)]],[1]Sheet1!$A:$AO,36,FALSE)</f>
        <v>N/A</v>
      </c>
      <c r="AK315" s="576" t="str">
        <f>VLOOKUP(Complete[[#This Row],[Code
(PAP)]],[1]Sheet1!$A:$AO,37,FALSE)</f>
        <v>N/A</v>
      </c>
      <c r="AL315" s="576" t="str">
        <f>VLOOKUP(Complete[[#This Row],[Code
(PAP)]],[1]Sheet1!$A:$AO,38,FALSE)</f>
        <v>N/A</v>
      </c>
      <c r="AM315" s="576" t="str">
        <f>VLOOKUP(Complete[[#This Row],[Code
(PAP)]],[1]Sheet1!$A:$AO,38,FALSE)</f>
        <v>N/A</v>
      </c>
      <c r="AN315" s="595" t="s">
        <v>713</v>
      </c>
      <c r="AO315" s="303" t="s">
        <v>139</v>
      </c>
      <c r="AP315" s="389"/>
      <c r="AQ315" s="389"/>
    </row>
    <row r="316" spans="1:43" s="224" customFormat="1" ht="75" customHeight="1" x14ac:dyDescent="0.25">
      <c r="A316" s="385" t="s">
        <v>494</v>
      </c>
      <c r="B316" s="406" t="str">
        <f>VLOOKUP(Complete[[#This Row],[Code
(PAP)]],[1]Sheet1!$A:$AO,2,FALSE)</f>
        <v>COMPUTER SUPPLIES/SPAREPARTS</v>
      </c>
      <c r="C316" s="408" t="str">
        <f>VLOOKUP(Complete[[#This Row],[Code
(PAP)]],[1]Sheet1!$A:$AO,3,FALSE)</f>
        <v>PTO</v>
      </c>
      <c r="D316" s="380" t="s">
        <v>712</v>
      </c>
      <c r="E316" s="409" t="str">
        <f>VLOOKUP(Complete[[#This Row],[Code
(PAP)]],[2]Sheet1!$A:$AO,5,FALSE)</f>
        <v>NP-53.9 - Small Value Procurement</v>
      </c>
      <c r="F316" s="393" t="str">
        <f>VLOOKUP(Complete[[#This Row],[Code
(PAP)]],[1]Sheet1!$A:$AO,6,FALSE)</f>
        <v>N/A</v>
      </c>
      <c r="G316" s="393">
        <f>VLOOKUP(Complete[[#This Row],[Code
(PAP)]],[1]Sheet1!$A:$AO,7,FALSE)</f>
        <v>45371</v>
      </c>
      <c r="H316" s="374"/>
      <c r="I316" s="394" t="str">
        <f>VLOOKUP(Complete[[#This Row],[Code
(PAP)]],[1]Sheet1!$A:$AO,9,FALSE)</f>
        <v>N/A</v>
      </c>
      <c r="J316" s="393">
        <f>VLOOKUP(Complete[[#This Row],[Code
(PAP)]],[1]Sheet1!$A:$AO,10,FALSE)</f>
        <v>45387</v>
      </c>
      <c r="K316" s="393">
        <f>VLOOKUP(Complete[[#This Row],[Code
(PAP)]],[1]Sheet1!$A:$AO,11,FALSE)</f>
        <v>45387</v>
      </c>
      <c r="L316" s="387"/>
      <c r="M316" s="393" t="str">
        <f>VLOOKUP(Complete[[#This Row],[Code
(PAP)]],[1]Sheet1!$A:$AO,13,FALSE)</f>
        <v>N/A</v>
      </c>
      <c r="N316" s="393" t="str">
        <f>VLOOKUP(Complete[[#This Row],[Code
(PAP)]],[1]Sheet1!$A:$AO,14,FALSE)</f>
        <v>N/A</v>
      </c>
      <c r="O316" s="393">
        <f>VLOOKUP(Complete[[#This Row],[Code
(PAP)]],[1]Sheet1!$A:$AO,15,FALSE)</f>
        <v>45394</v>
      </c>
      <c r="P316" s="387"/>
      <c r="Q316" s="387"/>
      <c r="R316" s="387"/>
      <c r="S316" s="576" t="str">
        <f>VLOOKUP(Complete[[#This Row],[Code
(PAP)]],[1]Sheet1!$A:$AO,19,FALSE)</f>
        <v>N/A</v>
      </c>
      <c r="T316" s="576">
        <f>VLOOKUP(Complete[[#This Row],[Code
(PAP)]],[1]Sheet1!$A:$AO,20,FALSE)</f>
        <v>45407</v>
      </c>
      <c r="U316" s="576">
        <f>VLOOKUP(Complete[[#This Row],[Code
(PAP)]],[1]Sheet1!$A:$AO,21,FALSE)</f>
        <v>45412</v>
      </c>
      <c r="V316" s="387"/>
      <c r="W316" s="387"/>
      <c r="X316" s="392">
        <f>VLOOKUP(Complete[[#This Row],[Code
(PAP)]],[1]Sheet1!$A:$AO,24,FALSE)</f>
        <v>45418</v>
      </c>
      <c r="Y316" s="392">
        <f>Complete[[#This Row],[Delivery/ Completion]]</f>
        <v>45418</v>
      </c>
      <c r="Z316" s="610" t="s">
        <v>1478</v>
      </c>
      <c r="AA316" s="462">
        <f>Complete[[#This Row],[MOOE]]+Complete[[#This Row],[CO]]</f>
        <v>4123</v>
      </c>
      <c r="AB316" s="466">
        <v>4123</v>
      </c>
      <c r="AC316" s="497"/>
      <c r="AD316" s="498">
        <f>IF(Complete[[#This Row],[Procurement Project]]="","",SUM(Complete[[#This Row],[MOOE2]]+Complete[[#This Row],[CO3]]))</f>
        <v>4050</v>
      </c>
      <c r="AE316" s="501">
        <v>4050</v>
      </c>
      <c r="AF316" s="541"/>
      <c r="AG316" s="400"/>
      <c r="AH316" s="380" t="s">
        <v>1205</v>
      </c>
      <c r="AI316" s="576" t="str">
        <f>VLOOKUP(Complete[[#This Row],[Code
(PAP)]],[1]Sheet1!$A:$AO,35,FALSE)</f>
        <v>N/A</v>
      </c>
      <c r="AJ316" s="576" t="str">
        <f>VLOOKUP(Complete[[#This Row],[Code
(PAP)]],[1]Sheet1!$A:$AO,36,FALSE)</f>
        <v>N/A</v>
      </c>
      <c r="AK316" s="576" t="str">
        <f>VLOOKUP(Complete[[#This Row],[Code
(PAP)]],[1]Sheet1!$A:$AO,37,FALSE)</f>
        <v>N/A</v>
      </c>
      <c r="AL316" s="576" t="str">
        <f>VLOOKUP(Complete[[#This Row],[Code
(PAP)]],[1]Sheet1!$A:$AO,38,FALSE)</f>
        <v>N/A</v>
      </c>
      <c r="AM316" s="576" t="str">
        <f>VLOOKUP(Complete[[#This Row],[Code
(PAP)]],[1]Sheet1!$A:$AO,38,FALSE)</f>
        <v>N/A</v>
      </c>
      <c r="AN316" s="595" t="s">
        <v>713</v>
      </c>
      <c r="AO316" s="303" t="s">
        <v>139</v>
      </c>
      <c r="AP316" s="389"/>
      <c r="AQ316" s="389"/>
    </row>
    <row r="317" spans="1:43" s="224" customFormat="1" ht="75" customHeight="1" x14ac:dyDescent="0.25">
      <c r="A317" s="385" t="s">
        <v>495</v>
      </c>
      <c r="B317" s="406" t="str">
        <f>VLOOKUP(Complete[[#This Row],[Code
(PAP)]],[1]Sheet1!$A:$AO,2,FALSE)</f>
        <v>FOOD/CATERING SERVICES</v>
      </c>
      <c r="C317" s="408" t="str">
        <f>VLOOKUP(Complete[[#This Row],[Code
(PAP)]],[1]Sheet1!$A:$AO,3,FALSE)</f>
        <v>PGO</v>
      </c>
      <c r="D317" s="380" t="s">
        <v>712</v>
      </c>
      <c r="E317" s="409" t="str">
        <f>VLOOKUP(Complete[[#This Row],[Code
(PAP)]],[2]Sheet1!$A:$AO,5,FALSE)</f>
        <v>NP-53.9 - Small Value Procurement</v>
      </c>
      <c r="F317" s="393" t="str">
        <f>VLOOKUP(Complete[[#This Row],[Code
(PAP)]],[1]Sheet1!$A:$AO,6,FALSE)</f>
        <v>N/A</v>
      </c>
      <c r="G317" s="393">
        <f>VLOOKUP(Complete[[#This Row],[Code
(PAP)]],[1]Sheet1!$A:$AO,7,FALSE)</f>
        <v>45371</v>
      </c>
      <c r="H317" s="374"/>
      <c r="I317" s="394" t="str">
        <f>VLOOKUP(Complete[[#This Row],[Code
(PAP)]],[1]Sheet1!$A:$AO,9,FALSE)</f>
        <v>N/A</v>
      </c>
      <c r="J317" s="393">
        <f>VLOOKUP(Complete[[#This Row],[Code
(PAP)]],[1]Sheet1!$A:$AO,10,FALSE)</f>
        <v>45387</v>
      </c>
      <c r="K317" s="393">
        <f>VLOOKUP(Complete[[#This Row],[Code
(PAP)]],[1]Sheet1!$A:$AO,11,FALSE)</f>
        <v>45387</v>
      </c>
      <c r="L317" s="387"/>
      <c r="M317" s="393" t="str">
        <f>VLOOKUP(Complete[[#This Row],[Code
(PAP)]],[1]Sheet1!$A:$AO,13,FALSE)</f>
        <v>N/A</v>
      </c>
      <c r="N317" s="393" t="str">
        <f>VLOOKUP(Complete[[#This Row],[Code
(PAP)]],[1]Sheet1!$A:$AO,14,FALSE)</f>
        <v>N/A</v>
      </c>
      <c r="O317" s="393">
        <f>VLOOKUP(Complete[[#This Row],[Code
(PAP)]],[1]Sheet1!$A:$AO,15,FALSE)</f>
        <v>45394</v>
      </c>
      <c r="P317" s="387"/>
      <c r="Q317" s="387"/>
      <c r="R317" s="387"/>
      <c r="S317" s="576" t="str">
        <f>VLOOKUP(Complete[[#This Row],[Code
(PAP)]],[1]Sheet1!$A:$AO,19,FALSE)</f>
        <v>N/A</v>
      </c>
      <c r="T317" s="576">
        <f>VLOOKUP(Complete[[#This Row],[Code
(PAP)]],[1]Sheet1!$A:$AO,20,FALSE)</f>
        <v>45405</v>
      </c>
      <c r="U317" s="576">
        <f>VLOOKUP(Complete[[#This Row],[Code
(PAP)]],[1]Sheet1!$A:$AO,21,FALSE)</f>
        <v>45408</v>
      </c>
      <c r="V317" s="387"/>
      <c r="W317" s="387"/>
      <c r="X317" s="392">
        <f>VLOOKUP(Complete[[#This Row],[Code
(PAP)]],[1]Sheet1!$A:$AO,24,FALSE)</f>
        <v>45443</v>
      </c>
      <c r="Y317" s="392">
        <f>Complete[[#This Row],[Delivery/ Completion]]</f>
        <v>45443</v>
      </c>
      <c r="Z317" s="610" t="s">
        <v>1478</v>
      </c>
      <c r="AA317" s="462">
        <f>Complete[[#This Row],[MOOE]]+Complete[[#This Row],[CO]]</f>
        <v>40800</v>
      </c>
      <c r="AB317" s="466"/>
      <c r="AC317" s="497">
        <v>40800</v>
      </c>
      <c r="AD317" s="498">
        <f>IF(Complete[[#This Row],[Procurement Project]]="","",SUM(Complete[[#This Row],[MOOE2]]+Complete[[#This Row],[CO3]]))</f>
        <v>36000</v>
      </c>
      <c r="AE317" s="501"/>
      <c r="AF317" s="541">
        <v>36000</v>
      </c>
      <c r="AG317" s="400"/>
      <c r="AH317" s="380" t="s">
        <v>1205</v>
      </c>
      <c r="AI317" s="576" t="str">
        <f>VLOOKUP(Complete[[#This Row],[Code
(PAP)]],[1]Sheet1!$A:$AO,35,FALSE)</f>
        <v>N/A</v>
      </c>
      <c r="AJ317" s="576" t="str">
        <f>VLOOKUP(Complete[[#This Row],[Code
(PAP)]],[1]Sheet1!$A:$AO,36,FALSE)</f>
        <v>N/A</v>
      </c>
      <c r="AK317" s="576" t="str">
        <f>VLOOKUP(Complete[[#This Row],[Code
(PAP)]],[1]Sheet1!$A:$AO,37,FALSE)</f>
        <v>N/A</v>
      </c>
      <c r="AL317" s="576" t="str">
        <f>VLOOKUP(Complete[[#This Row],[Code
(PAP)]],[1]Sheet1!$A:$AO,38,FALSE)</f>
        <v>N/A</v>
      </c>
      <c r="AM317" s="576" t="str">
        <f>VLOOKUP(Complete[[#This Row],[Code
(PAP)]],[1]Sheet1!$A:$AO,38,FALSE)</f>
        <v>N/A</v>
      </c>
      <c r="AN317" s="595" t="s">
        <v>713</v>
      </c>
      <c r="AO317" s="303" t="s">
        <v>139</v>
      </c>
      <c r="AP317" s="389"/>
      <c r="AQ317" s="389"/>
    </row>
    <row r="318" spans="1:43" s="224" customFormat="1" ht="75" customHeight="1" x14ac:dyDescent="0.25">
      <c r="A318" s="385" t="s">
        <v>496</v>
      </c>
      <c r="B318" s="406" t="str">
        <f>VLOOKUP(Complete[[#This Row],[Code
(PAP)]],[1]Sheet1!$A:$AO,2,FALSE)</f>
        <v>COMPUTER SUPPLIES/SPAREPARTS</v>
      </c>
      <c r="C318" s="408" t="str">
        <f>VLOOKUP(Complete[[#This Row],[Code
(PAP)]],[1]Sheet1!$A:$AO,3,FALSE)</f>
        <v>PPDO</v>
      </c>
      <c r="D318" s="380" t="s">
        <v>712</v>
      </c>
      <c r="E318" s="409" t="str">
        <f>VLOOKUP(Complete[[#This Row],[Code
(PAP)]],[2]Sheet1!$A:$AO,5,FALSE)</f>
        <v>NP-53.9 - Small Value Procurement</v>
      </c>
      <c r="F318" s="393" t="str">
        <f>VLOOKUP(Complete[[#This Row],[Code
(PAP)]],[1]Sheet1!$A:$AO,6,FALSE)</f>
        <v>N/A</v>
      </c>
      <c r="G318" s="393">
        <f>VLOOKUP(Complete[[#This Row],[Code
(PAP)]],[1]Sheet1!$A:$AO,7,FALSE)</f>
        <v>45371</v>
      </c>
      <c r="H318" s="374"/>
      <c r="I318" s="394" t="str">
        <f>VLOOKUP(Complete[[#This Row],[Code
(PAP)]],[1]Sheet1!$A:$AO,9,FALSE)</f>
        <v>N/A</v>
      </c>
      <c r="J318" s="393">
        <f>VLOOKUP(Complete[[#This Row],[Code
(PAP)]],[1]Sheet1!$A:$AO,10,FALSE)</f>
        <v>45387</v>
      </c>
      <c r="K318" s="393">
        <f>VLOOKUP(Complete[[#This Row],[Code
(PAP)]],[1]Sheet1!$A:$AO,11,FALSE)</f>
        <v>45387</v>
      </c>
      <c r="L318" s="387"/>
      <c r="M318" s="393" t="str">
        <f>VLOOKUP(Complete[[#This Row],[Code
(PAP)]],[1]Sheet1!$A:$AO,13,FALSE)</f>
        <v>N/A</v>
      </c>
      <c r="N318" s="393" t="str">
        <f>VLOOKUP(Complete[[#This Row],[Code
(PAP)]],[1]Sheet1!$A:$AO,14,FALSE)</f>
        <v>N/A</v>
      </c>
      <c r="O318" s="393">
        <f>VLOOKUP(Complete[[#This Row],[Code
(PAP)]],[1]Sheet1!$A:$AO,15,FALSE)</f>
        <v>45394</v>
      </c>
      <c r="P318" s="387"/>
      <c r="Q318" s="387"/>
      <c r="R318" s="387"/>
      <c r="S318" s="576" t="str">
        <f>VLOOKUP(Complete[[#This Row],[Code
(PAP)]],[1]Sheet1!$A:$AO,19,FALSE)</f>
        <v>N/A</v>
      </c>
      <c r="T318" s="576">
        <f>VLOOKUP(Complete[[#This Row],[Code
(PAP)]],[1]Sheet1!$A:$AO,20,FALSE)</f>
        <v>45406</v>
      </c>
      <c r="U318" s="576">
        <f>VLOOKUP(Complete[[#This Row],[Code
(PAP)]],[1]Sheet1!$A:$AO,21,FALSE)</f>
        <v>45411</v>
      </c>
      <c r="V318" s="387"/>
      <c r="W318" s="387"/>
      <c r="X318" s="392">
        <f>VLOOKUP(Complete[[#This Row],[Code
(PAP)]],[1]Sheet1!$A:$AO,24,FALSE)</f>
        <v>45418</v>
      </c>
      <c r="Y318" s="392">
        <f>Complete[[#This Row],[Delivery/ Completion]]</f>
        <v>45418</v>
      </c>
      <c r="Z318" s="610" t="s">
        <v>1478</v>
      </c>
      <c r="AA318" s="462">
        <f>Complete[[#This Row],[MOOE]]+Complete[[#This Row],[CO]]</f>
        <v>5760</v>
      </c>
      <c r="AB318" s="466">
        <v>5760</v>
      </c>
      <c r="AC318" s="497"/>
      <c r="AD318" s="498">
        <f>IF(Complete[[#This Row],[Procurement Project]]="","",SUM(Complete[[#This Row],[MOOE2]]+Complete[[#This Row],[CO3]]))</f>
        <v>5600</v>
      </c>
      <c r="AE318" s="501">
        <v>5600</v>
      </c>
      <c r="AF318" s="541"/>
      <c r="AG318" s="400"/>
      <c r="AH318" s="380" t="s">
        <v>1205</v>
      </c>
      <c r="AI318" s="576" t="str">
        <f>VLOOKUP(Complete[[#This Row],[Code
(PAP)]],[1]Sheet1!$A:$AO,35,FALSE)</f>
        <v>N/A</v>
      </c>
      <c r="AJ318" s="576" t="str">
        <f>VLOOKUP(Complete[[#This Row],[Code
(PAP)]],[1]Sheet1!$A:$AO,36,FALSE)</f>
        <v>N/A</v>
      </c>
      <c r="AK318" s="576" t="str">
        <f>VLOOKUP(Complete[[#This Row],[Code
(PAP)]],[1]Sheet1!$A:$AO,37,FALSE)</f>
        <v>N/A</v>
      </c>
      <c r="AL318" s="576" t="str">
        <f>VLOOKUP(Complete[[#This Row],[Code
(PAP)]],[1]Sheet1!$A:$AO,38,FALSE)</f>
        <v>N/A</v>
      </c>
      <c r="AM318" s="576" t="str">
        <f>VLOOKUP(Complete[[#This Row],[Code
(PAP)]],[1]Sheet1!$A:$AO,38,FALSE)</f>
        <v>N/A</v>
      </c>
      <c r="AN318" s="595" t="s">
        <v>713</v>
      </c>
      <c r="AO318" s="303" t="s">
        <v>139</v>
      </c>
      <c r="AP318" s="389"/>
      <c r="AQ318" s="389"/>
    </row>
    <row r="319" spans="1:43" s="224" customFormat="1" ht="75" customHeight="1" x14ac:dyDescent="0.25">
      <c r="A319" s="385" t="s">
        <v>497</v>
      </c>
      <c r="B319" s="406" t="str">
        <f>VLOOKUP(Complete[[#This Row],[Code
(PAP)]],[1]Sheet1!$A:$AO,2,FALSE)</f>
        <v>HAND CUFF</v>
      </c>
      <c r="C319" s="408" t="str">
        <f>VLOOKUP(Complete[[#This Row],[Code
(PAP)]],[1]Sheet1!$A:$AO,3,FALSE)</f>
        <v>PGO</v>
      </c>
      <c r="D319" s="380" t="s">
        <v>712</v>
      </c>
      <c r="E319" s="409" t="str">
        <f>VLOOKUP(Complete[[#This Row],[Code
(PAP)]],[2]Sheet1!$A:$AO,5,FALSE)</f>
        <v>NP-53.9 - Small Value Procurement</v>
      </c>
      <c r="F319" s="393" t="str">
        <f>VLOOKUP(Complete[[#This Row],[Code
(PAP)]],[1]Sheet1!$A:$AO,6,FALSE)</f>
        <v>N/A</v>
      </c>
      <c r="G319" s="393">
        <f>VLOOKUP(Complete[[#This Row],[Code
(PAP)]],[1]Sheet1!$A:$AO,7,FALSE)</f>
        <v>45371</v>
      </c>
      <c r="H319" s="374"/>
      <c r="I319" s="394" t="str">
        <f>VLOOKUP(Complete[[#This Row],[Code
(PAP)]],[1]Sheet1!$A:$AO,9,FALSE)</f>
        <v>N/A</v>
      </c>
      <c r="J319" s="393">
        <f>VLOOKUP(Complete[[#This Row],[Code
(PAP)]],[1]Sheet1!$A:$AO,10,FALSE)</f>
        <v>45387</v>
      </c>
      <c r="K319" s="393">
        <f>VLOOKUP(Complete[[#This Row],[Code
(PAP)]],[1]Sheet1!$A:$AO,11,FALSE)</f>
        <v>45387</v>
      </c>
      <c r="L319" s="387"/>
      <c r="M319" s="393" t="str">
        <f>VLOOKUP(Complete[[#This Row],[Code
(PAP)]],[1]Sheet1!$A:$AO,13,FALSE)</f>
        <v>N/A</v>
      </c>
      <c r="N319" s="393" t="str">
        <f>VLOOKUP(Complete[[#This Row],[Code
(PAP)]],[1]Sheet1!$A:$AO,14,FALSE)</f>
        <v>N/A</v>
      </c>
      <c r="O319" s="393">
        <f>VLOOKUP(Complete[[#This Row],[Code
(PAP)]],[1]Sheet1!$A:$AO,15,FALSE)</f>
        <v>45394</v>
      </c>
      <c r="P319" s="387"/>
      <c r="Q319" s="387"/>
      <c r="R319" s="387"/>
      <c r="S319" s="576">
        <f>VLOOKUP(Complete[[#This Row],[Code
(PAP)]],[1]Sheet1!$A:$AO,19,FALSE)</f>
        <v>45399</v>
      </c>
      <c r="T319" s="576">
        <f>VLOOKUP(Complete[[#This Row],[Code
(PAP)]],[1]Sheet1!$A:$AO,20,FALSE)</f>
        <v>45406</v>
      </c>
      <c r="U319" s="576">
        <f>VLOOKUP(Complete[[#This Row],[Code
(PAP)]],[1]Sheet1!$A:$AO,21,FALSE)</f>
        <v>45414</v>
      </c>
      <c r="V319" s="387"/>
      <c r="W319" s="387"/>
      <c r="X319" s="392">
        <f>VLOOKUP(Complete[[#This Row],[Code
(PAP)]],[1]Sheet1!$A:$AO,24,FALSE)</f>
        <v>45443</v>
      </c>
      <c r="Y319" s="392">
        <f>Complete[[#This Row],[Delivery/ Completion]]</f>
        <v>45443</v>
      </c>
      <c r="Z319" s="610" t="s">
        <v>1478</v>
      </c>
      <c r="AA319" s="462">
        <f>Complete[[#This Row],[MOOE]]+Complete[[#This Row],[CO]]</f>
        <v>108460</v>
      </c>
      <c r="AB319" s="466"/>
      <c r="AC319" s="497">
        <v>108460</v>
      </c>
      <c r="AD319" s="498">
        <f>IF(Complete[[#This Row],[Procurement Project]]="","",SUM(Complete[[#This Row],[MOOE2]]+Complete[[#This Row],[CO3]]))</f>
        <v>106140</v>
      </c>
      <c r="AE319" s="501"/>
      <c r="AF319" s="541">
        <v>106140</v>
      </c>
      <c r="AG319" s="400"/>
      <c r="AH319" s="380" t="s">
        <v>1205</v>
      </c>
      <c r="AI319" s="576" t="str">
        <f>VLOOKUP(Complete[[#This Row],[Code
(PAP)]],[1]Sheet1!$A:$AO,35,FALSE)</f>
        <v>N/A</v>
      </c>
      <c r="AJ319" s="576" t="str">
        <f>VLOOKUP(Complete[[#This Row],[Code
(PAP)]],[1]Sheet1!$A:$AO,36,FALSE)</f>
        <v>N/A</v>
      </c>
      <c r="AK319" s="576" t="str">
        <f>VLOOKUP(Complete[[#This Row],[Code
(PAP)]],[1]Sheet1!$A:$AO,37,FALSE)</f>
        <v>N/A</v>
      </c>
      <c r="AL319" s="576" t="str">
        <f>VLOOKUP(Complete[[#This Row],[Code
(PAP)]],[1]Sheet1!$A:$AO,38,FALSE)</f>
        <v>N/A</v>
      </c>
      <c r="AM319" s="576" t="str">
        <f>VLOOKUP(Complete[[#This Row],[Code
(PAP)]],[1]Sheet1!$A:$AO,38,FALSE)</f>
        <v>N/A</v>
      </c>
      <c r="AN319" s="595" t="s">
        <v>713</v>
      </c>
      <c r="AO319" s="303" t="s">
        <v>139</v>
      </c>
      <c r="AP319" s="389"/>
      <c r="AQ319" s="389"/>
    </row>
    <row r="320" spans="1:43" s="224" customFormat="1" ht="75" customHeight="1" x14ac:dyDescent="0.25">
      <c r="A320" s="385" t="s">
        <v>498</v>
      </c>
      <c r="B320" s="406" t="str">
        <f>VLOOKUP(Complete[[#This Row],[Code
(PAP)]],[1]Sheet1!$A:$AO,2,FALSE)</f>
        <v>CHAIR, MONOBLOC</v>
      </c>
      <c r="C320" s="408" t="str">
        <f>VLOOKUP(Complete[[#This Row],[Code
(PAP)]],[1]Sheet1!$A:$AO,3,FALSE)</f>
        <v>PGO</v>
      </c>
      <c r="D320" s="380" t="s">
        <v>712</v>
      </c>
      <c r="E320" s="409" t="str">
        <f>VLOOKUP(Complete[[#This Row],[Code
(PAP)]],[2]Sheet1!$A:$AO,5,FALSE)</f>
        <v>NP-53.9 - Small Value Procurement</v>
      </c>
      <c r="F320" s="393" t="str">
        <f>VLOOKUP(Complete[[#This Row],[Code
(PAP)]],[1]Sheet1!$A:$AO,6,FALSE)</f>
        <v>N/A</v>
      </c>
      <c r="G320" s="393">
        <f>VLOOKUP(Complete[[#This Row],[Code
(PAP)]],[1]Sheet1!$A:$AO,7,FALSE)</f>
        <v>45371</v>
      </c>
      <c r="H320" s="374"/>
      <c r="I320" s="394" t="str">
        <f>VLOOKUP(Complete[[#This Row],[Code
(PAP)]],[1]Sheet1!$A:$AO,9,FALSE)</f>
        <v>N/A</v>
      </c>
      <c r="J320" s="393">
        <f>VLOOKUP(Complete[[#This Row],[Code
(PAP)]],[1]Sheet1!$A:$AO,10,FALSE)</f>
        <v>45387</v>
      </c>
      <c r="K320" s="393">
        <f>VLOOKUP(Complete[[#This Row],[Code
(PAP)]],[1]Sheet1!$A:$AO,11,FALSE)</f>
        <v>45387</v>
      </c>
      <c r="L320" s="387"/>
      <c r="M320" s="393" t="str">
        <f>VLOOKUP(Complete[[#This Row],[Code
(PAP)]],[1]Sheet1!$A:$AO,13,FALSE)</f>
        <v>N/A</v>
      </c>
      <c r="N320" s="393" t="str">
        <f>VLOOKUP(Complete[[#This Row],[Code
(PAP)]],[1]Sheet1!$A:$AO,14,FALSE)</f>
        <v>N/A</v>
      </c>
      <c r="O320" s="393">
        <f>VLOOKUP(Complete[[#This Row],[Code
(PAP)]],[1]Sheet1!$A:$AO,15,FALSE)</f>
        <v>45394</v>
      </c>
      <c r="P320" s="387"/>
      <c r="Q320" s="387"/>
      <c r="R320" s="387"/>
      <c r="S320" s="576" t="str">
        <f>VLOOKUP(Complete[[#This Row],[Code
(PAP)]],[1]Sheet1!$A:$AO,19,FALSE)</f>
        <v>N/A</v>
      </c>
      <c r="T320" s="576">
        <f>VLOOKUP(Complete[[#This Row],[Code
(PAP)]],[1]Sheet1!$A:$AO,20,FALSE)</f>
        <v>45401</v>
      </c>
      <c r="U320" s="576">
        <f>VLOOKUP(Complete[[#This Row],[Code
(PAP)]],[1]Sheet1!$A:$AO,21,FALSE)</f>
        <v>45420</v>
      </c>
      <c r="V320" s="387"/>
      <c r="W320" s="387"/>
      <c r="X320" s="392">
        <f>VLOOKUP(Complete[[#This Row],[Code
(PAP)]],[1]Sheet1!$A:$AO,24,FALSE)</f>
        <v>45433</v>
      </c>
      <c r="Y320" s="392">
        <f>Complete[[#This Row],[Delivery/ Completion]]</f>
        <v>45433</v>
      </c>
      <c r="Z320" s="610" t="s">
        <v>1478</v>
      </c>
      <c r="AA320" s="462">
        <f>Complete[[#This Row],[MOOE]]+Complete[[#This Row],[CO]]</f>
        <v>3900</v>
      </c>
      <c r="AB320" s="466"/>
      <c r="AC320" s="497">
        <v>3900</v>
      </c>
      <c r="AD320" s="498">
        <f>IF(Complete[[#This Row],[Procurement Project]]="","",SUM(Complete[[#This Row],[MOOE2]]+Complete[[#This Row],[CO3]]))</f>
        <v>3850</v>
      </c>
      <c r="AE320" s="501"/>
      <c r="AF320" s="541">
        <v>3850</v>
      </c>
      <c r="AG320" s="400"/>
      <c r="AH320" s="380" t="s">
        <v>1205</v>
      </c>
      <c r="AI320" s="576" t="str">
        <f>VLOOKUP(Complete[[#This Row],[Code
(PAP)]],[1]Sheet1!$A:$AO,35,FALSE)</f>
        <v>N/A</v>
      </c>
      <c r="AJ320" s="576" t="str">
        <f>VLOOKUP(Complete[[#This Row],[Code
(PAP)]],[1]Sheet1!$A:$AO,36,FALSE)</f>
        <v>N/A</v>
      </c>
      <c r="AK320" s="576" t="str">
        <f>VLOOKUP(Complete[[#This Row],[Code
(PAP)]],[1]Sheet1!$A:$AO,37,FALSE)</f>
        <v>N/A</v>
      </c>
      <c r="AL320" s="576" t="str">
        <f>VLOOKUP(Complete[[#This Row],[Code
(PAP)]],[1]Sheet1!$A:$AO,38,FALSE)</f>
        <v>N/A</v>
      </c>
      <c r="AM320" s="576" t="str">
        <f>VLOOKUP(Complete[[#This Row],[Code
(PAP)]],[1]Sheet1!$A:$AO,38,FALSE)</f>
        <v>N/A</v>
      </c>
      <c r="AN320" s="595" t="s">
        <v>713</v>
      </c>
      <c r="AO320" s="303" t="s">
        <v>139</v>
      </c>
      <c r="AP320" s="389"/>
      <c r="AQ320" s="389"/>
    </row>
    <row r="321" spans="1:43" s="224" customFormat="1" ht="75" customHeight="1" x14ac:dyDescent="0.25">
      <c r="A321" s="385" t="s">
        <v>499</v>
      </c>
      <c r="B321" s="406" t="str">
        <f>VLOOKUP(Complete[[#This Row],[Code
(PAP)]],[1]Sheet1!$A:$AO,2,FALSE)</f>
        <v>WATER DISPENSER-HOT AND COLD</v>
      </c>
      <c r="C321" s="408" t="str">
        <f>VLOOKUP(Complete[[#This Row],[Code
(PAP)]],[1]Sheet1!$A:$AO,3,FALSE)</f>
        <v>PAGRO</v>
      </c>
      <c r="D321" s="380" t="s">
        <v>712</v>
      </c>
      <c r="E321" s="409" t="str">
        <f>VLOOKUP(Complete[[#This Row],[Code
(PAP)]],[2]Sheet1!$A:$AO,5,FALSE)</f>
        <v>NP-53.9 - Small Value Procurement</v>
      </c>
      <c r="F321" s="393" t="str">
        <f>VLOOKUP(Complete[[#This Row],[Code
(PAP)]],[1]Sheet1!$A:$AO,6,FALSE)</f>
        <v>N/A</v>
      </c>
      <c r="G321" s="393">
        <f>VLOOKUP(Complete[[#This Row],[Code
(PAP)]],[1]Sheet1!$A:$AO,7,FALSE)</f>
        <v>45371</v>
      </c>
      <c r="H321" s="374"/>
      <c r="I321" s="394" t="str">
        <f>VLOOKUP(Complete[[#This Row],[Code
(PAP)]],[1]Sheet1!$A:$AO,9,FALSE)</f>
        <v>N/A</v>
      </c>
      <c r="J321" s="393">
        <f>VLOOKUP(Complete[[#This Row],[Code
(PAP)]],[1]Sheet1!$A:$AO,10,FALSE)</f>
        <v>45387</v>
      </c>
      <c r="K321" s="393">
        <f>VLOOKUP(Complete[[#This Row],[Code
(PAP)]],[1]Sheet1!$A:$AO,11,FALSE)</f>
        <v>45387</v>
      </c>
      <c r="L321" s="387"/>
      <c r="M321" s="393" t="str">
        <f>VLOOKUP(Complete[[#This Row],[Code
(PAP)]],[1]Sheet1!$A:$AO,13,FALSE)</f>
        <v>N/A</v>
      </c>
      <c r="N321" s="393" t="str">
        <f>VLOOKUP(Complete[[#This Row],[Code
(PAP)]],[1]Sheet1!$A:$AO,14,FALSE)</f>
        <v>N/A</v>
      </c>
      <c r="O321" s="393">
        <f>VLOOKUP(Complete[[#This Row],[Code
(PAP)]],[1]Sheet1!$A:$AO,15,FALSE)</f>
        <v>45394</v>
      </c>
      <c r="P321" s="387"/>
      <c r="Q321" s="387"/>
      <c r="R321" s="387"/>
      <c r="S321" s="576" t="str">
        <f>VLOOKUP(Complete[[#This Row],[Code
(PAP)]],[1]Sheet1!$A:$AO,19,FALSE)</f>
        <v>N/A</v>
      </c>
      <c r="T321" s="576">
        <f>VLOOKUP(Complete[[#This Row],[Code
(PAP)]],[1]Sheet1!$A:$AO,20,FALSE)</f>
        <v>45405</v>
      </c>
      <c r="U321" s="576">
        <f>VLOOKUP(Complete[[#This Row],[Code
(PAP)]],[1]Sheet1!$A:$AO,21,FALSE)</f>
        <v>45419</v>
      </c>
      <c r="V321" s="387"/>
      <c r="W321" s="387"/>
      <c r="X321" s="392">
        <f>VLOOKUP(Complete[[#This Row],[Code
(PAP)]],[1]Sheet1!$A:$AO,24,FALSE)</f>
        <v>45421</v>
      </c>
      <c r="Y321" s="392">
        <f>Complete[[#This Row],[Delivery/ Completion]]</f>
        <v>45421</v>
      </c>
      <c r="Z321" s="610" t="s">
        <v>1478</v>
      </c>
      <c r="AA321" s="462">
        <f>Complete[[#This Row],[MOOE]]+Complete[[#This Row],[CO]]</f>
        <v>29200</v>
      </c>
      <c r="AB321" s="466">
        <v>13200</v>
      </c>
      <c r="AC321" s="497">
        <f>VLOOKUP(Complete[[#This Row],[Code
(PAP)]],[1]Sheet1!$A:$AO,29,FALSE)</f>
        <v>16000</v>
      </c>
      <c r="AD321" s="498">
        <f>IF(Complete[[#This Row],[Procurement Project]]="","",SUM(Complete[[#This Row],[MOOE2]]+Complete[[#This Row],[CO3]]))</f>
        <v>13200</v>
      </c>
      <c r="AE321" s="501">
        <v>13200</v>
      </c>
      <c r="AF321" s="541"/>
      <c r="AG321" s="400"/>
      <c r="AH321" s="380" t="s">
        <v>1205</v>
      </c>
      <c r="AI321" s="576" t="str">
        <f>VLOOKUP(Complete[[#This Row],[Code
(PAP)]],[1]Sheet1!$A:$AO,35,FALSE)</f>
        <v>N/A</v>
      </c>
      <c r="AJ321" s="576" t="str">
        <f>VLOOKUP(Complete[[#This Row],[Code
(PAP)]],[1]Sheet1!$A:$AO,36,FALSE)</f>
        <v>N/A</v>
      </c>
      <c r="AK321" s="576" t="str">
        <f>VLOOKUP(Complete[[#This Row],[Code
(PAP)]],[1]Sheet1!$A:$AO,37,FALSE)</f>
        <v>N/A</v>
      </c>
      <c r="AL321" s="576" t="str">
        <f>VLOOKUP(Complete[[#This Row],[Code
(PAP)]],[1]Sheet1!$A:$AO,38,FALSE)</f>
        <v>N/A</v>
      </c>
      <c r="AM321" s="576" t="str">
        <f>VLOOKUP(Complete[[#This Row],[Code
(PAP)]],[1]Sheet1!$A:$AO,38,FALSE)</f>
        <v>N/A</v>
      </c>
      <c r="AN321" s="595" t="s">
        <v>713</v>
      </c>
      <c r="AO321" s="303" t="s">
        <v>139</v>
      </c>
      <c r="AP321" s="389"/>
      <c r="AQ321" s="389"/>
    </row>
    <row r="322" spans="1:43" s="224" customFormat="1" ht="75" customHeight="1" x14ac:dyDescent="0.25">
      <c r="A322" s="385" t="s">
        <v>500</v>
      </c>
      <c r="B322" s="406" t="str">
        <f>VLOOKUP(Complete[[#This Row],[Code
(PAP)]],[1]Sheet1!$A:$AO,2,FALSE)</f>
        <v>AGRICULTURAL (BOLO, GARBAGE BIN, GARBAGE HOSE)</v>
      </c>
      <c r="C322" s="408" t="str">
        <f>VLOOKUP(Complete[[#This Row],[Code
(PAP)]],[1]Sheet1!$A:$AO,3,FALSE)</f>
        <v>PGSO</v>
      </c>
      <c r="D322" s="380" t="s">
        <v>712</v>
      </c>
      <c r="E322" s="409" t="str">
        <f>VLOOKUP(Complete[[#This Row],[Code
(PAP)]],[2]Sheet1!$A:$AO,5,FALSE)</f>
        <v>NP-53.9 - Small Value Procurement</v>
      </c>
      <c r="F322" s="393" t="str">
        <f>VLOOKUP(Complete[[#This Row],[Code
(PAP)]],[1]Sheet1!$A:$AO,6,FALSE)</f>
        <v>N/A</v>
      </c>
      <c r="G322" s="393">
        <f>VLOOKUP(Complete[[#This Row],[Code
(PAP)]],[1]Sheet1!$A:$AO,7,FALSE)</f>
        <v>45363</v>
      </c>
      <c r="H322" s="374"/>
      <c r="I322" s="394" t="str">
        <f>VLOOKUP(Complete[[#This Row],[Code
(PAP)]],[1]Sheet1!$A:$AO,9,FALSE)</f>
        <v>N/A</v>
      </c>
      <c r="J322" s="393">
        <f>VLOOKUP(Complete[[#This Row],[Code
(PAP)]],[1]Sheet1!$A:$AO,10,FALSE)</f>
        <v>45390</v>
      </c>
      <c r="K322" s="393">
        <f>VLOOKUP(Complete[[#This Row],[Code
(PAP)]],[1]Sheet1!$A:$AO,11,FALSE)</f>
        <v>45390</v>
      </c>
      <c r="L322" s="387"/>
      <c r="M322" s="393" t="str">
        <f>VLOOKUP(Complete[[#This Row],[Code
(PAP)]],[1]Sheet1!$A:$AO,13,FALSE)</f>
        <v>N/A</v>
      </c>
      <c r="N322" s="393" t="str">
        <f>VLOOKUP(Complete[[#This Row],[Code
(PAP)]],[1]Sheet1!$A:$AO,14,FALSE)</f>
        <v>N/A</v>
      </c>
      <c r="O322" s="393">
        <f>VLOOKUP(Complete[[#This Row],[Code
(PAP)]],[1]Sheet1!$A:$AO,15,FALSE)</f>
        <v>45394</v>
      </c>
      <c r="P322" s="387"/>
      <c r="Q322" s="387"/>
      <c r="R322" s="387"/>
      <c r="S322" s="576">
        <v>45399</v>
      </c>
      <c r="T322" s="576">
        <f>VLOOKUP(Complete[[#This Row],[Code
(PAP)]],[1]Sheet1!$A:$AO,20,FALSE)</f>
        <v>45405</v>
      </c>
      <c r="U322" s="576">
        <f>VLOOKUP(Complete[[#This Row],[Code
(PAP)]],[1]Sheet1!$A:$AO,21,FALSE)</f>
        <v>45420</v>
      </c>
      <c r="V322" s="387"/>
      <c r="W322" s="387"/>
      <c r="X322" s="392">
        <f>VLOOKUP(Complete[[#This Row],[Code
(PAP)]],[1]Sheet1!$A:$AO,24,FALSE)</f>
        <v>45468</v>
      </c>
      <c r="Y322" s="392">
        <f>Complete[[#This Row],[Delivery/ Completion]]</f>
        <v>45468</v>
      </c>
      <c r="Z322" s="610" t="s">
        <v>1478</v>
      </c>
      <c r="AA322" s="462">
        <f>Complete[[#This Row],[MOOE]]+Complete[[#This Row],[CO]]</f>
        <v>100252</v>
      </c>
      <c r="AB322" s="466">
        <v>94852</v>
      </c>
      <c r="AC322" s="497">
        <f>VLOOKUP(Complete[[#This Row],[Code
(PAP)]],[1]Sheet1!$A:$AO,29,FALSE)</f>
        <v>5400</v>
      </c>
      <c r="AD322" s="498">
        <f>IF(Complete[[#This Row],[Procurement Project]]="","",SUM(Complete[[#This Row],[MOOE2]]+Complete[[#This Row],[CO3]]))</f>
        <v>94800</v>
      </c>
      <c r="AE322" s="501">
        <v>94800</v>
      </c>
      <c r="AF322" s="541"/>
      <c r="AG322" s="400"/>
      <c r="AH322" s="380" t="s">
        <v>1205</v>
      </c>
      <c r="AI322" s="576" t="str">
        <f>VLOOKUP(Complete[[#This Row],[Code
(PAP)]],[1]Sheet1!$A:$AO,35,FALSE)</f>
        <v>N/A</v>
      </c>
      <c r="AJ322" s="576" t="str">
        <f>VLOOKUP(Complete[[#This Row],[Code
(PAP)]],[1]Sheet1!$A:$AO,36,FALSE)</f>
        <v>N/A</v>
      </c>
      <c r="AK322" s="576" t="str">
        <f>VLOOKUP(Complete[[#This Row],[Code
(PAP)]],[1]Sheet1!$A:$AO,37,FALSE)</f>
        <v>N/A</v>
      </c>
      <c r="AL322" s="576" t="str">
        <f>VLOOKUP(Complete[[#This Row],[Code
(PAP)]],[1]Sheet1!$A:$AO,38,FALSE)</f>
        <v>N/A</v>
      </c>
      <c r="AM322" s="576" t="str">
        <f>VLOOKUP(Complete[[#This Row],[Code
(PAP)]],[1]Sheet1!$A:$AO,38,FALSE)</f>
        <v>N/A</v>
      </c>
      <c r="AN322" s="595" t="s">
        <v>713</v>
      </c>
      <c r="AO322" s="303" t="s">
        <v>139</v>
      </c>
      <c r="AP322" s="389"/>
      <c r="AQ322" s="389"/>
    </row>
    <row r="323" spans="1:43" s="224" customFormat="1" ht="75" customHeight="1" x14ac:dyDescent="0.25">
      <c r="A323" s="385" t="s">
        <v>501</v>
      </c>
      <c r="B323" s="406" t="str">
        <f>VLOOKUP(Complete[[#This Row],[Code
(PAP)]],[1]Sheet1!$A:$AO,2,FALSE)</f>
        <v>TABLE NAME HOLDER</v>
      </c>
      <c r="C323" s="408" t="str">
        <f>VLOOKUP(Complete[[#This Row],[Code
(PAP)]],[1]Sheet1!$A:$AO,3,FALSE)</f>
        <v>PGO</v>
      </c>
      <c r="D323" s="380" t="s">
        <v>712</v>
      </c>
      <c r="E323" s="409" t="str">
        <f>VLOOKUP(Complete[[#This Row],[Code
(PAP)]],[2]Sheet1!$A:$AO,5,FALSE)</f>
        <v>NP-53.9 - Small Value Procurement</v>
      </c>
      <c r="F323" s="393">
        <f>VLOOKUP(Complete[[#This Row],[Code
(PAP)]],[1]Sheet1!$A:$AO,6,FALSE)</f>
        <v>45370</v>
      </c>
      <c r="G323" s="393">
        <f>VLOOKUP(Complete[[#This Row],[Code
(PAP)]],[1]Sheet1!$A:$AO,7,FALSE)</f>
        <v>45376</v>
      </c>
      <c r="H323" s="374"/>
      <c r="I323" s="394" t="str">
        <f>VLOOKUP(Complete[[#This Row],[Code
(PAP)]],[1]Sheet1!$A:$AO,9,FALSE)</f>
        <v>N/A</v>
      </c>
      <c r="J323" s="393">
        <f>VLOOKUP(Complete[[#This Row],[Code
(PAP)]],[1]Sheet1!$A:$AO,10,FALSE)</f>
        <v>45390</v>
      </c>
      <c r="K323" s="393">
        <f>VLOOKUP(Complete[[#This Row],[Code
(PAP)]],[1]Sheet1!$A:$AO,11,FALSE)</f>
        <v>45390</v>
      </c>
      <c r="L323" s="387"/>
      <c r="M323" s="393" t="str">
        <f>VLOOKUP(Complete[[#This Row],[Code
(PAP)]],[1]Sheet1!$A:$AO,13,FALSE)</f>
        <v>N/A</v>
      </c>
      <c r="N323" s="393" t="str">
        <f>VLOOKUP(Complete[[#This Row],[Code
(PAP)]],[1]Sheet1!$A:$AO,14,FALSE)</f>
        <v>N/A</v>
      </c>
      <c r="O323" s="393">
        <f>VLOOKUP(Complete[[#This Row],[Code
(PAP)]],[1]Sheet1!$A:$AO,15,FALSE)</f>
        <v>45394</v>
      </c>
      <c r="P323" s="387"/>
      <c r="Q323" s="387"/>
      <c r="R323" s="387"/>
      <c r="S323" s="576" t="str">
        <f>VLOOKUP(Complete[[#This Row],[Code
(PAP)]],[1]Sheet1!$A:$AO,19,FALSE)</f>
        <v>N/A</v>
      </c>
      <c r="T323" s="576">
        <f>VLOOKUP(Complete[[#This Row],[Code
(PAP)]],[1]Sheet1!$A:$AO,20,FALSE)</f>
        <v>45406</v>
      </c>
      <c r="U323" s="576">
        <f>VLOOKUP(Complete[[#This Row],[Code
(PAP)]],[1]Sheet1!$A:$AO,21,FALSE)</f>
        <v>45412</v>
      </c>
      <c r="V323" s="387"/>
      <c r="W323" s="387"/>
      <c r="X323" s="392">
        <f>VLOOKUP(Complete[[#This Row],[Code
(PAP)]],[1]Sheet1!$A:$AO,24,FALSE)</f>
        <v>45428</v>
      </c>
      <c r="Y323" s="392">
        <f>Complete[[#This Row],[Delivery/ Completion]]</f>
        <v>45428</v>
      </c>
      <c r="Z323" s="610" t="s">
        <v>1478</v>
      </c>
      <c r="AA323" s="462">
        <f>Complete[[#This Row],[MOOE]]+Complete[[#This Row],[CO]]</f>
        <v>16000</v>
      </c>
      <c r="AB323" s="466"/>
      <c r="AC323" s="497">
        <v>16000</v>
      </c>
      <c r="AD323" s="498">
        <f>IF(Complete[[#This Row],[Procurement Project]]="","",SUM(Complete[[#This Row],[MOOE2]]+Complete[[#This Row],[CO3]]))</f>
        <v>16000</v>
      </c>
      <c r="AE323" s="501"/>
      <c r="AF323" s="541">
        <v>16000</v>
      </c>
      <c r="AG323" s="400"/>
      <c r="AH323" s="380" t="s">
        <v>1205</v>
      </c>
      <c r="AI323" s="576" t="str">
        <f>VLOOKUP(Complete[[#This Row],[Code
(PAP)]],[1]Sheet1!$A:$AO,35,FALSE)</f>
        <v>N/A</v>
      </c>
      <c r="AJ323" s="576" t="str">
        <f>VLOOKUP(Complete[[#This Row],[Code
(PAP)]],[1]Sheet1!$A:$AO,36,FALSE)</f>
        <v>N/A</v>
      </c>
      <c r="AK323" s="576" t="str">
        <f>VLOOKUP(Complete[[#This Row],[Code
(PAP)]],[1]Sheet1!$A:$AO,37,FALSE)</f>
        <v>N/A</v>
      </c>
      <c r="AL323" s="576" t="str">
        <f>VLOOKUP(Complete[[#This Row],[Code
(PAP)]],[1]Sheet1!$A:$AO,38,FALSE)</f>
        <v>N/A</v>
      </c>
      <c r="AM323" s="576" t="str">
        <f>VLOOKUP(Complete[[#This Row],[Code
(PAP)]],[1]Sheet1!$A:$AO,38,FALSE)</f>
        <v>N/A</v>
      </c>
      <c r="AN323" s="595" t="s">
        <v>713</v>
      </c>
      <c r="AO323" s="303" t="s">
        <v>139</v>
      </c>
      <c r="AP323" s="389"/>
      <c r="AQ323" s="389"/>
    </row>
    <row r="324" spans="1:43" s="224" customFormat="1" ht="75" customHeight="1" x14ac:dyDescent="0.25">
      <c r="A324" s="385" t="s">
        <v>502</v>
      </c>
      <c r="B324" s="406" t="str">
        <f>VLOOKUP(Complete[[#This Row],[Code
(PAP)]],[1]Sheet1!$A:$AO,2,FALSE)</f>
        <v>FOOD/CATERING SERVICES</v>
      </c>
      <c r="C324" s="408" t="str">
        <f>VLOOKUP(Complete[[#This Row],[Code
(PAP)]],[1]Sheet1!$A:$AO,3,FALSE)</f>
        <v>PAO</v>
      </c>
      <c r="D324" s="380" t="s">
        <v>712</v>
      </c>
      <c r="E324" s="409" t="str">
        <f>VLOOKUP(Complete[[#This Row],[Code
(PAP)]],[2]Sheet1!$A:$AO,5,FALSE)</f>
        <v>NP-53.9 - Small Value Procurement</v>
      </c>
      <c r="F324" s="393" t="str">
        <f>VLOOKUP(Complete[[#This Row],[Code
(PAP)]],[1]Sheet1!$A:$AO,6,FALSE)</f>
        <v>N/A</v>
      </c>
      <c r="G324" s="393">
        <f>VLOOKUP(Complete[[#This Row],[Code
(PAP)]],[1]Sheet1!$A:$AO,7,FALSE)</f>
        <v>45384</v>
      </c>
      <c r="H324" s="374"/>
      <c r="I324" s="394" t="str">
        <f>VLOOKUP(Complete[[#This Row],[Code
(PAP)]],[1]Sheet1!$A:$AO,9,FALSE)</f>
        <v>N/A</v>
      </c>
      <c r="J324" s="393">
        <f>VLOOKUP(Complete[[#This Row],[Code
(PAP)]],[1]Sheet1!$A:$AO,10,FALSE)</f>
        <v>45390</v>
      </c>
      <c r="K324" s="393">
        <f>VLOOKUP(Complete[[#This Row],[Code
(PAP)]],[1]Sheet1!$A:$AO,11,FALSE)</f>
        <v>45390</v>
      </c>
      <c r="L324" s="387"/>
      <c r="M324" s="393" t="str">
        <f>VLOOKUP(Complete[[#This Row],[Code
(PAP)]],[1]Sheet1!$A:$AO,13,FALSE)</f>
        <v>N/A</v>
      </c>
      <c r="N324" s="393" t="str">
        <f>VLOOKUP(Complete[[#This Row],[Code
(PAP)]],[1]Sheet1!$A:$AO,14,FALSE)</f>
        <v>N/A</v>
      </c>
      <c r="O324" s="393">
        <f>VLOOKUP(Complete[[#This Row],[Code
(PAP)]],[1]Sheet1!$A:$AO,15,FALSE)</f>
        <v>45394</v>
      </c>
      <c r="P324" s="387"/>
      <c r="Q324" s="387"/>
      <c r="R324" s="387"/>
      <c r="S324" s="576">
        <f>VLOOKUP(Complete[[#This Row],[Code
(PAP)]],[1]Sheet1!$A:$AO,19,FALSE)</f>
        <v>45394</v>
      </c>
      <c r="T324" s="576">
        <f>VLOOKUP(Complete[[#This Row],[Code
(PAP)]],[1]Sheet1!$A:$AO,20,FALSE)</f>
        <v>45405</v>
      </c>
      <c r="U324" s="576">
        <f>VLOOKUP(Complete[[#This Row],[Code
(PAP)]],[1]Sheet1!$A:$AO,21,FALSE)</f>
        <v>45419</v>
      </c>
      <c r="V324" s="387"/>
      <c r="W324" s="387"/>
      <c r="X324" s="392">
        <f>VLOOKUP(Complete[[#This Row],[Code
(PAP)]],[1]Sheet1!$A:$AO,24,FALSE)</f>
        <v>45427</v>
      </c>
      <c r="Y324" s="392">
        <f>Complete[[#This Row],[Delivery/ Completion]]</f>
        <v>45427</v>
      </c>
      <c r="Z324" s="610" t="s">
        <v>1478</v>
      </c>
      <c r="AA324" s="462">
        <f>Complete[[#This Row],[MOOE]]+Complete[[#This Row],[CO]]</f>
        <v>56280</v>
      </c>
      <c r="AB324" s="466"/>
      <c r="AC324" s="497">
        <v>56280</v>
      </c>
      <c r="AD324" s="498">
        <f>IF(Complete[[#This Row],[Procurement Project]]="","",SUM(Complete[[#This Row],[MOOE2]]+Complete[[#This Row],[CO3]]))</f>
        <v>55878</v>
      </c>
      <c r="AE324" s="501"/>
      <c r="AF324" s="541">
        <v>55878</v>
      </c>
      <c r="AG324" s="400"/>
      <c r="AH324" s="380" t="s">
        <v>1205</v>
      </c>
      <c r="AI324" s="576" t="str">
        <f>VLOOKUP(Complete[[#This Row],[Code
(PAP)]],[1]Sheet1!$A:$AO,35,FALSE)</f>
        <v>N/A</v>
      </c>
      <c r="AJ324" s="576" t="str">
        <f>VLOOKUP(Complete[[#This Row],[Code
(PAP)]],[1]Sheet1!$A:$AO,36,FALSE)</f>
        <v>N/A</v>
      </c>
      <c r="AK324" s="576" t="str">
        <f>VLOOKUP(Complete[[#This Row],[Code
(PAP)]],[1]Sheet1!$A:$AO,37,FALSE)</f>
        <v>N/A</v>
      </c>
      <c r="AL324" s="576" t="str">
        <f>VLOOKUP(Complete[[#This Row],[Code
(PAP)]],[1]Sheet1!$A:$AO,38,FALSE)</f>
        <v>N/A</v>
      </c>
      <c r="AM324" s="576" t="str">
        <f>VLOOKUP(Complete[[#This Row],[Code
(PAP)]],[1]Sheet1!$A:$AO,38,FALSE)</f>
        <v>N/A</v>
      </c>
      <c r="AN324" s="595" t="s">
        <v>713</v>
      </c>
      <c r="AO324" s="303" t="s">
        <v>139</v>
      </c>
      <c r="AP324" s="389"/>
      <c r="AQ324" s="389"/>
    </row>
    <row r="325" spans="1:43" s="224" customFormat="1" ht="75" customHeight="1" x14ac:dyDescent="0.25">
      <c r="A325" s="385" t="s">
        <v>503</v>
      </c>
      <c r="B325" s="406" t="str">
        <f>VLOOKUP(Complete[[#This Row],[Code
(PAP)]],[1]Sheet1!$A:$AO,2,FALSE)</f>
        <v>SPAREPARTS (LIGHT VEHICLES)</v>
      </c>
      <c r="C325" s="408" t="str">
        <f>VLOOKUP(Complete[[#This Row],[Code
(PAP)]],[1]Sheet1!$A:$AO,3,FALSE)</f>
        <v>PGSO</v>
      </c>
      <c r="D325" s="380" t="s">
        <v>712</v>
      </c>
      <c r="E325" s="409" t="str">
        <f>VLOOKUP(Complete[[#This Row],[Code
(PAP)]],[2]Sheet1!$A:$AO,5,FALSE)</f>
        <v>NP-53.9 - Small Value Procurement</v>
      </c>
      <c r="F325" s="393">
        <f>VLOOKUP(Complete[[#This Row],[Code
(PAP)]],[1]Sheet1!$A:$AO,6,FALSE)</f>
        <v>45370</v>
      </c>
      <c r="G325" s="393">
        <f>VLOOKUP(Complete[[#This Row],[Code
(PAP)]],[1]Sheet1!$A:$AO,7,FALSE)</f>
        <v>45376</v>
      </c>
      <c r="H325" s="374"/>
      <c r="I325" s="394" t="str">
        <f>VLOOKUP(Complete[[#This Row],[Code
(PAP)]],[1]Sheet1!$A:$AO,9,FALSE)</f>
        <v>N/A</v>
      </c>
      <c r="J325" s="393">
        <f>VLOOKUP(Complete[[#This Row],[Code
(PAP)]],[1]Sheet1!$A:$AO,10,FALSE)</f>
        <v>45390</v>
      </c>
      <c r="K325" s="393">
        <f>VLOOKUP(Complete[[#This Row],[Code
(PAP)]],[1]Sheet1!$A:$AO,11,FALSE)</f>
        <v>45390</v>
      </c>
      <c r="L325" s="387"/>
      <c r="M325" s="393" t="str">
        <f>VLOOKUP(Complete[[#This Row],[Code
(PAP)]],[1]Sheet1!$A:$AO,13,FALSE)</f>
        <v>N/A</v>
      </c>
      <c r="N325" s="393" t="str">
        <f>VLOOKUP(Complete[[#This Row],[Code
(PAP)]],[1]Sheet1!$A:$AO,14,FALSE)</f>
        <v>N/A</v>
      </c>
      <c r="O325" s="393">
        <f>VLOOKUP(Complete[[#This Row],[Code
(PAP)]],[1]Sheet1!$A:$AO,15,FALSE)</f>
        <v>45394</v>
      </c>
      <c r="P325" s="387"/>
      <c r="Q325" s="387"/>
      <c r="R325" s="387"/>
      <c r="S325" s="576" t="str">
        <f>VLOOKUP(Complete[[#This Row],[Code
(PAP)]],[1]Sheet1!$A:$AO,19,FALSE)</f>
        <v>N/A</v>
      </c>
      <c r="T325" s="576">
        <f>VLOOKUP(Complete[[#This Row],[Code
(PAP)]],[1]Sheet1!$A:$AO,20,FALSE)</f>
        <v>45405</v>
      </c>
      <c r="U325" s="576">
        <f>VLOOKUP(Complete[[#This Row],[Code
(PAP)]],[1]Sheet1!$A:$AO,21,FALSE)</f>
        <v>45426</v>
      </c>
      <c r="V325" s="387"/>
      <c r="W325" s="387"/>
      <c r="X325" s="392">
        <f>VLOOKUP(Complete[[#This Row],[Code
(PAP)]],[1]Sheet1!$A:$AO,24,FALSE)</f>
        <v>45433</v>
      </c>
      <c r="Y325" s="392">
        <f>Complete[[#This Row],[Delivery/ Completion]]</f>
        <v>45433</v>
      </c>
      <c r="Z325" s="610" t="s">
        <v>1478</v>
      </c>
      <c r="AA325" s="462">
        <f>Complete[[#This Row],[MOOE]]+Complete[[#This Row],[CO]]</f>
        <v>12500</v>
      </c>
      <c r="AB325" s="466">
        <v>12500</v>
      </c>
      <c r="AC325" s="497"/>
      <c r="AD325" s="498">
        <f>IF(Complete[[#This Row],[Procurement Project]]="","",SUM(Complete[[#This Row],[MOOE2]]+Complete[[#This Row],[CO3]]))</f>
        <v>12000</v>
      </c>
      <c r="AE325" s="501">
        <v>12000</v>
      </c>
      <c r="AF325" s="541"/>
      <c r="AG325" s="400"/>
      <c r="AH325" s="380" t="s">
        <v>1205</v>
      </c>
      <c r="AI325" s="576" t="str">
        <f>VLOOKUP(Complete[[#This Row],[Code
(PAP)]],[1]Sheet1!$A:$AO,35,FALSE)</f>
        <v>N/A</v>
      </c>
      <c r="AJ325" s="576" t="str">
        <f>VLOOKUP(Complete[[#This Row],[Code
(PAP)]],[1]Sheet1!$A:$AO,36,FALSE)</f>
        <v>N/A</v>
      </c>
      <c r="AK325" s="576" t="str">
        <f>VLOOKUP(Complete[[#This Row],[Code
(PAP)]],[1]Sheet1!$A:$AO,37,FALSE)</f>
        <v>N/A</v>
      </c>
      <c r="AL325" s="576" t="str">
        <f>VLOOKUP(Complete[[#This Row],[Code
(PAP)]],[1]Sheet1!$A:$AO,38,FALSE)</f>
        <v>N/A</v>
      </c>
      <c r="AM325" s="576" t="str">
        <f>VLOOKUP(Complete[[#This Row],[Code
(PAP)]],[1]Sheet1!$A:$AO,38,FALSE)</f>
        <v>N/A</v>
      </c>
      <c r="AN325" s="595" t="s">
        <v>713</v>
      </c>
      <c r="AO325" s="303" t="s">
        <v>139</v>
      </c>
      <c r="AP325" s="389"/>
      <c r="AQ325" s="389"/>
    </row>
    <row r="326" spans="1:43" s="224" customFormat="1" ht="75" customHeight="1" x14ac:dyDescent="0.25">
      <c r="A326" s="385" t="s">
        <v>504</v>
      </c>
      <c r="B326" s="406" t="str">
        <f>VLOOKUP(Complete[[#This Row],[Code
(PAP)]],[1]Sheet1!$A:$AO,2,FALSE)</f>
        <v>SPAREPARTS (LIGHT VEHICLES)</v>
      </c>
      <c r="C326" s="408" t="str">
        <f>VLOOKUP(Complete[[#This Row],[Code
(PAP)]],[1]Sheet1!$A:$AO,3,FALSE)</f>
        <v>PAGRO</v>
      </c>
      <c r="D326" s="380" t="s">
        <v>712</v>
      </c>
      <c r="E326" s="409" t="str">
        <f>VLOOKUP(Complete[[#This Row],[Code
(PAP)]],[2]Sheet1!$A:$AO,5,FALSE)</f>
        <v>NP-53.9 - Small Value Procurement</v>
      </c>
      <c r="F326" s="393" t="str">
        <f>VLOOKUP(Complete[[#This Row],[Code
(PAP)]],[1]Sheet1!$A:$AO,6,FALSE)</f>
        <v>N/A</v>
      </c>
      <c r="G326" s="393">
        <f>VLOOKUP(Complete[[#This Row],[Code
(PAP)]],[1]Sheet1!$A:$AO,7,FALSE)</f>
        <v>45376</v>
      </c>
      <c r="H326" s="374"/>
      <c r="I326" s="394" t="str">
        <f>VLOOKUP(Complete[[#This Row],[Code
(PAP)]],[1]Sheet1!$A:$AO,9,FALSE)</f>
        <v>N/A</v>
      </c>
      <c r="J326" s="393">
        <f>VLOOKUP(Complete[[#This Row],[Code
(PAP)]],[1]Sheet1!$A:$AO,10,FALSE)</f>
        <v>45390</v>
      </c>
      <c r="K326" s="393">
        <f>VLOOKUP(Complete[[#This Row],[Code
(PAP)]],[1]Sheet1!$A:$AO,11,FALSE)</f>
        <v>45390</v>
      </c>
      <c r="L326" s="387"/>
      <c r="M326" s="393" t="str">
        <f>VLOOKUP(Complete[[#This Row],[Code
(PAP)]],[1]Sheet1!$A:$AO,13,FALSE)</f>
        <v>N/A</v>
      </c>
      <c r="N326" s="393" t="str">
        <f>VLOOKUP(Complete[[#This Row],[Code
(PAP)]],[1]Sheet1!$A:$AO,14,FALSE)</f>
        <v>N/A</v>
      </c>
      <c r="O326" s="393">
        <f>VLOOKUP(Complete[[#This Row],[Code
(PAP)]],[1]Sheet1!$A:$AO,15,FALSE)</f>
        <v>45394</v>
      </c>
      <c r="P326" s="387"/>
      <c r="Q326" s="387"/>
      <c r="R326" s="387"/>
      <c r="S326" s="576" t="str">
        <f>VLOOKUP(Complete[[#This Row],[Code
(PAP)]],[1]Sheet1!$A:$AO,19,FALSE)</f>
        <v>N/A</v>
      </c>
      <c r="T326" s="576">
        <f>VLOOKUP(Complete[[#This Row],[Code
(PAP)]],[1]Sheet1!$A:$AO,20,FALSE)</f>
        <v>45405</v>
      </c>
      <c r="U326" s="576">
        <f>VLOOKUP(Complete[[#This Row],[Code
(PAP)]],[1]Sheet1!$A:$AO,21,FALSE)</f>
        <v>45420</v>
      </c>
      <c r="V326" s="387"/>
      <c r="W326" s="387"/>
      <c r="X326" s="392">
        <f>VLOOKUP(Complete[[#This Row],[Code
(PAP)]],[1]Sheet1!$A:$AO,24,FALSE)</f>
        <v>45428</v>
      </c>
      <c r="Y326" s="392">
        <f>Complete[[#This Row],[Delivery/ Completion]]</f>
        <v>45428</v>
      </c>
      <c r="Z326" s="610" t="s">
        <v>1478</v>
      </c>
      <c r="AA326" s="462">
        <f>Complete[[#This Row],[MOOE]]+Complete[[#This Row],[CO]]</f>
        <v>29760.89</v>
      </c>
      <c r="AB326" s="466">
        <v>29760.89</v>
      </c>
      <c r="AC326" s="497"/>
      <c r="AD326" s="498">
        <f>IF(Complete[[#This Row],[Procurement Project]]="","",SUM(Complete[[#This Row],[MOOE2]]+Complete[[#This Row],[CO3]]))</f>
        <v>25730</v>
      </c>
      <c r="AE326" s="501">
        <v>25730</v>
      </c>
      <c r="AF326" s="541"/>
      <c r="AG326" s="400"/>
      <c r="AH326" s="380" t="s">
        <v>1205</v>
      </c>
      <c r="AI326" s="576" t="str">
        <f>VLOOKUP(Complete[[#This Row],[Code
(PAP)]],[1]Sheet1!$A:$AO,35,FALSE)</f>
        <v>N/A</v>
      </c>
      <c r="AJ326" s="576" t="str">
        <f>VLOOKUP(Complete[[#This Row],[Code
(PAP)]],[1]Sheet1!$A:$AO,36,FALSE)</f>
        <v>N/A</v>
      </c>
      <c r="AK326" s="576" t="str">
        <f>VLOOKUP(Complete[[#This Row],[Code
(PAP)]],[1]Sheet1!$A:$AO,37,FALSE)</f>
        <v>N/A</v>
      </c>
      <c r="AL326" s="576" t="str">
        <f>VLOOKUP(Complete[[#This Row],[Code
(PAP)]],[1]Sheet1!$A:$AO,38,FALSE)</f>
        <v>N/A</v>
      </c>
      <c r="AM326" s="576" t="str">
        <f>VLOOKUP(Complete[[#This Row],[Code
(PAP)]],[1]Sheet1!$A:$AO,38,FALSE)</f>
        <v>N/A</v>
      </c>
      <c r="AN326" s="595" t="s">
        <v>713</v>
      </c>
      <c r="AO326" s="303" t="s">
        <v>139</v>
      </c>
      <c r="AP326" s="389"/>
      <c r="AQ326" s="389"/>
    </row>
    <row r="327" spans="1:43" s="224" customFormat="1" ht="75" customHeight="1" x14ac:dyDescent="0.25">
      <c r="A327" s="385" t="s">
        <v>505</v>
      </c>
      <c r="B327" s="406" t="str">
        <f>VLOOKUP(Complete[[#This Row],[Code
(PAP)]],[1]Sheet1!$A:$AO,2,FALSE)</f>
        <v>MEDALS &amp; PLAQUES</v>
      </c>
      <c r="C327" s="408" t="str">
        <f>VLOOKUP(Complete[[#This Row],[Code
(PAP)]],[1]Sheet1!$A:$AO,3,FALSE)</f>
        <v>PSWDO</v>
      </c>
      <c r="D327" s="380" t="s">
        <v>712</v>
      </c>
      <c r="E327" s="409" t="str">
        <f>VLOOKUP(Complete[[#This Row],[Code
(PAP)]],[2]Sheet1!$A:$AO,5,FALSE)</f>
        <v>NP-53.9 - Small Value Procurement</v>
      </c>
      <c r="F327" s="393" t="str">
        <f>VLOOKUP(Complete[[#This Row],[Code
(PAP)]],[1]Sheet1!$A:$AO,6,FALSE)</f>
        <v>N/A</v>
      </c>
      <c r="G327" s="393">
        <f>VLOOKUP(Complete[[#This Row],[Code
(PAP)]],[1]Sheet1!$A:$AO,7,FALSE)</f>
        <v>45376</v>
      </c>
      <c r="H327" s="374"/>
      <c r="I327" s="394" t="str">
        <f>VLOOKUP(Complete[[#This Row],[Code
(PAP)]],[1]Sheet1!$A:$AO,9,FALSE)</f>
        <v>N/A</v>
      </c>
      <c r="J327" s="393">
        <f>VLOOKUP(Complete[[#This Row],[Code
(PAP)]],[1]Sheet1!$A:$AO,10,FALSE)</f>
        <v>45390</v>
      </c>
      <c r="K327" s="393">
        <f>VLOOKUP(Complete[[#This Row],[Code
(PAP)]],[1]Sheet1!$A:$AO,11,FALSE)</f>
        <v>45390</v>
      </c>
      <c r="L327" s="387"/>
      <c r="M327" s="393" t="str">
        <f>VLOOKUP(Complete[[#This Row],[Code
(PAP)]],[1]Sheet1!$A:$AO,13,FALSE)</f>
        <v>N/A</v>
      </c>
      <c r="N327" s="393" t="str">
        <f>VLOOKUP(Complete[[#This Row],[Code
(PAP)]],[1]Sheet1!$A:$AO,14,FALSE)</f>
        <v>N/A</v>
      </c>
      <c r="O327" s="393">
        <f>VLOOKUP(Complete[[#This Row],[Code
(PAP)]],[1]Sheet1!$A:$AO,15,FALSE)</f>
        <v>45394</v>
      </c>
      <c r="P327" s="387"/>
      <c r="Q327" s="387"/>
      <c r="R327" s="387"/>
      <c r="S327" s="576">
        <f>VLOOKUP(Complete[[#This Row],[Code
(PAP)]],[1]Sheet1!$A:$AO,19,FALSE)</f>
        <v>45398</v>
      </c>
      <c r="T327" s="576">
        <f>VLOOKUP(Complete[[#This Row],[Code
(PAP)]],[1]Sheet1!$A:$AO,20,FALSE)</f>
        <v>45405</v>
      </c>
      <c r="U327" s="576">
        <f>VLOOKUP(Complete[[#This Row],[Code
(PAP)]],[1]Sheet1!$A:$AO,21,FALSE)</f>
        <v>45426</v>
      </c>
      <c r="V327" s="387"/>
      <c r="W327" s="387"/>
      <c r="X327" s="392">
        <f>VLOOKUP(Complete[[#This Row],[Code
(PAP)]],[1]Sheet1!$A:$AO,24,FALSE)</f>
        <v>45462</v>
      </c>
      <c r="Y327" s="392">
        <f>Complete[[#This Row],[Delivery/ Completion]]</f>
        <v>45462</v>
      </c>
      <c r="Z327" s="610" t="s">
        <v>1478</v>
      </c>
      <c r="AA327" s="462">
        <f>Complete[[#This Row],[MOOE]]+Complete[[#This Row],[CO]]</f>
        <v>68058</v>
      </c>
      <c r="AB327" s="466"/>
      <c r="AC327" s="497">
        <v>68058</v>
      </c>
      <c r="AD327" s="498">
        <f>IF(Complete[[#This Row],[Procurement Project]]="","",SUM(Complete[[#This Row],[MOOE2]]+Complete[[#This Row],[CO3]]))</f>
        <v>66948</v>
      </c>
      <c r="AE327" s="501"/>
      <c r="AF327" s="541">
        <v>66948</v>
      </c>
      <c r="AG327" s="400"/>
      <c r="AH327" s="380" t="s">
        <v>1205</v>
      </c>
      <c r="AI327" s="576" t="str">
        <f>VLOOKUP(Complete[[#This Row],[Code
(PAP)]],[1]Sheet1!$A:$AO,35,FALSE)</f>
        <v>N/A</v>
      </c>
      <c r="AJ327" s="576" t="str">
        <f>VLOOKUP(Complete[[#This Row],[Code
(PAP)]],[1]Sheet1!$A:$AO,36,FALSE)</f>
        <v>N/A</v>
      </c>
      <c r="AK327" s="576" t="str">
        <f>VLOOKUP(Complete[[#This Row],[Code
(PAP)]],[1]Sheet1!$A:$AO,37,FALSE)</f>
        <v>N/A</v>
      </c>
      <c r="AL327" s="576" t="str">
        <f>VLOOKUP(Complete[[#This Row],[Code
(PAP)]],[1]Sheet1!$A:$AO,38,FALSE)</f>
        <v>N/A</v>
      </c>
      <c r="AM327" s="576" t="str">
        <f>VLOOKUP(Complete[[#This Row],[Code
(PAP)]],[1]Sheet1!$A:$AO,38,FALSE)</f>
        <v>N/A</v>
      </c>
      <c r="AN327" s="595" t="s">
        <v>713</v>
      </c>
      <c r="AO327" s="303" t="s">
        <v>139</v>
      </c>
      <c r="AP327" s="389"/>
      <c r="AQ327" s="389"/>
    </row>
    <row r="328" spans="1:43" s="224" customFormat="1" ht="75" customHeight="1" x14ac:dyDescent="0.25">
      <c r="A328" s="385" t="s">
        <v>506</v>
      </c>
      <c r="B328" s="406" t="str">
        <f>VLOOKUP(Complete[[#This Row],[Code
(PAP)]],[1]Sheet1!$A:$AO,2,FALSE)</f>
        <v>FOOD/CATERING SERVICES</v>
      </c>
      <c r="C328" s="408" t="str">
        <f>VLOOKUP(Complete[[#This Row],[Code
(PAP)]],[1]Sheet1!$A:$AO,3,FALSE)</f>
        <v>PGO</v>
      </c>
      <c r="D328" s="380" t="s">
        <v>712</v>
      </c>
      <c r="E328" s="409" t="str">
        <f>VLOOKUP(Complete[[#This Row],[Code
(PAP)]],[2]Sheet1!$A:$AO,5,FALSE)</f>
        <v>NP-53.9 - Small Value Procurement</v>
      </c>
      <c r="F328" s="393" t="str">
        <f>VLOOKUP(Complete[[#This Row],[Code
(PAP)]],[1]Sheet1!$A:$AO,6,FALSE)</f>
        <v>N/A</v>
      </c>
      <c r="G328" s="393">
        <f>VLOOKUP(Complete[[#This Row],[Code
(PAP)]],[1]Sheet1!$A:$AO,7,FALSE)</f>
        <v>45384</v>
      </c>
      <c r="H328" s="374"/>
      <c r="I328" s="394" t="str">
        <f>VLOOKUP(Complete[[#This Row],[Code
(PAP)]],[1]Sheet1!$A:$AO,9,FALSE)</f>
        <v>N/A</v>
      </c>
      <c r="J328" s="393">
        <f>VLOOKUP(Complete[[#This Row],[Code
(PAP)]],[1]Sheet1!$A:$AO,10,FALSE)</f>
        <v>45390</v>
      </c>
      <c r="K328" s="393">
        <f>VLOOKUP(Complete[[#This Row],[Code
(PAP)]],[1]Sheet1!$A:$AO,11,FALSE)</f>
        <v>45390</v>
      </c>
      <c r="L328" s="387"/>
      <c r="M328" s="393" t="str">
        <f>VLOOKUP(Complete[[#This Row],[Code
(PAP)]],[1]Sheet1!$A:$AO,13,FALSE)</f>
        <v>N/A</v>
      </c>
      <c r="N328" s="393" t="str">
        <f>VLOOKUP(Complete[[#This Row],[Code
(PAP)]],[1]Sheet1!$A:$AO,14,FALSE)</f>
        <v>N/A</v>
      </c>
      <c r="O328" s="393">
        <f>VLOOKUP(Complete[[#This Row],[Code
(PAP)]],[1]Sheet1!$A:$AO,15,FALSE)</f>
        <v>45394</v>
      </c>
      <c r="P328" s="387"/>
      <c r="Q328" s="387"/>
      <c r="R328" s="387"/>
      <c r="S328" s="576">
        <f>VLOOKUP(Complete[[#This Row],[Code
(PAP)]],[1]Sheet1!$A:$AO,19,FALSE)</f>
        <v>45394</v>
      </c>
      <c r="T328" s="576">
        <f>VLOOKUP(Complete[[#This Row],[Code
(PAP)]],[1]Sheet1!$A:$AO,20,FALSE)</f>
        <v>45405</v>
      </c>
      <c r="U328" s="576">
        <f>VLOOKUP(Complete[[#This Row],[Code
(PAP)]],[1]Sheet1!$A:$AO,21,FALSE)</f>
        <v>45425</v>
      </c>
      <c r="V328" s="387"/>
      <c r="W328" s="387"/>
      <c r="X328" s="392">
        <f>VLOOKUP(Complete[[#This Row],[Code
(PAP)]],[1]Sheet1!$A:$AO,24,FALSE)</f>
        <v>45454</v>
      </c>
      <c r="Y328" s="392">
        <f>Complete[[#This Row],[Delivery/ Completion]]</f>
        <v>45454</v>
      </c>
      <c r="Z328" s="610" t="s">
        <v>1478</v>
      </c>
      <c r="AA328" s="462">
        <f>Complete[[#This Row],[MOOE]]+Complete[[#This Row],[CO]]</f>
        <v>74460</v>
      </c>
      <c r="AB328" s="466">
        <v>74460</v>
      </c>
      <c r="AC328" s="497"/>
      <c r="AD328" s="498">
        <f>IF(Complete[[#This Row],[Procurement Project]]="","",SUM(Complete[[#This Row],[MOOE2]]+Complete[[#This Row],[CO3]]))</f>
        <v>73584</v>
      </c>
      <c r="AE328" s="501">
        <v>73584</v>
      </c>
      <c r="AF328" s="541"/>
      <c r="AG328" s="400"/>
      <c r="AH328" s="380" t="s">
        <v>1205</v>
      </c>
      <c r="AI328" s="576" t="str">
        <f>VLOOKUP(Complete[[#This Row],[Code
(PAP)]],[1]Sheet1!$A:$AO,35,FALSE)</f>
        <v>N/A</v>
      </c>
      <c r="AJ328" s="576" t="str">
        <f>VLOOKUP(Complete[[#This Row],[Code
(PAP)]],[1]Sheet1!$A:$AO,36,FALSE)</f>
        <v>N/A</v>
      </c>
      <c r="AK328" s="576" t="str">
        <f>VLOOKUP(Complete[[#This Row],[Code
(PAP)]],[1]Sheet1!$A:$AO,37,FALSE)</f>
        <v>N/A</v>
      </c>
      <c r="AL328" s="576" t="str">
        <f>VLOOKUP(Complete[[#This Row],[Code
(PAP)]],[1]Sheet1!$A:$AO,38,FALSE)</f>
        <v>N/A</v>
      </c>
      <c r="AM328" s="576" t="str">
        <f>VLOOKUP(Complete[[#This Row],[Code
(PAP)]],[1]Sheet1!$A:$AO,38,FALSE)</f>
        <v>N/A</v>
      </c>
      <c r="AN328" s="595" t="s">
        <v>713</v>
      </c>
      <c r="AO328" s="303" t="s">
        <v>139</v>
      </c>
      <c r="AP328" s="389"/>
      <c r="AQ328" s="389"/>
    </row>
    <row r="329" spans="1:43" s="224" customFormat="1" ht="75" customHeight="1" x14ac:dyDescent="0.25">
      <c r="A329" s="385" t="s">
        <v>507</v>
      </c>
      <c r="B329" s="406" t="str">
        <f>VLOOKUP(Complete[[#This Row],[Code
(PAP)]],[1]Sheet1!$A:$AO,2,FALSE)</f>
        <v>MEDALS, PLAQUE, TROPHY &amp; TOKEN</v>
      </c>
      <c r="C329" s="408" t="str">
        <f>VLOOKUP(Complete[[#This Row],[Code
(PAP)]],[1]Sheet1!$A:$AO,3,FALSE)</f>
        <v>PGO</v>
      </c>
      <c r="D329" s="380" t="s">
        <v>712</v>
      </c>
      <c r="E329" s="409" t="str">
        <f>VLOOKUP(Complete[[#This Row],[Code
(PAP)]],[2]Sheet1!$A:$AO,5,FALSE)</f>
        <v>NP-53.9 - Small Value Procurement</v>
      </c>
      <c r="F329" s="393" t="str">
        <f>VLOOKUP(Complete[[#This Row],[Code
(PAP)]],[1]Sheet1!$A:$AO,6,FALSE)</f>
        <v>N/A</v>
      </c>
      <c r="G329" s="393">
        <f>VLOOKUP(Complete[[#This Row],[Code
(PAP)]],[1]Sheet1!$A:$AO,7,FALSE)</f>
        <v>45384</v>
      </c>
      <c r="H329" s="374"/>
      <c r="I329" s="394" t="str">
        <f>VLOOKUP(Complete[[#This Row],[Code
(PAP)]],[1]Sheet1!$A:$AO,9,FALSE)</f>
        <v>N/A</v>
      </c>
      <c r="J329" s="393">
        <f>VLOOKUP(Complete[[#This Row],[Code
(PAP)]],[1]Sheet1!$A:$AO,10,FALSE)</f>
        <v>45390</v>
      </c>
      <c r="K329" s="393">
        <f>VLOOKUP(Complete[[#This Row],[Code
(PAP)]],[1]Sheet1!$A:$AO,11,FALSE)</f>
        <v>45390</v>
      </c>
      <c r="L329" s="387"/>
      <c r="M329" s="393" t="str">
        <f>VLOOKUP(Complete[[#This Row],[Code
(PAP)]],[1]Sheet1!$A:$AO,13,FALSE)</f>
        <v>N/A</v>
      </c>
      <c r="N329" s="393" t="str">
        <f>VLOOKUP(Complete[[#This Row],[Code
(PAP)]],[1]Sheet1!$A:$AO,14,FALSE)</f>
        <v>N/A</v>
      </c>
      <c r="O329" s="393">
        <f>VLOOKUP(Complete[[#This Row],[Code
(PAP)]],[1]Sheet1!$A:$AO,15,FALSE)</f>
        <v>45394</v>
      </c>
      <c r="P329" s="387"/>
      <c r="Q329" s="387"/>
      <c r="R329" s="387"/>
      <c r="S329" s="576">
        <f>VLOOKUP(Complete[[#This Row],[Code
(PAP)]],[1]Sheet1!$A:$AO,19,FALSE)</f>
        <v>45398</v>
      </c>
      <c r="T329" s="576">
        <f>VLOOKUP(Complete[[#This Row],[Code
(PAP)]],[1]Sheet1!$A:$AO,20,FALSE)</f>
        <v>45405</v>
      </c>
      <c r="U329" s="576">
        <f>VLOOKUP(Complete[[#This Row],[Code
(PAP)]],[1]Sheet1!$A:$AO,21,FALSE)</f>
        <v>45420</v>
      </c>
      <c r="V329" s="387"/>
      <c r="W329" s="387"/>
      <c r="X329" s="392">
        <f>VLOOKUP(Complete[[#This Row],[Code
(PAP)]],[1]Sheet1!$A:$AO,24,FALSE)</f>
        <v>45469</v>
      </c>
      <c r="Y329" s="392">
        <f>Complete[[#This Row],[Delivery/ Completion]]</f>
        <v>45469</v>
      </c>
      <c r="Z329" s="610" t="s">
        <v>1478</v>
      </c>
      <c r="AA329" s="462">
        <f>Complete[[#This Row],[MOOE]]+Complete[[#This Row],[CO]]</f>
        <v>83875</v>
      </c>
      <c r="AB329" s="466"/>
      <c r="AC329" s="497">
        <v>83875</v>
      </c>
      <c r="AD329" s="498">
        <f>IF(Complete[[#This Row],[Procurement Project]]="","",SUM(Complete[[#This Row],[MOOE2]]+Complete[[#This Row],[CO3]]))</f>
        <v>83575</v>
      </c>
      <c r="AE329" s="501"/>
      <c r="AF329" s="541">
        <v>83575</v>
      </c>
      <c r="AG329" s="400"/>
      <c r="AH329" s="380" t="s">
        <v>1205</v>
      </c>
      <c r="AI329" s="576" t="str">
        <f>VLOOKUP(Complete[[#This Row],[Code
(PAP)]],[1]Sheet1!$A:$AO,35,FALSE)</f>
        <v>N/A</v>
      </c>
      <c r="AJ329" s="576" t="str">
        <f>VLOOKUP(Complete[[#This Row],[Code
(PAP)]],[1]Sheet1!$A:$AO,36,FALSE)</f>
        <v>N/A</v>
      </c>
      <c r="AK329" s="576" t="str">
        <f>VLOOKUP(Complete[[#This Row],[Code
(PAP)]],[1]Sheet1!$A:$AO,37,FALSE)</f>
        <v>N/A</v>
      </c>
      <c r="AL329" s="576" t="str">
        <f>VLOOKUP(Complete[[#This Row],[Code
(PAP)]],[1]Sheet1!$A:$AO,38,FALSE)</f>
        <v>N/A</v>
      </c>
      <c r="AM329" s="576" t="str">
        <f>VLOOKUP(Complete[[#This Row],[Code
(PAP)]],[1]Sheet1!$A:$AO,38,FALSE)</f>
        <v>N/A</v>
      </c>
      <c r="AN329" s="595" t="s">
        <v>713</v>
      </c>
      <c r="AO329" s="303" t="s">
        <v>139</v>
      </c>
      <c r="AP329" s="389"/>
      <c r="AQ329" s="389"/>
    </row>
    <row r="330" spans="1:43" s="224" customFormat="1" ht="75" customHeight="1" x14ac:dyDescent="0.25">
      <c r="A330" s="385" t="s">
        <v>508</v>
      </c>
      <c r="B330" s="406" t="str">
        <f>VLOOKUP(Complete[[#This Row],[Code
(PAP)]],[1]Sheet1!$A:$AO,2,FALSE)</f>
        <v>SPAREPARTS (HEAVY EQUIPT)</v>
      </c>
      <c r="C330" s="408" t="str">
        <f>VLOOKUP(Complete[[#This Row],[Code
(PAP)]],[1]Sheet1!$A:$AO,3,FALSE)</f>
        <v>PEO-Motorpool</v>
      </c>
      <c r="D330" s="380" t="s">
        <v>712</v>
      </c>
      <c r="E330" s="409" t="str">
        <f>VLOOKUP(Complete[[#This Row],[Code
(PAP)]],[2]Sheet1!$A:$AO,5,FALSE)</f>
        <v>NP-53.9 - Small Value Procurement</v>
      </c>
      <c r="F330" s="393">
        <f>VLOOKUP(Complete[[#This Row],[Code
(PAP)]],[1]Sheet1!$A:$AO,6,FALSE)</f>
        <v>45373</v>
      </c>
      <c r="G330" s="393">
        <f>VLOOKUP(Complete[[#This Row],[Code
(PAP)]],[1]Sheet1!$A:$AO,7,FALSE)</f>
        <v>45384</v>
      </c>
      <c r="H330" s="374"/>
      <c r="I330" s="394" t="str">
        <f>VLOOKUP(Complete[[#This Row],[Code
(PAP)]],[1]Sheet1!$A:$AO,9,FALSE)</f>
        <v>N/A</v>
      </c>
      <c r="J330" s="393">
        <f>VLOOKUP(Complete[[#This Row],[Code
(PAP)]],[1]Sheet1!$A:$AO,10,FALSE)</f>
        <v>45390</v>
      </c>
      <c r="K330" s="393">
        <f>VLOOKUP(Complete[[#This Row],[Code
(PAP)]],[1]Sheet1!$A:$AO,11,FALSE)</f>
        <v>45390</v>
      </c>
      <c r="L330" s="387"/>
      <c r="M330" s="393" t="str">
        <f>VLOOKUP(Complete[[#This Row],[Code
(PAP)]],[1]Sheet1!$A:$AO,13,FALSE)</f>
        <v>N/A</v>
      </c>
      <c r="N330" s="393" t="str">
        <f>VLOOKUP(Complete[[#This Row],[Code
(PAP)]],[1]Sheet1!$A:$AO,14,FALSE)</f>
        <v>N/A</v>
      </c>
      <c r="O330" s="393">
        <f>VLOOKUP(Complete[[#This Row],[Code
(PAP)]],[1]Sheet1!$A:$AO,15,FALSE)</f>
        <v>45394</v>
      </c>
      <c r="P330" s="387"/>
      <c r="Q330" s="387"/>
      <c r="R330" s="387"/>
      <c r="S330" s="576">
        <f>VLOOKUP(Complete[[#This Row],[Code
(PAP)]],[1]Sheet1!$A:$AO,19,FALSE)</f>
        <v>45398</v>
      </c>
      <c r="T330" s="576">
        <f>VLOOKUP(Complete[[#This Row],[Code
(PAP)]],[1]Sheet1!$A:$AO,20,FALSE)</f>
        <v>45399</v>
      </c>
      <c r="U330" s="576">
        <f>VLOOKUP(Complete[[#This Row],[Code
(PAP)]],[1]Sheet1!$A:$AO,21,FALSE)</f>
        <v>45420</v>
      </c>
      <c r="V330" s="387"/>
      <c r="W330" s="387"/>
      <c r="X330" s="392">
        <f>VLOOKUP(Complete[[#This Row],[Code
(PAP)]],[1]Sheet1!$A:$AO,24,FALSE)</f>
        <v>45453</v>
      </c>
      <c r="Y330" s="392">
        <f>Complete[[#This Row],[Delivery/ Completion]]</f>
        <v>45453</v>
      </c>
      <c r="Z330" s="610" t="s">
        <v>1478</v>
      </c>
      <c r="AA330" s="462">
        <f>Complete[[#This Row],[MOOE]]+Complete[[#This Row],[CO]]</f>
        <v>250445</v>
      </c>
      <c r="AB330" s="466">
        <v>250445</v>
      </c>
      <c r="AC330" s="497"/>
      <c r="AD330" s="498">
        <f>IF(Complete[[#This Row],[Procurement Project]]="","",SUM(Complete[[#This Row],[MOOE2]]+Complete[[#This Row],[CO3]]))</f>
        <v>239525</v>
      </c>
      <c r="AE330" s="501">
        <v>239525</v>
      </c>
      <c r="AF330" s="541"/>
      <c r="AG330" s="400"/>
      <c r="AH330" s="380" t="s">
        <v>1205</v>
      </c>
      <c r="AI330" s="576" t="str">
        <f>VLOOKUP(Complete[[#This Row],[Code
(PAP)]],[1]Sheet1!$A:$AO,35,FALSE)</f>
        <v>N/A</v>
      </c>
      <c r="AJ330" s="576" t="str">
        <f>VLOOKUP(Complete[[#This Row],[Code
(PAP)]],[1]Sheet1!$A:$AO,36,FALSE)</f>
        <v>N/A</v>
      </c>
      <c r="AK330" s="576" t="str">
        <f>VLOOKUP(Complete[[#This Row],[Code
(PAP)]],[1]Sheet1!$A:$AO,37,FALSE)</f>
        <v>N/A</v>
      </c>
      <c r="AL330" s="576" t="str">
        <f>VLOOKUP(Complete[[#This Row],[Code
(PAP)]],[1]Sheet1!$A:$AO,38,FALSE)</f>
        <v>N/A</v>
      </c>
      <c r="AM330" s="576" t="str">
        <f>VLOOKUP(Complete[[#This Row],[Code
(PAP)]],[1]Sheet1!$A:$AO,38,FALSE)</f>
        <v>N/A</v>
      </c>
      <c r="AN330" s="595" t="s">
        <v>713</v>
      </c>
      <c r="AO330" s="303" t="s">
        <v>139</v>
      </c>
      <c r="AP330" s="389"/>
      <c r="AQ330" s="389"/>
    </row>
    <row r="331" spans="1:43" s="224" customFormat="1" ht="75" customHeight="1" x14ac:dyDescent="0.25">
      <c r="A331" s="385" t="s">
        <v>509</v>
      </c>
      <c r="B331" s="406" t="str">
        <f>VLOOKUP(Complete[[#This Row],[Code
(PAP)]],[1]Sheet1!$A:$AO,2,FALSE)</f>
        <v>FOOD SUPPLIES</v>
      </c>
      <c r="C331" s="408" t="str">
        <f>VLOOKUP(Complete[[#This Row],[Code
(PAP)]],[1]Sheet1!$A:$AO,3,FALSE)</f>
        <v>PGO</v>
      </c>
      <c r="D331" s="380" t="s">
        <v>712</v>
      </c>
      <c r="E331" s="409" t="str">
        <f>VLOOKUP(Complete[[#This Row],[Code
(PAP)]],[2]Sheet1!$A:$AO,5,FALSE)</f>
        <v>NP-53.9 - Small Value Procurement</v>
      </c>
      <c r="F331" s="393">
        <f>VLOOKUP(Complete[[#This Row],[Code
(PAP)]],[1]Sheet1!$A:$AO,6,FALSE)</f>
        <v>45384</v>
      </c>
      <c r="G331" s="393">
        <f>VLOOKUP(Complete[[#This Row],[Code
(PAP)]],[1]Sheet1!$A:$AO,7,FALSE)</f>
        <v>45386</v>
      </c>
      <c r="H331" s="374"/>
      <c r="I331" s="394" t="str">
        <f>VLOOKUP(Complete[[#This Row],[Code
(PAP)]],[1]Sheet1!$A:$AO,9,FALSE)</f>
        <v>N/A</v>
      </c>
      <c r="J331" s="393">
        <f>VLOOKUP(Complete[[#This Row],[Code
(PAP)]],[1]Sheet1!$A:$AO,10,FALSE)</f>
        <v>45390</v>
      </c>
      <c r="K331" s="393">
        <f>VLOOKUP(Complete[[#This Row],[Code
(PAP)]],[1]Sheet1!$A:$AO,11,FALSE)</f>
        <v>45390</v>
      </c>
      <c r="L331" s="387"/>
      <c r="M331" s="393" t="str">
        <f>VLOOKUP(Complete[[#This Row],[Code
(PAP)]],[1]Sheet1!$A:$AO,13,FALSE)</f>
        <v>N/A</v>
      </c>
      <c r="N331" s="393" t="str">
        <f>VLOOKUP(Complete[[#This Row],[Code
(PAP)]],[1]Sheet1!$A:$AO,14,FALSE)</f>
        <v>N/A</v>
      </c>
      <c r="O331" s="393">
        <f>VLOOKUP(Complete[[#This Row],[Code
(PAP)]],[1]Sheet1!$A:$AO,15,FALSE)</f>
        <v>45394</v>
      </c>
      <c r="P331" s="387"/>
      <c r="Q331" s="387"/>
      <c r="R331" s="387"/>
      <c r="S331" s="576">
        <f>VLOOKUP(Complete[[#This Row],[Code
(PAP)]],[1]Sheet1!$A:$AO,19,FALSE)</f>
        <v>45390</v>
      </c>
      <c r="T331" s="576">
        <f>VLOOKUP(Complete[[#This Row],[Code
(PAP)]],[1]Sheet1!$A:$AO,20,FALSE)</f>
        <v>45390</v>
      </c>
      <c r="U331" s="576">
        <f>VLOOKUP(Complete[[#This Row],[Code
(PAP)]],[1]Sheet1!$A:$AO,21,FALSE)</f>
        <v>45390</v>
      </c>
      <c r="V331" s="387"/>
      <c r="W331" s="387"/>
      <c r="X331" s="392">
        <f>VLOOKUP(Complete[[#This Row],[Code
(PAP)]],[1]Sheet1!$A:$AO,24,FALSE)</f>
        <v>45390</v>
      </c>
      <c r="Y331" s="392">
        <f>Complete[[#This Row],[Delivery/ Completion]]</f>
        <v>45390</v>
      </c>
      <c r="Z331" s="610" t="s">
        <v>1478</v>
      </c>
      <c r="AA331" s="462">
        <f>Complete[[#This Row],[MOOE]]+Complete[[#This Row],[CO]]</f>
        <v>288600</v>
      </c>
      <c r="AB331" s="466"/>
      <c r="AC331" s="497">
        <v>288600</v>
      </c>
      <c r="AD331" s="498">
        <f>IF(Complete[[#This Row],[Procurement Project]]="","",SUM(Complete[[#This Row],[MOOE2]]+Complete[[#This Row],[CO3]]))</f>
        <v>277500</v>
      </c>
      <c r="AE331" s="501"/>
      <c r="AF331" s="541">
        <v>277500</v>
      </c>
      <c r="AG331" s="400"/>
      <c r="AH331" s="380" t="s">
        <v>1205</v>
      </c>
      <c r="AI331" s="576" t="str">
        <f>VLOOKUP(Complete[[#This Row],[Code
(PAP)]],[1]Sheet1!$A:$AO,35,FALSE)</f>
        <v>N/A</v>
      </c>
      <c r="AJ331" s="576" t="str">
        <f>VLOOKUP(Complete[[#This Row],[Code
(PAP)]],[1]Sheet1!$A:$AO,36,FALSE)</f>
        <v>N/A</v>
      </c>
      <c r="AK331" s="576" t="str">
        <f>VLOOKUP(Complete[[#This Row],[Code
(PAP)]],[1]Sheet1!$A:$AO,37,FALSE)</f>
        <v>N/A</v>
      </c>
      <c r="AL331" s="576" t="str">
        <f>VLOOKUP(Complete[[#This Row],[Code
(PAP)]],[1]Sheet1!$A:$AO,38,FALSE)</f>
        <v>N/A</v>
      </c>
      <c r="AM331" s="576" t="str">
        <f>VLOOKUP(Complete[[#This Row],[Code
(PAP)]],[1]Sheet1!$A:$AO,38,FALSE)</f>
        <v>N/A</v>
      </c>
      <c r="AN331" s="595" t="s">
        <v>713</v>
      </c>
      <c r="AO331" s="303" t="s">
        <v>139</v>
      </c>
      <c r="AP331" s="389"/>
      <c r="AQ331" s="389"/>
    </row>
    <row r="332" spans="1:43" s="224" customFormat="1" ht="75" customHeight="1" x14ac:dyDescent="0.25">
      <c r="A332" s="385" t="s">
        <v>510</v>
      </c>
      <c r="B332" s="406" t="str">
        <f>VLOOKUP(Complete[[#This Row],[Code
(PAP)]],[1]Sheet1!$A:$AO,2,FALSE)</f>
        <v>FOOD/CATERING SERVICES</v>
      </c>
      <c r="C332" s="408" t="str">
        <f>VLOOKUP(Complete[[#This Row],[Code
(PAP)]],[1]Sheet1!$A:$AO,3,FALSE)</f>
        <v>PAO</v>
      </c>
      <c r="D332" s="380" t="s">
        <v>712</v>
      </c>
      <c r="E332" s="409" t="str">
        <f>VLOOKUP(Complete[[#This Row],[Code
(PAP)]],[2]Sheet1!$A:$AO,5,FALSE)</f>
        <v>NP-53.9 - Small Value Procurement</v>
      </c>
      <c r="F332" s="393">
        <f>VLOOKUP(Complete[[#This Row],[Code
(PAP)]],[1]Sheet1!$A:$AO,6,FALSE)</f>
        <v>45370</v>
      </c>
      <c r="G332" s="393">
        <f>VLOOKUP(Complete[[#This Row],[Code
(PAP)]],[1]Sheet1!$A:$AO,7,FALSE)</f>
        <v>45376</v>
      </c>
      <c r="H332" s="374"/>
      <c r="I332" s="394" t="str">
        <f>VLOOKUP(Complete[[#This Row],[Code
(PAP)]],[1]Sheet1!$A:$AO,9,FALSE)</f>
        <v>N/A</v>
      </c>
      <c r="J332" s="393">
        <f>VLOOKUP(Complete[[#This Row],[Code
(PAP)]],[1]Sheet1!$A:$AO,10,FALSE)</f>
        <v>45390</v>
      </c>
      <c r="K332" s="393">
        <f>VLOOKUP(Complete[[#This Row],[Code
(PAP)]],[1]Sheet1!$A:$AO,11,FALSE)</f>
        <v>45390</v>
      </c>
      <c r="L332" s="387"/>
      <c r="M332" s="393" t="str">
        <f>VLOOKUP(Complete[[#This Row],[Code
(PAP)]],[1]Sheet1!$A:$AO,13,FALSE)</f>
        <v>N/A</v>
      </c>
      <c r="N332" s="393" t="str">
        <f>VLOOKUP(Complete[[#This Row],[Code
(PAP)]],[1]Sheet1!$A:$AO,14,FALSE)</f>
        <v>N/A</v>
      </c>
      <c r="O332" s="393">
        <f>VLOOKUP(Complete[[#This Row],[Code
(PAP)]],[1]Sheet1!$A:$AO,15,FALSE)</f>
        <v>45394</v>
      </c>
      <c r="P332" s="387"/>
      <c r="Q332" s="387"/>
      <c r="R332" s="387"/>
      <c r="S332" s="576">
        <f>VLOOKUP(Complete[[#This Row],[Code
(PAP)]],[1]Sheet1!$A:$AO,19,FALSE)</f>
        <v>45394</v>
      </c>
      <c r="T332" s="576">
        <f>VLOOKUP(Complete[[#This Row],[Code
(PAP)]],[1]Sheet1!$A:$AO,20,FALSE)</f>
        <v>45406</v>
      </c>
      <c r="U332" s="576">
        <f>VLOOKUP(Complete[[#This Row],[Code
(PAP)]],[1]Sheet1!$A:$AO,21,FALSE)</f>
        <v>45411</v>
      </c>
      <c r="V332" s="387"/>
      <c r="W332" s="387"/>
      <c r="X332" s="392">
        <f>VLOOKUP(Complete[[#This Row],[Code
(PAP)]],[1]Sheet1!$A:$AO,24,FALSE)</f>
        <v>45448</v>
      </c>
      <c r="Y332" s="392">
        <f>Complete[[#This Row],[Delivery/ Completion]]</f>
        <v>45448</v>
      </c>
      <c r="Z332" s="610" t="s">
        <v>1478</v>
      </c>
      <c r="AA332" s="462">
        <f>Complete[[#This Row],[MOOE]]+Complete[[#This Row],[CO]]</f>
        <v>285000</v>
      </c>
      <c r="AB332" s="466"/>
      <c r="AC332" s="497">
        <v>285000</v>
      </c>
      <c r="AD332" s="498">
        <f>IF(Complete[[#This Row],[Procurement Project]]="","",SUM(Complete[[#This Row],[MOOE2]]+Complete[[#This Row],[CO3]]))</f>
        <v>285000</v>
      </c>
      <c r="AE332" s="501"/>
      <c r="AF332" s="541">
        <v>285000</v>
      </c>
      <c r="AG332" s="400"/>
      <c r="AH332" s="380" t="s">
        <v>1205</v>
      </c>
      <c r="AI332" s="576" t="str">
        <f>VLOOKUP(Complete[[#This Row],[Code
(PAP)]],[1]Sheet1!$A:$AO,35,FALSE)</f>
        <v>N/A</v>
      </c>
      <c r="AJ332" s="576" t="str">
        <f>VLOOKUP(Complete[[#This Row],[Code
(PAP)]],[1]Sheet1!$A:$AO,36,FALSE)</f>
        <v>N/A</v>
      </c>
      <c r="AK332" s="576" t="str">
        <f>VLOOKUP(Complete[[#This Row],[Code
(PAP)]],[1]Sheet1!$A:$AO,37,FALSE)</f>
        <v>N/A</v>
      </c>
      <c r="AL332" s="576" t="str">
        <f>VLOOKUP(Complete[[#This Row],[Code
(PAP)]],[1]Sheet1!$A:$AO,38,FALSE)</f>
        <v>N/A</v>
      </c>
      <c r="AM332" s="576" t="str">
        <f>VLOOKUP(Complete[[#This Row],[Code
(PAP)]],[1]Sheet1!$A:$AO,38,FALSE)</f>
        <v>N/A</v>
      </c>
      <c r="AN332" s="595" t="s">
        <v>713</v>
      </c>
      <c r="AO332" s="303" t="s">
        <v>139</v>
      </c>
      <c r="AP332" s="389"/>
      <c r="AQ332" s="389"/>
    </row>
    <row r="333" spans="1:43" s="224" customFormat="1" ht="75" customHeight="1" x14ac:dyDescent="0.25">
      <c r="A333" s="385" t="s">
        <v>511</v>
      </c>
      <c r="B333" s="406" t="str">
        <f>VLOOKUP(Complete[[#This Row],[Code
(PAP)]],[1]Sheet1!$A:$AO,2,FALSE)</f>
        <v>ACETYLENE REFILL AND INDUSTRIAL OXYGEN REFILL</v>
      </c>
      <c r="C333" s="408" t="str">
        <f>VLOOKUP(Complete[[#This Row],[Code
(PAP)]],[1]Sheet1!$A:$AO,3,FALSE)</f>
        <v>PAGRO</v>
      </c>
      <c r="D333" s="380" t="s">
        <v>712</v>
      </c>
      <c r="E333" s="409" t="str">
        <f>VLOOKUP(Complete[[#This Row],[Code
(PAP)]],[2]Sheet1!$A:$AO,5,FALSE)</f>
        <v>Direct Contracting</v>
      </c>
      <c r="F333" s="393">
        <f>VLOOKUP(Complete[[#This Row],[Code
(PAP)]],[1]Sheet1!$A:$AO,6,FALSE)</f>
        <v>45373</v>
      </c>
      <c r="G333" s="393">
        <f>VLOOKUP(Complete[[#This Row],[Code
(PAP)]],[1]Sheet1!$A:$AO,7,FALSE)</f>
        <v>45384</v>
      </c>
      <c r="H333" s="374"/>
      <c r="I333" s="394" t="str">
        <f>VLOOKUP(Complete[[#This Row],[Code
(PAP)]],[1]Sheet1!$A:$AO,9,FALSE)</f>
        <v>N/A</v>
      </c>
      <c r="J333" s="393">
        <f>VLOOKUP(Complete[[#This Row],[Code
(PAP)]],[1]Sheet1!$A:$AO,10,FALSE)</f>
        <v>45398</v>
      </c>
      <c r="K333" s="393">
        <f>VLOOKUP(Complete[[#This Row],[Code
(PAP)]],[1]Sheet1!$A:$AO,11,FALSE)</f>
        <v>45398</v>
      </c>
      <c r="L333" s="387"/>
      <c r="M333" s="393" t="str">
        <f>VLOOKUP(Complete[[#This Row],[Code
(PAP)]],[1]Sheet1!$A:$AO,13,FALSE)</f>
        <v>N/A</v>
      </c>
      <c r="N333" s="393" t="str">
        <f>VLOOKUP(Complete[[#This Row],[Code
(PAP)]],[1]Sheet1!$A:$AO,14,FALSE)</f>
        <v>N/A</v>
      </c>
      <c r="O333" s="393">
        <v>45404</v>
      </c>
      <c r="P333" s="387"/>
      <c r="Q333" s="387"/>
      <c r="R333" s="387"/>
      <c r="S333" s="576" t="str">
        <f>VLOOKUP(Complete[[#This Row],[Code
(PAP)]],[1]Sheet1!$A:$AO,19,FALSE)</f>
        <v>N/A</v>
      </c>
      <c r="T333" s="576">
        <f>VLOOKUP(Complete[[#This Row],[Code
(PAP)]],[1]Sheet1!$A:$AO,20,FALSE)</f>
        <v>45412</v>
      </c>
      <c r="U333" s="576">
        <f>VLOOKUP(Complete[[#This Row],[Code
(PAP)]],[1]Sheet1!$A:$AO,21,FALSE)</f>
        <v>45422</v>
      </c>
      <c r="V333" s="387"/>
      <c r="W333" s="387"/>
      <c r="X333" s="392">
        <f>VLOOKUP(Complete[[#This Row],[Code
(PAP)]],[1]Sheet1!$A:$AO,24,FALSE)</f>
        <v>45462</v>
      </c>
      <c r="Y333" s="392">
        <f>Complete[[#This Row],[Delivery/ Completion]]</f>
        <v>45462</v>
      </c>
      <c r="Z333" s="610" t="s">
        <v>1478</v>
      </c>
      <c r="AA333" s="462">
        <f>Complete[[#This Row],[MOOE]]+Complete[[#This Row],[CO]]</f>
        <v>11640</v>
      </c>
      <c r="AB333" s="466"/>
      <c r="AC333" s="497">
        <v>11640</v>
      </c>
      <c r="AD333" s="498">
        <f>IF(Complete[[#This Row],[Procurement Project]]="","",SUM(Complete[[#This Row],[MOOE2]]+Complete[[#This Row],[CO3]]))</f>
        <v>9265</v>
      </c>
      <c r="AE333" s="501"/>
      <c r="AF333" s="541">
        <v>9265</v>
      </c>
      <c r="AG333" s="400"/>
      <c r="AH333" s="380" t="s">
        <v>1205</v>
      </c>
      <c r="AI333" s="576" t="str">
        <f>VLOOKUP(Complete[[#This Row],[Code
(PAP)]],[1]Sheet1!$A:$AO,35,FALSE)</f>
        <v>N/A</v>
      </c>
      <c r="AJ333" s="576" t="str">
        <f>VLOOKUP(Complete[[#This Row],[Code
(PAP)]],[1]Sheet1!$A:$AO,36,FALSE)</f>
        <v>N/A</v>
      </c>
      <c r="AK333" s="576" t="str">
        <f>VLOOKUP(Complete[[#This Row],[Code
(PAP)]],[1]Sheet1!$A:$AO,37,FALSE)</f>
        <v>N/A</v>
      </c>
      <c r="AL333" s="576" t="str">
        <f>VLOOKUP(Complete[[#This Row],[Code
(PAP)]],[1]Sheet1!$A:$AO,38,FALSE)</f>
        <v>N/A</v>
      </c>
      <c r="AM333" s="576" t="str">
        <f>VLOOKUP(Complete[[#This Row],[Code
(PAP)]],[1]Sheet1!$A:$AO,38,FALSE)</f>
        <v>N/A</v>
      </c>
      <c r="AN333" s="595" t="s">
        <v>713</v>
      </c>
      <c r="AO333" s="303" t="s">
        <v>139</v>
      </c>
      <c r="AP333" s="389"/>
      <c r="AQ333" s="389"/>
    </row>
    <row r="334" spans="1:43" s="224" customFormat="1" ht="75" customHeight="1" x14ac:dyDescent="0.25">
      <c r="A334" s="385" t="s">
        <v>512</v>
      </c>
      <c r="B334" s="406" t="str">
        <f>VLOOKUP(Complete[[#This Row],[Code
(PAP)]],[1]Sheet1!$A:$AO,2,FALSE)</f>
        <v>EXPANDED NEWBORN SCREENING TEST</v>
      </c>
      <c r="C334" s="408" t="str">
        <f>VLOOKUP(Complete[[#This Row],[Code
(PAP)]],[1]Sheet1!$A:$AO,3,FALSE)</f>
        <v>PEEMO</v>
      </c>
      <c r="D334" s="380" t="s">
        <v>712</v>
      </c>
      <c r="E334" s="409" t="str">
        <f>VLOOKUP(Complete[[#This Row],[Code
(PAP)]],[2]Sheet1!$A:$AO,5,FALSE)</f>
        <v>Direct Contracting</v>
      </c>
      <c r="F334" s="393" t="str">
        <f>VLOOKUP(Complete[[#This Row],[Code
(PAP)]],[1]Sheet1!$A:$AO,6,FALSE)</f>
        <v>N/A</v>
      </c>
      <c r="G334" s="393">
        <f>VLOOKUP(Complete[[#This Row],[Code
(PAP)]],[1]Sheet1!$A:$AO,7,FALSE)</f>
        <v>45385</v>
      </c>
      <c r="H334" s="374"/>
      <c r="I334" s="394" t="str">
        <f>VLOOKUP(Complete[[#This Row],[Code
(PAP)]],[1]Sheet1!$A:$AO,9,FALSE)</f>
        <v>N/A</v>
      </c>
      <c r="J334" s="393">
        <f>VLOOKUP(Complete[[#This Row],[Code
(PAP)]],[1]Sheet1!$A:$AO,10,FALSE)</f>
        <v>45398</v>
      </c>
      <c r="K334" s="393">
        <f>VLOOKUP(Complete[[#This Row],[Code
(PAP)]],[1]Sheet1!$A:$AO,11,FALSE)</f>
        <v>45398</v>
      </c>
      <c r="L334" s="387"/>
      <c r="M334" s="393" t="str">
        <f>VLOOKUP(Complete[[#This Row],[Code
(PAP)]],[1]Sheet1!$A:$AO,13,FALSE)</f>
        <v>N/A</v>
      </c>
      <c r="N334" s="393" t="str">
        <f>VLOOKUP(Complete[[#This Row],[Code
(PAP)]],[1]Sheet1!$A:$AO,14,FALSE)</f>
        <v>N/A</v>
      </c>
      <c r="O334" s="393">
        <v>45404</v>
      </c>
      <c r="P334" s="387"/>
      <c r="Q334" s="387"/>
      <c r="R334" s="387"/>
      <c r="S334" s="576" t="str">
        <f>VLOOKUP(Complete[[#This Row],[Code
(PAP)]],[1]Sheet1!$A:$AO,19,FALSE)</f>
        <v>N/A</v>
      </c>
      <c r="T334" s="576">
        <f>VLOOKUP(Complete[[#This Row],[Code
(PAP)]],[1]Sheet1!$A:$AO,20,FALSE)</f>
        <v>45418</v>
      </c>
      <c r="U334" s="576">
        <f>VLOOKUP(Complete[[#This Row],[Code
(PAP)]],[1]Sheet1!$A:$AO,21,FALSE)</f>
        <v>45456</v>
      </c>
      <c r="V334" s="387"/>
      <c r="W334" s="387"/>
      <c r="X334" s="392">
        <f>VLOOKUP(Complete[[#This Row],[Code
(PAP)]],[1]Sheet1!$A:$AO,24,FALSE)</f>
        <v>45461</v>
      </c>
      <c r="Y334" s="392">
        <f>Complete[[#This Row],[Delivery/ Completion]]</f>
        <v>45461</v>
      </c>
      <c r="Z334" s="610" t="s">
        <v>1478</v>
      </c>
      <c r="AA334" s="462">
        <f>Complete[[#This Row],[MOOE]]+Complete[[#This Row],[CO]]</f>
        <v>4046000</v>
      </c>
      <c r="AB334" s="466">
        <v>4046000</v>
      </c>
      <c r="AC334" s="497"/>
      <c r="AD334" s="498">
        <f>IF(Complete[[#This Row],[Procurement Project]]="","",SUM(Complete[[#This Row],[MOOE2]]+Complete[[#This Row],[CO3]]))</f>
        <v>4046000</v>
      </c>
      <c r="AE334" s="501">
        <v>4046000</v>
      </c>
      <c r="AF334" s="541"/>
      <c r="AG334" s="400"/>
      <c r="AH334" s="380" t="s">
        <v>1205</v>
      </c>
      <c r="AI334" s="576" t="str">
        <f>VLOOKUP(Complete[[#This Row],[Code
(PAP)]],[1]Sheet1!$A:$AO,35,FALSE)</f>
        <v>N/A</v>
      </c>
      <c r="AJ334" s="576" t="str">
        <f>VLOOKUP(Complete[[#This Row],[Code
(PAP)]],[1]Sheet1!$A:$AO,36,FALSE)</f>
        <v>N/A</v>
      </c>
      <c r="AK334" s="576" t="str">
        <f>VLOOKUP(Complete[[#This Row],[Code
(PAP)]],[1]Sheet1!$A:$AO,37,FALSE)</f>
        <v>N/A</v>
      </c>
      <c r="AL334" s="576" t="str">
        <f>VLOOKUP(Complete[[#This Row],[Code
(PAP)]],[1]Sheet1!$A:$AO,38,FALSE)</f>
        <v>N/A</v>
      </c>
      <c r="AM334" s="576" t="str">
        <f>VLOOKUP(Complete[[#This Row],[Code
(PAP)]],[1]Sheet1!$A:$AO,38,FALSE)</f>
        <v>N/A</v>
      </c>
      <c r="AN334" s="595" t="s">
        <v>713</v>
      </c>
      <c r="AO334" s="303" t="s">
        <v>139</v>
      </c>
      <c r="AP334" s="389"/>
      <c r="AQ334" s="389"/>
    </row>
    <row r="335" spans="1:43" s="224" customFormat="1" ht="75" customHeight="1" x14ac:dyDescent="0.25">
      <c r="A335" s="385" t="s">
        <v>513</v>
      </c>
      <c r="B335" s="406" t="str">
        <f>VLOOKUP(Complete[[#This Row],[Code
(PAP)]],[1]Sheet1!$A:$AO,2,FALSE)</f>
        <v>HEMATOLOGY ANALYZER</v>
      </c>
      <c r="C335" s="408" t="str">
        <f>VLOOKUP(Complete[[#This Row],[Code
(PAP)]],[1]Sheet1!$A:$AO,3,FALSE)</f>
        <v>PEEMO</v>
      </c>
      <c r="D335" s="380" t="s">
        <v>712</v>
      </c>
      <c r="E335" s="409" t="str">
        <f>VLOOKUP(Complete[[#This Row],[Code
(PAP)]],[2]Sheet1!$A:$AO,5,FALSE)</f>
        <v>Direct Contracting</v>
      </c>
      <c r="F335" s="393" t="str">
        <f>VLOOKUP(Complete[[#This Row],[Code
(PAP)]],[1]Sheet1!$A:$AO,6,FALSE)</f>
        <v>N/A</v>
      </c>
      <c r="G335" s="393">
        <f>VLOOKUP(Complete[[#This Row],[Code
(PAP)]],[1]Sheet1!$A:$AO,7,FALSE)</f>
        <v>45385</v>
      </c>
      <c r="H335" s="374"/>
      <c r="I335" s="394" t="str">
        <f>VLOOKUP(Complete[[#This Row],[Code
(PAP)]],[1]Sheet1!$A:$AO,9,FALSE)</f>
        <v>N/A</v>
      </c>
      <c r="J335" s="393">
        <f>VLOOKUP(Complete[[#This Row],[Code
(PAP)]],[1]Sheet1!$A:$AO,10,FALSE)</f>
        <v>45398</v>
      </c>
      <c r="K335" s="393">
        <f>VLOOKUP(Complete[[#This Row],[Code
(PAP)]],[1]Sheet1!$A:$AO,11,FALSE)</f>
        <v>45398</v>
      </c>
      <c r="L335" s="387"/>
      <c r="M335" s="393" t="str">
        <f>VLOOKUP(Complete[[#This Row],[Code
(PAP)]],[1]Sheet1!$A:$AO,13,FALSE)</f>
        <v>N/A</v>
      </c>
      <c r="N335" s="393" t="str">
        <f>VLOOKUP(Complete[[#This Row],[Code
(PAP)]],[1]Sheet1!$A:$AO,14,FALSE)</f>
        <v>N/A</v>
      </c>
      <c r="O335" s="393">
        <v>45404</v>
      </c>
      <c r="P335" s="387"/>
      <c r="Q335" s="387"/>
      <c r="R335" s="387"/>
      <c r="S335" s="576" t="str">
        <f>VLOOKUP(Complete[[#This Row],[Code
(PAP)]],[1]Sheet1!$A:$AO,19,FALSE)</f>
        <v>N/A</v>
      </c>
      <c r="T335" s="576">
        <f>VLOOKUP(Complete[[#This Row],[Code
(PAP)]],[1]Sheet1!$A:$AO,20,FALSE)</f>
        <v>45415</v>
      </c>
      <c r="U335" s="576">
        <f>VLOOKUP(Complete[[#This Row],[Code
(PAP)]],[1]Sheet1!$A:$AO,21,FALSE)</f>
        <v>45436</v>
      </c>
      <c r="V335" s="387"/>
      <c r="W335" s="387"/>
      <c r="X335" s="392">
        <f>VLOOKUP(Complete[[#This Row],[Code
(PAP)]],[1]Sheet1!$A:$AO,24,FALSE)</f>
        <v>45453</v>
      </c>
      <c r="Y335" s="392">
        <f>Complete[[#This Row],[Delivery/ Completion]]</f>
        <v>45453</v>
      </c>
      <c r="Z335" s="610" t="s">
        <v>1478</v>
      </c>
      <c r="AA335" s="462">
        <f>Complete[[#This Row],[MOOE]]+Complete[[#This Row],[CO]]</f>
        <v>1102000</v>
      </c>
      <c r="AB335" s="466">
        <v>1102000</v>
      </c>
      <c r="AC335" s="497"/>
      <c r="AD335" s="498">
        <f>IF(Complete[[#This Row],[Procurement Project]]="","",SUM(Complete[[#This Row],[MOOE2]]+Complete[[#This Row],[CO3]]))</f>
        <v>1102000</v>
      </c>
      <c r="AE335" s="501">
        <v>1102000</v>
      </c>
      <c r="AF335" s="541"/>
      <c r="AG335" s="400"/>
      <c r="AH335" s="380" t="s">
        <v>1205</v>
      </c>
      <c r="AI335" s="576" t="str">
        <f>VLOOKUP(Complete[[#This Row],[Code
(PAP)]],[1]Sheet1!$A:$AO,35,FALSE)</f>
        <v>N/A</v>
      </c>
      <c r="AJ335" s="576" t="str">
        <f>VLOOKUP(Complete[[#This Row],[Code
(PAP)]],[1]Sheet1!$A:$AO,36,FALSE)</f>
        <v>N/A</v>
      </c>
      <c r="AK335" s="576" t="str">
        <f>VLOOKUP(Complete[[#This Row],[Code
(PAP)]],[1]Sheet1!$A:$AO,37,FALSE)</f>
        <v>N/A</v>
      </c>
      <c r="AL335" s="576" t="str">
        <f>VLOOKUP(Complete[[#This Row],[Code
(PAP)]],[1]Sheet1!$A:$AO,38,FALSE)</f>
        <v>N/A</v>
      </c>
      <c r="AM335" s="576" t="str">
        <f>VLOOKUP(Complete[[#This Row],[Code
(PAP)]],[1]Sheet1!$A:$AO,38,FALSE)</f>
        <v>N/A</v>
      </c>
      <c r="AN335" s="595" t="s">
        <v>713</v>
      </c>
      <c r="AO335" s="303" t="s">
        <v>139</v>
      </c>
      <c r="AP335" s="389"/>
      <c r="AQ335" s="389"/>
    </row>
    <row r="336" spans="1:43" s="224" customFormat="1" ht="75" customHeight="1" x14ac:dyDescent="0.25">
      <c r="A336" s="385" t="s">
        <v>514</v>
      </c>
      <c r="B336" s="406" t="str">
        <f>VLOOKUP(Complete[[#This Row],[Code
(PAP)]],[1]Sheet1!$A:$AO,2,FALSE)</f>
        <v>BLOOD UREA NITROGEN AND SERUM GLUTAMIC PYRUVIC TRANSAMINASE</v>
      </c>
      <c r="C336" s="408" t="str">
        <f>VLOOKUP(Complete[[#This Row],[Code
(PAP)]],[1]Sheet1!$A:$AO,3,FALSE)</f>
        <v>PEEMO</v>
      </c>
      <c r="D336" s="380" t="s">
        <v>712</v>
      </c>
      <c r="E336" s="409" t="str">
        <f>VLOOKUP(Complete[[#This Row],[Code
(PAP)]],[2]Sheet1!$A:$AO,5,FALSE)</f>
        <v>Direct Contracting</v>
      </c>
      <c r="F336" s="393" t="str">
        <f>VLOOKUP(Complete[[#This Row],[Code
(PAP)]],[1]Sheet1!$A:$AO,6,FALSE)</f>
        <v>N/A</v>
      </c>
      <c r="G336" s="393">
        <f>VLOOKUP(Complete[[#This Row],[Code
(PAP)]],[1]Sheet1!$A:$AO,7,FALSE)</f>
        <v>45385</v>
      </c>
      <c r="H336" s="374"/>
      <c r="I336" s="394" t="str">
        <f>VLOOKUP(Complete[[#This Row],[Code
(PAP)]],[1]Sheet1!$A:$AO,9,FALSE)</f>
        <v>N/A</v>
      </c>
      <c r="J336" s="393">
        <f>VLOOKUP(Complete[[#This Row],[Code
(PAP)]],[1]Sheet1!$A:$AO,10,FALSE)</f>
        <v>45398</v>
      </c>
      <c r="K336" s="393">
        <f>VLOOKUP(Complete[[#This Row],[Code
(PAP)]],[1]Sheet1!$A:$AO,11,FALSE)</f>
        <v>45398</v>
      </c>
      <c r="L336" s="387"/>
      <c r="M336" s="393" t="str">
        <f>VLOOKUP(Complete[[#This Row],[Code
(PAP)]],[1]Sheet1!$A:$AO,13,FALSE)</f>
        <v>N/A</v>
      </c>
      <c r="N336" s="393" t="str">
        <f>VLOOKUP(Complete[[#This Row],[Code
(PAP)]],[1]Sheet1!$A:$AO,14,FALSE)</f>
        <v>N/A</v>
      </c>
      <c r="O336" s="393">
        <v>45404</v>
      </c>
      <c r="P336" s="387"/>
      <c r="Q336" s="387"/>
      <c r="R336" s="387"/>
      <c r="S336" s="576" t="str">
        <f>VLOOKUP(Complete[[#This Row],[Code
(PAP)]],[1]Sheet1!$A:$AO,19,FALSE)</f>
        <v>N/A</v>
      </c>
      <c r="T336" s="576">
        <f>VLOOKUP(Complete[[#This Row],[Code
(PAP)]],[1]Sheet1!$A:$AO,20,FALSE)</f>
        <v>45429</v>
      </c>
      <c r="U336" s="576">
        <f>VLOOKUP(Complete[[#This Row],[Code
(PAP)]],[1]Sheet1!$A:$AO,21,FALSE)</f>
        <v>45434</v>
      </c>
      <c r="V336" s="387"/>
      <c r="W336" s="387"/>
      <c r="X336" s="392">
        <f>VLOOKUP(Complete[[#This Row],[Code
(PAP)]],[1]Sheet1!$A:$AO,24,FALSE)</f>
        <v>45446</v>
      </c>
      <c r="Y336" s="392">
        <f>Complete[[#This Row],[Delivery/ Completion]]</f>
        <v>45446</v>
      </c>
      <c r="Z336" s="610" t="s">
        <v>1478</v>
      </c>
      <c r="AA336" s="462">
        <f>Complete[[#This Row],[MOOE]]+Complete[[#This Row],[CO]]</f>
        <v>52000</v>
      </c>
      <c r="AB336" s="466">
        <v>52000</v>
      </c>
      <c r="AC336" s="497"/>
      <c r="AD336" s="498">
        <f>IF(Complete[[#This Row],[Procurement Project]]="","",SUM(Complete[[#This Row],[MOOE2]]+Complete[[#This Row],[CO3]]))</f>
        <v>52000</v>
      </c>
      <c r="AE336" s="501">
        <v>52000</v>
      </c>
      <c r="AF336" s="541"/>
      <c r="AG336" s="400"/>
      <c r="AH336" s="380" t="s">
        <v>1205</v>
      </c>
      <c r="AI336" s="576" t="str">
        <f>VLOOKUP(Complete[[#This Row],[Code
(PAP)]],[1]Sheet1!$A:$AO,35,FALSE)</f>
        <v>N/A</v>
      </c>
      <c r="AJ336" s="576" t="str">
        <f>VLOOKUP(Complete[[#This Row],[Code
(PAP)]],[1]Sheet1!$A:$AO,36,FALSE)</f>
        <v>N/A</v>
      </c>
      <c r="AK336" s="576" t="str">
        <f>VLOOKUP(Complete[[#This Row],[Code
(PAP)]],[1]Sheet1!$A:$AO,37,FALSE)</f>
        <v>N/A</v>
      </c>
      <c r="AL336" s="576" t="str">
        <f>VLOOKUP(Complete[[#This Row],[Code
(PAP)]],[1]Sheet1!$A:$AO,38,FALSE)</f>
        <v>N/A</v>
      </c>
      <c r="AM336" s="576" t="str">
        <f>VLOOKUP(Complete[[#This Row],[Code
(PAP)]],[1]Sheet1!$A:$AO,38,FALSE)</f>
        <v>N/A</v>
      </c>
      <c r="AN336" s="595" t="s">
        <v>713</v>
      </c>
      <c r="AO336" s="303" t="s">
        <v>139</v>
      </c>
      <c r="AP336" s="389"/>
      <c r="AQ336" s="389"/>
    </row>
    <row r="337" spans="1:43" s="224" customFormat="1" ht="75" customHeight="1" x14ac:dyDescent="0.25">
      <c r="A337" s="385" t="s">
        <v>515</v>
      </c>
      <c r="B337" s="406" t="str">
        <f>VLOOKUP(Complete[[#This Row],[Code
(PAP)]],[1]Sheet1!$A:$AO,2,FALSE)</f>
        <v>TONER</v>
      </c>
      <c r="C337" s="408" t="str">
        <f>VLOOKUP(Complete[[#This Row],[Code
(PAP)]],[1]Sheet1!$A:$AO,3,FALSE)</f>
        <v>PTO</v>
      </c>
      <c r="D337" s="380" t="s">
        <v>712</v>
      </c>
      <c r="E337" s="409" t="str">
        <f>VLOOKUP(Complete[[#This Row],[Code
(PAP)]],[2]Sheet1!$A:$AO,5,FALSE)</f>
        <v>Direct Contracting</v>
      </c>
      <c r="F337" s="393">
        <f>VLOOKUP(Complete[[#This Row],[Code
(PAP)]],[1]Sheet1!$A:$AO,6,FALSE)</f>
        <v>45384</v>
      </c>
      <c r="G337" s="393">
        <f>VLOOKUP(Complete[[#This Row],[Code
(PAP)]],[1]Sheet1!$A:$AO,7,FALSE)</f>
        <v>45390</v>
      </c>
      <c r="H337" s="374"/>
      <c r="I337" s="394" t="str">
        <f>VLOOKUP(Complete[[#This Row],[Code
(PAP)]],[1]Sheet1!$A:$AO,9,FALSE)</f>
        <v>N/A</v>
      </c>
      <c r="J337" s="393">
        <f>VLOOKUP(Complete[[#This Row],[Code
(PAP)]],[1]Sheet1!$A:$AO,10,FALSE)</f>
        <v>45398</v>
      </c>
      <c r="K337" s="393">
        <f>VLOOKUP(Complete[[#This Row],[Code
(PAP)]],[1]Sheet1!$A:$AO,11,FALSE)</f>
        <v>45398</v>
      </c>
      <c r="L337" s="387"/>
      <c r="M337" s="393" t="str">
        <f>VLOOKUP(Complete[[#This Row],[Code
(PAP)]],[1]Sheet1!$A:$AO,13,FALSE)</f>
        <v>N/A</v>
      </c>
      <c r="N337" s="393" t="str">
        <f>VLOOKUP(Complete[[#This Row],[Code
(PAP)]],[1]Sheet1!$A:$AO,14,FALSE)</f>
        <v>N/A</v>
      </c>
      <c r="O337" s="393">
        <v>45404</v>
      </c>
      <c r="P337" s="387"/>
      <c r="Q337" s="387"/>
      <c r="R337" s="387"/>
      <c r="S337" s="576" t="str">
        <f>VLOOKUP(Complete[[#This Row],[Code
(PAP)]],[1]Sheet1!$A:$AO,19,FALSE)</f>
        <v>N/A</v>
      </c>
      <c r="T337" s="576">
        <f>VLOOKUP(Complete[[#This Row],[Code
(PAP)]],[1]Sheet1!$A:$AO,20,FALSE)</f>
        <v>45412</v>
      </c>
      <c r="U337" s="576">
        <f>VLOOKUP(Complete[[#This Row],[Code
(PAP)]],[1]Sheet1!$A:$AO,21,FALSE)</f>
        <v>45427</v>
      </c>
      <c r="V337" s="387"/>
      <c r="W337" s="387"/>
      <c r="X337" s="392">
        <f>VLOOKUP(Complete[[#This Row],[Code
(PAP)]],[1]Sheet1!$A:$AO,24,FALSE)</f>
        <v>45434</v>
      </c>
      <c r="Y337" s="392">
        <f>Complete[[#This Row],[Delivery/ Completion]]</f>
        <v>45434</v>
      </c>
      <c r="Z337" s="610" t="s">
        <v>1478</v>
      </c>
      <c r="AA337" s="462">
        <f>Complete[[#This Row],[MOOE]]+Complete[[#This Row],[CO]]</f>
        <v>24092</v>
      </c>
      <c r="AB337" s="466">
        <v>24092</v>
      </c>
      <c r="AC337" s="497"/>
      <c r="AD337" s="498">
        <f>IF(Complete[[#This Row],[Procurement Project]]="","",SUM(Complete[[#This Row],[MOOE2]]+Complete[[#This Row],[CO3]]))</f>
        <v>24092</v>
      </c>
      <c r="AE337" s="501">
        <v>24092</v>
      </c>
      <c r="AF337" s="541"/>
      <c r="AG337" s="400"/>
      <c r="AH337" s="380" t="s">
        <v>1205</v>
      </c>
      <c r="AI337" s="576" t="str">
        <f>VLOOKUP(Complete[[#This Row],[Code
(PAP)]],[1]Sheet1!$A:$AO,35,FALSE)</f>
        <v>N/A</v>
      </c>
      <c r="AJ337" s="576" t="str">
        <f>VLOOKUP(Complete[[#This Row],[Code
(PAP)]],[1]Sheet1!$A:$AO,36,FALSE)</f>
        <v>N/A</v>
      </c>
      <c r="AK337" s="576" t="str">
        <f>VLOOKUP(Complete[[#This Row],[Code
(PAP)]],[1]Sheet1!$A:$AO,37,FALSE)</f>
        <v>N/A</v>
      </c>
      <c r="AL337" s="576" t="str">
        <f>VLOOKUP(Complete[[#This Row],[Code
(PAP)]],[1]Sheet1!$A:$AO,38,FALSE)</f>
        <v>N/A</v>
      </c>
      <c r="AM337" s="576" t="str">
        <f>VLOOKUP(Complete[[#This Row],[Code
(PAP)]],[1]Sheet1!$A:$AO,38,FALSE)</f>
        <v>N/A</v>
      </c>
      <c r="AN337" s="595" t="s">
        <v>713</v>
      </c>
      <c r="AO337" s="303" t="s">
        <v>139</v>
      </c>
      <c r="AP337" s="389"/>
      <c r="AQ337" s="389"/>
    </row>
    <row r="338" spans="1:43" s="224" customFormat="1" ht="75" customHeight="1" x14ac:dyDescent="0.25">
      <c r="A338" s="385" t="s">
        <v>516</v>
      </c>
      <c r="B338" s="406" t="str">
        <f>VLOOKUP(Complete[[#This Row],[Code
(PAP)]],[1]Sheet1!$A:$AO,2,FALSE)</f>
        <v>OFFICE SUPPLIES</v>
      </c>
      <c r="C338" s="408" t="str">
        <f>VLOOKUP(Complete[[#This Row],[Code
(PAP)]],[1]Sheet1!$A:$AO,3,FALSE)</f>
        <v>PGO</v>
      </c>
      <c r="D338" s="380" t="s">
        <v>712</v>
      </c>
      <c r="E338" s="409" t="str">
        <f>VLOOKUP(Complete[[#This Row],[Code
(PAP)]],[2]Sheet1!$A:$AO,5,FALSE)</f>
        <v>Shopping 52.1(b) - Regular Office Supplies and Equipment no available in PS</v>
      </c>
      <c r="F338" s="393" t="str">
        <f>VLOOKUP(Complete[[#This Row],[Code
(PAP)]],[1]Sheet1!$A:$AO,6,FALSE)</f>
        <v>N/A</v>
      </c>
      <c r="G338" s="393">
        <f>VLOOKUP(Complete[[#This Row],[Code
(PAP)]],[1]Sheet1!$A:$AO,7,FALSE)</f>
        <v>45376</v>
      </c>
      <c r="H338" s="374"/>
      <c r="I338" s="394" t="str">
        <f>VLOOKUP(Complete[[#This Row],[Code
(PAP)]],[1]Sheet1!$A:$AO,9,FALSE)</f>
        <v>N/A</v>
      </c>
      <c r="J338" s="393">
        <f>VLOOKUP(Complete[[#This Row],[Code
(PAP)]],[1]Sheet1!$A:$AO,10,FALSE)</f>
        <v>45398</v>
      </c>
      <c r="K338" s="393">
        <f>VLOOKUP(Complete[[#This Row],[Code
(PAP)]],[1]Sheet1!$A:$AO,11,FALSE)</f>
        <v>45398</v>
      </c>
      <c r="L338" s="387"/>
      <c r="M338" s="393" t="str">
        <f>VLOOKUP(Complete[[#This Row],[Code
(PAP)]],[1]Sheet1!$A:$AO,13,FALSE)</f>
        <v>N/A</v>
      </c>
      <c r="N338" s="393" t="str">
        <f>VLOOKUP(Complete[[#This Row],[Code
(PAP)]],[1]Sheet1!$A:$AO,14,FALSE)</f>
        <v>N/A</v>
      </c>
      <c r="O338" s="393">
        <v>45404</v>
      </c>
      <c r="P338" s="387"/>
      <c r="Q338" s="387"/>
      <c r="R338" s="387"/>
      <c r="S338" s="576" t="str">
        <f>VLOOKUP(Complete[[#This Row],[Code
(PAP)]],[1]Sheet1!$A:$AO,19,FALSE)</f>
        <v>N/A</v>
      </c>
      <c r="T338" s="576">
        <f>VLOOKUP(Complete[[#This Row],[Code
(PAP)]],[1]Sheet1!$A:$AO,20,FALSE)</f>
        <v>45422</v>
      </c>
      <c r="U338" s="576">
        <f>VLOOKUP(Complete[[#This Row],[Code
(PAP)]],[1]Sheet1!$A:$AO,21,FALSE)</f>
        <v>45425</v>
      </c>
      <c r="V338" s="387"/>
      <c r="W338" s="387"/>
      <c r="X338" s="392">
        <f>VLOOKUP(Complete[[#This Row],[Code
(PAP)]],[1]Sheet1!$A:$AO,24,FALSE)</f>
        <v>45432</v>
      </c>
      <c r="Y338" s="392">
        <f>Complete[[#This Row],[Delivery/ Completion]]</f>
        <v>45432</v>
      </c>
      <c r="Z338" s="610" t="s">
        <v>1478</v>
      </c>
      <c r="AA338" s="462">
        <f>Complete[[#This Row],[MOOE]]+Complete[[#This Row],[CO]]</f>
        <v>17952</v>
      </c>
      <c r="AB338" s="466"/>
      <c r="AC338" s="497">
        <v>17952</v>
      </c>
      <c r="AD338" s="498">
        <f>IF(Complete[[#This Row],[Procurement Project]]="","",SUM(Complete[[#This Row],[MOOE2]]+Complete[[#This Row],[CO3]]))</f>
        <v>17460</v>
      </c>
      <c r="AE338" s="501"/>
      <c r="AF338" s="541">
        <v>17460</v>
      </c>
      <c r="AG338" s="400"/>
      <c r="AH338" s="380" t="s">
        <v>1205</v>
      </c>
      <c r="AI338" s="576" t="str">
        <f>VLOOKUP(Complete[[#This Row],[Code
(PAP)]],[1]Sheet1!$A:$AO,35,FALSE)</f>
        <v>N/A</v>
      </c>
      <c r="AJ338" s="576" t="str">
        <f>VLOOKUP(Complete[[#This Row],[Code
(PAP)]],[1]Sheet1!$A:$AO,36,FALSE)</f>
        <v>N/A</v>
      </c>
      <c r="AK338" s="576" t="str">
        <f>VLOOKUP(Complete[[#This Row],[Code
(PAP)]],[1]Sheet1!$A:$AO,37,FALSE)</f>
        <v>N/A</v>
      </c>
      <c r="AL338" s="576" t="str">
        <f>VLOOKUP(Complete[[#This Row],[Code
(PAP)]],[1]Sheet1!$A:$AO,38,FALSE)</f>
        <v>N/A</v>
      </c>
      <c r="AM338" s="576" t="str">
        <f>VLOOKUP(Complete[[#This Row],[Code
(PAP)]],[1]Sheet1!$A:$AO,38,FALSE)</f>
        <v>N/A</v>
      </c>
      <c r="AN338" s="595" t="s">
        <v>713</v>
      </c>
      <c r="AO338" s="303" t="s">
        <v>139</v>
      </c>
      <c r="AP338" s="389"/>
      <c r="AQ338" s="389"/>
    </row>
    <row r="339" spans="1:43" s="224" customFormat="1" ht="75" customHeight="1" x14ac:dyDescent="0.25">
      <c r="A339" s="385" t="s">
        <v>517</v>
      </c>
      <c r="B339" s="406" t="str">
        <f>VLOOKUP(Complete[[#This Row],[Code
(PAP)]],[1]Sheet1!$A:$AO,2,FALSE)</f>
        <v>OFFICE SUPPLIES</v>
      </c>
      <c r="C339" s="408" t="str">
        <f>VLOOKUP(Complete[[#This Row],[Code
(PAP)]],[1]Sheet1!$A:$AO,3,FALSE)</f>
        <v>SPO</v>
      </c>
      <c r="D339" s="380" t="s">
        <v>712</v>
      </c>
      <c r="E339" s="409" t="str">
        <f>VLOOKUP(Complete[[#This Row],[Code
(PAP)]],[2]Sheet1!$A:$AO,5,FALSE)</f>
        <v>Shopping 52.1(b) - Regular Office Supplies and Equipment no available in PS</v>
      </c>
      <c r="F339" s="393" t="str">
        <f>VLOOKUP(Complete[[#This Row],[Code
(PAP)]],[1]Sheet1!$A:$AO,6,FALSE)</f>
        <v>N/A</v>
      </c>
      <c r="G339" s="393">
        <f>VLOOKUP(Complete[[#This Row],[Code
(PAP)]],[1]Sheet1!$A:$AO,7,FALSE)</f>
        <v>45376</v>
      </c>
      <c r="H339" s="374"/>
      <c r="I339" s="394" t="str">
        <f>VLOOKUP(Complete[[#This Row],[Code
(PAP)]],[1]Sheet1!$A:$AO,9,FALSE)</f>
        <v>N/A</v>
      </c>
      <c r="J339" s="393">
        <f>VLOOKUP(Complete[[#This Row],[Code
(PAP)]],[1]Sheet1!$A:$AO,10,FALSE)</f>
        <v>45398</v>
      </c>
      <c r="K339" s="393">
        <f>VLOOKUP(Complete[[#This Row],[Code
(PAP)]],[1]Sheet1!$A:$AO,11,FALSE)</f>
        <v>45398</v>
      </c>
      <c r="L339" s="387"/>
      <c r="M339" s="393" t="str">
        <f>VLOOKUP(Complete[[#This Row],[Code
(PAP)]],[1]Sheet1!$A:$AO,13,FALSE)</f>
        <v>N/A</v>
      </c>
      <c r="N339" s="393" t="str">
        <f>VLOOKUP(Complete[[#This Row],[Code
(PAP)]],[1]Sheet1!$A:$AO,14,FALSE)</f>
        <v>N/A</v>
      </c>
      <c r="O339" s="393">
        <v>45404</v>
      </c>
      <c r="P339" s="387"/>
      <c r="Q339" s="387"/>
      <c r="R339" s="387"/>
      <c r="S339" s="576" t="str">
        <f>VLOOKUP(Complete[[#This Row],[Code
(PAP)]],[1]Sheet1!$A:$AO,19,FALSE)</f>
        <v>N/A</v>
      </c>
      <c r="T339" s="576">
        <f>VLOOKUP(Complete[[#This Row],[Code
(PAP)]],[1]Sheet1!$A:$AO,20,FALSE)</f>
        <v>45425</v>
      </c>
      <c r="U339" s="576">
        <f>VLOOKUP(Complete[[#This Row],[Code
(PAP)]],[1]Sheet1!$A:$AO,21,FALSE)</f>
        <v>45433</v>
      </c>
      <c r="V339" s="387"/>
      <c r="W339" s="387"/>
      <c r="X339" s="392">
        <f>VLOOKUP(Complete[[#This Row],[Code
(PAP)]],[1]Sheet1!$A:$AO,24,FALSE)</f>
        <v>45469</v>
      </c>
      <c r="Y339" s="392">
        <f>Complete[[#This Row],[Delivery/ Completion]]</f>
        <v>45469</v>
      </c>
      <c r="Z339" s="610" t="s">
        <v>1478</v>
      </c>
      <c r="AA339" s="462">
        <f>Complete[[#This Row],[MOOE]]+Complete[[#This Row],[CO]]</f>
        <v>17129</v>
      </c>
      <c r="AB339" s="466">
        <v>17129</v>
      </c>
      <c r="AC339" s="497"/>
      <c r="AD339" s="498">
        <f>IF(Complete[[#This Row],[Procurement Project]]="","",SUM(Complete[[#This Row],[MOOE2]]+Complete[[#This Row],[CO3]]))</f>
        <v>17040</v>
      </c>
      <c r="AE339" s="501">
        <v>17040</v>
      </c>
      <c r="AF339" s="541"/>
      <c r="AG339" s="400"/>
      <c r="AH339" s="380" t="s">
        <v>1205</v>
      </c>
      <c r="AI339" s="576" t="str">
        <f>VLOOKUP(Complete[[#This Row],[Code
(PAP)]],[1]Sheet1!$A:$AO,35,FALSE)</f>
        <v>N/A</v>
      </c>
      <c r="AJ339" s="576" t="str">
        <f>VLOOKUP(Complete[[#This Row],[Code
(PAP)]],[1]Sheet1!$A:$AO,36,FALSE)</f>
        <v>N/A</v>
      </c>
      <c r="AK339" s="576" t="str">
        <f>VLOOKUP(Complete[[#This Row],[Code
(PAP)]],[1]Sheet1!$A:$AO,37,FALSE)</f>
        <v>N/A</v>
      </c>
      <c r="AL339" s="576" t="str">
        <f>VLOOKUP(Complete[[#This Row],[Code
(PAP)]],[1]Sheet1!$A:$AO,38,FALSE)</f>
        <v>N/A</v>
      </c>
      <c r="AM339" s="576" t="str">
        <f>VLOOKUP(Complete[[#This Row],[Code
(PAP)]],[1]Sheet1!$A:$AO,38,FALSE)</f>
        <v>N/A</v>
      </c>
      <c r="AN339" s="595" t="s">
        <v>713</v>
      </c>
      <c r="AO339" s="303" t="s">
        <v>139</v>
      </c>
      <c r="AP339" s="389"/>
      <c r="AQ339" s="389"/>
    </row>
    <row r="340" spans="1:43" s="224" customFormat="1" ht="75" customHeight="1" x14ac:dyDescent="0.25">
      <c r="A340" s="385" t="s">
        <v>518</v>
      </c>
      <c r="B340" s="406" t="str">
        <f>VLOOKUP(Complete[[#This Row],[Code
(PAP)]],[1]Sheet1!$A:$AO,2,FALSE)</f>
        <v>OFFICE SUPPLIES</v>
      </c>
      <c r="C340" s="408" t="str">
        <f>VLOOKUP(Complete[[#This Row],[Code
(PAP)]],[1]Sheet1!$A:$AO,3,FALSE)</f>
        <v>PGO</v>
      </c>
      <c r="D340" s="380" t="s">
        <v>712</v>
      </c>
      <c r="E340" s="409" t="str">
        <f>VLOOKUP(Complete[[#This Row],[Code
(PAP)]],[2]Sheet1!$A:$AO,5,FALSE)</f>
        <v>Shopping 52.1(b) - Regular Office Supplies and Equipment no available in PS</v>
      </c>
      <c r="F340" s="393" t="str">
        <f>VLOOKUP(Complete[[#This Row],[Code
(PAP)]],[1]Sheet1!$A:$AO,6,FALSE)</f>
        <v>N/A</v>
      </c>
      <c r="G340" s="393">
        <f>VLOOKUP(Complete[[#This Row],[Code
(PAP)]],[1]Sheet1!$A:$AO,7,FALSE)</f>
        <v>45376</v>
      </c>
      <c r="H340" s="374"/>
      <c r="I340" s="394" t="str">
        <f>VLOOKUP(Complete[[#This Row],[Code
(PAP)]],[1]Sheet1!$A:$AO,9,FALSE)</f>
        <v>N/A</v>
      </c>
      <c r="J340" s="393">
        <f>VLOOKUP(Complete[[#This Row],[Code
(PAP)]],[1]Sheet1!$A:$AO,10,FALSE)</f>
        <v>45398</v>
      </c>
      <c r="K340" s="393">
        <f>VLOOKUP(Complete[[#This Row],[Code
(PAP)]],[1]Sheet1!$A:$AO,11,FALSE)</f>
        <v>45398</v>
      </c>
      <c r="L340" s="387"/>
      <c r="M340" s="393" t="str">
        <f>VLOOKUP(Complete[[#This Row],[Code
(PAP)]],[1]Sheet1!$A:$AO,13,FALSE)</f>
        <v>N/A</v>
      </c>
      <c r="N340" s="393" t="str">
        <f>VLOOKUP(Complete[[#This Row],[Code
(PAP)]],[1]Sheet1!$A:$AO,14,FALSE)</f>
        <v>N/A</v>
      </c>
      <c r="O340" s="393">
        <v>45404</v>
      </c>
      <c r="P340" s="387"/>
      <c r="Q340" s="387"/>
      <c r="R340" s="387"/>
      <c r="S340" s="576" t="str">
        <f>VLOOKUP(Complete[[#This Row],[Code
(PAP)]],[1]Sheet1!$A:$AO,19,FALSE)</f>
        <v>N/A</v>
      </c>
      <c r="T340" s="576">
        <f>VLOOKUP(Complete[[#This Row],[Code
(PAP)]],[1]Sheet1!$A:$AO,20,FALSE)</f>
        <v>45418</v>
      </c>
      <c r="U340" s="576">
        <f>VLOOKUP(Complete[[#This Row],[Code
(PAP)]],[1]Sheet1!$A:$AO,21,FALSE)</f>
        <v>45420</v>
      </c>
      <c r="V340" s="387"/>
      <c r="W340" s="387"/>
      <c r="X340" s="392">
        <f>VLOOKUP(Complete[[#This Row],[Code
(PAP)]],[1]Sheet1!$A:$AO,24,FALSE)</f>
        <v>45425</v>
      </c>
      <c r="Y340" s="392">
        <f>Complete[[#This Row],[Delivery/ Completion]]</f>
        <v>45425</v>
      </c>
      <c r="Z340" s="610" t="s">
        <v>1478</v>
      </c>
      <c r="AA340" s="462">
        <f>Complete[[#This Row],[MOOE]]+Complete[[#This Row],[CO]]</f>
        <v>4670</v>
      </c>
      <c r="AB340" s="466"/>
      <c r="AC340" s="497">
        <v>4670</v>
      </c>
      <c r="AD340" s="498">
        <f>IF(Complete[[#This Row],[Procurement Project]]="","",SUM(Complete[[#This Row],[MOOE2]]+Complete[[#This Row],[CO3]]))</f>
        <v>4592</v>
      </c>
      <c r="AE340" s="501"/>
      <c r="AF340" s="541">
        <v>4592</v>
      </c>
      <c r="AG340" s="400"/>
      <c r="AH340" s="380" t="s">
        <v>1205</v>
      </c>
      <c r="AI340" s="576" t="str">
        <f>VLOOKUP(Complete[[#This Row],[Code
(PAP)]],[1]Sheet1!$A:$AO,35,FALSE)</f>
        <v>N/A</v>
      </c>
      <c r="AJ340" s="576" t="str">
        <f>VLOOKUP(Complete[[#This Row],[Code
(PAP)]],[1]Sheet1!$A:$AO,36,FALSE)</f>
        <v>N/A</v>
      </c>
      <c r="AK340" s="576" t="str">
        <f>VLOOKUP(Complete[[#This Row],[Code
(PAP)]],[1]Sheet1!$A:$AO,37,FALSE)</f>
        <v>N/A</v>
      </c>
      <c r="AL340" s="576" t="str">
        <f>VLOOKUP(Complete[[#This Row],[Code
(PAP)]],[1]Sheet1!$A:$AO,38,FALSE)</f>
        <v>N/A</v>
      </c>
      <c r="AM340" s="576" t="str">
        <f>VLOOKUP(Complete[[#This Row],[Code
(PAP)]],[1]Sheet1!$A:$AO,38,FALSE)</f>
        <v>N/A</v>
      </c>
      <c r="AN340" s="595" t="s">
        <v>713</v>
      </c>
      <c r="AO340" s="303" t="s">
        <v>139</v>
      </c>
      <c r="AP340" s="389"/>
      <c r="AQ340" s="389"/>
    </row>
    <row r="341" spans="1:43" s="224" customFormat="1" ht="75" customHeight="1" x14ac:dyDescent="0.25">
      <c r="A341" s="385" t="s">
        <v>519</v>
      </c>
      <c r="B341" s="406" t="str">
        <f>VLOOKUP(Complete[[#This Row],[Code
(PAP)]],[1]Sheet1!$A:$AO,2,FALSE)</f>
        <v>OFFICE SUPPLIES</v>
      </c>
      <c r="C341" s="408" t="str">
        <f>VLOOKUP(Complete[[#This Row],[Code
(PAP)]],[1]Sheet1!$A:$AO,3,FALSE)</f>
        <v>PDRRMO</v>
      </c>
      <c r="D341" s="380" t="s">
        <v>712</v>
      </c>
      <c r="E341" s="409" t="str">
        <f>VLOOKUP(Complete[[#This Row],[Code
(PAP)]],[2]Sheet1!$A:$AO,5,FALSE)</f>
        <v>Shopping 52.1(b) - Regular Office Supplies and Equipment no available in PS</v>
      </c>
      <c r="F341" s="393">
        <f>VLOOKUP(Complete[[#This Row],[Code
(PAP)]],[1]Sheet1!$A:$AO,6,FALSE)</f>
        <v>45373</v>
      </c>
      <c r="G341" s="393">
        <f>VLOOKUP(Complete[[#This Row],[Code
(PAP)]],[1]Sheet1!$A:$AO,7,FALSE)</f>
        <v>45384</v>
      </c>
      <c r="H341" s="374"/>
      <c r="I341" s="394" t="str">
        <f>VLOOKUP(Complete[[#This Row],[Code
(PAP)]],[1]Sheet1!$A:$AO,9,FALSE)</f>
        <v>N/A</v>
      </c>
      <c r="J341" s="393">
        <f>VLOOKUP(Complete[[#This Row],[Code
(PAP)]],[1]Sheet1!$A:$AO,10,FALSE)</f>
        <v>45398</v>
      </c>
      <c r="K341" s="393">
        <f>VLOOKUP(Complete[[#This Row],[Code
(PAP)]],[1]Sheet1!$A:$AO,11,FALSE)</f>
        <v>45398</v>
      </c>
      <c r="L341" s="387"/>
      <c r="M341" s="393" t="str">
        <f>VLOOKUP(Complete[[#This Row],[Code
(PAP)]],[1]Sheet1!$A:$AO,13,FALSE)</f>
        <v>N/A</v>
      </c>
      <c r="N341" s="393" t="str">
        <f>VLOOKUP(Complete[[#This Row],[Code
(PAP)]],[1]Sheet1!$A:$AO,14,FALSE)</f>
        <v>N/A</v>
      </c>
      <c r="O341" s="393">
        <v>45404</v>
      </c>
      <c r="P341" s="387"/>
      <c r="Q341" s="387"/>
      <c r="R341" s="387"/>
      <c r="S341" s="576" t="str">
        <f>VLOOKUP(Complete[[#This Row],[Code
(PAP)]],[1]Sheet1!$A:$AO,19,FALSE)</f>
        <v>N/A</v>
      </c>
      <c r="T341" s="576">
        <f>VLOOKUP(Complete[[#This Row],[Code
(PAP)]],[1]Sheet1!$A:$AO,20,FALSE)</f>
        <v>45407</v>
      </c>
      <c r="U341" s="576">
        <f>VLOOKUP(Complete[[#This Row],[Code
(PAP)]],[1]Sheet1!$A:$AO,21,FALSE)</f>
        <v>45425</v>
      </c>
      <c r="V341" s="387"/>
      <c r="W341" s="387"/>
      <c r="X341" s="392">
        <f>VLOOKUP(Complete[[#This Row],[Code
(PAP)]],[1]Sheet1!$A:$AO,24,FALSE)</f>
        <v>45467</v>
      </c>
      <c r="Y341" s="392">
        <f>Complete[[#This Row],[Delivery/ Completion]]</f>
        <v>45467</v>
      </c>
      <c r="Z341" s="610" t="s">
        <v>1478</v>
      </c>
      <c r="AA341" s="462">
        <f>Complete[[#This Row],[MOOE]]+Complete[[#This Row],[CO]]</f>
        <v>35025</v>
      </c>
      <c r="AB341" s="466"/>
      <c r="AC341" s="497">
        <v>35025</v>
      </c>
      <c r="AD341" s="498">
        <f>IF(Complete[[#This Row],[Procurement Project]]="","",SUM(Complete[[#This Row],[MOOE2]]+Complete[[#This Row],[CO3]]))</f>
        <v>34536</v>
      </c>
      <c r="AE341" s="501"/>
      <c r="AF341" s="541">
        <v>34536</v>
      </c>
      <c r="AG341" s="400"/>
      <c r="AH341" s="380" t="s">
        <v>1205</v>
      </c>
      <c r="AI341" s="576" t="str">
        <f>VLOOKUP(Complete[[#This Row],[Code
(PAP)]],[1]Sheet1!$A:$AO,35,FALSE)</f>
        <v>N/A</v>
      </c>
      <c r="AJ341" s="576" t="str">
        <f>VLOOKUP(Complete[[#This Row],[Code
(PAP)]],[1]Sheet1!$A:$AO,36,FALSE)</f>
        <v>N/A</v>
      </c>
      <c r="AK341" s="576" t="str">
        <f>VLOOKUP(Complete[[#This Row],[Code
(PAP)]],[1]Sheet1!$A:$AO,37,FALSE)</f>
        <v>N/A</v>
      </c>
      <c r="AL341" s="576" t="str">
        <f>VLOOKUP(Complete[[#This Row],[Code
(PAP)]],[1]Sheet1!$A:$AO,38,FALSE)</f>
        <v>N/A</v>
      </c>
      <c r="AM341" s="576" t="str">
        <f>VLOOKUP(Complete[[#This Row],[Code
(PAP)]],[1]Sheet1!$A:$AO,38,FALSE)</f>
        <v>N/A</v>
      </c>
      <c r="AN341" s="595" t="s">
        <v>713</v>
      </c>
      <c r="AO341" s="303" t="s">
        <v>139</v>
      </c>
      <c r="AP341" s="389"/>
      <c r="AQ341" s="389"/>
    </row>
    <row r="342" spans="1:43" s="224" customFormat="1" ht="75" customHeight="1" x14ac:dyDescent="0.25">
      <c r="A342" s="385" t="s">
        <v>520</v>
      </c>
      <c r="B342" s="406" t="str">
        <f>VLOOKUP(Complete[[#This Row],[Code
(PAP)]],[1]Sheet1!$A:$AO,2,FALSE)</f>
        <v>OFFICE SUPPLIES</v>
      </c>
      <c r="C342" s="408" t="str">
        <f>VLOOKUP(Complete[[#This Row],[Code
(PAP)]],[1]Sheet1!$A:$AO,3,FALSE)</f>
        <v>PLO</v>
      </c>
      <c r="D342" s="380" t="s">
        <v>712</v>
      </c>
      <c r="E342" s="409" t="str">
        <f>VLOOKUP(Complete[[#This Row],[Code
(PAP)]],[2]Sheet1!$A:$AO,5,FALSE)</f>
        <v>Shopping 52.1(b) - Regular Office Supplies and Equipment no available in PS</v>
      </c>
      <c r="F342" s="393" t="str">
        <f>VLOOKUP(Complete[[#This Row],[Code
(PAP)]],[1]Sheet1!$A:$AO,6,FALSE)</f>
        <v>N/A</v>
      </c>
      <c r="G342" s="393">
        <f>VLOOKUP(Complete[[#This Row],[Code
(PAP)]],[1]Sheet1!$A:$AO,7,FALSE)</f>
        <v>45376</v>
      </c>
      <c r="H342" s="374"/>
      <c r="I342" s="394" t="str">
        <f>VLOOKUP(Complete[[#This Row],[Code
(PAP)]],[1]Sheet1!$A:$AO,9,FALSE)</f>
        <v>N/A</v>
      </c>
      <c r="J342" s="393">
        <f>VLOOKUP(Complete[[#This Row],[Code
(PAP)]],[1]Sheet1!$A:$AO,10,FALSE)</f>
        <v>45398</v>
      </c>
      <c r="K342" s="393">
        <f>VLOOKUP(Complete[[#This Row],[Code
(PAP)]],[1]Sheet1!$A:$AO,11,FALSE)</f>
        <v>45398</v>
      </c>
      <c r="L342" s="387"/>
      <c r="M342" s="393" t="str">
        <f>VLOOKUP(Complete[[#This Row],[Code
(PAP)]],[1]Sheet1!$A:$AO,13,FALSE)</f>
        <v>N/A</v>
      </c>
      <c r="N342" s="393" t="str">
        <f>VLOOKUP(Complete[[#This Row],[Code
(PAP)]],[1]Sheet1!$A:$AO,14,FALSE)</f>
        <v>N/A</v>
      </c>
      <c r="O342" s="393">
        <v>45404</v>
      </c>
      <c r="P342" s="387"/>
      <c r="Q342" s="387"/>
      <c r="R342" s="387"/>
      <c r="S342" s="576" t="str">
        <f>VLOOKUP(Complete[[#This Row],[Code
(PAP)]],[1]Sheet1!$A:$AO,19,FALSE)</f>
        <v>N/A</v>
      </c>
      <c r="T342" s="576">
        <f>VLOOKUP(Complete[[#This Row],[Code
(PAP)]],[1]Sheet1!$A:$AO,20,FALSE)</f>
        <v>45412</v>
      </c>
      <c r="U342" s="576">
        <f>VLOOKUP(Complete[[#This Row],[Code
(PAP)]],[1]Sheet1!$A:$AO,21,FALSE)</f>
        <v>45449</v>
      </c>
      <c r="V342" s="387"/>
      <c r="W342" s="387"/>
      <c r="X342" s="392">
        <f>VLOOKUP(Complete[[#This Row],[Code
(PAP)]],[1]Sheet1!$A:$AO,24,FALSE)</f>
        <v>45457</v>
      </c>
      <c r="Y342" s="392">
        <f>Complete[[#This Row],[Delivery/ Completion]]</f>
        <v>45457</v>
      </c>
      <c r="Z342" s="610" t="s">
        <v>1478</v>
      </c>
      <c r="AA342" s="462">
        <f>Complete[[#This Row],[MOOE]]+Complete[[#This Row],[CO]]</f>
        <v>22156</v>
      </c>
      <c r="AB342" s="466"/>
      <c r="AC342" s="497">
        <v>22156</v>
      </c>
      <c r="AD342" s="498">
        <f>IF(Complete[[#This Row],[Procurement Project]]="","",SUM(Complete[[#This Row],[MOOE2]]+Complete[[#This Row],[CO3]]))</f>
        <v>21934</v>
      </c>
      <c r="AE342" s="501"/>
      <c r="AF342" s="541">
        <v>21934</v>
      </c>
      <c r="AG342" s="400"/>
      <c r="AH342" s="380" t="s">
        <v>1205</v>
      </c>
      <c r="AI342" s="576" t="str">
        <f>VLOOKUP(Complete[[#This Row],[Code
(PAP)]],[1]Sheet1!$A:$AO,35,FALSE)</f>
        <v>N/A</v>
      </c>
      <c r="AJ342" s="576" t="str">
        <f>VLOOKUP(Complete[[#This Row],[Code
(PAP)]],[1]Sheet1!$A:$AO,36,FALSE)</f>
        <v>N/A</v>
      </c>
      <c r="AK342" s="576" t="str">
        <f>VLOOKUP(Complete[[#This Row],[Code
(PAP)]],[1]Sheet1!$A:$AO,37,FALSE)</f>
        <v>N/A</v>
      </c>
      <c r="AL342" s="576" t="str">
        <f>VLOOKUP(Complete[[#This Row],[Code
(PAP)]],[1]Sheet1!$A:$AO,38,FALSE)</f>
        <v>N/A</v>
      </c>
      <c r="AM342" s="576" t="str">
        <f>VLOOKUP(Complete[[#This Row],[Code
(PAP)]],[1]Sheet1!$A:$AO,38,FALSE)</f>
        <v>N/A</v>
      </c>
      <c r="AN342" s="595" t="s">
        <v>713</v>
      </c>
      <c r="AO342" s="303" t="s">
        <v>139</v>
      </c>
      <c r="AP342" s="389"/>
      <c r="AQ342" s="389"/>
    </row>
    <row r="343" spans="1:43" s="224" customFormat="1" ht="75" customHeight="1" x14ac:dyDescent="0.25">
      <c r="A343" s="385" t="s">
        <v>521</v>
      </c>
      <c r="B343" s="406" t="str">
        <f>VLOOKUP(Complete[[#This Row],[Code
(PAP)]],[1]Sheet1!$A:$AO,2,FALSE)</f>
        <v>OFFICE SUPPLIES</v>
      </c>
      <c r="C343" s="408" t="str">
        <f>VLOOKUP(Complete[[#This Row],[Code
(PAP)]],[1]Sheet1!$A:$AO,3,FALSE)</f>
        <v>PGO</v>
      </c>
      <c r="D343" s="380" t="s">
        <v>712</v>
      </c>
      <c r="E343" s="409" t="str">
        <f>VLOOKUP(Complete[[#This Row],[Code
(PAP)]],[2]Sheet1!$A:$AO,5,FALSE)</f>
        <v>Shopping 52.1(b) - Regular Office Supplies and Equipment no available in PS</v>
      </c>
      <c r="F343" s="393" t="str">
        <f>VLOOKUP(Complete[[#This Row],[Code
(PAP)]],[1]Sheet1!$A:$AO,6,FALSE)</f>
        <v>N/A</v>
      </c>
      <c r="G343" s="393">
        <f>VLOOKUP(Complete[[#This Row],[Code
(PAP)]],[1]Sheet1!$A:$AO,7,FALSE)</f>
        <v>45376</v>
      </c>
      <c r="H343" s="374"/>
      <c r="I343" s="394" t="str">
        <f>VLOOKUP(Complete[[#This Row],[Code
(PAP)]],[1]Sheet1!$A:$AO,9,FALSE)</f>
        <v>N/A</v>
      </c>
      <c r="J343" s="393">
        <f>VLOOKUP(Complete[[#This Row],[Code
(PAP)]],[1]Sheet1!$A:$AO,10,FALSE)</f>
        <v>45398</v>
      </c>
      <c r="K343" s="393">
        <f>VLOOKUP(Complete[[#This Row],[Code
(PAP)]],[1]Sheet1!$A:$AO,11,FALSE)</f>
        <v>45398</v>
      </c>
      <c r="L343" s="387"/>
      <c r="M343" s="393" t="str">
        <f>VLOOKUP(Complete[[#This Row],[Code
(PAP)]],[1]Sheet1!$A:$AO,13,FALSE)</f>
        <v>N/A</v>
      </c>
      <c r="N343" s="393" t="str">
        <f>VLOOKUP(Complete[[#This Row],[Code
(PAP)]],[1]Sheet1!$A:$AO,14,FALSE)</f>
        <v>N/A</v>
      </c>
      <c r="O343" s="393">
        <v>45404</v>
      </c>
      <c r="P343" s="387"/>
      <c r="Q343" s="387"/>
      <c r="R343" s="387"/>
      <c r="S343" s="576" t="str">
        <f>VLOOKUP(Complete[[#This Row],[Code
(PAP)]],[1]Sheet1!$A:$AO,19,FALSE)</f>
        <v>N/A</v>
      </c>
      <c r="T343" s="576">
        <f>VLOOKUP(Complete[[#This Row],[Code
(PAP)]],[1]Sheet1!$A:$AO,20,FALSE)</f>
        <v>45412</v>
      </c>
      <c r="U343" s="576">
        <f>VLOOKUP(Complete[[#This Row],[Code
(PAP)]],[1]Sheet1!$A:$AO,21,FALSE)</f>
        <v>45425</v>
      </c>
      <c r="V343" s="387"/>
      <c r="W343" s="387"/>
      <c r="X343" s="392">
        <f>VLOOKUP(Complete[[#This Row],[Code
(PAP)]],[1]Sheet1!$A:$AO,24,FALSE)</f>
        <v>45432</v>
      </c>
      <c r="Y343" s="392">
        <f>Complete[[#This Row],[Delivery/ Completion]]</f>
        <v>45432</v>
      </c>
      <c r="Z343" s="610" t="s">
        <v>1478</v>
      </c>
      <c r="AA343" s="462">
        <f>Complete[[#This Row],[MOOE]]+Complete[[#This Row],[CO]]</f>
        <v>23985</v>
      </c>
      <c r="AB343" s="466">
        <v>23985</v>
      </c>
      <c r="AC343" s="497"/>
      <c r="AD343" s="498">
        <f>IF(Complete[[#This Row],[Procurement Project]]="","",SUM(Complete[[#This Row],[MOOE2]]+Complete[[#This Row],[CO3]]))</f>
        <v>23099</v>
      </c>
      <c r="AE343" s="501">
        <v>23099</v>
      </c>
      <c r="AF343" s="541"/>
      <c r="AG343" s="400"/>
      <c r="AH343" s="380" t="s">
        <v>1205</v>
      </c>
      <c r="AI343" s="576" t="str">
        <f>VLOOKUP(Complete[[#This Row],[Code
(PAP)]],[1]Sheet1!$A:$AO,35,FALSE)</f>
        <v>N/A</v>
      </c>
      <c r="AJ343" s="576" t="str">
        <f>VLOOKUP(Complete[[#This Row],[Code
(PAP)]],[1]Sheet1!$A:$AO,36,FALSE)</f>
        <v>N/A</v>
      </c>
      <c r="AK343" s="576" t="str">
        <f>VLOOKUP(Complete[[#This Row],[Code
(PAP)]],[1]Sheet1!$A:$AO,37,FALSE)</f>
        <v>N/A</v>
      </c>
      <c r="AL343" s="576" t="str">
        <f>VLOOKUP(Complete[[#This Row],[Code
(PAP)]],[1]Sheet1!$A:$AO,38,FALSE)</f>
        <v>N/A</v>
      </c>
      <c r="AM343" s="576" t="str">
        <f>VLOOKUP(Complete[[#This Row],[Code
(PAP)]],[1]Sheet1!$A:$AO,38,FALSE)</f>
        <v>N/A</v>
      </c>
      <c r="AN343" s="595" t="s">
        <v>713</v>
      </c>
      <c r="AO343" s="303" t="s">
        <v>139</v>
      </c>
      <c r="AP343" s="389"/>
      <c r="AQ343" s="389"/>
    </row>
    <row r="344" spans="1:43" s="224" customFormat="1" ht="75" customHeight="1" x14ac:dyDescent="0.25">
      <c r="A344" s="385" t="s">
        <v>522</v>
      </c>
      <c r="B344" s="406" t="str">
        <f>VLOOKUP(Complete[[#This Row],[Code
(PAP)]],[1]Sheet1!$A:$AO,2,FALSE)</f>
        <v>OFFICE SUPPLIES</v>
      </c>
      <c r="C344" s="408" t="str">
        <f>VLOOKUP(Complete[[#This Row],[Code
(PAP)]],[1]Sheet1!$A:$AO,3,FALSE)</f>
        <v>PTO</v>
      </c>
      <c r="D344" s="380" t="s">
        <v>712</v>
      </c>
      <c r="E344" s="409" t="str">
        <f>VLOOKUP(Complete[[#This Row],[Code
(PAP)]],[2]Sheet1!$A:$AO,5,FALSE)</f>
        <v>Shopping 52.1(b) - Regular Office Supplies and Equipment no available in PS</v>
      </c>
      <c r="F344" s="393">
        <f>VLOOKUP(Complete[[#This Row],[Code
(PAP)]],[1]Sheet1!$A:$AO,6,FALSE)</f>
        <v>45373</v>
      </c>
      <c r="G344" s="393">
        <f>VLOOKUP(Complete[[#This Row],[Code
(PAP)]],[1]Sheet1!$A:$AO,7,FALSE)</f>
        <v>45384</v>
      </c>
      <c r="H344" s="374"/>
      <c r="I344" s="394" t="str">
        <f>VLOOKUP(Complete[[#This Row],[Code
(PAP)]],[1]Sheet1!$A:$AO,9,FALSE)</f>
        <v>N/A</v>
      </c>
      <c r="J344" s="393">
        <f>VLOOKUP(Complete[[#This Row],[Code
(PAP)]],[1]Sheet1!$A:$AO,10,FALSE)</f>
        <v>45398</v>
      </c>
      <c r="K344" s="393">
        <f>VLOOKUP(Complete[[#This Row],[Code
(PAP)]],[1]Sheet1!$A:$AO,11,FALSE)</f>
        <v>45398</v>
      </c>
      <c r="L344" s="387"/>
      <c r="M344" s="393" t="str">
        <f>VLOOKUP(Complete[[#This Row],[Code
(PAP)]],[1]Sheet1!$A:$AO,13,FALSE)</f>
        <v>N/A</v>
      </c>
      <c r="N344" s="393" t="str">
        <f>VLOOKUP(Complete[[#This Row],[Code
(PAP)]],[1]Sheet1!$A:$AO,14,FALSE)</f>
        <v>N/A</v>
      </c>
      <c r="O344" s="393">
        <v>45404</v>
      </c>
      <c r="P344" s="387"/>
      <c r="Q344" s="387"/>
      <c r="R344" s="387"/>
      <c r="S344" s="576">
        <v>45406</v>
      </c>
      <c r="T344" s="576">
        <f>VLOOKUP(Complete[[#This Row],[Code
(PAP)]],[1]Sheet1!$A:$AO,20,FALSE)</f>
        <v>45412</v>
      </c>
      <c r="U344" s="576">
        <f>VLOOKUP(Complete[[#This Row],[Code
(PAP)]],[1]Sheet1!$A:$AO,21,FALSE)</f>
        <v>45425</v>
      </c>
      <c r="V344" s="387"/>
      <c r="W344" s="387"/>
      <c r="X344" s="392">
        <f>VLOOKUP(Complete[[#This Row],[Code
(PAP)]],[1]Sheet1!$A:$AO,24,FALSE)</f>
        <v>45433</v>
      </c>
      <c r="Y344" s="392">
        <f>Complete[[#This Row],[Delivery/ Completion]]</f>
        <v>45433</v>
      </c>
      <c r="Z344" s="610" t="s">
        <v>1478</v>
      </c>
      <c r="AA344" s="462">
        <f>Complete[[#This Row],[MOOE]]+Complete[[#This Row],[CO]]</f>
        <v>137774</v>
      </c>
      <c r="AB344" s="466">
        <v>137774</v>
      </c>
      <c r="AC344" s="497"/>
      <c r="AD344" s="498">
        <f>IF(Complete[[#This Row],[Procurement Project]]="","",SUM(Complete[[#This Row],[MOOE2]]+Complete[[#This Row],[CO3]]))</f>
        <v>135193</v>
      </c>
      <c r="AE344" s="501">
        <v>135193</v>
      </c>
      <c r="AF344" s="541"/>
      <c r="AG344" s="400"/>
      <c r="AH344" s="380" t="s">
        <v>1205</v>
      </c>
      <c r="AI344" s="576" t="str">
        <f>VLOOKUP(Complete[[#This Row],[Code
(PAP)]],[1]Sheet1!$A:$AO,35,FALSE)</f>
        <v>N/A</v>
      </c>
      <c r="AJ344" s="576" t="str">
        <f>VLOOKUP(Complete[[#This Row],[Code
(PAP)]],[1]Sheet1!$A:$AO,36,FALSE)</f>
        <v>N/A</v>
      </c>
      <c r="AK344" s="576" t="str">
        <f>VLOOKUP(Complete[[#This Row],[Code
(PAP)]],[1]Sheet1!$A:$AO,37,FALSE)</f>
        <v>N/A</v>
      </c>
      <c r="AL344" s="576" t="str">
        <f>VLOOKUP(Complete[[#This Row],[Code
(PAP)]],[1]Sheet1!$A:$AO,38,FALSE)</f>
        <v>N/A</v>
      </c>
      <c r="AM344" s="576" t="str">
        <f>VLOOKUP(Complete[[#This Row],[Code
(PAP)]],[1]Sheet1!$A:$AO,38,FALSE)</f>
        <v>N/A</v>
      </c>
      <c r="AN344" s="595" t="s">
        <v>713</v>
      </c>
      <c r="AO344" s="303" t="s">
        <v>139</v>
      </c>
      <c r="AP344" s="389"/>
      <c r="AQ344" s="389"/>
    </row>
    <row r="345" spans="1:43" s="224" customFormat="1" ht="75" customHeight="1" x14ac:dyDescent="0.25">
      <c r="A345" s="385" t="s">
        <v>523</v>
      </c>
      <c r="B345" s="406" t="str">
        <f>VLOOKUP(Complete[[#This Row],[Code
(PAP)]],[1]Sheet1!$A:$AO,2,FALSE)</f>
        <v>SPAREPARTS (HEAVY EQUIPT)</v>
      </c>
      <c r="C345" s="408" t="str">
        <f>VLOOKUP(Complete[[#This Row],[Code
(PAP)]],[1]Sheet1!$A:$AO,3,FALSE)</f>
        <v>PGSO</v>
      </c>
      <c r="D345" s="380" t="s">
        <v>712</v>
      </c>
      <c r="E345" s="409" t="str">
        <f>VLOOKUP(Complete[[#This Row],[Code
(PAP)]],[2]Sheet1!$A:$AO,5,FALSE)</f>
        <v>NP-53.9 - Small Value Procurement</v>
      </c>
      <c r="F345" s="393">
        <f>VLOOKUP(Complete[[#This Row],[Code
(PAP)]],[1]Sheet1!$A:$AO,6,FALSE)</f>
        <v>45370</v>
      </c>
      <c r="G345" s="393">
        <f>VLOOKUP(Complete[[#This Row],[Code
(PAP)]],[1]Sheet1!$A:$AO,7,FALSE)</f>
        <v>45376</v>
      </c>
      <c r="H345" s="374"/>
      <c r="I345" s="394" t="str">
        <f>VLOOKUP(Complete[[#This Row],[Code
(PAP)]],[1]Sheet1!$A:$AO,9,FALSE)</f>
        <v>N/A</v>
      </c>
      <c r="J345" s="393">
        <f>VLOOKUP(Complete[[#This Row],[Code
(PAP)]],[1]Sheet1!$A:$AO,10,FALSE)</f>
        <v>45398</v>
      </c>
      <c r="K345" s="393">
        <f>VLOOKUP(Complete[[#This Row],[Code
(PAP)]],[1]Sheet1!$A:$AO,11,FALSE)</f>
        <v>45398</v>
      </c>
      <c r="L345" s="387"/>
      <c r="M345" s="393" t="str">
        <f>VLOOKUP(Complete[[#This Row],[Code
(PAP)]],[1]Sheet1!$A:$AO,13,FALSE)</f>
        <v>N/A</v>
      </c>
      <c r="N345" s="393" t="str">
        <f>VLOOKUP(Complete[[#This Row],[Code
(PAP)]],[1]Sheet1!$A:$AO,14,FALSE)</f>
        <v>N/A</v>
      </c>
      <c r="O345" s="393">
        <v>45404</v>
      </c>
      <c r="P345" s="387"/>
      <c r="Q345" s="387"/>
      <c r="R345" s="387"/>
      <c r="S345" s="576" t="str">
        <f>VLOOKUP(Complete[[#This Row],[Code
(PAP)]],[1]Sheet1!$A:$AO,19,FALSE)</f>
        <v>N/A</v>
      </c>
      <c r="T345" s="576">
        <f>VLOOKUP(Complete[[#This Row],[Code
(PAP)]],[1]Sheet1!$A:$AO,20,FALSE)</f>
        <v>45405</v>
      </c>
      <c r="U345" s="576">
        <f>VLOOKUP(Complete[[#This Row],[Code
(PAP)]],[1]Sheet1!$A:$AO,21,FALSE)</f>
        <v>45435</v>
      </c>
      <c r="V345" s="387"/>
      <c r="W345" s="387"/>
      <c r="X345" s="392">
        <f>VLOOKUP(Complete[[#This Row],[Code
(PAP)]],[1]Sheet1!$A:$AO,24,FALSE)</f>
        <v>45446</v>
      </c>
      <c r="Y345" s="392">
        <f>Complete[[#This Row],[Delivery/ Completion]]</f>
        <v>45446</v>
      </c>
      <c r="Z345" s="610" t="s">
        <v>1478</v>
      </c>
      <c r="AA345" s="462">
        <f>Complete[[#This Row],[MOOE]]+Complete[[#This Row],[CO]]</f>
        <v>10300</v>
      </c>
      <c r="AB345" s="466">
        <v>10300</v>
      </c>
      <c r="AC345" s="497"/>
      <c r="AD345" s="498">
        <f>IF(Complete[[#This Row],[Procurement Project]]="","",SUM(Complete[[#This Row],[MOOE2]]+Complete[[#This Row],[CO3]]))</f>
        <v>9530</v>
      </c>
      <c r="AE345" s="501">
        <v>9530</v>
      </c>
      <c r="AF345" s="541"/>
      <c r="AG345" s="400"/>
      <c r="AH345" s="380" t="s">
        <v>1205</v>
      </c>
      <c r="AI345" s="576" t="str">
        <f>VLOOKUP(Complete[[#This Row],[Code
(PAP)]],[1]Sheet1!$A:$AO,35,FALSE)</f>
        <v>N/A</v>
      </c>
      <c r="AJ345" s="576" t="str">
        <f>VLOOKUP(Complete[[#This Row],[Code
(PAP)]],[1]Sheet1!$A:$AO,36,FALSE)</f>
        <v>N/A</v>
      </c>
      <c r="AK345" s="576" t="str">
        <f>VLOOKUP(Complete[[#This Row],[Code
(PAP)]],[1]Sheet1!$A:$AO,37,FALSE)</f>
        <v>N/A</v>
      </c>
      <c r="AL345" s="576" t="str">
        <f>VLOOKUP(Complete[[#This Row],[Code
(PAP)]],[1]Sheet1!$A:$AO,38,FALSE)</f>
        <v>N/A</v>
      </c>
      <c r="AM345" s="576" t="str">
        <f>VLOOKUP(Complete[[#This Row],[Code
(PAP)]],[1]Sheet1!$A:$AO,38,FALSE)</f>
        <v>N/A</v>
      </c>
      <c r="AN345" s="595" t="s">
        <v>713</v>
      </c>
      <c r="AO345" s="303" t="s">
        <v>139</v>
      </c>
      <c r="AP345" s="389"/>
      <c r="AQ345" s="389"/>
    </row>
    <row r="346" spans="1:43" s="224" customFormat="1" ht="75" customHeight="1" x14ac:dyDescent="0.25">
      <c r="A346" s="385" t="s">
        <v>524</v>
      </c>
      <c r="B346" s="406" t="str">
        <f>VLOOKUP(Complete[[#This Row],[Code
(PAP)]],[1]Sheet1!$A:$AO,2,FALSE)</f>
        <v>COMPUTER SUPPLIES/SPAREPARTS</v>
      </c>
      <c r="C346" s="408" t="str">
        <f>VLOOKUP(Complete[[#This Row],[Code
(PAP)]],[1]Sheet1!$A:$AO,3,FALSE)</f>
        <v>PAO</v>
      </c>
      <c r="D346" s="380" t="s">
        <v>712</v>
      </c>
      <c r="E346" s="409" t="str">
        <f>VLOOKUP(Complete[[#This Row],[Code
(PAP)]],[2]Sheet1!$A:$AO,5,FALSE)</f>
        <v>NP-53.9 - Small Value Procurement</v>
      </c>
      <c r="F346" s="393">
        <f>VLOOKUP(Complete[[#This Row],[Code
(PAP)]],[1]Sheet1!$A:$AO,6,FALSE)</f>
        <v>45373</v>
      </c>
      <c r="G346" s="393">
        <f>VLOOKUP(Complete[[#This Row],[Code
(PAP)]],[1]Sheet1!$A:$AO,7,FALSE)</f>
        <v>45384</v>
      </c>
      <c r="H346" s="374"/>
      <c r="I346" s="394" t="str">
        <f>VLOOKUP(Complete[[#This Row],[Code
(PAP)]],[1]Sheet1!$A:$AO,9,FALSE)</f>
        <v>N/A</v>
      </c>
      <c r="J346" s="393">
        <f>VLOOKUP(Complete[[#This Row],[Code
(PAP)]],[1]Sheet1!$A:$AO,10,FALSE)</f>
        <v>45398</v>
      </c>
      <c r="K346" s="393">
        <f>VLOOKUP(Complete[[#This Row],[Code
(PAP)]],[1]Sheet1!$A:$AO,11,FALSE)</f>
        <v>45398</v>
      </c>
      <c r="L346" s="387"/>
      <c r="M346" s="393" t="str">
        <f>VLOOKUP(Complete[[#This Row],[Code
(PAP)]],[1]Sheet1!$A:$AO,13,FALSE)</f>
        <v>N/A</v>
      </c>
      <c r="N346" s="393" t="str">
        <f>VLOOKUP(Complete[[#This Row],[Code
(PAP)]],[1]Sheet1!$A:$AO,14,FALSE)</f>
        <v>N/A</v>
      </c>
      <c r="O346" s="393">
        <v>45404</v>
      </c>
      <c r="P346" s="387"/>
      <c r="Q346" s="387"/>
      <c r="R346" s="387"/>
      <c r="S346" s="576" t="str">
        <f>VLOOKUP(Complete[[#This Row],[Code
(PAP)]],[1]Sheet1!$A:$AO,19,FALSE)</f>
        <v>N/A</v>
      </c>
      <c r="T346" s="576">
        <f>VLOOKUP(Complete[[#This Row],[Code
(PAP)]],[1]Sheet1!$A:$AO,20,FALSE)</f>
        <v>45407</v>
      </c>
      <c r="U346" s="576">
        <f>VLOOKUP(Complete[[#This Row],[Code
(PAP)]],[1]Sheet1!$A:$AO,21,FALSE)</f>
        <v>45420</v>
      </c>
      <c r="V346" s="387"/>
      <c r="W346" s="387"/>
      <c r="X346" s="392">
        <f>VLOOKUP(Complete[[#This Row],[Code
(PAP)]],[1]Sheet1!$A:$AO,24,FALSE)</f>
        <v>45453</v>
      </c>
      <c r="Y346" s="392">
        <f>Complete[[#This Row],[Delivery/ Completion]]</f>
        <v>45453</v>
      </c>
      <c r="Z346" s="610" t="s">
        <v>1478</v>
      </c>
      <c r="AA346" s="462">
        <f>Complete[[#This Row],[MOOE]]+Complete[[#This Row],[CO]]</f>
        <v>49772</v>
      </c>
      <c r="AB346" s="466">
        <v>49772</v>
      </c>
      <c r="AC346" s="497"/>
      <c r="AD346" s="498">
        <f>IF(Complete[[#This Row],[Procurement Project]]="","",SUM(Complete[[#This Row],[MOOE2]]+Complete[[#This Row],[CO3]]))</f>
        <v>49650</v>
      </c>
      <c r="AE346" s="501">
        <v>49650</v>
      </c>
      <c r="AF346" s="541"/>
      <c r="AG346" s="400"/>
      <c r="AH346" s="380" t="s">
        <v>1205</v>
      </c>
      <c r="AI346" s="576" t="str">
        <f>VLOOKUP(Complete[[#This Row],[Code
(PAP)]],[1]Sheet1!$A:$AO,35,FALSE)</f>
        <v>N/A</v>
      </c>
      <c r="AJ346" s="576" t="str">
        <f>VLOOKUP(Complete[[#This Row],[Code
(PAP)]],[1]Sheet1!$A:$AO,36,FALSE)</f>
        <v>N/A</v>
      </c>
      <c r="AK346" s="576" t="str">
        <f>VLOOKUP(Complete[[#This Row],[Code
(PAP)]],[1]Sheet1!$A:$AO,37,FALSE)</f>
        <v>N/A</v>
      </c>
      <c r="AL346" s="576" t="str">
        <f>VLOOKUP(Complete[[#This Row],[Code
(PAP)]],[1]Sheet1!$A:$AO,38,FALSE)</f>
        <v>N/A</v>
      </c>
      <c r="AM346" s="576" t="str">
        <f>VLOOKUP(Complete[[#This Row],[Code
(PAP)]],[1]Sheet1!$A:$AO,38,FALSE)</f>
        <v>N/A</v>
      </c>
      <c r="AN346" s="595" t="s">
        <v>713</v>
      </c>
      <c r="AO346" s="303" t="s">
        <v>139</v>
      </c>
      <c r="AP346" s="389"/>
      <c r="AQ346" s="389"/>
    </row>
    <row r="347" spans="1:43" s="224" customFormat="1" ht="75" customHeight="1" x14ac:dyDescent="0.25">
      <c r="A347" s="385" t="s">
        <v>525</v>
      </c>
      <c r="B347" s="406" t="str">
        <f>VLOOKUP(Complete[[#This Row],[Code
(PAP)]],[1]Sheet1!$A:$AO,2,FALSE)</f>
        <v>COMPUTER SET WITH COMPLETE ACCESSORIES</v>
      </c>
      <c r="C347" s="408" t="str">
        <f>VLOOKUP(Complete[[#This Row],[Code
(PAP)]],[1]Sheet1!$A:$AO,3,FALSE)</f>
        <v>PAO</v>
      </c>
      <c r="D347" s="380" t="s">
        <v>712</v>
      </c>
      <c r="E347" s="409" t="str">
        <f>VLOOKUP(Complete[[#This Row],[Code
(PAP)]],[2]Sheet1!$A:$AO,5,FALSE)</f>
        <v>NP-53.9 - Small Value Procurement</v>
      </c>
      <c r="F347" s="393" t="str">
        <f>VLOOKUP(Complete[[#This Row],[Code
(PAP)]],[1]Sheet1!$A:$AO,6,FALSE)</f>
        <v>N/A</v>
      </c>
      <c r="G347" s="393">
        <f>VLOOKUP(Complete[[#This Row],[Code
(PAP)]],[1]Sheet1!$A:$AO,7,FALSE)</f>
        <v>45376</v>
      </c>
      <c r="H347" s="374"/>
      <c r="I347" s="394" t="str">
        <f>VLOOKUP(Complete[[#This Row],[Code
(PAP)]],[1]Sheet1!$A:$AO,9,FALSE)</f>
        <v>N/A</v>
      </c>
      <c r="J347" s="393">
        <f>VLOOKUP(Complete[[#This Row],[Code
(PAP)]],[1]Sheet1!$A:$AO,10,FALSE)</f>
        <v>45398</v>
      </c>
      <c r="K347" s="393">
        <f>VLOOKUP(Complete[[#This Row],[Code
(PAP)]],[1]Sheet1!$A:$AO,11,FALSE)</f>
        <v>45398</v>
      </c>
      <c r="L347" s="387"/>
      <c r="M347" s="393" t="str">
        <f>VLOOKUP(Complete[[#This Row],[Code
(PAP)]],[1]Sheet1!$A:$AO,13,FALSE)</f>
        <v>N/A</v>
      </c>
      <c r="N347" s="393" t="str">
        <f>VLOOKUP(Complete[[#This Row],[Code
(PAP)]],[1]Sheet1!$A:$AO,14,FALSE)</f>
        <v>N/A</v>
      </c>
      <c r="O347" s="393">
        <v>45404</v>
      </c>
      <c r="P347" s="387"/>
      <c r="Q347" s="387"/>
      <c r="R347" s="387"/>
      <c r="S347" s="576" t="str">
        <f>VLOOKUP(Complete[[#This Row],[Code
(PAP)]],[1]Sheet1!$A:$AO,19,FALSE)</f>
        <v>N/A</v>
      </c>
      <c r="T347" s="576">
        <f>VLOOKUP(Complete[[#This Row],[Code
(PAP)]],[1]Sheet1!$A:$AO,20,FALSE)</f>
        <v>45407</v>
      </c>
      <c r="U347" s="576">
        <f>VLOOKUP(Complete[[#This Row],[Code
(PAP)]],[1]Sheet1!$A:$AO,21,FALSE)</f>
        <v>45418</v>
      </c>
      <c r="V347" s="387"/>
      <c r="W347" s="387"/>
      <c r="X347" s="392">
        <f>VLOOKUP(Complete[[#This Row],[Code
(PAP)]],[1]Sheet1!$A:$AO,24,FALSE)</f>
        <v>45427</v>
      </c>
      <c r="Y347" s="392">
        <f>Complete[[#This Row],[Delivery/ Completion]]</f>
        <v>45427</v>
      </c>
      <c r="Z347" s="610" t="s">
        <v>1478</v>
      </c>
      <c r="AA347" s="462">
        <f>Complete[[#This Row],[MOOE]]+Complete[[#This Row],[CO]]</f>
        <v>45000</v>
      </c>
      <c r="AB347" s="466">
        <v>45000</v>
      </c>
      <c r="AC347" s="497"/>
      <c r="AD347" s="498">
        <f>IF(Complete[[#This Row],[Procurement Project]]="","",SUM(Complete[[#This Row],[MOOE2]]+Complete[[#This Row],[CO3]]))</f>
        <v>44900</v>
      </c>
      <c r="AE347" s="501">
        <v>44900</v>
      </c>
      <c r="AF347" s="541"/>
      <c r="AG347" s="400"/>
      <c r="AH347" s="380" t="s">
        <v>1205</v>
      </c>
      <c r="AI347" s="576" t="str">
        <f>VLOOKUP(Complete[[#This Row],[Code
(PAP)]],[1]Sheet1!$A:$AO,35,FALSE)</f>
        <v>N/A</v>
      </c>
      <c r="AJ347" s="576" t="str">
        <f>VLOOKUP(Complete[[#This Row],[Code
(PAP)]],[1]Sheet1!$A:$AO,36,FALSE)</f>
        <v>N/A</v>
      </c>
      <c r="AK347" s="576" t="str">
        <f>VLOOKUP(Complete[[#This Row],[Code
(PAP)]],[1]Sheet1!$A:$AO,37,FALSE)</f>
        <v>N/A</v>
      </c>
      <c r="AL347" s="576" t="str">
        <f>VLOOKUP(Complete[[#This Row],[Code
(PAP)]],[1]Sheet1!$A:$AO,38,FALSE)</f>
        <v>N/A</v>
      </c>
      <c r="AM347" s="576" t="str">
        <f>VLOOKUP(Complete[[#This Row],[Code
(PAP)]],[1]Sheet1!$A:$AO,38,FALSE)</f>
        <v>N/A</v>
      </c>
      <c r="AN347" s="595" t="s">
        <v>713</v>
      </c>
      <c r="AO347" s="303" t="s">
        <v>139</v>
      </c>
      <c r="AP347" s="389"/>
      <c r="AQ347" s="389"/>
    </row>
    <row r="348" spans="1:43" s="224" customFormat="1" ht="75" customHeight="1" x14ac:dyDescent="0.25">
      <c r="A348" s="385" t="s">
        <v>526</v>
      </c>
      <c r="B348" s="406" t="str">
        <f>VLOOKUP(Complete[[#This Row],[Code
(PAP)]],[1]Sheet1!$A:$AO,2,FALSE)</f>
        <v>HP-711 DESIGN JET PRINT HEAD REPLACEMENT</v>
      </c>
      <c r="C348" s="408" t="str">
        <f>VLOOKUP(Complete[[#This Row],[Code
(PAP)]],[1]Sheet1!$A:$AO,3,FALSE)</f>
        <v>PPDO</v>
      </c>
      <c r="D348" s="380" t="s">
        <v>712</v>
      </c>
      <c r="E348" s="409" t="str">
        <f>VLOOKUP(Complete[[#This Row],[Code
(PAP)]],[2]Sheet1!$A:$AO,5,FALSE)</f>
        <v>NP-53.9 - Small Value Procurement</v>
      </c>
      <c r="F348" s="393" t="str">
        <f>VLOOKUP(Complete[[#This Row],[Code
(PAP)]],[1]Sheet1!$A:$AO,6,FALSE)</f>
        <v>N/A</v>
      </c>
      <c r="G348" s="393">
        <f>VLOOKUP(Complete[[#This Row],[Code
(PAP)]],[1]Sheet1!$A:$AO,7,FALSE)</f>
        <v>45376</v>
      </c>
      <c r="H348" s="374"/>
      <c r="I348" s="394" t="str">
        <f>VLOOKUP(Complete[[#This Row],[Code
(PAP)]],[1]Sheet1!$A:$AO,9,FALSE)</f>
        <v>N/A</v>
      </c>
      <c r="J348" s="393">
        <f>VLOOKUP(Complete[[#This Row],[Code
(PAP)]],[1]Sheet1!$A:$AO,10,FALSE)</f>
        <v>45398</v>
      </c>
      <c r="K348" s="393">
        <f>VLOOKUP(Complete[[#This Row],[Code
(PAP)]],[1]Sheet1!$A:$AO,11,FALSE)</f>
        <v>45398</v>
      </c>
      <c r="L348" s="387"/>
      <c r="M348" s="393" t="str">
        <f>VLOOKUP(Complete[[#This Row],[Code
(PAP)]],[1]Sheet1!$A:$AO,13,FALSE)</f>
        <v>N/A</v>
      </c>
      <c r="N348" s="393" t="str">
        <f>VLOOKUP(Complete[[#This Row],[Code
(PAP)]],[1]Sheet1!$A:$AO,14,FALSE)</f>
        <v>N/A</v>
      </c>
      <c r="O348" s="393">
        <v>45404</v>
      </c>
      <c r="P348" s="387"/>
      <c r="Q348" s="387"/>
      <c r="R348" s="387"/>
      <c r="S348" s="576" t="str">
        <f>VLOOKUP(Complete[[#This Row],[Code
(PAP)]],[1]Sheet1!$A:$AO,19,FALSE)</f>
        <v>N/A</v>
      </c>
      <c r="T348" s="576">
        <f>VLOOKUP(Complete[[#This Row],[Code
(PAP)]],[1]Sheet1!$A:$AO,20,FALSE)</f>
        <v>45412</v>
      </c>
      <c r="U348" s="576">
        <f>VLOOKUP(Complete[[#This Row],[Code
(PAP)]],[1]Sheet1!$A:$AO,21,FALSE)</f>
        <v>45425</v>
      </c>
      <c r="V348" s="387"/>
      <c r="W348" s="387"/>
      <c r="X348" s="392">
        <f>VLOOKUP(Complete[[#This Row],[Code
(PAP)]],[1]Sheet1!$A:$AO,24,FALSE)</f>
        <v>45439</v>
      </c>
      <c r="Y348" s="392">
        <f>Complete[[#This Row],[Delivery/ Completion]]</f>
        <v>45439</v>
      </c>
      <c r="Z348" s="610" t="s">
        <v>1478</v>
      </c>
      <c r="AA348" s="462">
        <f>Complete[[#This Row],[MOOE]]+Complete[[#This Row],[CO]]</f>
        <v>24900</v>
      </c>
      <c r="AB348" s="466">
        <v>24900</v>
      </c>
      <c r="AC348" s="497"/>
      <c r="AD348" s="498">
        <f>IF(Complete[[#This Row],[Procurement Project]]="","",SUM(Complete[[#This Row],[MOOE2]]+Complete[[#This Row],[CO3]]))</f>
        <v>24900</v>
      </c>
      <c r="AE348" s="501">
        <v>24900</v>
      </c>
      <c r="AF348" s="541"/>
      <c r="AG348" s="400"/>
      <c r="AH348" s="380" t="s">
        <v>1205</v>
      </c>
      <c r="AI348" s="576" t="str">
        <f>VLOOKUP(Complete[[#This Row],[Code
(PAP)]],[1]Sheet1!$A:$AO,35,FALSE)</f>
        <v>N/A</v>
      </c>
      <c r="AJ348" s="576" t="str">
        <f>VLOOKUP(Complete[[#This Row],[Code
(PAP)]],[1]Sheet1!$A:$AO,36,FALSE)</f>
        <v>N/A</v>
      </c>
      <c r="AK348" s="576" t="str">
        <f>VLOOKUP(Complete[[#This Row],[Code
(PAP)]],[1]Sheet1!$A:$AO,37,FALSE)</f>
        <v>N/A</v>
      </c>
      <c r="AL348" s="576" t="str">
        <f>VLOOKUP(Complete[[#This Row],[Code
(PAP)]],[1]Sheet1!$A:$AO,38,FALSE)</f>
        <v>N/A</v>
      </c>
      <c r="AM348" s="576" t="str">
        <f>VLOOKUP(Complete[[#This Row],[Code
(PAP)]],[1]Sheet1!$A:$AO,38,FALSE)</f>
        <v>N/A</v>
      </c>
      <c r="AN348" s="595" t="s">
        <v>713</v>
      </c>
      <c r="AO348" s="303" t="s">
        <v>139</v>
      </c>
      <c r="AP348" s="389"/>
      <c r="AQ348" s="389"/>
    </row>
    <row r="349" spans="1:43" s="224" customFormat="1" ht="75" customHeight="1" x14ac:dyDescent="0.25">
      <c r="A349" s="385" t="s">
        <v>527</v>
      </c>
      <c r="B349" s="406" t="str">
        <f>VLOOKUP(Complete[[#This Row],[Code
(PAP)]],[1]Sheet1!$A:$AO,2,FALSE)</f>
        <v>JANITORIAL SUPPLIES</v>
      </c>
      <c r="C349" s="408" t="str">
        <f>VLOOKUP(Complete[[#This Row],[Code
(PAP)]],[1]Sheet1!$A:$AO,3,FALSE)</f>
        <v>PAGRO</v>
      </c>
      <c r="D349" s="380" t="s">
        <v>712</v>
      </c>
      <c r="E349" s="409" t="str">
        <f>VLOOKUP(Complete[[#This Row],[Code
(PAP)]],[2]Sheet1!$A:$AO,5,FALSE)</f>
        <v>NP-53.9 - Small Value Procurement</v>
      </c>
      <c r="F349" s="393" t="str">
        <f>VLOOKUP(Complete[[#This Row],[Code
(PAP)]],[1]Sheet1!$A:$AO,6,FALSE)</f>
        <v>N/A</v>
      </c>
      <c r="G349" s="393">
        <f>VLOOKUP(Complete[[#This Row],[Code
(PAP)]],[1]Sheet1!$A:$AO,7,FALSE)</f>
        <v>45376</v>
      </c>
      <c r="H349" s="374"/>
      <c r="I349" s="394" t="str">
        <f>VLOOKUP(Complete[[#This Row],[Code
(PAP)]],[1]Sheet1!$A:$AO,9,FALSE)</f>
        <v>N/A</v>
      </c>
      <c r="J349" s="393">
        <f>VLOOKUP(Complete[[#This Row],[Code
(PAP)]],[1]Sheet1!$A:$AO,10,FALSE)</f>
        <v>45398</v>
      </c>
      <c r="K349" s="393">
        <f>VLOOKUP(Complete[[#This Row],[Code
(PAP)]],[1]Sheet1!$A:$AO,11,FALSE)</f>
        <v>45398</v>
      </c>
      <c r="L349" s="387"/>
      <c r="M349" s="393" t="str">
        <f>VLOOKUP(Complete[[#This Row],[Code
(PAP)]],[1]Sheet1!$A:$AO,13,FALSE)</f>
        <v>N/A</v>
      </c>
      <c r="N349" s="393" t="str">
        <f>VLOOKUP(Complete[[#This Row],[Code
(PAP)]],[1]Sheet1!$A:$AO,14,FALSE)</f>
        <v>N/A</v>
      </c>
      <c r="O349" s="393">
        <v>45404</v>
      </c>
      <c r="P349" s="387"/>
      <c r="Q349" s="387"/>
      <c r="R349" s="387"/>
      <c r="S349" s="576" t="str">
        <f>VLOOKUP(Complete[[#This Row],[Code
(PAP)]],[1]Sheet1!$A:$AO,19,FALSE)</f>
        <v>N/A</v>
      </c>
      <c r="T349" s="576">
        <f>VLOOKUP(Complete[[#This Row],[Code
(PAP)]],[1]Sheet1!$A:$AO,20,FALSE)</f>
        <v>45433</v>
      </c>
      <c r="U349" s="576">
        <f>VLOOKUP(Complete[[#This Row],[Code
(PAP)]],[1]Sheet1!$A:$AO,21,FALSE)</f>
        <v>45434</v>
      </c>
      <c r="V349" s="387"/>
      <c r="W349" s="387"/>
      <c r="X349" s="392">
        <f>VLOOKUP(Complete[[#This Row],[Code
(PAP)]],[1]Sheet1!$A:$AO,24,FALSE)</f>
        <v>45441</v>
      </c>
      <c r="Y349" s="392">
        <f>Complete[[#This Row],[Delivery/ Completion]]</f>
        <v>45441</v>
      </c>
      <c r="Z349" s="610" t="s">
        <v>1478</v>
      </c>
      <c r="AA349" s="462">
        <f>Complete[[#This Row],[MOOE]]+Complete[[#This Row],[CO]]</f>
        <v>25296</v>
      </c>
      <c r="AB349" s="466"/>
      <c r="AC349" s="497">
        <v>25296</v>
      </c>
      <c r="AD349" s="498">
        <f>IF(Complete[[#This Row],[Procurement Project]]="","",SUM(Complete[[#This Row],[MOOE2]]+Complete[[#This Row],[CO3]]))</f>
        <v>24692</v>
      </c>
      <c r="AE349" s="501"/>
      <c r="AF349" s="541">
        <v>24692</v>
      </c>
      <c r="AG349" s="400"/>
      <c r="AH349" s="380" t="s">
        <v>1205</v>
      </c>
      <c r="AI349" s="576" t="str">
        <f>VLOOKUP(Complete[[#This Row],[Code
(PAP)]],[1]Sheet1!$A:$AO,35,FALSE)</f>
        <v>N/A</v>
      </c>
      <c r="AJ349" s="576" t="str">
        <f>VLOOKUP(Complete[[#This Row],[Code
(PAP)]],[1]Sheet1!$A:$AO,36,FALSE)</f>
        <v>N/A</v>
      </c>
      <c r="AK349" s="576" t="str">
        <f>VLOOKUP(Complete[[#This Row],[Code
(PAP)]],[1]Sheet1!$A:$AO,37,FALSE)</f>
        <v>N/A</v>
      </c>
      <c r="AL349" s="576" t="str">
        <f>VLOOKUP(Complete[[#This Row],[Code
(PAP)]],[1]Sheet1!$A:$AO,38,FALSE)</f>
        <v>N/A</v>
      </c>
      <c r="AM349" s="576" t="str">
        <f>VLOOKUP(Complete[[#This Row],[Code
(PAP)]],[1]Sheet1!$A:$AO,38,FALSE)</f>
        <v>N/A</v>
      </c>
      <c r="AN349" s="595" t="s">
        <v>713</v>
      </c>
      <c r="AO349" s="303" t="s">
        <v>139</v>
      </c>
      <c r="AP349" s="389"/>
      <c r="AQ349" s="389"/>
    </row>
    <row r="350" spans="1:43" s="224" customFormat="1" ht="75" customHeight="1" x14ac:dyDescent="0.25">
      <c r="A350" s="385" t="s">
        <v>528</v>
      </c>
      <c r="B350" s="406" t="str">
        <f>VLOOKUP(Complete[[#This Row],[Code
(PAP)]],[1]Sheet1!$A:$AO,2,FALSE)</f>
        <v>LAGARAW (LIKONG)</v>
      </c>
      <c r="C350" s="408" t="str">
        <f>VLOOKUP(Complete[[#This Row],[Code
(PAP)]],[1]Sheet1!$A:$AO,3,FALSE)</f>
        <v>PGO</v>
      </c>
      <c r="D350" s="380" t="s">
        <v>712</v>
      </c>
      <c r="E350" s="409" t="str">
        <f>VLOOKUP(Complete[[#This Row],[Code
(PAP)]],[2]Sheet1!$A:$AO,5,FALSE)</f>
        <v>NP-53.9 - Small Value Procurement</v>
      </c>
      <c r="F350" s="393" t="str">
        <f>VLOOKUP(Complete[[#This Row],[Code
(PAP)]],[1]Sheet1!$A:$AO,6,FALSE)</f>
        <v>N/A</v>
      </c>
      <c r="G350" s="393">
        <f>VLOOKUP(Complete[[#This Row],[Code
(PAP)]],[1]Sheet1!$A:$AO,7,FALSE)</f>
        <v>45376</v>
      </c>
      <c r="H350" s="374"/>
      <c r="I350" s="394" t="str">
        <f>VLOOKUP(Complete[[#This Row],[Code
(PAP)]],[1]Sheet1!$A:$AO,9,FALSE)</f>
        <v>N/A</v>
      </c>
      <c r="J350" s="393">
        <f>VLOOKUP(Complete[[#This Row],[Code
(PAP)]],[1]Sheet1!$A:$AO,10,FALSE)</f>
        <v>45398</v>
      </c>
      <c r="K350" s="393">
        <f>VLOOKUP(Complete[[#This Row],[Code
(PAP)]],[1]Sheet1!$A:$AO,11,FALSE)</f>
        <v>45398</v>
      </c>
      <c r="L350" s="387"/>
      <c r="M350" s="393" t="str">
        <f>VLOOKUP(Complete[[#This Row],[Code
(PAP)]],[1]Sheet1!$A:$AO,13,FALSE)</f>
        <v>N/A</v>
      </c>
      <c r="N350" s="393" t="str">
        <f>VLOOKUP(Complete[[#This Row],[Code
(PAP)]],[1]Sheet1!$A:$AO,14,FALSE)</f>
        <v>N/A</v>
      </c>
      <c r="O350" s="393">
        <v>45404</v>
      </c>
      <c r="P350" s="387"/>
      <c r="Q350" s="387"/>
      <c r="R350" s="387"/>
      <c r="S350" s="576" t="str">
        <f>VLOOKUP(Complete[[#This Row],[Code
(PAP)]],[1]Sheet1!$A:$AO,19,FALSE)</f>
        <v>N/A</v>
      </c>
      <c r="T350" s="576">
        <f>VLOOKUP(Complete[[#This Row],[Code
(PAP)]],[1]Sheet1!$A:$AO,20,FALSE)</f>
        <v>45412</v>
      </c>
      <c r="U350" s="576">
        <f>VLOOKUP(Complete[[#This Row],[Code
(PAP)]],[1]Sheet1!$A:$AO,21,FALSE)</f>
        <v>45432</v>
      </c>
      <c r="V350" s="387"/>
      <c r="W350" s="387"/>
      <c r="X350" s="392">
        <f>VLOOKUP(Complete[[#This Row],[Code
(PAP)]],[1]Sheet1!$A:$AO,24,FALSE)</f>
        <v>45469</v>
      </c>
      <c r="Y350" s="392">
        <f>Complete[[#This Row],[Delivery/ Completion]]</f>
        <v>45469</v>
      </c>
      <c r="Z350" s="610" t="s">
        <v>1478</v>
      </c>
      <c r="AA350" s="462">
        <f>Complete[[#This Row],[MOOE]]+Complete[[#This Row],[CO]]</f>
        <v>22725</v>
      </c>
      <c r="AB350" s="466"/>
      <c r="AC350" s="497">
        <v>22725</v>
      </c>
      <c r="AD350" s="498">
        <f>IF(Complete[[#This Row],[Procurement Project]]="","",SUM(Complete[[#This Row],[MOOE2]]+Complete[[#This Row],[CO3]]))</f>
        <v>22725</v>
      </c>
      <c r="AE350" s="501"/>
      <c r="AF350" s="541">
        <v>22725</v>
      </c>
      <c r="AG350" s="400"/>
      <c r="AH350" s="380" t="s">
        <v>1205</v>
      </c>
      <c r="AI350" s="576" t="str">
        <f>VLOOKUP(Complete[[#This Row],[Code
(PAP)]],[1]Sheet1!$A:$AO,35,FALSE)</f>
        <v>N/A</v>
      </c>
      <c r="AJ350" s="576" t="str">
        <f>VLOOKUP(Complete[[#This Row],[Code
(PAP)]],[1]Sheet1!$A:$AO,36,FALSE)</f>
        <v>N/A</v>
      </c>
      <c r="AK350" s="576" t="str">
        <f>VLOOKUP(Complete[[#This Row],[Code
(PAP)]],[1]Sheet1!$A:$AO,37,FALSE)</f>
        <v>N/A</v>
      </c>
      <c r="AL350" s="576" t="str">
        <f>VLOOKUP(Complete[[#This Row],[Code
(PAP)]],[1]Sheet1!$A:$AO,38,FALSE)</f>
        <v>N/A</v>
      </c>
      <c r="AM350" s="576" t="str">
        <f>VLOOKUP(Complete[[#This Row],[Code
(PAP)]],[1]Sheet1!$A:$AO,38,FALSE)</f>
        <v>N/A</v>
      </c>
      <c r="AN350" s="595" t="s">
        <v>713</v>
      </c>
      <c r="AO350" s="303" t="s">
        <v>139</v>
      </c>
      <c r="AP350" s="389"/>
      <c r="AQ350" s="389"/>
    </row>
    <row r="351" spans="1:43" s="224" customFormat="1" ht="75" customHeight="1" x14ac:dyDescent="0.25">
      <c r="A351" s="385" t="s">
        <v>529</v>
      </c>
      <c r="B351" s="406" t="str">
        <f>VLOOKUP(Complete[[#This Row],[Code
(PAP)]],[1]Sheet1!$A:$AO,2,FALSE)</f>
        <v>SPORTS SUPPLIES &amp; EQUIPMENT</v>
      </c>
      <c r="C351" s="408" t="str">
        <f>VLOOKUP(Complete[[#This Row],[Code
(PAP)]],[1]Sheet1!$A:$AO,3,FALSE)</f>
        <v>PGO</v>
      </c>
      <c r="D351" s="380" t="s">
        <v>712</v>
      </c>
      <c r="E351" s="409" t="str">
        <f>VLOOKUP(Complete[[#This Row],[Code
(PAP)]],[2]Sheet1!$A:$AO,5,FALSE)</f>
        <v>NP-53.9 - Small Value Procurement</v>
      </c>
      <c r="F351" s="393" t="str">
        <f>VLOOKUP(Complete[[#This Row],[Code
(PAP)]],[1]Sheet1!$A:$AO,6,FALSE)</f>
        <v>N/A</v>
      </c>
      <c r="G351" s="393">
        <f>VLOOKUP(Complete[[#This Row],[Code
(PAP)]],[1]Sheet1!$A:$AO,7,FALSE)</f>
        <v>45376</v>
      </c>
      <c r="H351" s="374"/>
      <c r="I351" s="394" t="str">
        <f>VLOOKUP(Complete[[#This Row],[Code
(PAP)]],[1]Sheet1!$A:$AO,9,FALSE)</f>
        <v>N/A</v>
      </c>
      <c r="J351" s="393">
        <f>VLOOKUP(Complete[[#This Row],[Code
(PAP)]],[1]Sheet1!$A:$AO,10,FALSE)</f>
        <v>45398</v>
      </c>
      <c r="K351" s="393">
        <f>VLOOKUP(Complete[[#This Row],[Code
(PAP)]],[1]Sheet1!$A:$AO,11,FALSE)</f>
        <v>45398</v>
      </c>
      <c r="L351" s="387"/>
      <c r="M351" s="393" t="str">
        <f>VLOOKUP(Complete[[#This Row],[Code
(PAP)]],[1]Sheet1!$A:$AO,13,FALSE)</f>
        <v>N/A</v>
      </c>
      <c r="N351" s="393" t="str">
        <f>VLOOKUP(Complete[[#This Row],[Code
(PAP)]],[1]Sheet1!$A:$AO,14,FALSE)</f>
        <v>N/A</v>
      </c>
      <c r="O351" s="393">
        <v>45404</v>
      </c>
      <c r="P351" s="387"/>
      <c r="Q351" s="387"/>
      <c r="R351" s="387"/>
      <c r="S351" s="576" t="str">
        <f>VLOOKUP(Complete[[#This Row],[Code
(PAP)]],[1]Sheet1!$A:$AO,19,FALSE)</f>
        <v>N/A</v>
      </c>
      <c r="T351" s="576">
        <f>VLOOKUP(Complete[[#This Row],[Code
(PAP)]],[1]Sheet1!$A:$AO,20,FALSE)</f>
        <v>45412</v>
      </c>
      <c r="U351" s="576">
        <f>VLOOKUP(Complete[[#This Row],[Code
(PAP)]],[1]Sheet1!$A:$AO,21,FALSE)</f>
        <v>45422</v>
      </c>
      <c r="V351" s="387"/>
      <c r="W351" s="387"/>
      <c r="X351" s="392">
        <f>VLOOKUP(Complete[[#This Row],[Code
(PAP)]],[1]Sheet1!$A:$AO,24,FALSE)</f>
        <v>45449</v>
      </c>
      <c r="Y351" s="392">
        <f>Complete[[#This Row],[Delivery/ Completion]]</f>
        <v>45449</v>
      </c>
      <c r="Z351" s="610" t="s">
        <v>1478</v>
      </c>
      <c r="AA351" s="462">
        <f>Complete[[#This Row],[MOOE]]+Complete[[#This Row],[CO]]</f>
        <v>3360</v>
      </c>
      <c r="AB351" s="466"/>
      <c r="AC351" s="497">
        <v>3360</v>
      </c>
      <c r="AD351" s="498">
        <f>IF(Complete[[#This Row],[Procurement Project]]="","",SUM(Complete[[#This Row],[MOOE2]]+Complete[[#This Row],[CO3]]))</f>
        <v>3360</v>
      </c>
      <c r="AE351" s="501"/>
      <c r="AF351" s="541">
        <v>3360</v>
      </c>
      <c r="AG351" s="400"/>
      <c r="AH351" s="380" t="s">
        <v>1205</v>
      </c>
      <c r="AI351" s="576" t="str">
        <f>VLOOKUP(Complete[[#This Row],[Code
(PAP)]],[1]Sheet1!$A:$AO,35,FALSE)</f>
        <v>N/A</v>
      </c>
      <c r="AJ351" s="576" t="str">
        <f>VLOOKUP(Complete[[#This Row],[Code
(PAP)]],[1]Sheet1!$A:$AO,36,FALSE)</f>
        <v>N/A</v>
      </c>
      <c r="AK351" s="576" t="str">
        <f>VLOOKUP(Complete[[#This Row],[Code
(PAP)]],[1]Sheet1!$A:$AO,37,FALSE)</f>
        <v>N/A</v>
      </c>
      <c r="AL351" s="576" t="str">
        <f>VLOOKUP(Complete[[#This Row],[Code
(PAP)]],[1]Sheet1!$A:$AO,38,FALSE)</f>
        <v>N/A</v>
      </c>
      <c r="AM351" s="576" t="str">
        <f>VLOOKUP(Complete[[#This Row],[Code
(PAP)]],[1]Sheet1!$A:$AO,38,FALSE)</f>
        <v>N/A</v>
      </c>
      <c r="AN351" s="595" t="s">
        <v>713</v>
      </c>
      <c r="AO351" s="303" t="s">
        <v>139</v>
      </c>
      <c r="AP351" s="389"/>
      <c r="AQ351" s="389"/>
    </row>
    <row r="352" spans="1:43" s="224" customFormat="1" ht="75" customHeight="1" x14ac:dyDescent="0.25">
      <c r="A352" s="385" t="s">
        <v>530</v>
      </c>
      <c r="B352" s="406" t="str">
        <f>VLOOKUP(Complete[[#This Row],[Code
(PAP)]],[1]Sheet1!$A:$AO,2,FALSE)</f>
        <v>MONEY DETECTOR &amp; MONEY COUNTER</v>
      </c>
      <c r="C352" s="408" t="str">
        <f>VLOOKUP(Complete[[#This Row],[Code
(PAP)]],[1]Sheet1!$A:$AO,3,FALSE)</f>
        <v>PTO</v>
      </c>
      <c r="D352" s="380" t="s">
        <v>712</v>
      </c>
      <c r="E352" s="409" t="str">
        <f>VLOOKUP(Complete[[#This Row],[Code
(PAP)]],[2]Sheet1!$A:$AO,5,FALSE)</f>
        <v>NP-53.9 - Small Value Procurement</v>
      </c>
      <c r="F352" s="393" t="str">
        <f>VLOOKUP(Complete[[#This Row],[Code
(PAP)]],[1]Sheet1!$A:$AO,6,FALSE)</f>
        <v>N/A</v>
      </c>
      <c r="G352" s="393">
        <f>VLOOKUP(Complete[[#This Row],[Code
(PAP)]],[1]Sheet1!$A:$AO,7,FALSE)</f>
        <v>45376</v>
      </c>
      <c r="H352" s="374"/>
      <c r="I352" s="394" t="str">
        <f>VLOOKUP(Complete[[#This Row],[Code
(PAP)]],[1]Sheet1!$A:$AO,9,FALSE)</f>
        <v>N/A</v>
      </c>
      <c r="J352" s="393">
        <f>VLOOKUP(Complete[[#This Row],[Code
(PAP)]],[1]Sheet1!$A:$AO,10,FALSE)</f>
        <v>45398</v>
      </c>
      <c r="K352" s="393">
        <f>VLOOKUP(Complete[[#This Row],[Code
(PAP)]],[1]Sheet1!$A:$AO,11,FALSE)</f>
        <v>45398</v>
      </c>
      <c r="L352" s="387"/>
      <c r="M352" s="393" t="str">
        <f>VLOOKUP(Complete[[#This Row],[Code
(PAP)]],[1]Sheet1!$A:$AO,13,FALSE)</f>
        <v>N/A</v>
      </c>
      <c r="N352" s="393" t="str">
        <f>VLOOKUP(Complete[[#This Row],[Code
(PAP)]],[1]Sheet1!$A:$AO,14,FALSE)</f>
        <v>N/A</v>
      </c>
      <c r="O352" s="393">
        <v>45404</v>
      </c>
      <c r="P352" s="387"/>
      <c r="Q352" s="387"/>
      <c r="R352" s="387"/>
      <c r="S352" s="576" t="str">
        <f>VLOOKUP(Complete[[#This Row],[Code
(PAP)]],[1]Sheet1!$A:$AO,19,FALSE)</f>
        <v>N/A</v>
      </c>
      <c r="T352" s="576">
        <f>VLOOKUP(Complete[[#This Row],[Code
(PAP)]],[1]Sheet1!$A:$AO,20,FALSE)</f>
        <v>45412</v>
      </c>
      <c r="U352" s="576">
        <f>VLOOKUP(Complete[[#This Row],[Code
(PAP)]],[1]Sheet1!$A:$AO,21,FALSE)</f>
        <v>45425</v>
      </c>
      <c r="V352" s="387"/>
      <c r="W352" s="387"/>
      <c r="X352" s="392">
        <f>VLOOKUP(Complete[[#This Row],[Code
(PAP)]],[1]Sheet1!$A:$AO,24,FALSE)</f>
        <v>45432</v>
      </c>
      <c r="Y352" s="392">
        <f>Complete[[#This Row],[Delivery/ Completion]]</f>
        <v>45432</v>
      </c>
      <c r="Z352" s="610" t="s">
        <v>1478</v>
      </c>
      <c r="AA352" s="462">
        <f>Complete[[#This Row],[MOOE]]+Complete[[#This Row],[CO]]</f>
        <v>20179</v>
      </c>
      <c r="AB352" s="466">
        <v>20179</v>
      </c>
      <c r="AC352" s="497"/>
      <c r="AD352" s="498">
        <f>IF(Complete[[#This Row],[Procurement Project]]="","",SUM(Complete[[#This Row],[MOOE2]]+Complete[[#This Row],[CO3]]))</f>
        <v>20175</v>
      </c>
      <c r="AE352" s="501">
        <v>20175</v>
      </c>
      <c r="AF352" s="541"/>
      <c r="AG352" s="400"/>
      <c r="AH352" s="380" t="s">
        <v>1205</v>
      </c>
      <c r="AI352" s="576" t="str">
        <f>VLOOKUP(Complete[[#This Row],[Code
(PAP)]],[1]Sheet1!$A:$AO,35,FALSE)</f>
        <v>N/A</v>
      </c>
      <c r="AJ352" s="576" t="str">
        <f>VLOOKUP(Complete[[#This Row],[Code
(PAP)]],[1]Sheet1!$A:$AO,36,FALSE)</f>
        <v>N/A</v>
      </c>
      <c r="AK352" s="576" t="str">
        <f>VLOOKUP(Complete[[#This Row],[Code
(PAP)]],[1]Sheet1!$A:$AO,37,FALSE)</f>
        <v>N/A</v>
      </c>
      <c r="AL352" s="576" t="str">
        <f>VLOOKUP(Complete[[#This Row],[Code
(PAP)]],[1]Sheet1!$A:$AO,38,FALSE)</f>
        <v>N/A</v>
      </c>
      <c r="AM352" s="576" t="str">
        <f>VLOOKUP(Complete[[#This Row],[Code
(PAP)]],[1]Sheet1!$A:$AO,38,FALSE)</f>
        <v>N/A</v>
      </c>
      <c r="AN352" s="595" t="s">
        <v>713</v>
      </c>
      <c r="AO352" s="303" t="s">
        <v>139</v>
      </c>
      <c r="AP352" s="389"/>
      <c r="AQ352" s="389"/>
    </row>
    <row r="353" spans="1:43" s="224" customFormat="1" ht="75" customHeight="1" x14ac:dyDescent="0.25">
      <c r="A353" s="385" t="s">
        <v>531</v>
      </c>
      <c r="B353" s="406" t="str">
        <f>VLOOKUP(Complete[[#This Row],[Code
(PAP)]],[1]Sheet1!$A:$AO,2,FALSE)</f>
        <v>ELECTRIC HAND DRILL</v>
      </c>
      <c r="C353" s="408" t="str">
        <f>VLOOKUP(Complete[[#This Row],[Code
(PAP)]],[1]Sheet1!$A:$AO,3,FALSE)</f>
        <v>PGSO</v>
      </c>
      <c r="D353" s="380" t="s">
        <v>712</v>
      </c>
      <c r="E353" s="409" t="str">
        <f>VLOOKUP(Complete[[#This Row],[Code
(PAP)]],[2]Sheet1!$A:$AO,5,FALSE)</f>
        <v>NP-53.9 - Small Value Procurement</v>
      </c>
      <c r="F353" s="393">
        <f>VLOOKUP(Complete[[#This Row],[Code
(PAP)]],[1]Sheet1!$A:$AO,6,FALSE)</f>
        <v>45370</v>
      </c>
      <c r="G353" s="393">
        <f>VLOOKUP(Complete[[#This Row],[Code
(PAP)]],[1]Sheet1!$A:$AO,7,FALSE)</f>
        <v>45376</v>
      </c>
      <c r="H353" s="374"/>
      <c r="I353" s="394" t="str">
        <f>VLOOKUP(Complete[[#This Row],[Code
(PAP)]],[1]Sheet1!$A:$AO,9,FALSE)</f>
        <v>N/A</v>
      </c>
      <c r="J353" s="393">
        <f>VLOOKUP(Complete[[#This Row],[Code
(PAP)]],[1]Sheet1!$A:$AO,10,FALSE)</f>
        <v>45398</v>
      </c>
      <c r="K353" s="393">
        <f>VLOOKUP(Complete[[#This Row],[Code
(PAP)]],[1]Sheet1!$A:$AO,11,FALSE)</f>
        <v>45398</v>
      </c>
      <c r="L353" s="387"/>
      <c r="M353" s="393" t="str">
        <f>VLOOKUP(Complete[[#This Row],[Code
(PAP)]],[1]Sheet1!$A:$AO,13,FALSE)</f>
        <v>N/A</v>
      </c>
      <c r="N353" s="393" t="str">
        <f>VLOOKUP(Complete[[#This Row],[Code
(PAP)]],[1]Sheet1!$A:$AO,14,FALSE)</f>
        <v>N/A</v>
      </c>
      <c r="O353" s="393">
        <v>45404</v>
      </c>
      <c r="P353" s="387"/>
      <c r="Q353" s="387"/>
      <c r="R353" s="387"/>
      <c r="S353" s="576" t="str">
        <f>VLOOKUP(Complete[[#This Row],[Code
(PAP)]],[1]Sheet1!$A:$AO,19,FALSE)</f>
        <v>N/A</v>
      </c>
      <c r="T353" s="576">
        <f>VLOOKUP(Complete[[#This Row],[Code
(PAP)]],[1]Sheet1!$A:$AO,20,FALSE)</f>
        <v>45425</v>
      </c>
      <c r="U353" s="576">
        <f>VLOOKUP(Complete[[#This Row],[Code
(PAP)]],[1]Sheet1!$A:$AO,21,FALSE)</f>
        <v>45435</v>
      </c>
      <c r="V353" s="387"/>
      <c r="W353" s="387"/>
      <c r="X353" s="392">
        <f>VLOOKUP(Complete[[#This Row],[Code
(PAP)]],[1]Sheet1!$A:$AO,24,FALSE)</f>
        <v>45441</v>
      </c>
      <c r="Y353" s="392">
        <f>Complete[[#This Row],[Delivery/ Completion]]</f>
        <v>45441</v>
      </c>
      <c r="Z353" s="610" t="s">
        <v>1478</v>
      </c>
      <c r="AA353" s="462">
        <f>Complete[[#This Row],[MOOE]]+Complete[[#This Row],[CO]]</f>
        <v>10720</v>
      </c>
      <c r="AB353" s="466">
        <v>10720</v>
      </c>
      <c r="AC353" s="497"/>
      <c r="AD353" s="498">
        <f>IF(Complete[[#This Row],[Procurement Project]]="","",SUM(Complete[[#This Row],[MOOE2]]+Complete[[#This Row],[CO3]]))</f>
        <v>10710</v>
      </c>
      <c r="AE353" s="501">
        <v>10710</v>
      </c>
      <c r="AF353" s="541"/>
      <c r="AG353" s="400"/>
      <c r="AH353" s="380" t="s">
        <v>1205</v>
      </c>
      <c r="AI353" s="576" t="str">
        <f>VLOOKUP(Complete[[#This Row],[Code
(PAP)]],[1]Sheet1!$A:$AO,35,FALSE)</f>
        <v>N/A</v>
      </c>
      <c r="AJ353" s="576" t="str">
        <f>VLOOKUP(Complete[[#This Row],[Code
(PAP)]],[1]Sheet1!$A:$AO,36,FALSE)</f>
        <v>N/A</v>
      </c>
      <c r="AK353" s="576" t="str">
        <f>VLOOKUP(Complete[[#This Row],[Code
(PAP)]],[1]Sheet1!$A:$AO,37,FALSE)</f>
        <v>N/A</v>
      </c>
      <c r="AL353" s="576" t="str">
        <f>VLOOKUP(Complete[[#This Row],[Code
(PAP)]],[1]Sheet1!$A:$AO,38,FALSE)</f>
        <v>N/A</v>
      </c>
      <c r="AM353" s="576" t="str">
        <f>VLOOKUP(Complete[[#This Row],[Code
(PAP)]],[1]Sheet1!$A:$AO,38,FALSE)</f>
        <v>N/A</v>
      </c>
      <c r="AN353" s="595" t="s">
        <v>713</v>
      </c>
      <c r="AO353" s="303" t="s">
        <v>139</v>
      </c>
      <c r="AP353" s="389"/>
      <c r="AQ353" s="389"/>
    </row>
    <row r="354" spans="1:43" s="224" customFormat="1" ht="75" customHeight="1" x14ac:dyDescent="0.25">
      <c r="A354" s="385" t="s">
        <v>532</v>
      </c>
      <c r="B354" s="406" t="str">
        <f>VLOOKUP(Complete[[#This Row],[Code
(PAP)]],[1]Sheet1!$A:$AO,2,FALSE)</f>
        <v>BACK PACK</v>
      </c>
      <c r="C354" s="408" t="str">
        <f>VLOOKUP(Complete[[#This Row],[Code
(PAP)]],[1]Sheet1!$A:$AO,3,FALSE)</f>
        <v>PGO</v>
      </c>
      <c r="D354" s="380" t="s">
        <v>712</v>
      </c>
      <c r="E354" s="409" t="str">
        <f>VLOOKUP(Complete[[#This Row],[Code
(PAP)]],[2]Sheet1!$A:$AO,5,FALSE)</f>
        <v>NP-53.9 - Small Value Procurement</v>
      </c>
      <c r="F354" s="393" t="str">
        <f>VLOOKUP(Complete[[#This Row],[Code
(PAP)]],[1]Sheet1!$A:$AO,6,FALSE)</f>
        <v>N/A</v>
      </c>
      <c r="G354" s="393">
        <f>VLOOKUP(Complete[[#This Row],[Code
(PAP)]],[1]Sheet1!$A:$AO,7,FALSE)</f>
        <v>45376</v>
      </c>
      <c r="H354" s="374"/>
      <c r="I354" s="394" t="str">
        <f>VLOOKUP(Complete[[#This Row],[Code
(PAP)]],[1]Sheet1!$A:$AO,9,FALSE)</f>
        <v>N/A</v>
      </c>
      <c r="J354" s="393">
        <f>VLOOKUP(Complete[[#This Row],[Code
(PAP)]],[1]Sheet1!$A:$AO,10,FALSE)</f>
        <v>45398</v>
      </c>
      <c r="K354" s="393">
        <f>VLOOKUP(Complete[[#This Row],[Code
(PAP)]],[1]Sheet1!$A:$AO,11,FALSE)</f>
        <v>45398</v>
      </c>
      <c r="L354" s="387"/>
      <c r="M354" s="393" t="str">
        <f>VLOOKUP(Complete[[#This Row],[Code
(PAP)]],[1]Sheet1!$A:$AO,13,FALSE)</f>
        <v>N/A</v>
      </c>
      <c r="N354" s="393" t="str">
        <f>VLOOKUP(Complete[[#This Row],[Code
(PAP)]],[1]Sheet1!$A:$AO,14,FALSE)</f>
        <v>N/A</v>
      </c>
      <c r="O354" s="393">
        <v>45404</v>
      </c>
      <c r="P354" s="387"/>
      <c r="Q354" s="387"/>
      <c r="R354" s="387"/>
      <c r="S354" s="576" t="str">
        <f>VLOOKUP(Complete[[#This Row],[Code
(PAP)]],[1]Sheet1!$A:$AO,19,FALSE)</f>
        <v>N/A</v>
      </c>
      <c r="T354" s="576">
        <f>VLOOKUP(Complete[[#This Row],[Code
(PAP)]],[1]Sheet1!$A:$AO,20,FALSE)</f>
        <v>45427</v>
      </c>
      <c r="U354" s="576">
        <f>VLOOKUP(Complete[[#This Row],[Code
(PAP)]],[1]Sheet1!$A:$AO,21,FALSE)</f>
        <v>45432</v>
      </c>
      <c r="V354" s="387"/>
      <c r="W354" s="387"/>
      <c r="X354" s="392">
        <f>VLOOKUP(Complete[[#This Row],[Code
(PAP)]],[1]Sheet1!$A:$AO,24,FALSE)</f>
        <v>45440</v>
      </c>
      <c r="Y354" s="392">
        <f>Complete[[#This Row],[Delivery/ Completion]]</f>
        <v>45440</v>
      </c>
      <c r="Z354" s="610" t="s">
        <v>1478</v>
      </c>
      <c r="AA354" s="462">
        <f>Complete[[#This Row],[MOOE]]+Complete[[#This Row],[CO]]</f>
        <v>34500</v>
      </c>
      <c r="AB354" s="466"/>
      <c r="AC354" s="497">
        <v>34500</v>
      </c>
      <c r="AD354" s="498">
        <f>IF(Complete[[#This Row],[Procurement Project]]="","",SUM(Complete[[#This Row],[MOOE2]]+Complete[[#This Row],[CO3]]))</f>
        <v>34500</v>
      </c>
      <c r="AE354" s="501"/>
      <c r="AF354" s="541">
        <v>34500</v>
      </c>
      <c r="AG354" s="400"/>
      <c r="AH354" s="380" t="s">
        <v>1205</v>
      </c>
      <c r="AI354" s="576" t="str">
        <f>VLOOKUP(Complete[[#This Row],[Code
(PAP)]],[1]Sheet1!$A:$AO,35,FALSE)</f>
        <v>N/A</v>
      </c>
      <c r="AJ354" s="576" t="str">
        <f>VLOOKUP(Complete[[#This Row],[Code
(PAP)]],[1]Sheet1!$A:$AO,36,FALSE)</f>
        <v>N/A</v>
      </c>
      <c r="AK354" s="576" t="str">
        <f>VLOOKUP(Complete[[#This Row],[Code
(PAP)]],[1]Sheet1!$A:$AO,37,FALSE)</f>
        <v>N/A</v>
      </c>
      <c r="AL354" s="576" t="str">
        <f>VLOOKUP(Complete[[#This Row],[Code
(PAP)]],[1]Sheet1!$A:$AO,38,FALSE)</f>
        <v>N/A</v>
      </c>
      <c r="AM354" s="576" t="str">
        <f>VLOOKUP(Complete[[#This Row],[Code
(PAP)]],[1]Sheet1!$A:$AO,38,FALSE)</f>
        <v>N/A</v>
      </c>
      <c r="AN354" s="595" t="s">
        <v>713</v>
      </c>
      <c r="AO354" s="303" t="s">
        <v>139</v>
      </c>
      <c r="AP354" s="389"/>
      <c r="AQ354" s="389"/>
    </row>
    <row r="355" spans="1:43" s="224" customFormat="1" ht="75" customHeight="1" x14ac:dyDescent="0.25">
      <c r="A355" s="385" t="s">
        <v>533</v>
      </c>
      <c r="B355" s="406" t="str">
        <f>VLOOKUP(Complete[[#This Row],[Code
(PAP)]],[1]Sheet1!$A:$AO,2,FALSE)</f>
        <v>MONITOR, COMPUTER</v>
      </c>
      <c r="C355" s="408" t="str">
        <f>VLOOKUP(Complete[[#This Row],[Code
(PAP)]],[1]Sheet1!$A:$AO,3,FALSE)</f>
        <v>PTO</v>
      </c>
      <c r="D355" s="380" t="s">
        <v>712</v>
      </c>
      <c r="E355" s="409" t="str">
        <f>VLOOKUP(Complete[[#This Row],[Code
(PAP)]],[2]Sheet1!$A:$AO,5,FALSE)</f>
        <v>NP-53.9 - Small Value Procurement</v>
      </c>
      <c r="F355" s="393" t="str">
        <f>VLOOKUP(Complete[[#This Row],[Code
(PAP)]],[1]Sheet1!$A:$AO,6,FALSE)</f>
        <v>N/A</v>
      </c>
      <c r="G355" s="393">
        <f>VLOOKUP(Complete[[#This Row],[Code
(PAP)]],[1]Sheet1!$A:$AO,7,FALSE)</f>
        <v>45376</v>
      </c>
      <c r="H355" s="374"/>
      <c r="I355" s="394" t="str">
        <f>VLOOKUP(Complete[[#This Row],[Code
(PAP)]],[1]Sheet1!$A:$AO,9,FALSE)</f>
        <v>N/A</v>
      </c>
      <c r="J355" s="393">
        <f>VLOOKUP(Complete[[#This Row],[Code
(PAP)]],[1]Sheet1!$A:$AO,10,FALSE)</f>
        <v>45398</v>
      </c>
      <c r="K355" s="393">
        <f>VLOOKUP(Complete[[#This Row],[Code
(PAP)]],[1]Sheet1!$A:$AO,11,FALSE)</f>
        <v>45398</v>
      </c>
      <c r="L355" s="387"/>
      <c r="M355" s="393" t="str">
        <f>VLOOKUP(Complete[[#This Row],[Code
(PAP)]],[1]Sheet1!$A:$AO,13,FALSE)</f>
        <v>N/A</v>
      </c>
      <c r="N355" s="393" t="str">
        <f>VLOOKUP(Complete[[#This Row],[Code
(PAP)]],[1]Sheet1!$A:$AO,14,FALSE)</f>
        <v>N/A</v>
      </c>
      <c r="O355" s="393">
        <v>45404</v>
      </c>
      <c r="P355" s="387"/>
      <c r="Q355" s="387"/>
      <c r="R355" s="387"/>
      <c r="S355" s="576" t="str">
        <f>VLOOKUP(Complete[[#This Row],[Code
(PAP)]],[1]Sheet1!$A:$AO,19,FALSE)</f>
        <v>N/A</v>
      </c>
      <c r="T355" s="576">
        <f>VLOOKUP(Complete[[#This Row],[Code
(PAP)]],[1]Sheet1!$A:$AO,20,FALSE)</f>
        <v>45412</v>
      </c>
      <c r="U355" s="576">
        <f>VLOOKUP(Complete[[#This Row],[Code
(PAP)]],[1]Sheet1!$A:$AO,21,FALSE)</f>
        <v>45425</v>
      </c>
      <c r="V355" s="387"/>
      <c r="W355" s="387"/>
      <c r="X355" s="392">
        <f>VLOOKUP(Complete[[#This Row],[Code
(PAP)]],[1]Sheet1!$A:$AO,24,FALSE)</f>
        <v>45436</v>
      </c>
      <c r="Y355" s="392">
        <f>Complete[[#This Row],[Delivery/ Completion]]</f>
        <v>45436</v>
      </c>
      <c r="Z355" s="610" t="s">
        <v>1478</v>
      </c>
      <c r="AA355" s="462">
        <f>Complete[[#This Row],[MOOE]]+Complete[[#This Row],[CO]]</f>
        <v>7500</v>
      </c>
      <c r="AB355" s="466">
        <v>7500</v>
      </c>
      <c r="AC355" s="497"/>
      <c r="AD355" s="498">
        <f>IF(Complete[[#This Row],[Procurement Project]]="","",SUM(Complete[[#This Row],[MOOE2]]+Complete[[#This Row],[CO3]]))</f>
        <v>7500</v>
      </c>
      <c r="AE355" s="501">
        <v>7500</v>
      </c>
      <c r="AF355" s="541"/>
      <c r="AG355" s="400"/>
      <c r="AH355" s="380" t="s">
        <v>1205</v>
      </c>
      <c r="AI355" s="576" t="str">
        <f>VLOOKUP(Complete[[#This Row],[Code
(PAP)]],[1]Sheet1!$A:$AO,35,FALSE)</f>
        <v>N/A</v>
      </c>
      <c r="AJ355" s="576" t="str">
        <f>VLOOKUP(Complete[[#This Row],[Code
(PAP)]],[1]Sheet1!$A:$AO,36,FALSE)</f>
        <v>N/A</v>
      </c>
      <c r="AK355" s="576" t="str">
        <f>VLOOKUP(Complete[[#This Row],[Code
(PAP)]],[1]Sheet1!$A:$AO,37,FALSE)</f>
        <v>N/A</v>
      </c>
      <c r="AL355" s="576" t="str">
        <f>VLOOKUP(Complete[[#This Row],[Code
(PAP)]],[1]Sheet1!$A:$AO,38,FALSE)</f>
        <v>N/A</v>
      </c>
      <c r="AM355" s="576" t="str">
        <f>VLOOKUP(Complete[[#This Row],[Code
(PAP)]],[1]Sheet1!$A:$AO,38,FALSE)</f>
        <v>N/A</v>
      </c>
      <c r="AN355" s="595" t="s">
        <v>713</v>
      </c>
      <c r="AO355" s="303" t="s">
        <v>139</v>
      </c>
      <c r="AP355" s="389"/>
      <c r="AQ355" s="389"/>
    </row>
    <row r="356" spans="1:43" s="224" customFormat="1" ht="75" customHeight="1" x14ac:dyDescent="0.25">
      <c r="A356" s="385" t="s">
        <v>534</v>
      </c>
      <c r="B356" s="406" t="str">
        <f>VLOOKUP(Complete[[#This Row],[Code
(PAP)]],[1]Sheet1!$A:$AO,2,FALSE)</f>
        <v>WEIGHING SCALE</v>
      </c>
      <c r="C356" s="408" t="str">
        <f>VLOOKUP(Complete[[#This Row],[Code
(PAP)]],[1]Sheet1!$A:$AO,3,FALSE)</f>
        <v>PHO</v>
      </c>
      <c r="D356" s="380" t="s">
        <v>712</v>
      </c>
      <c r="E356" s="409" t="str">
        <f>VLOOKUP(Complete[[#This Row],[Code
(PAP)]],[2]Sheet1!$A:$AO,5,FALSE)</f>
        <v>NP-53.9 - Small Value Procurement</v>
      </c>
      <c r="F356" s="393" t="str">
        <f>VLOOKUP(Complete[[#This Row],[Code
(PAP)]],[1]Sheet1!$A:$AO,6,FALSE)</f>
        <v>N/A</v>
      </c>
      <c r="G356" s="393">
        <f>VLOOKUP(Complete[[#This Row],[Code
(PAP)]],[1]Sheet1!$A:$AO,7,FALSE)</f>
        <v>45376</v>
      </c>
      <c r="H356" s="374"/>
      <c r="I356" s="394" t="str">
        <f>VLOOKUP(Complete[[#This Row],[Code
(PAP)]],[1]Sheet1!$A:$AO,9,FALSE)</f>
        <v>N/A</v>
      </c>
      <c r="J356" s="393">
        <f>VLOOKUP(Complete[[#This Row],[Code
(PAP)]],[1]Sheet1!$A:$AO,10,FALSE)</f>
        <v>45398</v>
      </c>
      <c r="K356" s="393">
        <f>VLOOKUP(Complete[[#This Row],[Code
(PAP)]],[1]Sheet1!$A:$AO,11,FALSE)</f>
        <v>45398</v>
      </c>
      <c r="L356" s="387"/>
      <c r="M356" s="393" t="str">
        <f>VLOOKUP(Complete[[#This Row],[Code
(PAP)]],[1]Sheet1!$A:$AO,13,FALSE)</f>
        <v>N/A</v>
      </c>
      <c r="N356" s="393" t="str">
        <f>VLOOKUP(Complete[[#This Row],[Code
(PAP)]],[1]Sheet1!$A:$AO,14,FALSE)</f>
        <v>N/A</v>
      </c>
      <c r="O356" s="393">
        <v>45404</v>
      </c>
      <c r="P356" s="387"/>
      <c r="Q356" s="387"/>
      <c r="R356" s="387"/>
      <c r="S356" s="576" t="str">
        <f>VLOOKUP(Complete[[#This Row],[Code
(PAP)]],[1]Sheet1!$A:$AO,19,FALSE)</f>
        <v>N/A</v>
      </c>
      <c r="T356" s="576">
        <f>VLOOKUP(Complete[[#This Row],[Code
(PAP)]],[1]Sheet1!$A:$AO,20,FALSE)</f>
        <v>45418</v>
      </c>
      <c r="U356" s="576">
        <f>VLOOKUP(Complete[[#This Row],[Code
(PAP)]],[1]Sheet1!$A:$AO,21,FALSE)</f>
        <v>45422</v>
      </c>
      <c r="V356" s="387"/>
      <c r="W356" s="387"/>
      <c r="X356" s="392">
        <f>VLOOKUP(Complete[[#This Row],[Code
(PAP)]],[1]Sheet1!$A:$AO,24,FALSE)</f>
        <v>45433</v>
      </c>
      <c r="Y356" s="392">
        <f>Complete[[#This Row],[Delivery/ Completion]]</f>
        <v>45433</v>
      </c>
      <c r="Z356" s="610" t="s">
        <v>1478</v>
      </c>
      <c r="AA356" s="462">
        <f>Complete[[#This Row],[MOOE]]+Complete[[#This Row],[CO]]</f>
        <v>570</v>
      </c>
      <c r="AB356" s="466"/>
      <c r="AC356" s="497">
        <v>570</v>
      </c>
      <c r="AD356" s="498">
        <f>IF(Complete[[#This Row],[Procurement Project]]="","",SUM(Complete[[#This Row],[MOOE2]]+Complete[[#This Row],[CO3]]))</f>
        <v>570</v>
      </c>
      <c r="AE356" s="501"/>
      <c r="AF356" s="541">
        <v>570</v>
      </c>
      <c r="AG356" s="400"/>
      <c r="AH356" s="380" t="s">
        <v>1205</v>
      </c>
      <c r="AI356" s="576" t="str">
        <f>VLOOKUP(Complete[[#This Row],[Code
(PAP)]],[1]Sheet1!$A:$AO,35,FALSE)</f>
        <v>N/A</v>
      </c>
      <c r="AJ356" s="576" t="str">
        <f>VLOOKUP(Complete[[#This Row],[Code
(PAP)]],[1]Sheet1!$A:$AO,36,FALSE)</f>
        <v>N/A</v>
      </c>
      <c r="AK356" s="576" t="str">
        <f>VLOOKUP(Complete[[#This Row],[Code
(PAP)]],[1]Sheet1!$A:$AO,37,FALSE)</f>
        <v>N/A</v>
      </c>
      <c r="AL356" s="576" t="str">
        <f>VLOOKUP(Complete[[#This Row],[Code
(PAP)]],[1]Sheet1!$A:$AO,38,FALSE)</f>
        <v>N/A</v>
      </c>
      <c r="AM356" s="576" t="str">
        <f>VLOOKUP(Complete[[#This Row],[Code
(PAP)]],[1]Sheet1!$A:$AO,38,FALSE)</f>
        <v>N/A</v>
      </c>
      <c r="AN356" s="595" t="s">
        <v>713</v>
      </c>
      <c r="AO356" s="303" t="s">
        <v>139</v>
      </c>
      <c r="AP356" s="389"/>
      <c r="AQ356" s="389"/>
    </row>
    <row r="357" spans="1:43" s="224" customFormat="1" ht="75" customHeight="1" x14ac:dyDescent="0.25">
      <c r="A357" s="385" t="s">
        <v>535</v>
      </c>
      <c r="B357" s="406" t="str">
        <f>VLOOKUP(Complete[[#This Row],[Code
(PAP)]],[1]Sheet1!$A:$AO,2,FALSE)</f>
        <v>WIRE, EXTENSION WITH HANDLE</v>
      </c>
      <c r="C357" s="408" t="str">
        <f>VLOOKUP(Complete[[#This Row],[Code
(PAP)]],[1]Sheet1!$A:$AO,3,FALSE)</f>
        <v>PDRRMO</v>
      </c>
      <c r="D357" s="380" t="s">
        <v>712</v>
      </c>
      <c r="E357" s="409" t="str">
        <f>VLOOKUP(Complete[[#This Row],[Code
(PAP)]],[2]Sheet1!$A:$AO,5,FALSE)</f>
        <v>NP-53.9 - Small Value Procurement</v>
      </c>
      <c r="F357" s="393" t="str">
        <f>VLOOKUP(Complete[[#This Row],[Code
(PAP)]],[1]Sheet1!$A:$AO,6,FALSE)</f>
        <v>N/A</v>
      </c>
      <c r="G357" s="393">
        <f>VLOOKUP(Complete[[#This Row],[Code
(PAP)]],[1]Sheet1!$A:$AO,7,FALSE)</f>
        <v>45376</v>
      </c>
      <c r="H357" s="374"/>
      <c r="I357" s="394" t="str">
        <f>VLOOKUP(Complete[[#This Row],[Code
(PAP)]],[1]Sheet1!$A:$AO,9,FALSE)</f>
        <v>N/A</v>
      </c>
      <c r="J357" s="393">
        <f>VLOOKUP(Complete[[#This Row],[Code
(PAP)]],[1]Sheet1!$A:$AO,10,FALSE)</f>
        <v>45398</v>
      </c>
      <c r="K357" s="393">
        <f>VLOOKUP(Complete[[#This Row],[Code
(PAP)]],[1]Sheet1!$A:$AO,11,FALSE)</f>
        <v>45398</v>
      </c>
      <c r="L357" s="387"/>
      <c r="M357" s="393" t="str">
        <f>VLOOKUP(Complete[[#This Row],[Code
(PAP)]],[1]Sheet1!$A:$AO,13,FALSE)</f>
        <v>N/A</v>
      </c>
      <c r="N357" s="393" t="str">
        <f>VLOOKUP(Complete[[#This Row],[Code
(PAP)]],[1]Sheet1!$A:$AO,14,FALSE)</f>
        <v>N/A</v>
      </c>
      <c r="O357" s="393">
        <v>45404</v>
      </c>
      <c r="P357" s="387"/>
      <c r="Q357" s="387"/>
      <c r="R357" s="387"/>
      <c r="S357" s="576" t="str">
        <f>VLOOKUP(Complete[[#This Row],[Code
(PAP)]],[1]Sheet1!$A:$AO,19,FALSE)</f>
        <v>N/A</v>
      </c>
      <c r="T357" s="576">
        <f>VLOOKUP(Complete[[#This Row],[Code
(PAP)]],[1]Sheet1!$A:$AO,20,FALSE)</f>
        <v>45405</v>
      </c>
      <c r="U357" s="576">
        <f>VLOOKUP(Complete[[#This Row],[Code
(PAP)]],[1]Sheet1!$A:$AO,21,FALSE)</f>
        <v>45418</v>
      </c>
      <c r="V357" s="387"/>
      <c r="W357" s="387"/>
      <c r="X357" s="392">
        <f>VLOOKUP(Complete[[#This Row],[Code
(PAP)]],[1]Sheet1!$A:$AO,24,FALSE)</f>
        <v>45432</v>
      </c>
      <c r="Y357" s="392">
        <f>Complete[[#This Row],[Delivery/ Completion]]</f>
        <v>45432</v>
      </c>
      <c r="Z357" s="610" t="s">
        <v>1478</v>
      </c>
      <c r="AA357" s="462">
        <f>Complete[[#This Row],[MOOE]]+Complete[[#This Row],[CO]]</f>
        <v>5280</v>
      </c>
      <c r="AB357" s="466"/>
      <c r="AC357" s="497">
        <v>5280</v>
      </c>
      <c r="AD357" s="498">
        <f>IF(Complete[[#This Row],[Procurement Project]]="","",SUM(Complete[[#This Row],[MOOE2]]+Complete[[#This Row],[CO3]]))</f>
        <v>5268</v>
      </c>
      <c r="AE357" s="501"/>
      <c r="AF357" s="541">
        <v>5268</v>
      </c>
      <c r="AG357" s="400"/>
      <c r="AH357" s="380" t="s">
        <v>1205</v>
      </c>
      <c r="AI357" s="576" t="str">
        <f>VLOOKUP(Complete[[#This Row],[Code
(PAP)]],[1]Sheet1!$A:$AO,35,FALSE)</f>
        <v>N/A</v>
      </c>
      <c r="AJ357" s="576" t="str">
        <f>VLOOKUP(Complete[[#This Row],[Code
(PAP)]],[1]Sheet1!$A:$AO,36,FALSE)</f>
        <v>N/A</v>
      </c>
      <c r="AK357" s="576" t="str">
        <f>VLOOKUP(Complete[[#This Row],[Code
(PAP)]],[1]Sheet1!$A:$AO,37,FALSE)</f>
        <v>N/A</v>
      </c>
      <c r="AL357" s="576" t="str">
        <f>VLOOKUP(Complete[[#This Row],[Code
(PAP)]],[1]Sheet1!$A:$AO,38,FALSE)</f>
        <v>N/A</v>
      </c>
      <c r="AM357" s="576" t="str">
        <f>VLOOKUP(Complete[[#This Row],[Code
(PAP)]],[1]Sheet1!$A:$AO,38,FALSE)</f>
        <v>N/A</v>
      </c>
      <c r="AN357" s="595" t="s">
        <v>713</v>
      </c>
      <c r="AO357" s="303" t="s">
        <v>139</v>
      </c>
      <c r="AP357" s="389"/>
      <c r="AQ357" s="389"/>
    </row>
    <row r="358" spans="1:43" s="224" customFormat="1" ht="75" customHeight="1" x14ac:dyDescent="0.25">
      <c r="A358" s="385" t="s">
        <v>536</v>
      </c>
      <c r="B358" s="406" t="str">
        <f>VLOOKUP(Complete[[#This Row],[Code
(PAP)]],[1]Sheet1!$A:$AO,2,FALSE)</f>
        <v>BEEF LOAF</v>
      </c>
      <c r="C358" s="408" t="str">
        <f>VLOOKUP(Complete[[#This Row],[Code
(PAP)]],[1]Sheet1!$A:$AO,3,FALSE)</f>
        <v>PGO</v>
      </c>
      <c r="D358" s="380" t="s">
        <v>712</v>
      </c>
      <c r="E358" s="409" t="str">
        <f>VLOOKUP(Complete[[#This Row],[Code
(PAP)]],[2]Sheet1!$A:$AO,5,FALSE)</f>
        <v>NP-53.9 - Small Value Procurement</v>
      </c>
      <c r="F358" s="393" t="str">
        <f>VLOOKUP(Complete[[#This Row],[Code
(PAP)]],[1]Sheet1!$A:$AO,6,FALSE)</f>
        <v>N/A</v>
      </c>
      <c r="G358" s="393">
        <f>VLOOKUP(Complete[[#This Row],[Code
(PAP)]],[1]Sheet1!$A:$AO,7,FALSE)</f>
        <v>45384</v>
      </c>
      <c r="H358" s="374"/>
      <c r="I358" s="394" t="str">
        <f>VLOOKUP(Complete[[#This Row],[Code
(PAP)]],[1]Sheet1!$A:$AO,9,FALSE)</f>
        <v>N/A</v>
      </c>
      <c r="J358" s="393">
        <f>VLOOKUP(Complete[[#This Row],[Code
(PAP)]],[1]Sheet1!$A:$AO,10,FALSE)</f>
        <v>45398</v>
      </c>
      <c r="K358" s="393">
        <f>VLOOKUP(Complete[[#This Row],[Code
(PAP)]],[1]Sheet1!$A:$AO,11,FALSE)</f>
        <v>45398</v>
      </c>
      <c r="L358" s="387"/>
      <c r="M358" s="393" t="str">
        <f>VLOOKUP(Complete[[#This Row],[Code
(PAP)]],[1]Sheet1!$A:$AO,13,FALSE)</f>
        <v>N/A</v>
      </c>
      <c r="N358" s="393" t="str">
        <f>VLOOKUP(Complete[[#This Row],[Code
(PAP)]],[1]Sheet1!$A:$AO,14,FALSE)</f>
        <v>N/A</v>
      </c>
      <c r="O358" s="393">
        <v>45404</v>
      </c>
      <c r="P358" s="387"/>
      <c r="Q358" s="387"/>
      <c r="R358" s="387"/>
      <c r="S358" s="576" t="str">
        <f>VLOOKUP(Complete[[#This Row],[Code
(PAP)]],[1]Sheet1!$A:$AO,19,FALSE)</f>
        <v>N/A</v>
      </c>
      <c r="T358" s="576">
        <f>VLOOKUP(Complete[[#This Row],[Code
(PAP)]],[1]Sheet1!$A:$AO,20,FALSE)</f>
        <v>45405</v>
      </c>
      <c r="U358" s="576">
        <f>VLOOKUP(Complete[[#This Row],[Code
(PAP)]],[1]Sheet1!$A:$AO,21,FALSE)</f>
        <v>45419</v>
      </c>
      <c r="V358" s="387"/>
      <c r="W358" s="387"/>
      <c r="X358" s="392">
        <f>VLOOKUP(Complete[[#This Row],[Code
(PAP)]],[1]Sheet1!$A:$AO,24,FALSE)</f>
        <v>45421</v>
      </c>
      <c r="Y358" s="392">
        <f>Complete[[#This Row],[Delivery/ Completion]]</f>
        <v>45421</v>
      </c>
      <c r="Z358" s="610" t="s">
        <v>1478</v>
      </c>
      <c r="AA358" s="462">
        <f>Complete[[#This Row],[MOOE]]+Complete[[#This Row],[CO]]</f>
        <v>3740</v>
      </c>
      <c r="AB358" s="466"/>
      <c r="AC358" s="497">
        <v>3740</v>
      </c>
      <c r="AD358" s="498">
        <f>IF(Complete[[#This Row],[Procurement Project]]="","",SUM(Complete[[#This Row],[MOOE2]]+Complete[[#This Row],[CO3]]))</f>
        <v>3730</v>
      </c>
      <c r="AE358" s="501"/>
      <c r="AF358" s="541">
        <v>3730</v>
      </c>
      <c r="AG358" s="400"/>
      <c r="AH358" s="380" t="s">
        <v>1205</v>
      </c>
      <c r="AI358" s="576" t="str">
        <f>VLOOKUP(Complete[[#This Row],[Code
(PAP)]],[1]Sheet1!$A:$AO,35,FALSE)</f>
        <v>N/A</v>
      </c>
      <c r="AJ358" s="576" t="str">
        <f>VLOOKUP(Complete[[#This Row],[Code
(PAP)]],[1]Sheet1!$A:$AO,36,FALSE)</f>
        <v>N/A</v>
      </c>
      <c r="AK358" s="576" t="str">
        <f>VLOOKUP(Complete[[#This Row],[Code
(PAP)]],[1]Sheet1!$A:$AO,37,FALSE)</f>
        <v>N/A</v>
      </c>
      <c r="AL358" s="576" t="str">
        <f>VLOOKUP(Complete[[#This Row],[Code
(PAP)]],[1]Sheet1!$A:$AO,38,FALSE)</f>
        <v>N/A</v>
      </c>
      <c r="AM358" s="576" t="str">
        <f>VLOOKUP(Complete[[#This Row],[Code
(PAP)]],[1]Sheet1!$A:$AO,38,FALSE)</f>
        <v>N/A</v>
      </c>
      <c r="AN358" s="595" t="s">
        <v>713</v>
      </c>
      <c r="AO358" s="303" t="s">
        <v>139</v>
      </c>
      <c r="AP358" s="389"/>
      <c r="AQ358" s="389"/>
    </row>
    <row r="359" spans="1:43" s="224" customFormat="1" ht="75" customHeight="1" x14ac:dyDescent="0.25">
      <c r="A359" s="385" t="s">
        <v>537</v>
      </c>
      <c r="B359" s="406" t="str">
        <f>VLOOKUP(Complete[[#This Row],[Code
(PAP)]],[1]Sheet1!$A:$AO,2,FALSE)</f>
        <v>HELMET, FULL FACED AND RAIN COAT</v>
      </c>
      <c r="C359" s="408" t="str">
        <f>VLOOKUP(Complete[[#This Row],[Code
(PAP)]],[1]Sheet1!$A:$AO,3,FALSE)</f>
        <v>PGO</v>
      </c>
      <c r="D359" s="380" t="s">
        <v>712</v>
      </c>
      <c r="E359" s="409" t="str">
        <f>VLOOKUP(Complete[[#This Row],[Code
(PAP)]],[2]Sheet1!$A:$AO,5,FALSE)</f>
        <v>NP-53.9 - Small Value Procurement</v>
      </c>
      <c r="F359" s="393" t="str">
        <f>VLOOKUP(Complete[[#This Row],[Code
(PAP)]],[1]Sheet1!$A:$AO,6,FALSE)</f>
        <v>N/A</v>
      </c>
      <c r="G359" s="393">
        <f>VLOOKUP(Complete[[#This Row],[Code
(PAP)]],[1]Sheet1!$A:$AO,7,FALSE)</f>
        <v>45376</v>
      </c>
      <c r="H359" s="374"/>
      <c r="I359" s="394" t="str">
        <f>VLOOKUP(Complete[[#This Row],[Code
(PAP)]],[1]Sheet1!$A:$AO,9,FALSE)</f>
        <v>N/A</v>
      </c>
      <c r="J359" s="393">
        <f>VLOOKUP(Complete[[#This Row],[Code
(PAP)]],[1]Sheet1!$A:$AO,10,FALSE)</f>
        <v>45398</v>
      </c>
      <c r="K359" s="393">
        <f>VLOOKUP(Complete[[#This Row],[Code
(PAP)]],[1]Sheet1!$A:$AO,11,FALSE)</f>
        <v>45398</v>
      </c>
      <c r="L359" s="387"/>
      <c r="M359" s="393" t="str">
        <f>VLOOKUP(Complete[[#This Row],[Code
(PAP)]],[1]Sheet1!$A:$AO,13,FALSE)</f>
        <v>N/A</v>
      </c>
      <c r="N359" s="393" t="str">
        <f>VLOOKUP(Complete[[#This Row],[Code
(PAP)]],[1]Sheet1!$A:$AO,14,FALSE)</f>
        <v>N/A</v>
      </c>
      <c r="O359" s="393">
        <v>45404</v>
      </c>
      <c r="P359" s="387"/>
      <c r="Q359" s="387"/>
      <c r="R359" s="387"/>
      <c r="S359" s="576" t="str">
        <f>VLOOKUP(Complete[[#This Row],[Code
(PAP)]],[1]Sheet1!$A:$AO,19,FALSE)</f>
        <v>N/A</v>
      </c>
      <c r="T359" s="576">
        <f>VLOOKUP(Complete[[#This Row],[Code
(PAP)]],[1]Sheet1!$A:$AO,20,FALSE)</f>
        <v>45418</v>
      </c>
      <c r="U359" s="576">
        <f>VLOOKUP(Complete[[#This Row],[Code
(PAP)]],[1]Sheet1!$A:$AO,21,FALSE)</f>
        <v>45428</v>
      </c>
      <c r="V359" s="387"/>
      <c r="W359" s="387"/>
      <c r="X359" s="392">
        <f>VLOOKUP(Complete[[#This Row],[Code
(PAP)]],[1]Sheet1!$A:$AO,24,FALSE)</f>
        <v>45453</v>
      </c>
      <c r="Y359" s="392">
        <f>Complete[[#This Row],[Delivery/ Completion]]</f>
        <v>45453</v>
      </c>
      <c r="Z359" s="610" t="s">
        <v>1478</v>
      </c>
      <c r="AA359" s="462">
        <f>Complete[[#This Row],[MOOE]]+Complete[[#This Row],[CO]]</f>
        <v>13400</v>
      </c>
      <c r="AB359" s="466"/>
      <c r="AC359" s="497">
        <v>13400</v>
      </c>
      <c r="AD359" s="498">
        <f>IF(Complete[[#This Row],[Procurement Project]]="","",SUM(Complete[[#This Row],[MOOE2]]+Complete[[#This Row],[CO3]]))</f>
        <v>13400</v>
      </c>
      <c r="AE359" s="501"/>
      <c r="AF359" s="541">
        <v>13400</v>
      </c>
      <c r="AG359" s="400"/>
      <c r="AH359" s="380" t="s">
        <v>1205</v>
      </c>
      <c r="AI359" s="576" t="str">
        <f>VLOOKUP(Complete[[#This Row],[Code
(PAP)]],[1]Sheet1!$A:$AO,35,FALSE)</f>
        <v>N/A</v>
      </c>
      <c r="AJ359" s="576" t="str">
        <f>VLOOKUP(Complete[[#This Row],[Code
(PAP)]],[1]Sheet1!$A:$AO,36,FALSE)</f>
        <v>N/A</v>
      </c>
      <c r="AK359" s="576" t="str">
        <f>VLOOKUP(Complete[[#This Row],[Code
(PAP)]],[1]Sheet1!$A:$AO,37,FALSE)</f>
        <v>N/A</v>
      </c>
      <c r="AL359" s="576" t="str">
        <f>VLOOKUP(Complete[[#This Row],[Code
(PAP)]],[1]Sheet1!$A:$AO,38,FALSE)</f>
        <v>N/A</v>
      </c>
      <c r="AM359" s="576" t="str">
        <f>VLOOKUP(Complete[[#This Row],[Code
(PAP)]],[1]Sheet1!$A:$AO,38,FALSE)</f>
        <v>N/A</v>
      </c>
      <c r="AN359" s="595" t="s">
        <v>713</v>
      </c>
      <c r="AO359" s="303" t="s">
        <v>139</v>
      </c>
      <c r="AP359" s="389"/>
      <c r="AQ359" s="389"/>
    </row>
    <row r="360" spans="1:43" s="224" customFormat="1" ht="75" customHeight="1" x14ac:dyDescent="0.25">
      <c r="A360" s="385" t="s">
        <v>538</v>
      </c>
      <c r="B360" s="406" t="str">
        <f>VLOOKUP(Complete[[#This Row],[Code
(PAP)]],[1]Sheet1!$A:$AO,2,FALSE)</f>
        <v>ACCESSORIES &amp; DECORATION</v>
      </c>
      <c r="C360" s="408" t="str">
        <f>VLOOKUP(Complete[[#This Row],[Code
(PAP)]],[1]Sheet1!$A:$AO,3,FALSE)</f>
        <v>PAO</v>
      </c>
      <c r="D360" s="380" t="s">
        <v>712</v>
      </c>
      <c r="E360" s="409" t="str">
        <f>VLOOKUP(Complete[[#This Row],[Code
(PAP)]],[2]Sheet1!$A:$AO,5,FALSE)</f>
        <v>NP-53.9 - Small Value Procurement</v>
      </c>
      <c r="F360" s="393" t="str">
        <f>VLOOKUP(Complete[[#This Row],[Code
(PAP)]],[1]Sheet1!$A:$AO,6,FALSE)</f>
        <v>N/A</v>
      </c>
      <c r="G360" s="393">
        <f>VLOOKUP(Complete[[#This Row],[Code
(PAP)]],[1]Sheet1!$A:$AO,7,FALSE)</f>
        <v>45376</v>
      </c>
      <c r="H360" s="374"/>
      <c r="I360" s="394" t="str">
        <f>VLOOKUP(Complete[[#This Row],[Code
(PAP)]],[1]Sheet1!$A:$AO,9,FALSE)</f>
        <v>N/A</v>
      </c>
      <c r="J360" s="393">
        <f>VLOOKUP(Complete[[#This Row],[Code
(PAP)]],[1]Sheet1!$A:$AO,10,FALSE)</f>
        <v>45398</v>
      </c>
      <c r="K360" s="393">
        <f>VLOOKUP(Complete[[#This Row],[Code
(PAP)]],[1]Sheet1!$A:$AO,11,FALSE)</f>
        <v>45398</v>
      </c>
      <c r="L360" s="387"/>
      <c r="M360" s="393" t="str">
        <f>VLOOKUP(Complete[[#This Row],[Code
(PAP)]],[1]Sheet1!$A:$AO,13,FALSE)</f>
        <v>N/A</v>
      </c>
      <c r="N360" s="393" t="str">
        <f>VLOOKUP(Complete[[#This Row],[Code
(PAP)]],[1]Sheet1!$A:$AO,14,FALSE)</f>
        <v>N/A</v>
      </c>
      <c r="O360" s="393">
        <v>45404</v>
      </c>
      <c r="P360" s="387"/>
      <c r="Q360" s="387"/>
      <c r="R360" s="387"/>
      <c r="S360" s="576" t="str">
        <f>VLOOKUP(Complete[[#This Row],[Code
(PAP)]],[1]Sheet1!$A:$AO,19,FALSE)</f>
        <v>N/A</v>
      </c>
      <c r="T360" s="576">
        <f>VLOOKUP(Complete[[#This Row],[Code
(PAP)]],[1]Sheet1!$A:$AO,20,FALSE)</f>
        <v>45421</v>
      </c>
      <c r="U360" s="576">
        <f>VLOOKUP(Complete[[#This Row],[Code
(PAP)]],[1]Sheet1!$A:$AO,21,FALSE)</f>
        <v>45425</v>
      </c>
      <c r="V360" s="387"/>
      <c r="W360" s="387"/>
      <c r="X360" s="392">
        <f>VLOOKUP(Complete[[#This Row],[Code
(PAP)]],[1]Sheet1!$A:$AO,24,FALSE)</f>
        <v>45433</v>
      </c>
      <c r="Y360" s="392">
        <f>Complete[[#This Row],[Delivery/ Completion]]</f>
        <v>45433</v>
      </c>
      <c r="Z360" s="610" t="s">
        <v>1478</v>
      </c>
      <c r="AA360" s="462">
        <f>Complete[[#This Row],[MOOE]]+Complete[[#This Row],[CO]]</f>
        <v>5898</v>
      </c>
      <c r="AB360" s="466"/>
      <c r="AC360" s="497">
        <v>5898</v>
      </c>
      <c r="AD360" s="498">
        <f>IF(Complete[[#This Row],[Procurement Project]]="","",SUM(Complete[[#This Row],[MOOE2]]+Complete[[#This Row],[CO3]]))</f>
        <v>5820</v>
      </c>
      <c r="AE360" s="501"/>
      <c r="AF360" s="541">
        <v>5820</v>
      </c>
      <c r="AG360" s="400"/>
      <c r="AH360" s="380" t="s">
        <v>1205</v>
      </c>
      <c r="AI360" s="576" t="str">
        <f>VLOOKUP(Complete[[#This Row],[Code
(PAP)]],[1]Sheet1!$A:$AO,35,FALSE)</f>
        <v>N/A</v>
      </c>
      <c r="AJ360" s="576" t="str">
        <f>VLOOKUP(Complete[[#This Row],[Code
(PAP)]],[1]Sheet1!$A:$AO,36,FALSE)</f>
        <v>N/A</v>
      </c>
      <c r="AK360" s="576" t="str">
        <f>VLOOKUP(Complete[[#This Row],[Code
(PAP)]],[1]Sheet1!$A:$AO,37,FALSE)</f>
        <v>N/A</v>
      </c>
      <c r="AL360" s="576" t="str">
        <f>VLOOKUP(Complete[[#This Row],[Code
(PAP)]],[1]Sheet1!$A:$AO,38,FALSE)</f>
        <v>N/A</v>
      </c>
      <c r="AM360" s="576" t="str">
        <f>VLOOKUP(Complete[[#This Row],[Code
(PAP)]],[1]Sheet1!$A:$AO,38,FALSE)</f>
        <v>N/A</v>
      </c>
      <c r="AN360" s="595" t="s">
        <v>713</v>
      </c>
      <c r="AO360" s="303" t="s">
        <v>139</v>
      </c>
      <c r="AP360" s="389"/>
      <c r="AQ360" s="389"/>
    </row>
    <row r="361" spans="1:43" s="224" customFormat="1" ht="75" customHeight="1" x14ac:dyDescent="0.25">
      <c r="A361" s="385" t="s">
        <v>539</v>
      </c>
      <c r="B361" s="406" t="str">
        <f>VLOOKUP(Complete[[#This Row],[Code
(PAP)]],[1]Sheet1!$A:$AO,2,FALSE)</f>
        <v>BOX, STORAGE, WHISTLE</v>
      </c>
      <c r="C361" s="408" t="str">
        <f>VLOOKUP(Complete[[#This Row],[Code
(PAP)]],[1]Sheet1!$A:$AO,3,FALSE)</f>
        <v>PENRO</v>
      </c>
      <c r="D361" s="380" t="s">
        <v>712</v>
      </c>
      <c r="E361" s="409" t="str">
        <f>VLOOKUP(Complete[[#This Row],[Code
(PAP)]],[2]Sheet1!$A:$AO,5,FALSE)</f>
        <v>NP-53.9 - Small Value Procurement</v>
      </c>
      <c r="F361" s="393" t="str">
        <f>VLOOKUP(Complete[[#This Row],[Code
(PAP)]],[1]Sheet1!$A:$AO,6,FALSE)</f>
        <v>N/A</v>
      </c>
      <c r="G361" s="393">
        <f>VLOOKUP(Complete[[#This Row],[Code
(PAP)]],[1]Sheet1!$A:$AO,7,FALSE)</f>
        <v>45384</v>
      </c>
      <c r="H361" s="374"/>
      <c r="I361" s="394" t="str">
        <f>VLOOKUP(Complete[[#This Row],[Code
(PAP)]],[1]Sheet1!$A:$AO,9,FALSE)</f>
        <v>N/A</v>
      </c>
      <c r="J361" s="393">
        <f>VLOOKUP(Complete[[#This Row],[Code
(PAP)]],[1]Sheet1!$A:$AO,10,FALSE)</f>
        <v>45398</v>
      </c>
      <c r="K361" s="393">
        <f>VLOOKUP(Complete[[#This Row],[Code
(PAP)]],[1]Sheet1!$A:$AO,11,FALSE)</f>
        <v>45398</v>
      </c>
      <c r="L361" s="387"/>
      <c r="M361" s="393" t="str">
        <f>VLOOKUP(Complete[[#This Row],[Code
(PAP)]],[1]Sheet1!$A:$AO,13,FALSE)</f>
        <v>N/A</v>
      </c>
      <c r="N361" s="393" t="str">
        <f>VLOOKUP(Complete[[#This Row],[Code
(PAP)]],[1]Sheet1!$A:$AO,14,FALSE)</f>
        <v>N/A</v>
      </c>
      <c r="O361" s="393">
        <v>45404</v>
      </c>
      <c r="P361" s="387"/>
      <c r="Q361" s="387"/>
      <c r="R361" s="387"/>
      <c r="S361" s="576" t="str">
        <f>VLOOKUP(Complete[[#This Row],[Code
(PAP)]],[1]Sheet1!$A:$AO,19,FALSE)</f>
        <v>N/A</v>
      </c>
      <c r="T361" s="576">
        <f>VLOOKUP(Complete[[#This Row],[Code
(PAP)]],[1]Sheet1!$A:$AO,20,FALSE)</f>
        <v>45407</v>
      </c>
      <c r="U361" s="576">
        <f>VLOOKUP(Complete[[#This Row],[Code
(PAP)]],[1]Sheet1!$A:$AO,21,FALSE)</f>
        <v>45422</v>
      </c>
      <c r="V361" s="387"/>
      <c r="W361" s="387"/>
      <c r="X361" s="392">
        <f>VLOOKUP(Complete[[#This Row],[Code
(PAP)]],[1]Sheet1!$A:$AO,24,FALSE)</f>
        <v>45425</v>
      </c>
      <c r="Y361" s="392">
        <f>Complete[[#This Row],[Delivery/ Completion]]</f>
        <v>45425</v>
      </c>
      <c r="Z361" s="610" t="s">
        <v>1478</v>
      </c>
      <c r="AA361" s="462">
        <f>Complete[[#This Row],[MOOE]]+Complete[[#This Row],[CO]]</f>
        <v>9860</v>
      </c>
      <c r="AB361" s="466"/>
      <c r="AC361" s="497">
        <v>9860</v>
      </c>
      <c r="AD361" s="498">
        <f>IF(Complete[[#This Row],[Procurement Project]]="","",SUM(Complete[[#This Row],[MOOE2]]+Complete[[#This Row],[CO3]]))</f>
        <v>9768</v>
      </c>
      <c r="AE361" s="501"/>
      <c r="AF361" s="541">
        <v>9768</v>
      </c>
      <c r="AG361" s="400"/>
      <c r="AH361" s="380" t="s">
        <v>1205</v>
      </c>
      <c r="AI361" s="576" t="str">
        <f>VLOOKUP(Complete[[#This Row],[Code
(PAP)]],[1]Sheet1!$A:$AO,35,FALSE)</f>
        <v>N/A</v>
      </c>
      <c r="AJ361" s="576" t="str">
        <f>VLOOKUP(Complete[[#This Row],[Code
(PAP)]],[1]Sheet1!$A:$AO,36,FALSE)</f>
        <v>N/A</v>
      </c>
      <c r="AK361" s="576" t="str">
        <f>VLOOKUP(Complete[[#This Row],[Code
(PAP)]],[1]Sheet1!$A:$AO,37,FALSE)</f>
        <v>N/A</v>
      </c>
      <c r="AL361" s="576" t="str">
        <f>VLOOKUP(Complete[[#This Row],[Code
(PAP)]],[1]Sheet1!$A:$AO,38,FALSE)</f>
        <v>N/A</v>
      </c>
      <c r="AM361" s="576" t="str">
        <f>VLOOKUP(Complete[[#This Row],[Code
(PAP)]],[1]Sheet1!$A:$AO,38,FALSE)</f>
        <v>N/A</v>
      </c>
      <c r="AN361" s="595" t="s">
        <v>713</v>
      </c>
      <c r="AO361" s="303" t="s">
        <v>139</v>
      </c>
      <c r="AP361" s="389"/>
      <c r="AQ361" s="389"/>
    </row>
    <row r="362" spans="1:43" s="224" customFormat="1" ht="75" customHeight="1" x14ac:dyDescent="0.25">
      <c r="A362" s="385" t="s">
        <v>540</v>
      </c>
      <c r="B362" s="406" t="str">
        <f>VLOOKUP(Complete[[#This Row],[Code
(PAP)]],[1]Sheet1!$A:$AO,2,FALSE)</f>
        <v>MEDICAL SUPPLIES</v>
      </c>
      <c r="C362" s="408" t="str">
        <f>VLOOKUP(Complete[[#This Row],[Code
(PAP)]],[1]Sheet1!$A:$AO,3,FALSE)</f>
        <v>PHO</v>
      </c>
      <c r="D362" s="380" t="s">
        <v>712</v>
      </c>
      <c r="E362" s="409" t="str">
        <f>VLOOKUP(Complete[[#This Row],[Code
(PAP)]],[2]Sheet1!$A:$AO,5,FALSE)</f>
        <v>NP-53.9 - Small Value Procurement</v>
      </c>
      <c r="F362" s="393" t="str">
        <f>VLOOKUP(Complete[[#This Row],[Code
(PAP)]],[1]Sheet1!$A:$AO,6,FALSE)</f>
        <v>N/A</v>
      </c>
      <c r="G362" s="393">
        <f>VLOOKUP(Complete[[#This Row],[Code
(PAP)]],[1]Sheet1!$A:$AO,7,FALSE)</f>
        <v>45371</v>
      </c>
      <c r="H362" s="374"/>
      <c r="I362" s="394" t="str">
        <f>VLOOKUP(Complete[[#This Row],[Code
(PAP)]],[1]Sheet1!$A:$AO,9,FALSE)</f>
        <v>N/A</v>
      </c>
      <c r="J362" s="393">
        <f>VLOOKUP(Complete[[#This Row],[Code
(PAP)]],[1]Sheet1!$A:$AO,10,FALSE)</f>
        <v>45398</v>
      </c>
      <c r="K362" s="393">
        <f>VLOOKUP(Complete[[#This Row],[Code
(PAP)]],[1]Sheet1!$A:$AO,11,FALSE)</f>
        <v>45398</v>
      </c>
      <c r="L362" s="387"/>
      <c r="M362" s="393" t="str">
        <f>VLOOKUP(Complete[[#This Row],[Code
(PAP)]],[1]Sheet1!$A:$AO,13,FALSE)</f>
        <v>N/A</v>
      </c>
      <c r="N362" s="393" t="str">
        <f>VLOOKUP(Complete[[#This Row],[Code
(PAP)]],[1]Sheet1!$A:$AO,14,FALSE)</f>
        <v>N/A</v>
      </c>
      <c r="O362" s="393">
        <v>45404</v>
      </c>
      <c r="P362" s="387"/>
      <c r="Q362" s="387"/>
      <c r="R362" s="387"/>
      <c r="S362" s="576">
        <v>45405</v>
      </c>
      <c r="T362" s="576">
        <f>VLOOKUP(Complete[[#This Row],[Code
(PAP)]],[1]Sheet1!$A:$AO,20,FALSE)</f>
        <v>45411</v>
      </c>
      <c r="U362" s="576">
        <f>VLOOKUP(Complete[[#This Row],[Code
(PAP)]],[1]Sheet1!$A:$AO,21,FALSE)</f>
        <v>45420</v>
      </c>
      <c r="V362" s="387"/>
      <c r="W362" s="387"/>
      <c r="X362" s="392">
        <f>VLOOKUP(Complete[[#This Row],[Code
(PAP)]],[1]Sheet1!$A:$AO,24,FALSE)</f>
        <v>45469</v>
      </c>
      <c r="Y362" s="392">
        <f>Complete[[#This Row],[Delivery/ Completion]]</f>
        <v>45469</v>
      </c>
      <c r="Z362" s="610" t="s">
        <v>1478</v>
      </c>
      <c r="AA362" s="462">
        <f>Complete[[#This Row],[MOOE]]+Complete[[#This Row],[CO]]</f>
        <v>209117</v>
      </c>
      <c r="AB362" s="466"/>
      <c r="AC362" s="497">
        <v>209117</v>
      </c>
      <c r="AD362" s="498">
        <f>IF(Complete[[#This Row],[Procurement Project]]="","",SUM(Complete[[#This Row],[MOOE2]]+Complete[[#This Row],[CO3]]))</f>
        <v>208957</v>
      </c>
      <c r="AE362" s="501"/>
      <c r="AF362" s="541">
        <v>208957</v>
      </c>
      <c r="AG362" s="400"/>
      <c r="AH362" s="380" t="s">
        <v>1205</v>
      </c>
      <c r="AI362" s="576" t="str">
        <f>VLOOKUP(Complete[[#This Row],[Code
(PAP)]],[1]Sheet1!$A:$AO,35,FALSE)</f>
        <v>N/A</v>
      </c>
      <c r="AJ362" s="576" t="str">
        <f>VLOOKUP(Complete[[#This Row],[Code
(PAP)]],[1]Sheet1!$A:$AO,36,FALSE)</f>
        <v>N/A</v>
      </c>
      <c r="AK362" s="576" t="str">
        <f>VLOOKUP(Complete[[#This Row],[Code
(PAP)]],[1]Sheet1!$A:$AO,37,FALSE)</f>
        <v>N/A</v>
      </c>
      <c r="AL362" s="576" t="str">
        <f>VLOOKUP(Complete[[#This Row],[Code
(PAP)]],[1]Sheet1!$A:$AO,38,FALSE)</f>
        <v>N/A</v>
      </c>
      <c r="AM362" s="576" t="str">
        <f>VLOOKUP(Complete[[#This Row],[Code
(PAP)]],[1]Sheet1!$A:$AO,38,FALSE)</f>
        <v>N/A</v>
      </c>
      <c r="AN362" s="595" t="s">
        <v>713</v>
      </c>
      <c r="AO362" s="303" t="s">
        <v>139</v>
      </c>
      <c r="AP362" s="389"/>
      <c r="AQ362" s="389"/>
    </row>
    <row r="363" spans="1:43" s="224" customFormat="1" ht="75" customHeight="1" x14ac:dyDescent="0.25">
      <c r="A363" s="385" t="s">
        <v>541</v>
      </c>
      <c r="B363" s="406" t="str">
        <f>VLOOKUP(Complete[[#This Row],[Code
(PAP)]],[1]Sheet1!$A:$AO,2,FALSE)</f>
        <v>CHICK EMBRO CELL</v>
      </c>
      <c r="C363" s="408" t="str">
        <f>VLOOKUP(Complete[[#This Row],[Code
(PAP)]],[1]Sheet1!$A:$AO,3,FALSE)</f>
        <v>PVO</v>
      </c>
      <c r="D363" s="380" t="s">
        <v>712</v>
      </c>
      <c r="E363" s="409" t="str">
        <f>VLOOKUP(Complete[[#This Row],[Code
(PAP)]],[2]Sheet1!$A:$AO,5,FALSE)</f>
        <v>NP-53.9 - Small Value Procurement</v>
      </c>
      <c r="F363" s="393" t="str">
        <f>VLOOKUP(Complete[[#This Row],[Code
(PAP)]],[1]Sheet1!$A:$AO,6,FALSE)</f>
        <v>N/A</v>
      </c>
      <c r="G363" s="393">
        <f>VLOOKUP(Complete[[#This Row],[Code
(PAP)]],[1]Sheet1!$A:$AO,7,FALSE)</f>
        <v>45376</v>
      </c>
      <c r="H363" s="374"/>
      <c r="I363" s="394" t="str">
        <f>VLOOKUP(Complete[[#This Row],[Code
(PAP)]],[1]Sheet1!$A:$AO,9,FALSE)</f>
        <v>N/A</v>
      </c>
      <c r="J363" s="393">
        <f>VLOOKUP(Complete[[#This Row],[Code
(PAP)]],[1]Sheet1!$A:$AO,10,FALSE)</f>
        <v>45398</v>
      </c>
      <c r="K363" s="393">
        <f>VLOOKUP(Complete[[#This Row],[Code
(PAP)]],[1]Sheet1!$A:$AO,11,FALSE)</f>
        <v>45398</v>
      </c>
      <c r="L363" s="387"/>
      <c r="M363" s="393" t="str">
        <f>VLOOKUP(Complete[[#This Row],[Code
(PAP)]],[1]Sheet1!$A:$AO,13,FALSE)</f>
        <v>N/A</v>
      </c>
      <c r="N363" s="393" t="str">
        <f>VLOOKUP(Complete[[#This Row],[Code
(PAP)]],[1]Sheet1!$A:$AO,14,FALSE)</f>
        <v>N/A</v>
      </c>
      <c r="O363" s="393">
        <v>45404</v>
      </c>
      <c r="P363" s="387"/>
      <c r="Q363" s="387"/>
      <c r="R363" s="387"/>
      <c r="S363" s="576" t="str">
        <f>VLOOKUP(Complete[[#This Row],[Code
(PAP)]],[1]Sheet1!$A:$AO,19,FALSE)</f>
        <v>N/A</v>
      </c>
      <c r="T363" s="576">
        <f>VLOOKUP(Complete[[#This Row],[Code
(PAP)]],[1]Sheet1!$A:$AO,20,FALSE)</f>
        <v>45412</v>
      </c>
      <c r="U363" s="576">
        <f>VLOOKUP(Complete[[#This Row],[Code
(PAP)]],[1]Sheet1!$A:$AO,21,FALSE)</f>
        <v>45434</v>
      </c>
      <c r="V363" s="387"/>
      <c r="W363" s="387"/>
      <c r="X363" s="392">
        <f>VLOOKUP(Complete[[#This Row],[Code
(PAP)]],[1]Sheet1!$A:$AO,24,FALSE)</f>
        <v>45443</v>
      </c>
      <c r="Y363" s="392">
        <f>Complete[[#This Row],[Delivery/ Completion]]</f>
        <v>45443</v>
      </c>
      <c r="Z363" s="610" t="s">
        <v>1478</v>
      </c>
      <c r="AA363" s="462">
        <f>Complete[[#This Row],[MOOE]]+Complete[[#This Row],[CO]]</f>
        <v>73600</v>
      </c>
      <c r="AB363" s="466"/>
      <c r="AC363" s="497">
        <v>73600</v>
      </c>
      <c r="AD363" s="498">
        <f>IF(Complete[[#This Row],[Procurement Project]]="","",SUM(Complete[[#This Row],[MOOE2]]+Complete[[#This Row],[CO3]]))</f>
        <v>64905.08</v>
      </c>
      <c r="AE363" s="501"/>
      <c r="AF363" s="541">
        <v>64905.08</v>
      </c>
      <c r="AG363" s="400"/>
      <c r="AH363" s="380" t="s">
        <v>1205</v>
      </c>
      <c r="AI363" s="576" t="str">
        <f>VLOOKUP(Complete[[#This Row],[Code
(PAP)]],[1]Sheet1!$A:$AO,35,FALSE)</f>
        <v>N/A</v>
      </c>
      <c r="AJ363" s="576" t="str">
        <f>VLOOKUP(Complete[[#This Row],[Code
(PAP)]],[1]Sheet1!$A:$AO,36,FALSE)</f>
        <v>N/A</v>
      </c>
      <c r="AK363" s="576" t="str">
        <f>VLOOKUP(Complete[[#This Row],[Code
(PAP)]],[1]Sheet1!$A:$AO,37,FALSE)</f>
        <v>N/A</v>
      </c>
      <c r="AL363" s="576" t="str">
        <f>VLOOKUP(Complete[[#This Row],[Code
(PAP)]],[1]Sheet1!$A:$AO,38,FALSE)</f>
        <v>N/A</v>
      </c>
      <c r="AM363" s="576" t="str">
        <f>VLOOKUP(Complete[[#This Row],[Code
(PAP)]],[1]Sheet1!$A:$AO,38,FALSE)</f>
        <v>N/A</v>
      </c>
      <c r="AN363" s="595" t="s">
        <v>713</v>
      </c>
      <c r="AO363" s="303" t="s">
        <v>139</v>
      </c>
      <c r="AP363" s="389"/>
      <c r="AQ363" s="389"/>
    </row>
    <row r="364" spans="1:43" s="224" customFormat="1" ht="75" customHeight="1" x14ac:dyDescent="0.25">
      <c r="A364" s="385" t="s">
        <v>542</v>
      </c>
      <c r="B364" s="406" t="str">
        <f>VLOOKUP(Complete[[#This Row],[Code
(PAP)]],[1]Sheet1!$A:$AO,2,FALSE)</f>
        <v>JOB OUT-WHEEL ALIGNMENT &amp; WHEEL BALANCING</v>
      </c>
      <c r="C364" s="408" t="str">
        <f>VLOOKUP(Complete[[#This Row],[Code
(PAP)]],[1]Sheet1!$A:$AO,3,FALSE)</f>
        <v>PGSO</v>
      </c>
      <c r="D364" s="380" t="s">
        <v>712</v>
      </c>
      <c r="E364" s="409" t="str">
        <f>VLOOKUP(Complete[[#This Row],[Code
(PAP)]],[2]Sheet1!$A:$AO,5,FALSE)</f>
        <v>NP-53.9 - Small Value Procurement</v>
      </c>
      <c r="F364" s="393">
        <f>VLOOKUP(Complete[[#This Row],[Code
(PAP)]],[1]Sheet1!$A:$AO,6,FALSE)</f>
        <v>45370</v>
      </c>
      <c r="G364" s="393">
        <f>VLOOKUP(Complete[[#This Row],[Code
(PAP)]],[1]Sheet1!$A:$AO,7,FALSE)</f>
        <v>45376</v>
      </c>
      <c r="H364" s="374"/>
      <c r="I364" s="394" t="str">
        <f>VLOOKUP(Complete[[#This Row],[Code
(PAP)]],[1]Sheet1!$A:$AO,9,FALSE)</f>
        <v>N/A</v>
      </c>
      <c r="J364" s="393">
        <f>VLOOKUP(Complete[[#This Row],[Code
(PAP)]],[1]Sheet1!$A:$AO,10,FALSE)</f>
        <v>45398</v>
      </c>
      <c r="K364" s="393">
        <f>VLOOKUP(Complete[[#This Row],[Code
(PAP)]],[1]Sheet1!$A:$AO,11,FALSE)</f>
        <v>45398</v>
      </c>
      <c r="L364" s="387"/>
      <c r="M364" s="393" t="str">
        <f>VLOOKUP(Complete[[#This Row],[Code
(PAP)]],[1]Sheet1!$A:$AO,13,FALSE)</f>
        <v>N/A</v>
      </c>
      <c r="N364" s="393" t="str">
        <f>VLOOKUP(Complete[[#This Row],[Code
(PAP)]],[1]Sheet1!$A:$AO,14,FALSE)</f>
        <v>N/A</v>
      </c>
      <c r="O364" s="393">
        <v>45404</v>
      </c>
      <c r="P364" s="387"/>
      <c r="Q364" s="387"/>
      <c r="R364" s="387"/>
      <c r="S364" s="576" t="str">
        <f>VLOOKUP(Complete[[#This Row],[Code
(PAP)]],[1]Sheet1!$A:$AO,19,FALSE)</f>
        <v>N/A</v>
      </c>
      <c r="T364" s="576">
        <f>VLOOKUP(Complete[[#This Row],[Code
(PAP)]],[1]Sheet1!$A:$AO,20,FALSE)</f>
        <v>45412</v>
      </c>
      <c r="U364" s="576">
        <f>VLOOKUP(Complete[[#This Row],[Code
(PAP)]],[1]Sheet1!$A:$AO,21,FALSE)</f>
        <v>45426</v>
      </c>
      <c r="V364" s="387"/>
      <c r="W364" s="387"/>
      <c r="X364" s="392">
        <f>VLOOKUP(Complete[[#This Row],[Code
(PAP)]],[1]Sheet1!$A:$AO,24,FALSE)</f>
        <v>45435</v>
      </c>
      <c r="Y364" s="392">
        <f>Complete[[#This Row],[Delivery/ Completion]]</f>
        <v>45435</v>
      </c>
      <c r="Z364" s="610" t="s">
        <v>1478</v>
      </c>
      <c r="AA364" s="462">
        <f>Complete[[#This Row],[MOOE]]+Complete[[#This Row],[CO]]</f>
        <v>6300</v>
      </c>
      <c r="AB364" s="466">
        <v>6300</v>
      </c>
      <c r="AC364" s="497"/>
      <c r="AD364" s="498">
        <f>IF(Complete[[#This Row],[Procurement Project]]="","",SUM(Complete[[#This Row],[MOOE2]]+Complete[[#This Row],[CO3]]))</f>
        <v>6300</v>
      </c>
      <c r="AE364" s="501">
        <v>6300</v>
      </c>
      <c r="AF364" s="541"/>
      <c r="AG364" s="400"/>
      <c r="AH364" s="380" t="s">
        <v>1205</v>
      </c>
      <c r="AI364" s="576" t="str">
        <f>VLOOKUP(Complete[[#This Row],[Code
(PAP)]],[1]Sheet1!$A:$AO,35,FALSE)</f>
        <v>N/A</v>
      </c>
      <c r="AJ364" s="576" t="str">
        <f>VLOOKUP(Complete[[#This Row],[Code
(PAP)]],[1]Sheet1!$A:$AO,36,FALSE)</f>
        <v>N/A</v>
      </c>
      <c r="AK364" s="576" t="str">
        <f>VLOOKUP(Complete[[#This Row],[Code
(PAP)]],[1]Sheet1!$A:$AO,37,FALSE)</f>
        <v>N/A</v>
      </c>
      <c r="AL364" s="576" t="str">
        <f>VLOOKUP(Complete[[#This Row],[Code
(PAP)]],[1]Sheet1!$A:$AO,38,FALSE)</f>
        <v>N/A</v>
      </c>
      <c r="AM364" s="576" t="str">
        <f>VLOOKUP(Complete[[#This Row],[Code
(PAP)]],[1]Sheet1!$A:$AO,38,FALSE)</f>
        <v>N/A</v>
      </c>
      <c r="AN364" s="595" t="s">
        <v>713</v>
      </c>
      <c r="AO364" s="303" t="s">
        <v>139</v>
      </c>
      <c r="AP364" s="389"/>
      <c r="AQ364" s="389"/>
    </row>
    <row r="365" spans="1:43" s="224" customFormat="1" ht="75" customHeight="1" x14ac:dyDescent="0.25">
      <c r="A365" s="385" t="s">
        <v>543</v>
      </c>
      <c r="B365" s="406" t="str">
        <f>VLOOKUP(Complete[[#This Row],[Code
(PAP)]],[1]Sheet1!$A:$AO,2,FALSE)</f>
        <v>VETERINARY DRUGS AND BIOLOGICS</v>
      </c>
      <c r="C365" s="408" t="str">
        <f>VLOOKUP(Complete[[#This Row],[Code
(PAP)]],[1]Sheet1!$A:$AO,3,FALSE)</f>
        <v>PGO</v>
      </c>
      <c r="D365" s="380" t="s">
        <v>712</v>
      </c>
      <c r="E365" s="409" t="str">
        <f>VLOOKUP(Complete[[#This Row],[Code
(PAP)]],[2]Sheet1!$A:$AO,5,FALSE)</f>
        <v>NP-53.9 - Small Value Procurement</v>
      </c>
      <c r="F365" s="393" t="str">
        <f>VLOOKUP(Complete[[#This Row],[Code
(PAP)]],[1]Sheet1!$A:$AO,6,FALSE)</f>
        <v>N/A</v>
      </c>
      <c r="G365" s="393">
        <f>VLOOKUP(Complete[[#This Row],[Code
(PAP)]],[1]Sheet1!$A:$AO,7,FALSE)</f>
        <v>45376</v>
      </c>
      <c r="H365" s="374"/>
      <c r="I365" s="394" t="str">
        <f>VLOOKUP(Complete[[#This Row],[Code
(PAP)]],[1]Sheet1!$A:$AO,9,FALSE)</f>
        <v>N/A</v>
      </c>
      <c r="J365" s="393">
        <f>VLOOKUP(Complete[[#This Row],[Code
(PAP)]],[1]Sheet1!$A:$AO,10,FALSE)</f>
        <v>45398</v>
      </c>
      <c r="K365" s="393">
        <f>VLOOKUP(Complete[[#This Row],[Code
(PAP)]],[1]Sheet1!$A:$AO,11,FALSE)</f>
        <v>45398</v>
      </c>
      <c r="L365" s="387"/>
      <c r="M365" s="393" t="str">
        <f>VLOOKUP(Complete[[#This Row],[Code
(PAP)]],[1]Sheet1!$A:$AO,13,FALSE)</f>
        <v>N/A</v>
      </c>
      <c r="N365" s="393" t="str">
        <f>VLOOKUP(Complete[[#This Row],[Code
(PAP)]],[1]Sheet1!$A:$AO,14,FALSE)</f>
        <v>N/A</v>
      </c>
      <c r="O365" s="393">
        <v>45404</v>
      </c>
      <c r="P365" s="387"/>
      <c r="Q365" s="387"/>
      <c r="R365" s="387"/>
      <c r="S365" s="576" t="str">
        <f>VLOOKUP(Complete[[#This Row],[Code
(PAP)]],[1]Sheet1!$A:$AO,19,FALSE)</f>
        <v>N/A</v>
      </c>
      <c r="T365" s="576">
        <f>VLOOKUP(Complete[[#This Row],[Code
(PAP)]],[1]Sheet1!$A:$AO,20,FALSE)</f>
        <v>45412</v>
      </c>
      <c r="U365" s="576">
        <f>VLOOKUP(Complete[[#This Row],[Code
(PAP)]],[1]Sheet1!$A:$AO,21,FALSE)</f>
        <v>45436</v>
      </c>
      <c r="V365" s="387"/>
      <c r="W365" s="387"/>
      <c r="X365" s="392">
        <f>VLOOKUP(Complete[[#This Row],[Code
(PAP)]],[1]Sheet1!$A:$AO,24,FALSE)</f>
        <v>45440</v>
      </c>
      <c r="Y365" s="392">
        <f>Complete[[#This Row],[Delivery/ Completion]]</f>
        <v>45440</v>
      </c>
      <c r="Z365" s="610" t="s">
        <v>1478</v>
      </c>
      <c r="AA365" s="462">
        <f>Complete[[#This Row],[MOOE]]+Complete[[#This Row],[CO]]</f>
        <v>21800</v>
      </c>
      <c r="AB365" s="466"/>
      <c r="AC365" s="497">
        <v>21800</v>
      </c>
      <c r="AD365" s="498">
        <f>IF(Complete[[#This Row],[Procurement Project]]="","",SUM(Complete[[#This Row],[MOOE2]]+Complete[[#This Row],[CO3]]))</f>
        <v>20250</v>
      </c>
      <c r="AE365" s="501"/>
      <c r="AF365" s="541">
        <v>20250</v>
      </c>
      <c r="AG365" s="400"/>
      <c r="AH365" s="380" t="s">
        <v>1205</v>
      </c>
      <c r="AI365" s="576" t="str">
        <f>VLOOKUP(Complete[[#This Row],[Code
(PAP)]],[1]Sheet1!$A:$AO,35,FALSE)</f>
        <v>N/A</v>
      </c>
      <c r="AJ365" s="576" t="str">
        <f>VLOOKUP(Complete[[#This Row],[Code
(PAP)]],[1]Sheet1!$A:$AO,36,FALSE)</f>
        <v>N/A</v>
      </c>
      <c r="AK365" s="576" t="str">
        <f>VLOOKUP(Complete[[#This Row],[Code
(PAP)]],[1]Sheet1!$A:$AO,37,FALSE)</f>
        <v>N/A</v>
      </c>
      <c r="AL365" s="576" t="str">
        <f>VLOOKUP(Complete[[#This Row],[Code
(PAP)]],[1]Sheet1!$A:$AO,38,FALSE)</f>
        <v>N/A</v>
      </c>
      <c r="AM365" s="576" t="str">
        <f>VLOOKUP(Complete[[#This Row],[Code
(PAP)]],[1]Sheet1!$A:$AO,38,FALSE)</f>
        <v>N/A</v>
      </c>
      <c r="AN365" s="595" t="s">
        <v>713</v>
      </c>
      <c r="AO365" s="303" t="s">
        <v>139</v>
      </c>
      <c r="AP365" s="389"/>
      <c r="AQ365" s="389"/>
    </row>
    <row r="366" spans="1:43" s="224" customFormat="1" ht="75" customHeight="1" x14ac:dyDescent="0.25">
      <c r="A366" s="385" t="s">
        <v>544</v>
      </c>
      <c r="B366" s="406" t="str">
        <f>VLOOKUP(Complete[[#This Row],[Code
(PAP)]],[1]Sheet1!$A:$AO,2,FALSE)</f>
        <v>FIRE EXTINGUISHER &amp; REFILL</v>
      </c>
      <c r="C366" s="408" t="str">
        <f>VLOOKUP(Complete[[#This Row],[Code
(PAP)]],[1]Sheet1!$A:$AO,3,FALSE)</f>
        <v>PGSO</v>
      </c>
      <c r="D366" s="380" t="s">
        <v>712</v>
      </c>
      <c r="E366" s="409" t="str">
        <f>VLOOKUP(Complete[[#This Row],[Code
(PAP)]],[2]Sheet1!$A:$AO,5,FALSE)</f>
        <v>NP-53.9 - Small Value Procurement</v>
      </c>
      <c r="F366" s="393">
        <f>VLOOKUP(Complete[[#This Row],[Code
(PAP)]],[1]Sheet1!$A:$AO,6,FALSE)</f>
        <v>45370</v>
      </c>
      <c r="G366" s="393">
        <f>VLOOKUP(Complete[[#This Row],[Code
(PAP)]],[1]Sheet1!$A:$AO,7,FALSE)</f>
        <v>45376</v>
      </c>
      <c r="H366" s="374"/>
      <c r="I366" s="394" t="str">
        <f>VLOOKUP(Complete[[#This Row],[Code
(PAP)]],[1]Sheet1!$A:$AO,9,FALSE)</f>
        <v>N/A</v>
      </c>
      <c r="J366" s="393">
        <f>VLOOKUP(Complete[[#This Row],[Code
(PAP)]],[1]Sheet1!$A:$AO,10,FALSE)</f>
        <v>45398</v>
      </c>
      <c r="K366" s="393">
        <f>VLOOKUP(Complete[[#This Row],[Code
(PAP)]],[1]Sheet1!$A:$AO,11,FALSE)</f>
        <v>45398</v>
      </c>
      <c r="L366" s="387"/>
      <c r="M366" s="393" t="str">
        <f>VLOOKUP(Complete[[#This Row],[Code
(PAP)]],[1]Sheet1!$A:$AO,13,FALSE)</f>
        <v>N/A</v>
      </c>
      <c r="N366" s="393" t="str">
        <f>VLOOKUP(Complete[[#This Row],[Code
(PAP)]],[1]Sheet1!$A:$AO,14,FALSE)</f>
        <v>N/A</v>
      </c>
      <c r="O366" s="393">
        <v>45404</v>
      </c>
      <c r="P366" s="387"/>
      <c r="Q366" s="387"/>
      <c r="R366" s="387"/>
      <c r="S366" s="576" t="str">
        <f>VLOOKUP(Complete[[#This Row],[Code
(PAP)]],[1]Sheet1!$A:$AO,19,FALSE)</f>
        <v>N/A</v>
      </c>
      <c r="T366" s="576">
        <f>VLOOKUP(Complete[[#This Row],[Code
(PAP)]],[1]Sheet1!$A:$AO,20,FALSE)</f>
        <v>45421</v>
      </c>
      <c r="U366" s="576">
        <f>VLOOKUP(Complete[[#This Row],[Code
(PAP)]],[1]Sheet1!$A:$AO,21,FALSE)</f>
        <v>45428</v>
      </c>
      <c r="V366" s="387"/>
      <c r="W366" s="387"/>
      <c r="X366" s="392">
        <f>VLOOKUP(Complete[[#This Row],[Code
(PAP)]],[1]Sheet1!$A:$AO,24,FALSE)</f>
        <v>45436</v>
      </c>
      <c r="Y366" s="392">
        <f>Complete[[#This Row],[Delivery/ Completion]]</f>
        <v>45436</v>
      </c>
      <c r="Z366" s="610" t="s">
        <v>1478</v>
      </c>
      <c r="AA366" s="462">
        <f>Complete[[#This Row],[MOOE]]+Complete[[#This Row],[CO]]</f>
        <v>42845</v>
      </c>
      <c r="AB366" s="466">
        <v>42845</v>
      </c>
      <c r="AC366" s="497"/>
      <c r="AD366" s="498">
        <f>IF(Complete[[#This Row],[Procurement Project]]="","",SUM(Complete[[#This Row],[MOOE2]]+Complete[[#This Row],[CO3]]))</f>
        <v>42550</v>
      </c>
      <c r="AE366" s="501">
        <v>42550</v>
      </c>
      <c r="AF366" s="541"/>
      <c r="AG366" s="400"/>
      <c r="AH366" s="380" t="s">
        <v>1205</v>
      </c>
      <c r="AI366" s="576" t="str">
        <f>VLOOKUP(Complete[[#This Row],[Code
(PAP)]],[1]Sheet1!$A:$AO,35,FALSE)</f>
        <v>N/A</v>
      </c>
      <c r="AJ366" s="576" t="str">
        <f>VLOOKUP(Complete[[#This Row],[Code
(PAP)]],[1]Sheet1!$A:$AO,36,FALSE)</f>
        <v>N/A</v>
      </c>
      <c r="AK366" s="576" t="str">
        <f>VLOOKUP(Complete[[#This Row],[Code
(PAP)]],[1]Sheet1!$A:$AO,37,FALSE)</f>
        <v>N/A</v>
      </c>
      <c r="AL366" s="576" t="str">
        <f>VLOOKUP(Complete[[#This Row],[Code
(PAP)]],[1]Sheet1!$A:$AO,38,FALSE)</f>
        <v>N/A</v>
      </c>
      <c r="AM366" s="576" t="str">
        <f>VLOOKUP(Complete[[#This Row],[Code
(PAP)]],[1]Sheet1!$A:$AO,38,FALSE)</f>
        <v>N/A</v>
      </c>
      <c r="AN366" s="595" t="s">
        <v>713</v>
      </c>
      <c r="AO366" s="303" t="s">
        <v>139</v>
      </c>
      <c r="AP366" s="389"/>
      <c r="AQ366" s="389"/>
    </row>
    <row r="367" spans="1:43" s="224" customFormat="1" ht="75" customHeight="1" x14ac:dyDescent="0.25">
      <c r="A367" s="385" t="s">
        <v>545</v>
      </c>
      <c r="B367" s="406" t="str">
        <f>VLOOKUP(Complete[[#This Row],[Code
(PAP)]],[1]Sheet1!$A:$AO,2,FALSE)</f>
        <v>JANITORIAL SUPPLIES/HOUSEKEEPING</v>
      </c>
      <c r="C367" s="408" t="str">
        <f>VLOOKUP(Complete[[#This Row],[Code
(PAP)]],[1]Sheet1!$A:$AO,3,FALSE)</f>
        <v>PGO</v>
      </c>
      <c r="D367" s="380" t="s">
        <v>712</v>
      </c>
      <c r="E367" s="409" t="str">
        <f>VLOOKUP(Complete[[#This Row],[Code
(PAP)]],[2]Sheet1!$A:$AO,5,FALSE)</f>
        <v>NP-53.9 - Small Value Procurement</v>
      </c>
      <c r="F367" s="393" t="str">
        <f>VLOOKUP(Complete[[#This Row],[Code
(PAP)]],[1]Sheet1!$A:$AO,6,FALSE)</f>
        <v>N/A</v>
      </c>
      <c r="G367" s="393">
        <f>VLOOKUP(Complete[[#This Row],[Code
(PAP)]],[1]Sheet1!$A:$AO,7,FALSE)</f>
        <v>45376</v>
      </c>
      <c r="H367" s="374"/>
      <c r="I367" s="394" t="str">
        <f>VLOOKUP(Complete[[#This Row],[Code
(PAP)]],[1]Sheet1!$A:$AO,9,FALSE)</f>
        <v>N/A</v>
      </c>
      <c r="J367" s="393">
        <f>VLOOKUP(Complete[[#This Row],[Code
(PAP)]],[1]Sheet1!$A:$AO,10,FALSE)</f>
        <v>45398</v>
      </c>
      <c r="K367" s="393">
        <f>VLOOKUP(Complete[[#This Row],[Code
(PAP)]],[1]Sheet1!$A:$AO,11,FALSE)</f>
        <v>45398</v>
      </c>
      <c r="L367" s="387"/>
      <c r="M367" s="393" t="str">
        <f>VLOOKUP(Complete[[#This Row],[Code
(PAP)]],[1]Sheet1!$A:$AO,13,FALSE)</f>
        <v>N/A</v>
      </c>
      <c r="N367" s="393" t="str">
        <f>VLOOKUP(Complete[[#This Row],[Code
(PAP)]],[1]Sheet1!$A:$AO,14,FALSE)</f>
        <v>N/A</v>
      </c>
      <c r="O367" s="393">
        <v>45404</v>
      </c>
      <c r="P367" s="387"/>
      <c r="Q367" s="387"/>
      <c r="R367" s="387"/>
      <c r="S367" s="576" t="str">
        <f>VLOOKUP(Complete[[#This Row],[Code
(PAP)]],[1]Sheet1!$A:$AO,19,FALSE)</f>
        <v>N/A</v>
      </c>
      <c r="T367" s="576">
        <f>VLOOKUP(Complete[[#This Row],[Code
(PAP)]],[1]Sheet1!$A:$AO,20,FALSE)</f>
        <v>45405</v>
      </c>
      <c r="U367" s="576">
        <f>VLOOKUP(Complete[[#This Row],[Code
(PAP)]],[1]Sheet1!$A:$AO,21,FALSE)</f>
        <v>45418</v>
      </c>
      <c r="V367" s="387"/>
      <c r="W367" s="387"/>
      <c r="X367" s="392">
        <f>VLOOKUP(Complete[[#This Row],[Code
(PAP)]],[1]Sheet1!$A:$AO,24,FALSE)</f>
        <v>45426</v>
      </c>
      <c r="Y367" s="392">
        <f>Complete[[#This Row],[Delivery/ Completion]]</f>
        <v>45426</v>
      </c>
      <c r="Z367" s="610" t="s">
        <v>1478</v>
      </c>
      <c r="AA367" s="462">
        <f>Complete[[#This Row],[MOOE]]+Complete[[#This Row],[CO]]</f>
        <v>25950</v>
      </c>
      <c r="AB367" s="466">
        <f>VLOOKUP(Complete[[#This Row],[Code
(PAP)]],[1]Sheet1!$A:$AN,28,FALSE)</f>
        <v>0</v>
      </c>
      <c r="AC367" s="497">
        <v>25950</v>
      </c>
      <c r="AD367" s="498">
        <f>IF(Complete[[#This Row],[Procurement Project]]="","",SUM(Complete[[#This Row],[MOOE2]]+Complete[[#This Row],[CO3]]))</f>
        <v>25140</v>
      </c>
      <c r="AE367" s="501"/>
      <c r="AF367" s="541">
        <v>25140</v>
      </c>
      <c r="AG367" s="400"/>
      <c r="AH367" s="380" t="s">
        <v>1205</v>
      </c>
      <c r="AI367" s="576" t="str">
        <f>VLOOKUP(Complete[[#This Row],[Code
(PAP)]],[1]Sheet1!$A:$AO,35,FALSE)</f>
        <v>N/A</v>
      </c>
      <c r="AJ367" s="576" t="str">
        <f>VLOOKUP(Complete[[#This Row],[Code
(PAP)]],[1]Sheet1!$A:$AO,36,FALSE)</f>
        <v>N/A</v>
      </c>
      <c r="AK367" s="576" t="str">
        <f>VLOOKUP(Complete[[#This Row],[Code
(PAP)]],[1]Sheet1!$A:$AO,37,FALSE)</f>
        <v>N/A</v>
      </c>
      <c r="AL367" s="576" t="str">
        <f>VLOOKUP(Complete[[#This Row],[Code
(PAP)]],[1]Sheet1!$A:$AO,38,FALSE)</f>
        <v>N/A</v>
      </c>
      <c r="AM367" s="576" t="str">
        <f>VLOOKUP(Complete[[#This Row],[Code
(PAP)]],[1]Sheet1!$A:$AO,38,FALSE)</f>
        <v>N/A</v>
      </c>
      <c r="AN367" s="595" t="s">
        <v>713</v>
      </c>
      <c r="AO367" s="303" t="s">
        <v>139</v>
      </c>
      <c r="AP367" s="389"/>
      <c r="AQ367" s="389"/>
    </row>
    <row r="368" spans="1:43" s="224" customFormat="1" ht="75" customHeight="1" x14ac:dyDescent="0.25">
      <c r="A368" s="385" t="s">
        <v>546</v>
      </c>
      <c r="B368" s="406" t="str">
        <f>VLOOKUP(Complete[[#This Row],[Code
(PAP)]],[1]Sheet1!$A:$AO,2,FALSE)</f>
        <v>BATTERY</v>
      </c>
      <c r="C368" s="408" t="str">
        <f>VLOOKUP(Complete[[#This Row],[Code
(PAP)]],[1]Sheet1!$A:$AO,3,FALSE)</f>
        <v>PENRO</v>
      </c>
      <c r="D368" s="380" t="s">
        <v>712</v>
      </c>
      <c r="E368" s="409" t="str">
        <f>VLOOKUP(Complete[[#This Row],[Code
(PAP)]],[2]Sheet1!$A:$AO,5,FALSE)</f>
        <v>NP-53.9 - Small Value Procurement</v>
      </c>
      <c r="F368" s="393" t="str">
        <f>VLOOKUP(Complete[[#This Row],[Code
(PAP)]],[1]Sheet1!$A:$AO,6,FALSE)</f>
        <v>N/A</v>
      </c>
      <c r="G368" s="393">
        <f>VLOOKUP(Complete[[#This Row],[Code
(PAP)]],[1]Sheet1!$A:$AO,7,FALSE)</f>
        <v>45384</v>
      </c>
      <c r="H368" s="374"/>
      <c r="I368" s="394" t="str">
        <f>VLOOKUP(Complete[[#This Row],[Code
(PAP)]],[1]Sheet1!$A:$AO,9,FALSE)</f>
        <v>N/A</v>
      </c>
      <c r="J368" s="393">
        <f>VLOOKUP(Complete[[#This Row],[Code
(PAP)]],[1]Sheet1!$A:$AO,10,FALSE)</f>
        <v>45398</v>
      </c>
      <c r="K368" s="393">
        <f>VLOOKUP(Complete[[#This Row],[Code
(PAP)]],[1]Sheet1!$A:$AO,11,FALSE)</f>
        <v>45398</v>
      </c>
      <c r="L368" s="387"/>
      <c r="M368" s="393" t="str">
        <f>VLOOKUP(Complete[[#This Row],[Code
(PAP)]],[1]Sheet1!$A:$AO,13,FALSE)</f>
        <v>N/A</v>
      </c>
      <c r="N368" s="393" t="str">
        <f>VLOOKUP(Complete[[#This Row],[Code
(PAP)]],[1]Sheet1!$A:$AO,14,FALSE)</f>
        <v>N/A</v>
      </c>
      <c r="O368" s="393">
        <v>45404</v>
      </c>
      <c r="P368" s="387"/>
      <c r="Q368" s="387"/>
      <c r="R368" s="387"/>
      <c r="S368" s="576" t="str">
        <f>VLOOKUP(Complete[[#This Row],[Code
(PAP)]],[1]Sheet1!$A:$AO,19,FALSE)</f>
        <v>N/A</v>
      </c>
      <c r="T368" s="576">
        <f>VLOOKUP(Complete[[#This Row],[Code
(PAP)]],[1]Sheet1!$A:$AO,20,FALSE)</f>
        <v>45405</v>
      </c>
      <c r="U368" s="576">
        <f>VLOOKUP(Complete[[#This Row],[Code
(PAP)]],[1]Sheet1!$A:$AO,21,FALSE)</f>
        <v>45422</v>
      </c>
      <c r="V368" s="387"/>
      <c r="W368" s="387"/>
      <c r="X368" s="392">
        <f>VLOOKUP(Complete[[#This Row],[Code
(PAP)]],[1]Sheet1!$A:$AO,24,FALSE)</f>
        <v>45439</v>
      </c>
      <c r="Y368" s="392">
        <f>Complete[[#This Row],[Delivery/ Completion]]</f>
        <v>45439</v>
      </c>
      <c r="Z368" s="610" t="s">
        <v>1478</v>
      </c>
      <c r="AA368" s="462">
        <f>Complete[[#This Row],[MOOE]]+Complete[[#This Row],[CO]]</f>
        <v>7800</v>
      </c>
      <c r="AB368" s="466">
        <v>7800</v>
      </c>
      <c r="AC368" s="497"/>
      <c r="AD368" s="498">
        <f>IF(Complete[[#This Row],[Procurement Project]]="","",SUM(Complete[[#This Row],[MOOE2]]+Complete[[#This Row],[CO3]]))</f>
        <v>7788</v>
      </c>
      <c r="AE368" s="501">
        <v>7788</v>
      </c>
      <c r="AF368" s="541"/>
      <c r="AG368" s="400"/>
      <c r="AH368" s="380" t="s">
        <v>1205</v>
      </c>
      <c r="AI368" s="576" t="str">
        <f>VLOOKUP(Complete[[#This Row],[Code
(PAP)]],[1]Sheet1!$A:$AO,35,FALSE)</f>
        <v>N/A</v>
      </c>
      <c r="AJ368" s="576" t="str">
        <f>VLOOKUP(Complete[[#This Row],[Code
(PAP)]],[1]Sheet1!$A:$AO,36,FALSE)</f>
        <v>N/A</v>
      </c>
      <c r="AK368" s="576" t="str">
        <f>VLOOKUP(Complete[[#This Row],[Code
(PAP)]],[1]Sheet1!$A:$AO,37,FALSE)</f>
        <v>N/A</v>
      </c>
      <c r="AL368" s="576" t="str">
        <f>VLOOKUP(Complete[[#This Row],[Code
(PAP)]],[1]Sheet1!$A:$AO,38,FALSE)</f>
        <v>N/A</v>
      </c>
      <c r="AM368" s="576" t="str">
        <f>VLOOKUP(Complete[[#This Row],[Code
(PAP)]],[1]Sheet1!$A:$AO,38,FALSE)</f>
        <v>N/A</v>
      </c>
      <c r="AN368" s="595" t="s">
        <v>713</v>
      </c>
      <c r="AO368" s="303" t="s">
        <v>139</v>
      </c>
      <c r="AP368" s="389"/>
      <c r="AQ368" s="389"/>
    </row>
    <row r="369" spans="1:43" s="224" customFormat="1" ht="75" customHeight="1" x14ac:dyDescent="0.25">
      <c r="A369" s="385" t="s">
        <v>547</v>
      </c>
      <c r="B369" s="406" t="str">
        <f>VLOOKUP(Complete[[#This Row],[Code
(PAP)]],[1]Sheet1!$A:$AO,2,FALSE)</f>
        <v>RICE, WELL MILLED</v>
      </c>
      <c r="C369" s="408" t="str">
        <f>VLOOKUP(Complete[[#This Row],[Code
(PAP)]],[1]Sheet1!$A:$AO,3,FALSE)</f>
        <v>PGO</v>
      </c>
      <c r="D369" s="380" t="s">
        <v>712</v>
      </c>
      <c r="E369" s="409" t="str">
        <f>VLOOKUP(Complete[[#This Row],[Code
(PAP)]],[2]Sheet1!$A:$AO,5,FALSE)</f>
        <v>NP-53.9 - Small Value Procurement</v>
      </c>
      <c r="F369" s="393">
        <f>VLOOKUP(Complete[[#This Row],[Code
(PAP)]],[1]Sheet1!$A:$AO,6,FALSE)</f>
        <v>45370</v>
      </c>
      <c r="G369" s="393">
        <f>VLOOKUP(Complete[[#This Row],[Code
(PAP)]],[1]Sheet1!$A:$AO,7,FALSE)</f>
        <v>45376</v>
      </c>
      <c r="H369" s="374"/>
      <c r="I369" s="394" t="str">
        <f>VLOOKUP(Complete[[#This Row],[Code
(PAP)]],[1]Sheet1!$A:$AO,9,FALSE)</f>
        <v>N/A</v>
      </c>
      <c r="J369" s="393">
        <f>VLOOKUP(Complete[[#This Row],[Code
(PAP)]],[1]Sheet1!$A:$AO,10,FALSE)</f>
        <v>45398</v>
      </c>
      <c r="K369" s="393">
        <f>VLOOKUP(Complete[[#This Row],[Code
(PAP)]],[1]Sheet1!$A:$AO,11,FALSE)</f>
        <v>45398</v>
      </c>
      <c r="L369" s="387"/>
      <c r="M369" s="393" t="str">
        <f>VLOOKUP(Complete[[#This Row],[Code
(PAP)]],[1]Sheet1!$A:$AO,13,FALSE)</f>
        <v>N/A</v>
      </c>
      <c r="N369" s="393" t="str">
        <f>VLOOKUP(Complete[[#This Row],[Code
(PAP)]],[1]Sheet1!$A:$AO,14,FALSE)</f>
        <v>N/A</v>
      </c>
      <c r="O369" s="393">
        <v>45404</v>
      </c>
      <c r="P369" s="387"/>
      <c r="Q369" s="387"/>
      <c r="R369" s="387"/>
      <c r="S369" s="576">
        <v>45406</v>
      </c>
      <c r="T369" s="576">
        <f>VLOOKUP(Complete[[#This Row],[Code
(PAP)]],[1]Sheet1!$A:$AO,20,FALSE)</f>
        <v>45418</v>
      </c>
      <c r="U369" s="576">
        <f>VLOOKUP(Complete[[#This Row],[Code
(PAP)]],[1]Sheet1!$A:$AO,21,FALSE)</f>
        <v>45420</v>
      </c>
      <c r="V369" s="387"/>
      <c r="W369" s="387"/>
      <c r="X369" s="392">
        <f>VLOOKUP(Complete[[#This Row],[Code
(PAP)]],[1]Sheet1!$A:$AO,24,FALSE)</f>
        <v>45428</v>
      </c>
      <c r="Y369" s="392">
        <f>Complete[[#This Row],[Delivery/ Completion]]</f>
        <v>45428</v>
      </c>
      <c r="Z369" s="610" t="s">
        <v>1478</v>
      </c>
      <c r="AA369" s="462">
        <f>Complete[[#This Row],[MOOE]]+Complete[[#This Row],[CO]]</f>
        <v>128535</v>
      </c>
      <c r="AB369" s="466"/>
      <c r="AC369" s="497">
        <v>128535</v>
      </c>
      <c r="AD369" s="498">
        <f>IF(Complete[[#This Row],[Procurement Project]]="","",SUM(Complete[[#This Row],[MOOE2]]+Complete[[#This Row],[CO3]]))</f>
        <v>127920</v>
      </c>
      <c r="AE369" s="501"/>
      <c r="AF369" s="541">
        <v>127920</v>
      </c>
      <c r="AG369" s="400"/>
      <c r="AH369" s="380" t="s">
        <v>1205</v>
      </c>
      <c r="AI369" s="576" t="str">
        <f>VLOOKUP(Complete[[#This Row],[Code
(PAP)]],[1]Sheet1!$A:$AO,35,FALSE)</f>
        <v>N/A</v>
      </c>
      <c r="AJ369" s="576" t="str">
        <f>VLOOKUP(Complete[[#This Row],[Code
(PAP)]],[1]Sheet1!$A:$AO,36,FALSE)</f>
        <v>N/A</v>
      </c>
      <c r="AK369" s="576" t="str">
        <f>VLOOKUP(Complete[[#This Row],[Code
(PAP)]],[1]Sheet1!$A:$AO,37,FALSE)</f>
        <v>N/A</v>
      </c>
      <c r="AL369" s="576" t="str">
        <f>VLOOKUP(Complete[[#This Row],[Code
(PAP)]],[1]Sheet1!$A:$AO,38,FALSE)</f>
        <v>N/A</v>
      </c>
      <c r="AM369" s="576" t="str">
        <f>VLOOKUP(Complete[[#This Row],[Code
(PAP)]],[1]Sheet1!$A:$AO,38,FALSE)</f>
        <v>N/A</v>
      </c>
      <c r="AN369" s="595" t="s">
        <v>713</v>
      </c>
      <c r="AO369" s="303" t="s">
        <v>139</v>
      </c>
      <c r="AP369" s="389"/>
      <c r="AQ369" s="389"/>
    </row>
    <row r="370" spans="1:43" s="224" customFormat="1" ht="75" customHeight="1" x14ac:dyDescent="0.25">
      <c r="A370" s="385" t="s">
        <v>548</v>
      </c>
      <c r="B370" s="406" t="str">
        <f>VLOOKUP(Complete[[#This Row],[Code
(PAP)]],[1]Sheet1!$A:$AO,2,FALSE)</f>
        <v>SPAREPARTS (MOTORCYCLE)</v>
      </c>
      <c r="C370" s="408" t="str">
        <f>VLOOKUP(Complete[[#This Row],[Code
(PAP)]],[1]Sheet1!$A:$AO,3,FALSE)</f>
        <v>PGSO</v>
      </c>
      <c r="D370" s="380" t="s">
        <v>712</v>
      </c>
      <c r="E370" s="409" t="str">
        <f>VLOOKUP(Complete[[#This Row],[Code
(PAP)]],[2]Sheet1!$A:$AO,5,FALSE)</f>
        <v>NP-53.9 - Small Value Procurement</v>
      </c>
      <c r="F370" s="393">
        <f>VLOOKUP(Complete[[#This Row],[Code
(PAP)]],[1]Sheet1!$A:$AO,6,FALSE)</f>
        <v>45370</v>
      </c>
      <c r="G370" s="393">
        <f>VLOOKUP(Complete[[#This Row],[Code
(PAP)]],[1]Sheet1!$A:$AO,7,FALSE)</f>
        <v>45376</v>
      </c>
      <c r="H370" s="374"/>
      <c r="I370" s="394" t="str">
        <f>VLOOKUP(Complete[[#This Row],[Code
(PAP)]],[1]Sheet1!$A:$AO,9,FALSE)</f>
        <v>N/A</v>
      </c>
      <c r="J370" s="393">
        <f>VLOOKUP(Complete[[#This Row],[Code
(PAP)]],[1]Sheet1!$A:$AO,10,FALSE)</f>
        <v>45398</v>
      </c>
      <c r="K370" s="393">
        <f>VLOOKUP(Complete[[#This Row],[Code
(PAP)]],[1]Sheet1!$A:$AO,11,FALSE)</f>
        <v>45398</v>
      </c>
      <c r="L370" s="387"/>
      <c r="M370" s="393" t="str">
        <f>VLOOKUP(Complete[[#This Row],[Code
(PAP)]],[1]Sheet1!$A:$AO,13,FALSE)</f>
        <v>N/A</v>
      </c>
      <c r="N370" s="393" t="str">
        <f>VLOOKUP(Complete[[#This Row],[Code
(PAP)]],[1]Sheet1!$A:$AO,14,FALSE)</f>
        <v>N/A</v>
      </c>
      <c r="O370" s="393">
        <v>45404</v>
      </c>
      <c r="P370" s="387"/>
      <c r="Q370" s="387"/>
      <c r="R370" s="387"/>
      <c r="S370" s="576" t="str">
        <f>VLOOKUP(Complete[[#This Row],[Code
(PAP)]],[1]Sheet1!$A:$AO,19,FALSE)</f>
        <v>N/A</v>
      </c>
      <c r="T370" s="576">
        <f>VLOOKUP(Complete[[#This Row],[Code
(PAP)]],[1]Sheet1!$A:$AO,20,FALSE)</f>
        <v>45407</v>
      </c>
      <c r="U370" s="576">
        <f>VLOOKUP(Complete[[#This Row],[Code
(PAP)]],[1]Sheet1!$A:$AO,21,FALSE)</f>
        <v>45435</v>
      </c>
      <c r="V370" s="387"/>
      <c r="W370" s="387"/>
      <c r="X370" s="392">
        <f>VLOOKUP(Complete[[#This Row],[Code
(PAP)]],[1]Sheet1!$A:$AO,24,FALSE)</f>
        <v>45463</v>
      </c>
      <c r="Y370" s="392">
        <f>Complete[[#This Row],[Delivery/ Completion]]</f>
        <v>45463</v>
      </c>
      <c r="Z370" s="610" t="s">
        <v>1478</v>
      </c>
      <c r="AA370" s="462">
        <f>Complete[[#This Row],[MOOE]]+Complete[[#This Row],[CO]]</f>
        <v>2280</v>
      </c>
      <c r="AB370" s="466">
        <v>2280</v>
      </c>
      <c r="AC370" s="497"/>
      <c r="AD370" s="498">
        <f>IF(Complete[[#This Row],[Procurement Project]]="","",SUM(Complete[[#This Row],[MOOE2]]+Complete[[#This Row],[CO3]]))</f>
        <v>2280</v>
      </c>
      <c r="AE370" s="501">
        <v>2280</v>
      </c>
      <c r="AF370" s="541"/>
      <c r="AG370" s="400"/>
      <c r="AH370" s="380" t="s">
        <v>1205</v>
      </c>
      <c r="AI370" s="576" t="str">
        <f>VLOOKUP(Complete[[#This Row],[Code
(PAP)]],[1]Sheet1!$A:$AO,35,FALSE)</f>
        <v>N/A</v>
      </c>
      <c r="AJ370" s="576" t="str">
        <f>VLOOKUP(Complete[[#This Row],[Code
(PAP)]],[1]Sheet1!$A:$AO,36,FALSE)</f>
        <v>N/A</v>
      </c>
      <c r="AK370" s="576" t="str">
        <f>VLOOKUP(Complete[[#This Row],[Code
(PAP)]],[1]Sheet1!$A:$AO,37,FALSE)</f>
        <v>N/A</v>
      </c>
      <c r="AL370" s="576" t="str">
        <f>VLOOKUP(Complete[[#This Row],[Code
(PAP)]],[1]Sheet1!$A:$AO,38,FALSE)</f>
        <v>N/A</v>
      </c>
      <c r="AM370" s="576" t="str">
        <f>VLOOKUP(Complete[[#This Row],[Code
(PAP)]],[1]Sheet1!$A:$AO,38,FALSE)</f>
        <v>N/A</v>
      </c>
      <c r="AN370" s="595" t="s">
        <v>713</v>
      </c>
      <c r="AO370" s="303" t="s">
        <v>139</v>
      </c>
      <c r="AP370" s="389"/>
      <c r="AQ370" s="389"/>
    </row>
    <row r="371" spans="1:43" s="224" customFormat="1" ht="75" customHeight="1" x14ac:dyDescent="0.25">
      <c r="A371" s="385" t="s">
        <v>549</v>
      </c>
      <c r="B371" s="406" t="str">
        <f>VLOOKUP(Complete[[#This Row],[Code
(PAP)]],[1]Sheet1!$A:$AO,2,FALSE)</f>
        <v>COMPUTER KEYBOARD AND MOUSE</v>
      </c>
      <c r="C371" s="408" t="str">
        <f>VLOOKUP(Complete[[#This Row],[Code
(PAP)]],[1]Sheet1!$A:$AO,3,FALSE)</f>
        <v>PGO</v>
      </c>
      <c r="D371" s="380" t="s">
        <v>712</v>
      </c>
      <c r="E371" s="409" t="str">
        <f>VLOOKUP(Complete[[#This Row],[Code
(PAP)]],[2]Sheet1!$A:$AO,5,FALSE)</f>
        <v>NP-53.9 - Small Value Procurement</v>
      </c>
      <c r="F371" s="393" t="str">
        <f>VLOOKUP(Complete[[#This Row],[Code
(PAP)]],[1]Sheet1!$A:$AO,6,FALSE)</f>
        <v>N/A</v>
      </c>
      <c r="G371" s="393">
        <f>VLOOKUP(Complete[[#This Row],[Code
(PAP)]],[1]Sheet1!$A:$AO,7,FALSE)</f>
        <v>45376</v>
      </c>
      <c r="H371" s="374"/>
      <c r="I371" s="394" t="str">
        <f>VLOOKUP(Complete[[#This Row],[Code
(PAP)]],[1]Sheet1!$A:$AO,9,FALSE)</f>
        <v>N/A</v>
      </c>
      <c r="J371" s="393">
        <f>VLOOKUP(Complete[[#This Row],[Code
(PAP)]],[1]Sheet1!$A:$AO,10,FALSE)</f>
        <v>45398</v>
      </c>
      <c r="K371" s="393">
        <f>VLOOKUP(Complete[[#This Row],[Code
(PAP)]],[1]Sheet1!$A:$AO,11,FALSE)</f>
        <v>45398</v>
      </c>
      <c r="L371" s="387"/>
      <c r="M371" s="393" t="str">
        <f>VLOOKUP(Complete[[#This Row],[Code
(PAP)]],[1]Sheet1!$A:$AO,13,FALSE)</f>
        <v>N/A</v>
      </c>
      <c r="N371" s="393" t="str">
        <f>VLOOKUP(Complete[[#This Row],[Code
(PAP)]],[1]Sheet1!$A:$AO,14,FALSE)</f>
        <v>N/A</v>
      </c>
      <c r="O371" s="393">
        <v>45404</v>
      </c>
      <c r="P371" s="387"/>
      <c r="Q371" s="387"/>
      <c r="R371" s="387"/>
      <c r="S371" s="576" t="str">
        <f>VLOOKUP(Complete[[#This Row],[Code
(PAP)]],[1]Sheet1!$A:$AO,19,FALSE)</f>
        <v>N/A</v>
      </c>
      <c r="T371" s="576">
        <f>VLOOKUP(Complete[[#This Row],[Code
(PAP)]],[1]Sheet1!$A:$AO,20,FALSE)</f>
        <v>45407</v>
      </c>
      <c r="U371" s="576">
        <f>VLOOKUP(Complete[[#This Row],[Code
(PAP)]],[1]Sheet1!$A:$AO,21,FALSE)</f>
        <v>45418</v>
      </c>
      <c r="V371" s="387"/>
      <c r="W371" s="387"/>
      <c r="X371" s="392">
        <f>VLOOKUP(Complete[[#This Row],[Code
(PAP)]],[1]Sheet1!$A:$AO,24,FALSE)</f>
        <v>45427</v>
      </c>
      <c r="Y371" s="392">
        <f>Complete[[#This Row],[Delivery/ Completion]]</f>
        <v>45427</v>
      </c>
      <c r="Z371" s="610" t="s">
        <v>1478</v>
      </c>
      <c r="AA371" s="462">
        <f>Complete[[#This Row],[MOOE]]+Complete[[#This Row],[CO]]</f>
        <v>2894</v>
      </c>
      <c r="AB371" s="466">
        <f>VLOOKUP(Complete[[#This Row],[Code
(PAP)]],[1]Sheet1!$A:$AN,28,FALSE)</f>
        <v>0</v>
      </c>
      <c r="AC371" s="497">
        <v>2894</v>
      </c>
      <c r="AD371" s="498">
        <f>IF(Complete[[#This Row],[Procurement Project]]="","",SUM(Complete[[#This Row],[MOOE2]]+Complete[[#This Row],[CO3]]))</f>
        <v>2790</v>
      </c>
      <c r="AE371" s="501"/>
      <c r="AF371" s="541">
        <v>2790</v>
      </c>
      <c r="AG371" s="400"/>
      <c r="AH371" s="380" t="s">
        <v>1205</v>
      </c>
      <c r="AI371" s="576" t="str">
        <f>VLOOKUP(Complete[[#This Row],[Code
(PAP)]],[1]Sheet1!$A:$AO,35,FALSE)</f>
        <v>N/A</v>
      </c>
      <c r="AJ371" s="576" t="str">
        <f>VLOOKUP(Complete[[#This Row],[Code
(PAP)]],[1]Sheet1!$A:$AO,36,FALSE)</f>
        <v>N/A</v>
      </c>
      <c r="AK371" s="576" t="str">
        <f>VLOOKUP(Complete[[#This Row],[Code
(PAP)]],[1]Sheet1!$A:$AO,37,FALSE)</f>
        <v>N/A</v>
      </c>
      <c r="AL371" s="576" t="str">
        <f>VLOOKUP(Complete[[#This Row],[Code
(PAP)]],[1]Sheet1!$A:$AO,38,FALSE)</f>
        <v>N/A</v>
      </c>
      <c r="AM371" s="576" t="str">
        <f>VLOOKUP(Complete[[#This Row],[Code
(PAP)]],[1]Sheet1!$A:$AO,38,FALSE)</f>
        <v>N/A</v>
      </c>
      <c r="AN371" s="595" t="s">
        <v>713</v>
      </c>
      <c r="AO371" s="303" t="s">
        <v>139</v>
      </c>
      <c r="AP371" s="389"/>
      <c r="AQ371" s="389"/>
    </row>
    <row r="372" spans="1:43" s="224" customFormat="1" ht="75" customHeight="1" x14ac:dyDescent="0.25">
      <c r="A372" s="385" t="s">
        <v>550</v>
      </c>
      <c r="B372" s="406" t="str">
        <f>VLOOKUP(Complete[[#This Row],[Code
(PAP)]],[1]Sheet1!$A:$AO,2,FALSE)</f>
        <v>SPAREPARTS (MOTORCYCLE)</v>
      </c>
      <c r="C372" s="408" t="str">
        <f>VLOOKUP(Complete[[#This Row],[Code
(PAP)]],[1]Sheet1!$A:$AO,3,FALSE)</f>
        <v>PGSO</v>
      </c>
      <c r="D372" s="380" t="s">
        <v>712</v>
      </c>
      <c r="E372" s="409" t="str">
        <f>VLOOKUP(Complete[[#This Row],[Code
(PAP)]],[2]Sheet1!$A:$AO,5,FALSE)</f>
        <v>NP-53.9 - Small Value Procurement</v>
      </c>
      <c r="F372" s="393">
        <f>VLOOKUP(Complete[[#This Row],[Code
(PAP)]],[1]Sheet1!$A:$AO,6,FALSE)</f>
        <v>45370</v>
      </c>
      <c r="G372" s="393">
        <f>VLOOKUP(Complete[[#This Row],[Code
(PAP)]],[1]Sheet1!$A:$AO,7,FALSE)</f>
        <v>45376</v>
      </c>
      <c r="H372" s="374"/>
      <c r="I372" s="394" t="str">
        <f>VLOOKUP(Complete[[#This Row],[Code
(PAP)]],[1]Sheet1!$A:$AO,9,FALSE)</f>
        <v>N/A</v>
      </c>
      <c r="J372" s="393">
        <f>VLOOKUP(Complete[[#This Row],[Code
(PAP)]],[1]Sheet1!$A:$AO,10,FALSE)</f>
        <v>45398</v>
      </c>
      <c r="K372" s="393">
        <f>VLOOKUP(Complete[[#This Row],[Code
(PAP)]],[1]Sheet1!$A:$AO,11,FALSE)</f>
        <v>45398</v>
      </c>
      <c r="L372" s="387"/>
      <c r="M372" s="393" t="str">
        <f>VLOOKUP(Complete[[#This Row],[Code
(PAP)]],[1]Sheet1!$A:$AO,13,FALSE)</f>
        <v>N/A</v>
      </c>
      <c r="N372" s="393" t="str">
        <f>VLOOKUP(Complete[[#This Row],[Code
(PAP)]],[1]Sheet1!$A:$AO,14,FALSE)</f>
        <v>N/A</v>
      </c>
      <c r="O372" s="393">
        <v>45404</v>
      </c>
      <c r="P372" s="387"/>
      <c r="Q372" s="387"/>
      <c r="R372" s="387"/>
      <c r="S372" s="576" t="str">
        <f>VLOOKUP(Complete[[#This Row],[Code
(PAP)]],[1]Sheet1!$A:$AO,19,FALSE)</f>
        <v>N/A</v>
      </c>
      <c r="T372" s="576">
        <f>VLOOKUP(Complete[[#This Row],[Code
(PAP)]],[1]Sheet1!$A:$AO,20,FALSE)</f>
        <v>45407</v>
      </c>
      <c r="U372" s="576">
        <f>VLOOKUP(Complete[[#This Row],[Code
(PAP)]],[1]Sheet1!$A:$AO,21,FALSE)</f>
        <v>45435</v>
      </c>
      <c r="V372" s="387"/>
      <c r="W372" s="387"/>
      <c r="X372" s="392">
        <f>VLOOKUP(Complete[[#This Row],[Code
(PAP)]],[1]Sheet1!$A:$AO,24,FALSE)</f>
        <v>45463</v>
      </c>
      <c r="Y372" s="392">
        <f>Complete[[#This Row],[Delivery/ Completion]]</f>
        <v>45463</v>
      </c>
      <c r="Z372" s="610" t="s">
        <v>1478</v>
      </c>
      <c r="AA372" s="462">
        <f>Complete[[#This Row],[MOOE]]+Complete[[#This Row],[CO]]</f>
        <v>9480</v>
      </c>
      <c r="AB372" s="466">
        <v>9480</v>
      </c>
      <c r="AC372" s="497"/>
      <c r="AD372" s="498">
        <f>IF(Complete[[#This Row],[Procurement Project]]="","",SUM(Complete[[#This Row],[MOOE2]]+Complete[[#This Row],[CO3]]))</f>
        <v>9480</v>
      </c>
      <c r="AE372" s="501">
        <v>9480</v>
      </c>
      <c r="AF372" s="541"/>
      <c r="AG372" s="400"/>
      <c r="AH372" s="380" t="s">
        <v>1205</v>
      </c>
      <c r="AI372" s="576" t="str">
        <f>VLOOKUP(Complete[[#This Row],[Code
(PAP)]],[1]Sheet1!$A:$AO,35,FALSE)</f>
        <v>N/A</v>
      </c>
      <c r="AJ372" s="576" t="str">
        <f>VLOOKUP(Complete[[#This Row],[Code
(PAP)]],[1]Sheet1!$A:$AO,36,FALSE)</f>
        <v>N/A</v>
      </c>
      <c r="AK372" s="576" t="str">
        <f>VLOOKUP(Complete[[#This Row],[Code
(PAP)]],[1]Sheet1!$A:$AO,37,FALSE)</f>
        <v>N/A</v>
      </c>
      <c r="AL372" s="576" t="str">
        <f>VLOOKUP(Complete[[#This Row],[Code
(PAP)]],[1]Sheet1!$A:$AO,38,FALSE)</f>
        <v>N/A</v>
      </c>
      <c r="AM372" s="576" t="str">
        <f>VLOOKUP(Complete[[#This Row],[Code
(PAP)]],[1]Sheet1!$A:$AO,38,FALSE)</f>
        <v>N/A</v>
      </c>
      <c r="AN372" s="595" t="s">
        <v>713</v>
      </c>
      <c r="AO372" s="303" t="s">
        <v>139</v>
      </c>
      <c r="AP372" s="389"/>
      <c r="AQ372" s="389"/>
    </row>
    <row r="373" spans="1:43" s="224" customFormat="1" ht="75" customHeight="1" x14ac:dyDescent="0.25">
      <c r="A373" s="385" t="s">
        <v>551</v>
      </c>
      <c r="B373" s="406" t="str">
        <f>VLOOKUP(Complete[[#This Row],[Code
(PAP)]],[1]Sheet1!$A:$AO,2,FALSE)</f>
        <v>COLORED PRINTER W/ SCANNER</v>
      </c>
      <c r="C373" s="408" t="str">
        <f>VLOOKUP(Complete[[#This Row],[Code
(PAP)]],[1]Sheet1!$A:$AO,3,FALSE)</f>
        <v>PGO</v>
      </c>
      <c r="D373" s="380" t="s">
        <v>712</v>
      </c>
      <c r="E373" s="409" t="str">
        <f>VLOOKUP(Complete[[#This Row],[Code
(PAP)]],[2]Sheet1!$A:$AO,5,FALSE)</f>
        <v>NP-53.9 - Small Value Procurement</v>
      </c>
      <c r="F373" s="393" t="str">
        <f>VLOOKUP(Complete[[#This Row],[Code
(PAP)]],[1]Sheet1!$A:$AO,6,FALSE)</f>
        <v>N/A</v>
      </c>
      <c r="G373" s="393">
        <f>VLOOKUP(Complete[[#This Row],[Code
(PAP)]],[1]Sheet1!$A:$AO,7,FALSE)</f>
        <v>45384</v>
      </c>
      <c r="H373" s="374"/>
      <c r="I373" s="394" t="str">
        <f>VLOOKUP(Complete[[#This Row],[Code
(PAP)]],[1]Sheet1!$A:$AO,9,FALSE)</f>
        <v>N/A</v>
      </c>
      <c r="J373" s="393">
        <f>VLOOKUP(Complete[[#This Row],[Code
(PAP)]],[1]Sheet1!$A:$AO,10,FALSE)</f>
        <v>45398</v>
      </c>
      <c r="K373" s="393">
        <f>VLOOKUP(Complete[[#This Row],[Code
(PAP)]],[1]Sheet1!$A:$AO,11,FALSE)</f>
        <v>45398</v>
      </c>
      <c r="L373" s="387"/>
      <c r="M373" s="393" t="str">
        <f>VLOOKUP(Complete[[#This Row],[Code
(PAP)]],[1]Sheet1!$A:$AO,13,FALSE)</f>
        <v>N/A</v>
      </c>
      <c r="N373" s="393" t="str">
        <f>VLOOKUP(Complete[[#This Row],[Code
(PAP)]],[1]Sheet1!$A:$AO,14,FALSE)</f>
        <v>N/A</v>
      </c>
      <c r="O373" s="393">
        <v>45404</v>
      </c>
      <c r="P373" s="387"/>
      <c r="Q373" s="387"/>
      <c r="R373" s="387"/>
      <c r="S373" s="576" t="str">
        <f>VLOOKUP(Complete[[#This Row],[Code
(PAP)]],[1]Sheet1!$A:$AO,19,FALSE)</f>
        <v>N/A</v>
      </c>
      <c r="T373" s="576">
        <f>VLOOKUP(Complete[[#This Row],[Code
(PAP)]],[1]Sheet1!$A:$AO,20,FALSE)</f>
        <v>45407</v>
      </c>
      <c r="U373" s="576">
        <f>VLOOKUP(Complete[[#This Row],[Code
(PAP)]],[1]Sheet1!$A:$AO,21,FALSE)</f>
        <v>45418</v>
      </c>
      <c r="V373" s="387"/>
      <c r="W373" s="387"/>
      <c r="X373" s="392">
        <f>VLOOKUP(Complete[[#This Row],[Code
(PAP)]],[1]Sheet1!$A:$AO,24,FALSE)</f>
        <v>45427</v>
      </c>
      <c r="Y373" s="392">
        <f>Complete[[#This Row],[Delivery/ Completion]]</f>
        <v>45427</v>
      </c>
      <c r="Z373" s="610" t="s">
        <v>1478</v>
      </c>
      <c r="AA373" s="462">
        <f>Complete[[#This Row],[MOOE]]+Complete[[#This Row],[CO]]</f>
        <v>14500</v>
      </c>
      <c r="AB373" s="466"/>
      <c r="AC373" s="497">
        <v>14500</v>
      </c>
      <c r="AD373" s="498">
        <f>IF(Complete[[#This Row],[Procurement Project]]="","",SUM(Complete[[#This Row],[MOOE2]]+Complete[[#This Row],[CO3]]))</f>
        <v>14500</v>
      </c>
      <c r="AE373" s="501"/>
      <c r="AF373" s="541">
        <v>14500</v>
      </c>
      <c r="AG373" s="400"/>
      <c r="AH373" s="380" t="s">
        <v>1205</v>
      </c>
      <c r="AI373" s="576" t="str">
        <f>VLOOKUP(Complete[[#This Row],[Code
(PAP)]],[1]Sheet1!$A:$AO,35,FALSE)</f>
        <v>N/A</v>
      </c>
      <c r="AJ373" s="576" t="str">
        <f>VLOOKUP(Complete[[#This Row],[Code
(PAP)]],[1]Sheet1!$A:$AO,36,FALSE)</f>
        <v>N/A</v>
      </c>
      <c r="AK373" s="576" t="str">
        <f>VLOOKUP(Complete[[#This Row],[Code
(PAP)]],[1]Sheet1!$A:$AO,37,FALSE)</f>
        <v>N/A</v>
      </c>
      <c r="AL373" s="576" t="str">
        <f>VLOOKUP(Complete[[#This Row],[Code
(PAP)]],[1]Sheet1!$A:$AO,38,FALSE)</f>
        <v>N/A</v>
      </c>
      <c r="AM373" s="576" t="str">
        <f>VLOOKUP(Complete[[#This Row],[Code
(PAP)]],[1]Sheet1!$A:$AO,38,FALSE)</f>
        <v>N/A</v>
      </c>
      <c r="AN373" s="595" t="s">
        <v>713</v>
      </c>
      <c r="AO373" s="303" t="s">
        <v>139</v>
      </c>
      <c r="AP373" s="389"/>
      <c r="AQ373" s="389"/>
    </row>
    <row r="374" spans="1:43" s="224" customFormat="1" ht="75" customHeight="1" x14ac:dyDescent="0.25">
      <c r="A374" s="385" t="s">
        <v>552</v>
      </c>
      <c r="B374" s="406" t="str">
        <f>VLOOKUP(Complete[[#This Row],[Code
(PAP)]],[1]Sheet1!$A:$AO,2,FALSE)</f>
        <v>OFFICE CHAIR W/ ARMS</v>
      </c>
      <c r="C374" s="408" t="str">
        <f>VLOOKUP(Complete[[#This Row],[Code
(PAP)]],[1]Sheet1!$A:$AO,3,FALSE)</f>
        <v>PLO</v>
      </c>
      <c r="D374" s="380" t="s">
        <v>712</v>
      </c>
      <c r="E374" s="409" t="str">
        <f>VLOOKUP(Complete[[#This Row],[Code
(PAP)]],[2]Sheet1!$A:$AO,5,FALSE)</f>
        <v>NP-53.9 - Small Value Procurement</v>
      </c>
      <c r="F374" s="393" t="str">
        <f>VLOOKUP(Complete[[#This Row],[Code
(PAP)]],[1]Sheet1!$A:$AO,6,FALSE)</f>
        <v>N/A</v>
      </c>
      <c r="G374" s="393">
        <f>VLOOKUP(Complete[[#This Row],[Code
(PAP)]],[1]Sheet1!$A:$AO,7,FALSE)</f>
        <v>45359</v>
      </c>
      <c r="H374" s="374"/>
      <c r="I374" s="394" t="str">
        <f>VLOOKUP(Complete[[#This Row],[Code
(PAP)]],[1]Sheet1!$A:$AO,9,FALSE)</f>
        <v>N/A</v>
      </c>
      <c r="J374" s="393">
        <f>VLOOKUP(Complete[[#This Row],[Code
(PAP)]],[1]Sheet1!$A:$AO,10,FALSE)</f>
        <v>45398</v>
      </c>
      <c r="K374" s="393">
        <f>VLOOKUP(Complete[[#This Row],[Code
(PAP)]],[1]Sheet1!$A:$AO,11,FALSE)</f>
        <v>45398</v>
      </c>
      <c r="L374" s="387"/>
      <c r="M374" s="393" t="str">
        <f>VLOOKUP(Complete[[#This Row],[Code
(PAP)]],[1]Sheet1!$A:$AO,13,FALSE)</f>
        <v>N/A</v>
      </c>
      <c r="N374" s="393" t="str">
        <f>VLOOKUP(Complete[[#This Row],[Code
(PAP)]],[1]Sheet1!$A:$AO,14,FALSE)</f>
        <v>N/A</v>
      </c>
      <c r="O374" s="393">
        <v>45404</v>
      </c>
      <c r="P374" s="387"/>
      <c r="Q374" s="387"/>
      <c r="R374" s="387"/>
      <c r="S374" s="576" t="str">
        <f>VLOOKUP(Complete[[#This Row],[Code
(PAP)]],[1]Sheet1!$A:$AO,19,FALSE)</f>
        <v>N/A</v>
      </c>
      <c r="T374" s="576">
        <f>VLOOKUP(Complete[[#This Row],[Code
(PAP)]],[1]Sheet1!$A:$AO,20,FALSE)</f>
        <v>45407</v>
      </c>
      <c r="U374" s="576">
        <f>VLOOKUP(Complete[[#This Row],[Code
(PAP)]],[1]Sheet1!$A:$AO,21,FALSE)</f>
        <v>45426</v>
      </c>
      <c r="V374" s="387"/>
      <c r="W374" s="387"/>
      <c r="X374" s="392">
        <f>VLOOKUP(Complete[[#This Row],[Code
(PAP)]],[1]Sheet1!$A:$AO,24,FALSE)</f>
        <v>45432</v>
      </c>
      <c r="Y374" s="392">
        <f>Complete[[#This Row],[Delivery/ Completion]]</f>
        <v>45432</v>
      </c>
      <c r="Z374" s="610" t="s">
        <v>1478</v>
      </c>
      <c r="AA374" s="462">
        <f>Complete[[#This Row],[MOOE]]+Complete[[#This Row],[CO]]</f>
        <v>4400</v>
      </c>
      <c r="AB374" s="466">
        <v>4400</v>
      </c>
      <c r="AC374" s="497"/>
      <c r="AD374" s="498">
        <f>IF(Complete[[#This Row],[Procurement Project]]="","",SUM(Complete[[#This Row],[MOOE2]]+Complete[[#This Row],[CO3]]))</f>
        <v>4250</v>
      </c>
      <c r="AE374" s="501">
        <v>4250</v>
      </c>
      <c r="AF374" s="541"/>
      <c r="AG374" s="400"/>
      <c r="AH374" s="380" t="s">
        <v>1205</v>
      </c>
      <c r="AI374" s="576" t="str">
        <f>VLOOKUP(Complete[[#This Row],[Code
(PAP)]],[1]Sheet1!$A:$AO,35,FALSE)</f>
        <v>N/A</v>
      </c>
      <c r="AJ374" s="576" t="str">
        <f>VLOOKUP(Complete[[#This Row],[Code
(PAP)]],[1]Sheet1!$A:$AO,36,FALSE)</f>
        <v>N/A</v>
      </c>
      <c r="AK374" s="576" t="str">
        <f>VLOOKUP(Complete[[#This Row],[Code
(PAP)]],[1]Sheet1!$A:$AO,37,FALSE)</f>
        <v>N/A</v>
      </c>
      <c r="AL374" s="576" t="str">
        <f>VLOOKUP(Complete[[#This Row],[Code
(PAP)]],[1]Sheet1!$A:$AO,38,FALSE)</f>
        <v>N/A</v>
      </c>
      <c r="AM374" s="576" t="str">
        <f>VLOOKUP(Complete[[#This Row],[Code
(PAP)]],[1]Sheet1!$A:$AO,38,FALSE)</f>
        <v>N/A</v>
      </c>
      <c r="AN374" s="595" t="s">
        <v>713</v>
      </c>
      <c r="AO374" s="303" t="s">
        <v>139</v>
      </c>
      <c r="AP374" s="389"/>
      <c r="AQ374" s="389"/>
    </row>
    <row r="375" spans="1:43" s="224" customFormat="1" ht="75" customHeight="1" x14ac:dyDescent="0.25">
      <c r="A375" s="385" t="s">
        <v>553</v>
      </c>
      <c r="B375" s="406" t="str">
        <f>VLOOKUP(Complete[[#This Row],[Code
(PAP)]],[1]Sheet1!$A:$AO,2,FALSE)</f>
        <v>MEDICAL KIT</v>
      </c>
      <c r="C375" s="408" t="str">
        <f>VLOOKUP(Complete[[#This Row],[Code
(PAP)]],[1]Sheet1!$A:$AO,3,FALSE)</f>
        <v>SEF</v>
      </c>
      <c r="D375" s="380" t="s">
        <v>712</v>
      </c>
      <c r="E375" s="409" t="str">
        <f>VLOOKUP(Complete[[#This Row],[Code
(PAP)]],[2]Sheet1!$A:$AO,5,FALSE)</f>
        <v>NP-53.9 - Small Value Procurement</v>
      </c>
      <c r="F375" s="393">
        <f>VLOOKUP(Complete[[#This Row],[Code
(PAP)]],[1]Sheet1!$A:$AO,6,FALSE)</f>
        <v>45373</v>
      </c>
      <c r="G375" s="393">
        <f>VLOOKUP(Complete[[#This Row],[Code
(PAP)]],[1]Sheet1!$A:$AO,7,FALSE)</f>
        <v>45384</v>
      </c>
      <c r="H375" s="374"/>
      <c r="I375" s="394" t="str">
        <f>VLOOKUP(Complete[[#This Row],[Code
(PAP)]],[1]Sheet1!$A:$AO,9,FALSE)</f>
        <v>N/A</v>
      </c>
      <c r="J375" s="393">
        <f>VLOOKUP(Complete[[#This Row],[Code
(PAP)]],[1]Sheet1!$A:$AO,10,FALSE)</f>
        <v>45398</v>
      </c>
      <c r="K375" s="393">
        <f>VLOOKUP(Complete[[#This Row],[Code
(PAP)]],[1]Sheet1!$A:$AO,11,FALSE)</f>
        <v>45398</v>
      </c>
      <c r="L375" s="387"/>
      <c r="M375" s="393" t="str">
        <f>VLOOKUP(Complete[[#This Row],[Code
(PAP)]],[1]Sheet1!$A:$AO,13,FALSE)</f>
        <v>N/A</v>
      </c>
      <c r="N375" s="393" t="str">
        <f>VLOOKUP(Complete[[#This Row],[Code
(PAP)]],[1]Sheet1!$A:$AO,14,FALSE)</f>
        <v>N/A</v>
      </c>
      <c r="O375" s="393">
        <v>45404</v>
      </c>
      <c r="P375" s="387"/>
      <c r="Q375" s="387"/>
      <c r="R375" s="387"/>
      <c r="S375" s="576" t="str">
        <f>VLOOKUP(Complete[[#This Row],[Code
(PAP)]],[1]Sheet1!$A:$AO,19,FALSE)</f>
        <v>N/A</v>
      </c>
      <c r="T375" s="576">
        <f>VLOOKUP(Complete[[#This Row],[Code
(PAP)]],[1]Sheet1!$A:$AO,20,FALSE)</f>
        <v>45407</v>
      </c>
      <c r="U375" s="576">
        <f>VLOOKUP(Complete[[#This Row],[Code
(PAP)]],[1]Sheet1!$A:$AO,21,FALSE)</f>
        <v>45435</v>
      </c>
      <c r="V375" s="387"/>
      <c r="W375" s="387"/>
      <c r="X375" s="392">
        <f>VLOOKUP(Complete[[#This Row],[Code
(PAP)]],[1]Sheet1!$A:$AO,24,FALSE)</f>
        <v>45449</v>
      </c>
      <c r="Y375" s="392">
        <f>Complete[[#This Row],[Delivery/ Completion]]</f>
        <v>45449</v>
      </c>
      <c r="Z375" s="610" t="s">
        <v>1478</v>
      </c>
      <c r="AA375" s="462">
        <f>Complete[[#This Row],[MOOE]]+Complete[[#This Row],[CO]]</f>
        <v>1925</v>
      </c>
      <c r="AB375" s="466"/>
      <c r="AC375" s="497">
        <v>1925</v>
      </c>
      <c r="AD375" s="498">
        <f>IF(Complete[[#This Row],[Procurement Project]]="","",SUM(Complete[[#This Row],[MOOE2]]+Complete[[#This Row],[CO3]]))</f>
        <v>1925</v>
      </c>
      <c r="AE375" s="501"/>
      <c r="AF375" s="541">
        <v>1925</v>
      </c>
      <c r="AG375" s="400"/>
      <c r="AH375" s="380" t="s">
        <v>1205</v>
      </c>
      <c r="AI375" s="576" t="str">
        <f>VLOOKUP(Complete[[#This Row],[Code
(PAP)]],[1]Sheet1!$A:$AO,35,FALSE)</f>
        <v>N/A</v>
      </c>
      <c r="AJ375" s="576" t="str">
        <f>VLOOKUP(Complete[[#This Row],[Code
(PAP)]],[1]Sheet1!$A:$AO,36,FALSE)</f>
        <v>N/A</v>
      </c>
      <c r="AK375" s="576" t="str">
        <f>VLOOKUP(Complete[[#This Row],[Code
(PAP)]],[1]Sheet1!$A:$AO,37,FALSE)</f>
        <v>N/A</v>
      </c>
      <c r="AL375" s="576" t="str">
        <f>VLOOKUP(Complete[[#This Row],[Code
(PAP)]],[1]Sheet1!$A:$AO,38,FALSE)</f>
        <v>N/A</v>
      </c>
      <c r="AM375" s="576" t="str">
        <f>VLOOKUP(Complete[[#This Row],[Code
(PAP)]],[1]Sheet1!$A:$AO,38,FALSE)</f>
        <v>N/A</v>
      </c>
      <c r="AN375" s="595" t="s">
        <v>713</v>
      </c>
      <c r="AO375" s="303" t="s">
        <v>139</v>
      </c>
      <c r="AP375" s="389"/>
      <c r="AQ375" s="389"/>
    </row>
    <row r="376" spans="1:43" s="224" customFormat="1" ht="75" customHeight="1" x14ac:dyDescent="0.25">
      <c r="A376" s="385" t="s">
        <v>554</v>
      </c>
      <c r="B376" s="406" t="str">
        <f>VLOOKUP(Complete[[#This Row],[Code
(PAP)]],[1]Sheet1!$A:$AO,2,FALSE)</f>
        <v>LAPTOP BAG</v>
      </c>
      <c r="C376" s="408" t="str">
        <f>VLOOKUP(Complete[[#This Row],[Code
(PAP)]],[1]Sheet1!$A:$AO,3,FALSE)</f>
        <v>PDRRMO</v>
      </c>
      <c r="D376" s="380" t="s">
        <v>712</v>
      </c>
      <c r="E376" s="409" t="str">
        <f>VLOOKUP(Complete[[#This Row],[Code
(PAP)]],[2]Sheet1!$A:$AO,5,FALSE)</f>
        <v>NP-53.9 - Small Value Procurement</v>
      </c>
      <c r="F376" s="393" t="str">
        <f>VLOOKUP(Complete[[#This Row],[Code
(PAP)]],[1]Sheet1!$A:$AO,6,FALSE)</f>
        <v>N/A</v>
      </c>
      <c r="G376" s="393">
        <f>VLOOKUP(Complete[[#This Row],[Code
(PAP)]],[1]Sheet1!$A:$AO,7,FALSE)</f>
        <v>45376</v>
      </c>
      <c r="H376" s="374"/>
      <c r="I376" s="394" t="str">
        <f>VLOOKUP(Complete[[#This Row],[Code
(PAP)]],[1]Sheet1!$A:$AO,9,FALSE)</f>
        <v>N/A</v>
      </c>
      <c r="J376" s="393">
        <f>VLOOKUP(Complete[[#This Row],[Code
(PAP)]],[1]Sheet1!$A:$AO,10,FALSE)</f>
        <v>45398</v>
      </c>
      <c r="K376" s="393">
        <f>VLOOKUP(Complete[[#This Row],[Code
(PAP)]],[1]Sheet1!$A:$AO,11,FALSE)</f>
        <v>45398</v>
      </c>
      <c r="L376" s="387"/>
      <c r="M376" s="393" t="str">
        <f>VLOOKUP(Complete[[#This Row],[Code
(PAP)]],[1]Sheet1!$A:$AO,13,FALSE)</f>
        <v>N/A</v>
      </c>
      <c r="N376" s="393" t="str">
        <f>VLOOKUP(Complete[[#This Row],[Code
(PAP)]],[1]Sheet1!$A:$AO,14,FALSE)</f>
        <v>N/A</v>
      </c>
      <c r="O376" s="393">
        <v>45404</v>
      </c>
      <c r="P376" s="387"/>
      <c r="Q376" s="387"/>
      <c r="R376" s="387"/>
      <c r="S376" s="576" t="str">
        <f>VLOOKUP(Complete[[#This Row],[Code
(PAP)]],[1]Sheet1!$A:$AO,19,FALSE)</f>
        <v>N/A</v>
      </c>
      <c r="T376" s="576">
        <f>VLOOKUP(Complete[[#This Row],[Code
(PAP)]],[1]Sheet1!$A:$AO,20,FALSE)</f>
        <v>45407</v>
      </c>
      <c r="U376" s="576">
        <f>VLOOKUP(Complete[[#This Row],[Code
(PAP)]],[1]Sheet1!$A:$AO,21,FALSE)</f>
        <v>45420</v>
      </c>
      <c r="V376" s="387"/>
      <c r="W376" s="387"/>
      <c r="X376" s="392">
        <f>VLOOKUP(Complete[[#This Row],[Code
(PAP)]],[1]Sheet1!$A:$AO,24,FALSE)</f>
        <v>45443</v>
      </c>
      <c r="Y376" s="392">
        <f>Complete[[#This Row],[Delivery/ Completion]]</f>
        <v>45443</v>
      </c>
      <c r="Z376" s="610" t="s">
        <v>1478</v>
      </c>
      <c r="AA376" s="462">
        <f>Complete[[#This Row],[MOOE]]+Complete[[#This Row],[CO]]</f>
        <v>2500</v>
      </c>
      <c r="AB376" s="466"/>
      <c r="AC376" s="497">
        <v>2500</v>
      </c>
      <c r="AD376" s="498">
        <f>IF(Complete[[#This Row],[Procurement Project]]="","",SUM(Complete[[#This Row],[MOOE2]]+Complete[[#This Row],[CO3]]))</f>
        <v>2500</v>
      </c>
      <c r="AE376" s="501"/>
      <c r="AF376" s="541">
        <v>2500</v>
      </c>
      <c r="AG376" s="400"/>
      <c r="AH376" s="380" t="s">
        <v>1205</v>
      </c>
      <c r="AI376" s="576" t="str">
        <f>VLOOKUP(Complete[[#This Row],[Code
(PAP)]],[1]Sheet1!$A:$AO,35,FALSE)</f>
        <v>N/A</v>
      </c>
      <c r="AJ376" s="576" t="str">
        <f>VLOOKUP(Complete[[#This Row],[Code
(PAP)]],[1]Sheet1!$A:$AO,36,FALSE)</f>
        <v>N/A</v>
      </c>
      <c r="AK376" s="576" t="str">
        <f>VLOOKUP(Complete[[#This Row],[Code
(PAP)]],[1]Sheet1!$A:$AO,37,FALSE)</f>
        <v>N/A</v>
      </c>
      <c r="AL376" s="576" t="str">
        <f>VLOOKUP(Complete[[#This Row],[Code
(PAP)]],[1]Sheet1!$A:$AO,38,FALSE)</f>
        <v>N/A</v>
      </c>
      <c r="AM376" s="576" t="str">
        <f>VLOOKUP(Complete[[#This Row],[Code
(PAP)]],[1]Sheet1!$A:$AO,38,FALSE)</f>
        <v>N/A</v>
      </c>
      <c r="AN376" s="595" t="s">
        <v>713</v>
      </c>
      <c r="AO376" s="303" t="s">
        <v>139</v>
      </c>
      <c r="AP376" s="389"/>
      <c r="AQ376" s="389"/>
    </row>
    <row r="377" spans="1:43" s="224" customFormat="1" ht="75" customHeight="1" x14ac:dyDescent="0.25">
      <c r="A377" s="385" t="s">
        <v>555</v>
      </c>
      <c r="B377" s="406" t="str">
        <f>VLOOKUP(Complete[[#This Row],[Code
(PAP)]],[1]Sheet1!$A:$AO,2,FALSE)</f>
        <v>SPAREPARTS (MOTORCYCLE)</v>
      </c>
      <c r="C377" s="408" t="str">
        <f>VLOOKUP(Complete[[#This Row],[Code
(PAP)]],[1]Sheet1!$A:$AO,3,FALSE)</f>
        <v>PGSO</v>
      </c>
      <c r="D377" s="380" t="s">
        <v>712</v>
      </c>
      <c r="E377" s="409" t="str">
        <f>VLOOKUP(Complete[[#This Row],[Code
(PAP)]],[2]Sheet1!$A:$AO,5,FALSE)</f>
        <v>NP-53.9 - Small Value Procurement</v>
      </c>
      <c r="F377" s="393">
        <f>VLOOKUP(Complete[[#This Row],[Code
(PAP)]],[1]Sheet1!$A:$AO,6,FALSE)</f>
        <v>45370</v>
      </c>
      <c r="G377" s="393">
        <f>VLOOKUP(Complete[[#This Row],[Code
(PAP)]],[1]Sheet1!$A:$AO,7,FALSE)</f>
        <v>45376</v>
      </c>
      <c r="H377" s="374"/>
      <c r="I377" s="394" t="str">
        <f>VLOOKUP(Complete[[#This Row],[Code
(PAP)]],[1]Sheet1!$A:$AO,9,FALSE)</f>
        <v>N/A</v>
      </c>
      <c r="J377" s="393">
        <f>VLOOKUP(Complete[[#This Row],[Code
(PAP)]],[1]Sheet1!$A:$AO,10,FALSE)</f>
        <v>45398</v>
      </c>
      <c r="K377" s="393">
        <f>VLOOKUP(Complete[[#This Row],[Code
(PAP)]],[1]Sheet1!$A:$AO,11,FALSE)</f>
        <v>45398</v>
      </c>
      <c r="L377" s="387"/>
      <c r="M377" s="393" t="str">
        <f>VLOOKUP(Complete[[#This Row],[Code
(PAP)]],[1]Sheet1!$A:$AO,13,FALSE)</f>
        <v>N/A</v>
      </c>
      <c r="N377" s="393" t="str">
        <f>VLOOKUP(Complete[[#This Row],[Code
(PAP)]],[1]Sheet1!$A:$AO,14,FALSE)</f>
        <v>N/A</v>
      </c>
      <c r="O377" s="393">
        <v>45404</v>
      </c>
      <c r="P377" s="387"/>
      <c r="Q377" s="387"/>
      <c r="R377" s="387"/>
      <c r="S377" s="576" t="str">
        <f>VLOOKUP(Complete[[#This Row],[Code
(PAP)]],[1]Sheet1!$A:$AO,19,FALSE)</f>
        <v>N/A</v>
      </c>
      <c r="T377" s="576">
        <f>VLOOKUP(Complete[[#This Row],[Code
(PAP)]],[1]Sheet1!$A:$AO,20,FALSE)</f>
        <v>45407</v>
      </c>
      <c r="U377" s="576">
        <f>VLOOKUP(Complete[[#This Row],[Code
(PAP)]],[1]Sheet1!$A:$AO,21,FALSE)</f>
        <v>45435</v>
      </c>
      <c r="V377" s="387"/>
      <c r="W377" s="387"/>
      <c r="X377" s="392">
        <f>VLOOKUP(Complete[[#This Row],[Code
(PAP)]],[1]Sheet1!$A:$AO,24,FALSE)</f>
        <v>45440</v>
      </c>
      <c r="Y377" s="392">
        <f>Complete[[#This Row],[Delivery/ Completion]]</f>
        <v>45440</v>
      </c>
      <c r="Z377" s="610" t="s">
        <v>1478</v>
      </c>
      <c r="AA377" s="462">
        <f>Complete[[#This Row],[MOOE]]+Complete[[#This Row],[CO]]</f>
        <v>8400</v>
      </c>
      <c r="AB377" s="466">
        <v>8400</v>
      </c>
      <c r="AC377" s="497"/>
      <c r="AD377" s="498">
        <f>IF(Complete[[#This Row],[Procurement Project]]="","",SUM(Complete[[#This Row],[MOOE2]]+Complete[[#This Row],[CO3]]))</f>
        <v>8400</v>
      </c>
      <c r="AE377" s="501">
        <v>8400</v>
      </c>
      <c r="AF377" s="541"/>
      <c r="AG377" s="400"/>
      <c r="AH377" s="380" t="s">
        <v>1205</v>
      </c>
      <c r="AI377" s="576" t="str">
        <f>VLOOKUP(Complete[[#This Row],[Code
(PAP)]],[1]Sheet1!$A:$AO,35,FALSE)</f>
        <v>N/A</v>
      </c>
      <c r="AJ377" s="576" t="str">
        <f>VLOOKUP(Complete[[#This Row],[Code
(PAP)]],[1]Sheet1!$A:$AO,36,FALSE)</f>
        <v>N/A</v>
      </c>
      <c r="AK377" s="576" t="str">
        <f>VLOOKUP(Complete[[#This Row],[Code
(PAP)]],[1]Sheet1!$A:$AO,37,FALSE)</f>
        <v>N/A</v>
      </c>
      <c r="AL377" s="576" t="str">
        <f>VLOOKUP(Complete[[#This Row],[Code
(PAP)]],[1]Sheet1!$A:$AO,38,FALSE)</f>
        <v>N/A</v>
      </c>
      <c r="AM377" s="576" t="str">
        <f>VLOOKUP(Complete[[#This Row],[Code
(PAP)]],[1]Sheet1!$A:$AO,38,FALSE)</f>
        <v>N/A</v>
      </c>
      <c r="AN377" s="595" t="s">
        <v>713</v>
      </c>
      <c r="AO377" s="303" t="s">
        <v>139</v>
      </c>
      <c r="AP377" s="389"/>
      <c r="AQ377" s="389"/>
    </row>
    <row r="378" spans="1:43" s="224" customFormat="1" ht="75" customHeight="1" x14ac:dyDescent="0.25">
      <c r="A378" s="385" t="s">
        <v>556</v>
      </c>
      <c r="B378" s="406" t="str">
        <f>VLOOKUP(Complete[[#This Row],[Code
(PAP)]],[1]Sheet1!$A:$AO,2,FALSE)</f>
        <v>OIL FOR GRASS CUTTER</v>
      </c>
      <c r="C378" s="408" t="str">
        <f>VLOOKUP(Complete[[#This Row],[Code
(PAP)]],[1]Sheet1!$A:$AO,3,FALSE)</f>
        <v>PVO</v>
      </c>
      <c r="D378" s="380" t="s">
        <v>712</v>
      </c>
      <c r="E378" s="409" t="str">
        <f>VLOOKUP(Complete[[#This Row],[Code
(PAP)]],[2]Sheet1!$A:$AO,5,FALSE)</f>
        <v>NP-53.9 - Small Value Procurement</v>
      </c>
      <c r="F378" s="393" t="str">
        <f>VLOOKUP(Complete[[#This Row],[Code
(PAP)]],[1]Sheet1!$A:$AO,6,FALSE)</f>
        <v>N/A</v>
      </c>
      <c r="G378" s="393">
        <f>VLOOKUP(Complete[[#This Row],[Code
(PAP)]],[1]Sheet1!$A:$AO,7,FALSE)</f>
        <v>45376</v>
      </c>
      <c r="H378" s="374"/>
      <c r="I378" s="394" t="str">
        <f>VLOOKUP(Complete[[#This Row],[Code
(PAP)]],[1]Sheet1!$A:$AO,9,FALSE)</f>
        <v>N/A</v>
      </c>
      <c r="J378" s="393">
        <f>VLOOKUP(Complete[[#This Row],[Code
(PAP)]],[1]Sheet1!$A:$AO,10,FALSE)</f>
        <v>45398</v>
      </c>
      <c r="K378" s="393">
        <f>VLOOKUP(Complete[[#This Row],[Code
(PAP)]],[1]Sheet1!$A:$AO,11,FALSE)</f>
        <v>45398</v>
      </c>
      <c r="L378" s="387"/>
      <c r="M378" s="393" t="str">
        <f>VLOOKUP(Complete[[#This Row],[Code
(PAP)]],[1]Sheet1!$A:$AO,13,FALSE)</f>
        <v>N/A</v>
      </c>
      <c r="N378" s="393" t="str">
        <f>VLOOKUP(Complete[[#This Row],[Code
(PAP)]],[1]Sheet1!$A:$AO,14,FALSE)</f>
        <v>N/A</v>
      </c>
      <c r="O378" s="393">
        <v>45404</v>
      </c>
      <c r="P378" s="387"/>
      <c r="Q378" s="387"/>
      <c r="R378" s="387"/>
      <c r="S378" s="576" t="str">
        <f>VLOOKUP(Complete[[#This Row],[Code
(PAP)]],[1]Sheet1!$A:$AO,19,FALSE)</f>
        <v>N/A</v>
      </c>
      <c r="T378" s="576">
        <f>VLOOKUP(Complete[[#This Row],[Code
(PAP)]],[1]Sheet1!$A:$AO,20,FALSE)</f>
        <v>45407</v>
      </c>
      <c r="U378" s="576">
        <f>VLOOKUP(Complete[[#This Row],[Code
(PAP)]],[1]Sheet1!$A:$AO,21,FALSE)</f>
        <v>45422</v>
      </c>
      <c r="V378" s="387"/>
      <c r="W378" s="387"/>
      <c r="X378" s="392">
        <f>VLOOKUP(Complete[[#This Row],[Code
(PAP)]],[1]Sheet1!$A:$AO,24,FALSE)</f>
        <v>45433</v>
      </c>
      <c r="Y378" s="392">
        <f>Complete[[#This Row],[Delivery/ Completion]]</f>
        <v>45433</v>
      </c>
      <c r="Z378" s="610" t="s">
        <v>1478</v>
      </c>
      <c r="AA378" s="462">
        <f>Complete[[#This Row],[MOOE]]+Complete[[#This Row],[CO]]</f>
        <v>5200</v>
      </c>
      <c r="AB378" s="466">
        <v>5200</v>
      </c>
      <c r="AC378" s="497"/>
      <c r="AD378" s="498">
        <f>IF(Complete[[#This Row],[Procurement Project]]="","",SUM(Complete[[#This Row],[MOOE2]]+Complete[[#This Row],[CO3]]))</f>
        <v>5150</v>
      </c>
      <c r="AE378" s="501">
        <v>5150</v>
      </c>
      <c r="AF378" s="541"/>
      <c r="AG378" s="400"/>
      <c r="AH378" s="380" t="s">
        <v>1205</v>
      </c>
      <c r="AI378" s="576" t="str">
        <f>VLOOKUP(Complete[[#This Row],[Code
(PAP)]],[1]Sheet1!$A:$AO,35,FALSE)</f>
        <v>N/A</v>
      </c>
      <c r="AJ378" s="576" t="str">
        <f>VLOOKUP(Complete[[#This Row],[Code
(PAP)]],[1]Sheet1!$A:$AO,36,FALSE)</f>
        <v>N/A</v>
      </c>
      <c r="AK378" s="576" t="str">
        <f>VLOOKUP(Complete[[#This Row],[Code
(PAP)]],[1]Sheet1!$A:$AO,37,FALSE)</f>
        <v>N/A</v>
      </c>
      <c r="AL378" s="576" t="str">
        <f>VLOOKUP(Complete[[#This Row],[Code
(PAP)]],[1]Sheet1!$A:$AO,38,FALSE)</f>
        <v>N/A</v>
      </c>
      <c r="AM378" s="576" t="str">
        <f>VLOOKUP(Complete[[#This Row],[Code
(PAP)]],[1]Sheet1!$A:$AO,38,FALSE)</f>
        <v>N/A</v>
      </c>
      <c r="AN378" s="595" t="s">
        <v>713</v>
      </c>
      <c r="AO378" s="303" t="s">
        <v>139</v>
      </c>
      <c r="AP378" s="389"/>
      <c r="AQ378" s="389"/>
    </row>
    <row r="379" spans="1:43" s="224" customFormat="1" ht="75" customHeight="1" x14ac:dyDescent="0.25">
      <c r="A379" s="385" t="s">
        <v>557</v>
      </c>
      <c r="B379" s="406" t="str">
        <f>VLOOKUP(Complete[[#This Row],[Code
(PAP)]],[1]Sheet1!$A:$AO,2,FALSE)</f>
        <v>SPAREPARTS (MOTORCYCLE)</v>
      </c>
      <c r="C379" s="408" t="str">
        <f>VLOOKUP(Complete[[#This Row],[Code
(PAP)]],[1]Sheet1!$A:$AO,3,FALSE)</f>
        <v>PGSO</v>
      </c>
      <c r="D379" s="380" t="s">
        <v>712</v>
      </c>
      <c r="E379" s="409" t="str">
        <f>VLOOKUP(Complete[[#This Row],[Code
(PAP)]],[2]Sheet1!$A:$AO,5,FALSE)</f>
        <v>NP-53.9 - Small Value Procurement</v>
      </c>
      <c r="F379" s="393">
        <f>VLOOKUP(Complete[[#This Row],[Code
(PAP)]],[1]Sheet1!$A:$AO,6,FALSE)</f>
        <v>45370</v>
      </c>
      <c r="G379" s="393">
        <f>VLOOKUP(Complete[[#This Row],[Code
(PAP)]],[1]Sheet1!$A:$AO,7,FALSE)</f>
        <v>45376</v>
      </c>
      <c r="H379" s="374"/>
      <c r="I379" s="394" t="str">
        <f>VLOOKUP(Complete[[#This Row],[Code
(PAP)]],[1]Sheet1!$A:$AO,9,FALSE)</f>
        <v>N/A</v>
      </c>
      <c r="J379" s="393">
        <f>VLOOKUP(Complete[[#This Row],[Code
(PAP)]],[1]Sheet1!$A:$AO,10,FALSE)</f>
        <v>45398</v>
      </c>
      <c r="K379" s="393">
        <f>VLOOKUP(Complete[[#This Row],[Code
(PAP)]],[1]Sheet1!$A:$AO,11,FALSE)</f>
        <v>45398</v>
      </c>
      <c r="L379" s="387"/>
      <c r="M379" s="393" t="str">
        <f>VLOOKUP(Complete[[#This Row],[Code
(PAP)]],[1]Sheet1!$A:$AO,13,FALSE)</f>
        <v>N/A</v>
      </c>
      <c r="N379" s="393" t="str">
        <f>VLOOKUP(Complete[[#This Row],[Code
(PAP)]],[1]Sheet1!$A:$AO,14,FALSE)</f>
        <v>N/A</v>
      </c>
      <c r="O379" s="393">
        <v>45404</v>
      </c>
      <c r="P379" s="387"/>
      <c r="Q379" s="387"/>
      <c r="R379" s="387"/>
      <c r="S379" s="576" t="str">
        <f>VLOOKUP(Complete[[#This Row],[Code
(PAP)]],[1]Sheet1!$A:$AO,19,FALSE)</f>
        <v>N/A</v>
      </c>
      <c r="T379" s="576">
        <f>VLOOKUP(Complete[[#This Row],[Code
(PAP)]],[1]Sheet1!$A:$AO,20,FALSE)</f>
        <v>45407</v>
      </c>
      <c r="U379" s="576">
        <f>VLOOKUP(Complete[[#This Row],[Code
(PAP)]],[1]Sheet1!$A:$AO,21,FALSE)</f>
        <v>45435</v>
      </c>
      <c r="V379" s="387"/>
      <c r="W379" s="387"/>
      <c r="X379" s="392">
        <f>VLOOKUP(Complete[[#This Row],[Code
(PAP)]],[1]Sheet1!$A:$AO,24,FALSE)</f>
        <v>45448</v>
      </c>
      <c r="Y379" s="392">
        <f>Complete[[#This Row],[Delivery/ Completion]]</f>
        <v>45448</v>
      </c>
      <c r="Z379" s="610" t="s">
        <v>1478</v>
      </c>
      <c r="AA379" s="462">
        <f>Complete[[#This Row],[MOOE]]+Complete[[#This Row],[CO]]</f>
        <v>18570</v>
      </c>
      <c r="AB379" s="466">
        <v>18570</v>
      </c>
      <c r="AC379" s="497"/>
      <c r="AD379" s="498">
        <f>IF(Complete[[#This Row],[Procurement Project]]="","",SUM(Complete[[#This Row],[MOOE2]]+Complete[[#This Row],[CO3]]))</f>
        <v>18570</v>
      </c>
      <c r="AE379" s="501">
        <v>18570</v>
      </c>
      <c r="AF379" s="541"/>
      <c r="AG379" s="400"/>
      <c r="AH379" s="380" t="s">
        <v>1205</v>
      </c>
      <c r="AI379" s="576" t="str">
        <f>VLOOKUP(Complete[[#This Row],[Code
(PAP)]],[1]Sheet1!$A:$AO,35,FALSE)</f>
        <v>N/A</v>
      </c>
      <c r="AJ379" s="576" t="str">
        <f>VLOOKUP(Complete[[#This Row],[Code
(PAP)]],[1]Sheet1!$A:$AO,36,FALSE)</f>
        <v>N/A</v>
      </c>
      <c r="AK379" s="576" t="str">
        <f>VLOOKUP(Complete[[#This Row],[Code
(PAP)]],[1]Sheet1!$A:$AO,37,FALSE)</f>
        <v>N/A</v>
      </c>
      <c r="AL379" s="576" t="str">
        <f>VLOOKUP(Complete[[#This Row],[Code
(PAP)]],[1]Sheet1!$A:$AO,38,FALSE)</f>
        <v>N/A</v>
      </c>
      <c r="AM379" s="576" t="str">
        <f>VLOOKUP(Complete[[#This Row],[Code
(PAP)]],[1]Sheet1!$A:$AO,38,FALSE)</f>
        <v>N/A</v>
      </c>
      <c r="AN379" s="595" t="s">
        <v>713</v>
      </c>
      <c r="AO379" s="303" t="s">
        <v>139</v>
      </c>
      <c r="AP379" s="389"/>
      <c r="AQ379" s="389"/>
    </row>
    <row r="380" spans="1:43" s="224" customFormat="1" ht="75" customHeight="1" x14ac:dyDescent="0.25">
      <c r="A380" s="385" t="s">
        <v>558</v>
      </c>
      <c r="B380" s="406" t="str">
        <f>VLOOKUP(Complete[[#This Row],[Code
(PAP)]],[1]Sheet1!$A:$AO,2,FALSE)</f>
        <v>CASING, SELF INKING STAMP</v>
      </c>
      <c r="C380" s="408" t="str">
        <f>VLOOKUP(Complete[[#This Row],[Code
(PAP)]],[1]Sheet1!$A:$AO,3,FALSE)</f>
        <v>PAO</v>
      </c>
      <c r="D380" s="380" t="s">
        <v>712</v>
      </c>
      <c r="E380" s="409" t="str">
        <f>VLOOKUP(Complete[[#This Row],[Code
(PAP)]],[2]Sheet1!$A:$AO,5,FALSE)</f>
        <v>NP-53.9 - Small Value Procurement</v>
      </c>
      <c r="F380" s="393" t="str">
        <f>VLOOKUP(Complete[[#This Row],[Code
(PAP)]],[1]Sheet1!$A:$AO,6,FALSE)</f>
        <v>N/A</v>
      </c>
      <c r="G380" s="393">
        <f>VLOOKUP(Complete[[#This Row],[Code
(PAP)]],[1]Sheet1!$A:$AO,7,FALSE)</f>
        <v>45384</v>
      </c>
      <c r="H380" s="374"/>
      <c r="I380" s="394" t="str">
        <f>VLOOKUP(Complete[[#This Row],[Code
(PAP)]],[1]Sheet1!$A:$AO,9,FALSE)</f>
        <v>N/A</v>
      </c>
      <c r="J380" s="393">
        <f>VLOOKUP(Complete[[#This Row],[Code
(PAP)]],[1]Sheet1!$A:$AO,10,FALSE)</f>
        <v>45398</v>
      </c>
      <c r="K380" s="393">
        <f>VLOOKUP(Complete[[#This Row],[Code
(PAP)]],[1]Sheet1!$A:$AO,11,FALSE)</f>
        <v>45398</v>
      </c>
      <c r="L380" s="387"/>
      <c r="M380" s="393" t="str">
        <f>VLOOKUP(Complete[[#This Row],[Code
(PAP)]],[1]Sheet1!$A:$AO,13,FALSE)</f>
        <v>N/A</v>
      </c>
      <c r="N380" s="393" t="str">
        <f>VLOOKUP(Complete[[#This Row],[Code
(PAP)]],[1]Sheet1!$A:$AO,14,FALSE)</f>
        <v>N/A</v>
      </c>
      <c r="O380" s="393">
        <v>45404</v>
      </c>
      <c r="P380" s="387"/>
      <c r="Q380" s="387"/>
      <c r="R380" s="387"/>
      <c r="S380" s="576" t="str">
        <f>VLOOKUP(Complete[[#This Row],[Code
(PAP)]],[1]Sheet1!$A:$AO,19,FALSE)</f>
        <v>N/A</v>
      </c>
      <c r="T380" s="576">
        <f>VLOOKUP(Complete[[#This Row],[Code
(PAP)]],[1]Sheet1!$A:$AO,20,FALSE)</f>
        <v>45407</v>
      </c>
      <c r="U380" s="576">
        <f>VLOOKUP(Complete[[#This Row],[Code
(PAP)]],[1]Sheet1!$A:$AO,21,FALSE)</f>
        <v>45420</v>
      </c>
      <c r="V380" s="387"/>
      <c r="W380" s="387"/>
      <c r="X380" s="392">
        <f>VLOOKUP(Complete[[#This Row],[Code
(PAP)]],[1]Sheet1!$A:$AO,24,FALSE)</f>
        <v>45428</v>
      </c>
      <c r="Y380" s="392">
        <f>Complete[[#This Row],[Delivery/ Completion]]</f>
        <v>45428</v>
      </c>
      <c r="Z380" s="610" t="s">
        <v>1478</v>
      </c>
      <c r="AA380" s="462">
        <f>Complete[[#This Row],[MOOE]]+Complete[[#This Row],[CO]]</f>
        <v>4136</v>
      </c>
      <c r="AB380" s="466">
        <v>4136</v>
      </c>
      <c r="AC380" s="497"/>
      <c r="AD380" s="498">
        <f>IF(Complete[[#This Row],[Procurement Project]]="","",SUM(Complete[[#This Row],[MOOE2]]+Complete[[#This Row],[CO3]]))</f>
        <v>4136</v>
      </c>
      <c r="AE380" s="501">
        <v>4136</v>
      </c>
      <c r="AF380" s="541"/>
      <c r="AG380" s="400"/>
      <c r="AH380" s="380" t="s">
        <v>1205</v>
      </c>
      <c r="AI380" s="576" t="str">
        <f>VLOOKUP(Complete[[#This Row],[Code
(PAP)]],[1]Sheet1!$A:$AO,35,FALSE)</f>
        <v>N/A</v>
      </c>
      <c r="AJ380" s="576" t="str">
        <f>VLOOKUP(Complete[[#This Row],[Code
(PAP)]],[1]Sheet1!$A:$AO,36,FALSE)</f>
        <v>N/A</v>
      </c>
      <c r="AK380" s="576" t="str">
        <f>VLOOKUP(Complete[[#This Row],[Code
(PAP)]],[1]Sheet1!$A:$AO,37,FALSE)</f>
        <v>N/A</v>
      </c>
      <c r="AL380" s="576" t="str">
        <f>VLOOKUP(Complete[[#This Row],[Code
(PAP)]],[1]Sheet1!$A:$AO,38,FALSE)</f>
        <v>N/A</v>
      </c>
      <c r="AM380" s="576" t="str">
        <f>VLOOKUP(Complete[[#This Row],[Code
(PAP)]],[1]Sheet1!$A:$AO,38,FALSE)</f>
        <v>N/A</v>
      </c>
      <c r="AN380" s="595" t="s">
        <v>713</v>
      </c>
      <c r="AO380" s="303" t="s">
        <v>139</v>
      </c>
      <c r="AP380" s="389"/>
      <c r="AQ380" s="389"/>
    </row>
    <row r="381" spans="1:43" s="224" customFormat="1" ht="75" customHeight="1" x14ac:dyDescent="0.25">
      <c r="A381" s="385" t="s">
        <v>559</v>
      </c>
      <c r="B381" s="406" t="str">
        <f>VLOOKUP(Complete[[#This Row],[Code
(PAP)]],[1]Sheet1!$A:$AO,2,FALSE)</f>
        <v>JOB ORDER (BOOKBINDING)</v>
      </c>
      <c r="C381" s="408" t="str">
        <f>VLOOKUP(Complete[[#This Row],[Code
(PAP)]],[1]Sheet1!$A:$AO,3,FALSE)</f>
        <v>PAO</v>
      </c>
      <c r="D381" s="380" t="s">
        <v>712</v>
      </c>
      <c r="E381" s="409" t="str">
        <f>VLOOKUP(Complete[[#This Row],[Code
(PAP)]],[2]Sheet1!$A:$AO,5,FALSE)</f>
        <v>NP-53.9 - Small Value Procurement</v>
      </c>
      <c r="F381" s="393" t="str">
        <f>VLOOKUP(Complete[[#This Row],[Code
(PAP)]],[1]Sheet1!$A:$AO,6,FALSE)</f>
        <v>N/A</v>
      </c>
      <c r="G381" s="393">
        <f>VLOOKUP(Complete[[#This Row],[Code
(PAP)]],[1]Sheet1!$A:$AO,7,FALSE)</f>
        <v>45363</v>
      </c>
      <c r="H381" s="374"/>
      <c r="I381" s="394" t="str">
        <f>VLOOKUP(Complete[[#This Row],[Code
(PAP)]],[1]Sheet1!$A:$AO,9,FALSE)</f>
        <v>N/A</v>
      </c>
      <c r="J381" s="393">
        <f>VLOOKUP(Complete[[#This Row],[Code
(PAP)]],[1]Sheet1!$A:$AO,10,FALSE)</f>
        <v>45398</v>
      </c>
      <c r="K381" s="393">
        <f>VLOOKUP(Complete[[#This Row],[Code
(PAP)]],[1]Sheet1!$A:$AO,11,FALSE)</f>
        <v>45398</v>
      </c>
      <c r="L381" s="387"/>
      <c r="M381" s="393" t="str">
        <f>VLOOKUP(Complete[[#This Row],[Code
(PAP)]],[1]Sheet1!$A:$AO,13,FALSE)</f>
        <v>N/A</v>
      </c>
      <c r="N381" s="393" t="str">
        <f>VLOOKUP(Complete[[#This Row],[Code
(PAP)]],[1]Sheet1!$A:$AO,14,FALSE)</f>
        <v>N/A</v>
      </c>
      <c r="O381" s="393">
        <v>45404</v>
      </c>
      <c r="P381" s="387"/>
      <c r="Q381" s="387"/>
      <c r="R381" s="387"/>
      <c r="S381" s="576" t="str">
        <f>VLOOKUP(Complete[[#This Row],[Code
(PAP)]],[1]Sheet1!$A:$AO,19,FALSE)</f>
        <v>N/A</v>
      </c>
      <c r="T381" s="576">
        <f>VLOOKUP(Complete[[#This Row],[Code
(PAP)]],[1]Sheet1!$A:$AO,20,FALSE)</f>
        <v>45407</v>
      </c>
      <c r="U381" s="576">
        <f>VLOOKUP(Complete[[#This Row],[Code
(PAP)]],[1]Sheet1!$A:$AO,21,FALSE)</f>
        <v>45420</v>
      </c>
      <c r="V381" s="387"/>
      <c r="W381" s="387"/>
      <c r="X381" s="392">
        <f>VLOOKUP(Complete[[#This Row],[Code
(PAP)]],[1]Sheet1!$A:$AO,24,FALSE)</f>
        <v>45471</v>
      </c>
      <c r="Y381" s="392">
        <f>Complete[[#This Row],[Delivery/ Completion]]</f>
        <v>45471</v>
      </c>
      <c r="Z381" s="610" t="s">
        <v>1478</v>
      </c>
      <c r="AA381" s="462">
        <f>Complete[[#This Row],[MOOE]]+Complete[[#This Row],[CO]]</f>
        <v>10000</v>
      </c>
      <c r="AB381" s="466">
        <v>10000</v>
      </c>
      <c r="AC381" s="497"/>
      <c r="AD381" s="498">
        <f>IF(Complete[[#This Row],[Procurement Project]]="","",SUM(Complete[[#This Row],[MOOE2]]+Complete[[#This Row],[CO3]]))</f>
        <v>10000</v>
      </c>
      <c r="AE381" s="501">
        <v>10000</v>
      </c>
      <c r="AF381" s="541"/>
      <c r="AG381" s="400"/>
      <c r="AH381" s="380" t="s">
        <v>1205</v>
      </c>
      <c r="AI381" s="576" t="str">
        <f>VLOOKUP(Complete[[#This Row],[Code
(PAP)]],[1]Sheet1!$A:$AO,35,FALSE)</f>
        <v>N/A</v>
      </c>
      <c r="AJ381" s="576" t="str">
        <f>VLOOKUP(Complete[[#This Row],[Code
(PAP)]],[1]Sheet1!$A:$AO,36,FALSE)</f>
        <v>N/A</v>
      </c>
      <c r="AK381" s="576" t="str">
        <f>VLOOKUP(Complete[[#This Row],[Code
(PAP)]],[1]Sheet1!$A:$AO,37,FALSE)</f>
        <v>N/A</v>
      </c>
      <c r="AL381" s="576" t="str">
        <f>VLOOKUP(Complete[[#This Row],[Code
(PAP)]],[1]Sheet1!$A:$AO,38,FALSE)</f>
        <v>N/A</v>
      </c>
      <c r="AM381" s="576" t="str">
        <f>VLOOKUP(Complete[[#This Row],[Code
(PAP)]],[1]Sheet1!$A:$AO,38,FALSE)</f>
        <v>N/A</v>
      </c>
      <c r="AN381" s="595" t="s">
        <v>713</v>
      </c>
      <c r="AO381" s="303" t="s">
        <v>139</v>
      </c>
      <c r="AP381" s="389"/>
      <c r="AQ381" s="389"/>
    </row>
    <row r="382" spans="1:43" s="224" customFormat="1" ht="75" customHeight="1" x14ac:dyDescent="0.25">
      <c r="A382" s="385" t="s">
        <v>560</v>
      </c>
      <c r="B382" s="406" t="str">
        <f>VLOOKUP(Complete[[#This Row],[Code
(PAP)]],[1]Sheet1!$A:$AO,2,FALSE)</f>
        <v>CABINET, MOBILE</v>
      </c>
      <c r="C382" s="408" t="str">
        <f>VLOOKUP(Complete[[#This Row],[Code
(PAP)]],[1]Sheet1!$A:$AO,3,FALSE)</f>
        <v>PENRO</v>
      </c>
      <c r="D382" s="380" t="s">
        <v>712</v>
      </c>
      <c r="E382" s="409" t="str">
        <f>VLOOKUP(Complete[[#This Row],[Code
(PAP)]],[2]Sheet1!$A:$AO,5,FALSE)</f>
        <v>NP-53.9 - Small Value Procurement</v>
      </c>
      <c r="F382" s="393" t="str">
        <f>VLOOKUP(Complete[[#This Row],[Code
(PAP)]],[1]Sheet1!$A:$AO,6,FALSE)</f>
        <v>N/A</v>
      </c>
      <c r="G382" s="393">
        <f>VLOOKUP(Complete[[#This Row],[Code
(PAP)]],[1]Sheet1!$A:$AO,7,FALSE)</f>
        <v>45359</v>
      </c>
      <c r="H382" s="374"/>
      <c r="I382" s="394" t="str">
        <f>VLOOKUP(Complete[[#This Row],[Code
(PAP)]],[1]Sheet1!$A:$AO,9,FALSE)</f>
        <v>N/A</v>
      </c>
      <c r="J382" s="393">
        <f>VLOOKUP(Complete[[#This Row],[Code
(PAP)]],[1]Sheet1!$A:$AO,10,FALSE)</f>
        <v>45398</v>
      </c>
      <c r="K382" s="393">
        <f>VLOOKUP(Complete[[#This Row],[Code
(PAP)]],[1]Sheet1!$A:$AO,11,FALSE)</f>
        <v>45398</v>
      </c>
      <c r="L382" s="387"/>
      <c r="M382" s="393" t="str">
        <f>VLOOKUP(Complete[[#This Row],[Code
(PAP)]],[1]Sheet1!$A:$AO,13,FALSE)</f>
        <v>N/A</v>
      </c>
      <c r="N382" s="393" t="str">
        <f>VLOOKUP(Complete[[#This Row],[Code
(PAP)]],[1]Sheet1!$A:$AO,14,FALSE)</f>
        <v>N/A</v>
      </c>
      <c r="O382" s="393">
        <v>45404</v>
      </c>
      <c r="P382" s="387"/>
      <c r="Q382" s="387"/>
      <c r="R382" s="387"/>
      <c r="S382" s="576" t="str">
        <f>VLOOKUP(Complete[[#This Row],[Code
(PAP)]],[1]Sheet1!$A:$AO,19,FALSE)</f>
        <v>N/A</v>
      </c>
      <c r="T382" s="576">
        <f>VLOOKUP(Complete[[#This Row],[Code
(PAP)]],[1]Sheet1!$A:$AO,20,FALSE)</f>
        <v>45407</v>
      </c>
      <c r="U382" s="576">
        <f>VLOOKUP(Complete[[#This Row],[Code
(PAP)]],[1]Sheet1!$A:$AO,21,FALSE)</f>
        <v>45426</v>
      </c>
      <c r="V382" s="387"/>
      <c r="W382" s="387"/>
      <c r="X382" s="392">
        <f>VLOOKUP(Complete[[#This Row],[Code
(PAP)]],[1]Sheet1!$A:$AO,24,FALSE)</f>
        <v>45432</v>
      </c>
      <c r="Y382" s="392">
        <f>Complete[[#This Row],[Delivery/ Completion]]</f>
        <v>45432</v>
      </c>
      <c r="Z382" s="610" t="s">
        <v>1478</v>
      </c>
      <c r="AA382" s="462">
        <f>Complete[[#This Row],[MOOE]]+Complete[[#This Row],[CO]]</f>
        <v>14850</v>
      </c>
      <c r="AB382" s="466">
        <v>14850</v>
      </c>
      <c r="AC382" s="497"/>
      <c r="AD382" s="498">
        <f>IF(Complete[[#This Row],[Procurement Project]]="","",SUM(Complete[[#This Row],[MOOE2]]+Complete[[#This Row],[CO3]]))</f>
        <v>13125</v>
      </c>
      <c r="AE382" s="501">
        <v>13125</v>
      </c>
      <c r="AF382" s="541"/>
      <c r="AG382" s="400"/>
      <c r="AH382" s="380" t="s">
        <v>1205</v>
      </c>
      <c r="AI382" s="576" t="str">
        <f>VLOOKUP(Complete[[#This Row],[Code
(PAP)]],[1]Sheet1!$A:$AO,35,FALSE)</f>
        <v>N/A</v>
      </c>
      <c r="AJ382" s="576" t="str">
        <f>VLOOKUP(Complete[[#This Row],[Code
(PAP)]],[1]Sheet1!$A:$AO,36,FALSE)</f>
        <v>N/A</v>
      </c>
      <c r="AK382" s="576" t="str">
        <f>VLOOKUP(Complete[[#This Row],[Code
(PAP)]],[1]Sheet1!$A:$AO,37,FALSE)</f>
        <v>N/A</v>
      </c>
      <c r="AL382" s="576" t="str">
        <f>VLOOKUP(Complete[[#This Row],[Code
(PAP)]],[1]Sheet1!$A:$AO,38,FALSE)</f>
        <v>N/A</v>
      </c>
      <c r="AM382" s="576" t="str">
        <f>VLOOKUP(Complete[[#This Row],[Code
(PAP)]],[1]Sheet1!$A:$AO,38,FALSE)</f>
        <v>N/A</v>
      </c>
      <c r="AN382" s="595" t="s">
        <v>713</v>
      </c>
      <c r="AO382" s="303" t="s">
        <v>139</v>
      </c>
      <c r="AP382" s="389"/>
      <c r="AQ382" s="389"/>
    </row>
    <row r="383" spans="1:43" s="224" customFormat="1" ht="75" customHeight="1" x14ac:dyDescent="0.25">
      <c r="A383" s="385" t="s">
        <v>561</v>
      </c>
      <c r="B383" s="406" t="str">
        <f>VLOOKUP(Complete[[#This Row],[Code
(PAP)]],[1]Sheet1!$A:$AO,2,FALSE)</f>
        <v>MEDICAL KIT</v>
      </c>
      <c r="C383" s="408" t="str">
        <f>VLOOKUP(Complete[[#This Row],[Code
(PAP)]],[1]Sheet1!$A:$AO,3,FALSE)</f>
        <v>PEO</v>
      </c>
      <c r="D383" s="380" t="s">
        <v>712</v>
      </c>
      <c r="E383" s="409" t="str">
        <f>VLOOKUP(Complete[[#This Row],[Code
(PAP)]],[2]Sheet1!$A:$AO,5,FALSE)</f>
        <v>NP-53.9 - Small Value Procurement</v>
      </c>
      <c r="F383" s="393" t="str">
        <f>VLOOKUP(Complete[[#This Row],[Code
(PAP)]],[1]Sheet1!$A:$AO,6,FALSE)</f>
        <v>N/A</v>
      </c>
      <c r="G383" s="393">
        <f>VLOOKUP(Complete[[#This Row],[Code
(PAP)]],[1]Sheet1!$A:$AO,7,FALSE)</f>
        <v>45359</v>
      </c>
      <c r="H383" s="374"/>
      <c r="I383" s="394" t="str">
        <f>VLOOKUP(Complete[[#This Row],[Code
(PAP)]],[1]Sheet1!$A:$AO,9,FALSE)</f>
        <v>N/A</v>
      </c>
      <c r="J383" s="393">
        <f>VLOOKUP(Complete[[#This Row],[Code
(PAP)]],[1]Sheet1!$A:$AO,10,FALSE)</f>
        <v>45398</v>
      </c>
      <c r="K383" s="393">
        <f>VLOOKUP(Complete[[#This Row],[Code
(PAP)]],[1]Sheet1!$A:$AO,11,FALSE)</f>
        <v>45398</v>
      </c>
      <c r="L383" s="387"/>
      <c r="M383" s="393" t="str">
        <f>VLOOKUP(Complete[[#This Row],[Code
(PAP)]],[1]Sheet1!$A:$AO,13,FALSE)</f>
        <v>N/A</v>
      </c>
      <c r="N383" s="393" t="str">
        <f>VLOOKUP(Complete[[#This Row],[Code
(PAP)]],[1]Sheet1!$A:$AO,14,FALSE)</f>
        <v>N/A</v>
      </c>
      <c r="O383" s="393">
        <v>45404</v>
      </c>
      <c r="P383" s="387"/>
      <c r="Q383" s="387"/>
      <c r="R383" s="387"/>
      <c r="S383" s="576" t="str">
        <f>VLOOKUP(Complete[[#This Row],[Code
(PAP)]],[1]Sheet1!$A:$AO,19,FALSE)</f>
        <v>N/A</v>
      </c>
      <c r="T383" s="576">
        <f>VLOOKUP(Complete[[#This Row],[Code
(PAP)]],[1]Sheet1!$A:$AO,20,FALSE)</f>
        <v>45405</v>
      </c>
      <c r="U383" s="576">
        <f>VLOOKUP(Complete[[#This Row],[Code
(PAP)]],[1]Sheet1!$A:$AO,21,FALSE)</f>
        <v>45426</v>
      </c>
      <c r="V383" s="387"/>
      <c r="W383" s="387"/>
      <c r="X383" s="392">
        <f>VLOOKUP(Complete[[#This Row],[Code
(PAP)]],[1]Sheet1!$A:$AO,24,FALSE)</f>
        <v>45432</v>
      </c>
      <c r="Y383" s="392">
        <f>Complete[[#This Row],[Delivery/ Completion]]</f>
        <v>45432</v>
      </c>
      <c r="Z383" s="610" t="s">
        <v>1478</v>
      </c>
      <c r="AA383" s="462">
        <f>Complete[[#This Row],[MOOE]]+Complete[[#This Row],[CO]]</f>
        <v>1925</v>
      </c>
      <c r="AB383" s="466"/>
      <c r="AC383" s="497">
        <v>1925</v>
      </c>
      <c r="AD383" s="498">
        <f>IF(Complete[[#This Row],[Procurement Project]]="","",SUM(Complete[[#This Row],[MOOE2]]+Complete[[#This Row],[CO3]]))</f>
        <v>1925</v>
      </c>
      <c r="AE383" s="501"/>
      <c r="AF383" s="541">
        <v>1925</v>
      </c>
      <c r="AG383" s="400"/>
      <c r="AH383" s="380" t="s">
        <v>1205</v>
      </c>
      <c r="AI383" s="576" t="str">
        <f>VLOOKUP(Complete[[#This Row],[Code
(PAP)]],[1]Sheet1!$A:$AO,35,FALSE)</f>
        <v>N/A</v>
      </c>
      <c r="AJ383" s="576" t="str">
        <f>VLOOKUP(Complete[[#This Row],[Code
(PAP)]],[1]Sheet1!$A:$AO,36,FALSE)</f>
        <v>N/A</v>
      </c>
      <c r="AK383" s="576" t="str">
        <f>VLOOKUP(Complete[[#This Row],[Code
(PAP)]],[1]Sheet1!$A:$AO,37,FALSE)</f>
        <v>N/A</v>
      </c>
      <c r="AL383" s="576" t="str">
        <f>VLOOKUP(Complete[[#This Row],[Code
(PAP)]],[1]Sheet1!$A:$AO,38,FALSE)</f>
        <v>N/A</v>
      </c>
      <c r="AM383" s="576" t="str">
        <f>VLOOKUP(Complete[[#This Row],[Code
(PAP)]],[1]Sheet1!$A:$AO,38,FALSE)</f>
        <v>N/A</v>
      </c>
      <c r="AN383" s="595" t="s">
        <v>713</v>
      </c>
      <c r="AO383" s="303" t="s">
        <v>139</v>
      </c>
      <c r="AP383" s="389"/>
      <c r="AQ383" s="389"/>
    </row>
    <row r="384" spans="1:43" s="224" customFormat="1" ht="75" customHeight="1" x14ac:dyDescent="0.25">
      <c r="A384" s="385" t="s">
        <v>562</v>
      </c>
      <c r="B384" s="406" t="str">
        <f>VLOOKUP(Complete[[#This Row],[Code
(PAP)]],[1]Sheet1!$A:$AO,2,FALSE)</f>
        <v>FOOD SUPPLIES</v>
      </c>
      <c r="C384" s="408" t="str">
        <f>VLOOKUP(Complete[[#This Row],[Code
(PAP)]],[1]Sheet1!$A:$AO,3,FALSE)</f>
        <v>PDRRMO</v>
      </c>
      <c r="D384" s="380" t="s">
        <v>712</v>
      </c>
      <c r="E384" s="409" t="str">
        <f>VLOOKUP(Complete[[#This Row],[Code
(PAP)]],[2]Sheet1!$A:$AO,5,FALSE)</f>
        <v>NP-53.2 Emergency Cases</v>
      </c>
      <c r="F384" s="393" t="str">
        <f>VLOOKUP(Complete[[#This Row],[Code
(PAP)]],[1]Sheet1!$A:$AO,6,FALSE)</f>
        <v>N/A</v>
      </c>
      <c r="G384" s="393">
        <f>VLOOKUP(Complete[[#This Row],[Code
(PAP)]],[1]Sheet1!$A:$AO,7,FALSE)</f>
        <v>45397</v>
      </c>
      <c r="H384" s="374"/>
      <c r="I384" s="394" t="str">
        <f>VLOOKUP(Complete[[#This Row],[Code
(PAP)]],[1]Sheet1!$A:$AO,9,FALSE)</f>
        <v>N/A</v>
      </c>
      <c r="J384" s="393">
        <f>VLOOKUP(Complete[[#This Row],[Code
(PAP)]],[1]Sheet1!$A:$AO,10,FALSE)</f>
        <v>45398</v>
      </c>
      <c r="K384" s="393">
        <f>VLOOKUP(Complete[[#This Row],[Code
(PAP)]],[1]Sheet1!$A:$AO,11,FALSE)</f>
        <v>45398</v>
      </c>
      <c r="L384" s="387"/>
      <c r="M384" s="393" t="str">
        <f>VLOOKUP(Complete[[#This Row],[Code
(PAP)]],[1]Sheet1!$A:$AO,13,FALSE)</f>
        <v>N/A</v>
      </c>
      <c r="N384" s="393" t="str">
        <f>VLOOKUP(Complete[[#This Row],[Code
(PAP)]],[1]Sheet1!$A:$AO,14,FALSE)</f>
        <v>N/A</v>
      </c>
      <c r="O384" s="393">
        <v>45404</v>
      </c>
      <c r="P384" s="387"/>
      <c r="Q384" s="387"/>
      <c r="R384" s="387"/>
      <c r="S384" s="576">
        <v>45404</v>
      </c>
      <c r="T384" s="576">
        <f>VLOOKUP(Complete[[#This Row],[Code
(PAP)]],[1]Sheet1!$A:$AO,20,FALSE)</f>
        <v>45404</v>
      </c>
      <c r="U384" s="576">
        <f>VLOOKUP(Complete[[#This Row],[Code
(PAP)]],[1]Sheet1!$A:$AO,21,FALSE)</f>
        <v>45408</v>
      </c>
      <c r="V384" s="387"/>
      <c r="W384" s="387"/>
      <c r="X384" s="392">
        <f>VLOOKUP(Complete[[#This Row],[Code
(PAP)]],[1]Sheet1!$A:$AO,24,FALSE)</f>
        <v>45412</v>
      </c>
      <c r="Y384" s="392">
        <f>Complete[[#This Row],[Delivery/ Completion]]</f>
        <v>45412</v>
      </c>
      <c r="Z384" s="610" t="s">
        <v>1478</v>
      </c>
      <c r="AA384" s="462">
        <f>Complete[[#This Row],[MOOE]]+Complete[[#This Row],[CO]]</f>
        <v>1679480</v>
      </c>
      <c r="AB384" s="466"/>
      <c r="AC384" s="497">
        <v>1679480</v>
      </c>
      <c r="AD384" s="498">
        <f>IF(Complete[[#This Row],[Procurement Project]]="","",SUM(Complete[[#This Row],[MOOE2]]+Complete[[#This Row],[CO3]]))</f>
        <v>1663865</v>
      </c>
      <c r="AE384" s="501"/>
      <c r="AF384" s="541">
        <v>1663865</v>
      </c>
      <c r="AG384" s="400"/>
      <c r="AH384" s="380" t="s">
        <v>1205</v>
      </c>
      <c r="AI384" s="576" t="str">
        <f>VLOOKUP(Complete[[#This Row],[Code
(PAP)]],[1]Sheet1!$A:$AO,35,FALSE)</f>
        <v>N/A</v>
      </c>
      <c r="AJ384" s="576" t="str">
        <f>VLOOKUP(Complete[[#This Row],[Code
(PAP)]],[1]Sheet1!$A:$AO,36,FALSE)</f>
        <v>N/A</v>
      </c>
      <c r="AK384" s="576" t="str">
        <f>VLOOKUP(Complete[[#This Row],[Code
(PAP)]],[1]Sheet1!$A:$AO,37,FALSE)</f>
        <v>N/A</v>
      </c>
      <c r="AL384" s="576" t="str">
        <f>VLOOKUP(Complete[[#This Row],[Code
(PAP)]],[1]Sheet1!$A:$AO,38,FALSE)</f>
        <v>N/A</v>
      </c>
      <c r="AM384" s="576" t="str">
        <f>VLOOKUP(Complete[[#This Row],[Code
(PAP)]],[1]Sheet1!$A:$AO,38,FALSE)</f>
        <v>N/A</v>
      </c>
      <c r="AN384" s="595" t="s">
        <v>713</v>
      </c>
      <c r="AO384" s="303" t="s">
        <v>139</v>
      </c>
      <c r="AP384" s="389"/>
      <c r="AQ384" s="389"/>
    </row>
    <row r="385" spans="1:43" s="224" customFormat="1" ht="75" customHeight="1" x14ac:dyDescent="0.25">
      <c r="A385" s="385" t="s">
        <v>563</v>
      </c>
      <c r="B385" s="406" t="str">
        <f>VLOOKUP(Complete[[#This Row],[Code
(PAP)]],[1]Sheet1!$A:$AO,2,FALSE)</f>
        <v>OIL AND LUBRICANTS</v>
      </c>
      <c r="C385" s="408" t="str">
        <f>VLOOKUP(Complete[[#This Row],[Code
(PAP)]],[1]Sheet1!$A:$AO,3,FALSE)</f>
        <v>PEO</v>
      </c>
      <c r="D385" s="380" t="s">
        <v>712</v>
      </c>
      <c r="E385" s="409" t="str">
        <f>VLOOKUP(Complete[[#This Row],[Code
(PAP)]],[2]Sheet1!$A:$AO,5,FALSE)</f>
        <v>Competitive Bidding</v>
      </c>
      <c r="F385" s="393" t="str">
        <f>VLOOKUP(Complete[[#This Row],[Code
(PAP)]],[1]Sheet1!$A:$AO,6,FALSE)</f>
        <v>N/A</v>
      </c>
      <c r="G385" s="393">
        <f>VLOOKUP(Complete[[#This Row],[Code
(PAP)]],[1]Sheet1!$A:$AO,7,FALSE)</f>
        <v>45341</v>
      </c>
      <c r="H385" s="374"/>
      <c r="I385" s="394">
        <f>VLOOKUP(Complete[[#This Row],[Code
(PAP)]],[1]Sheet1!$A:$AO,9,FALSE)</f>
        <v>45356</v>
      </c>
      <c r="J385" s="393">
        <f>VLOOKUP(Complete[[#This Row],[Code
(PAP)]],[1]Sheet1!$A:$AO,10,FALSE)</f>
        <v>45370</v>
      </c>
      <c r="K385" s="393">
        <f>VLOOKUP(Complete[[#This Row],[Code
(PAP)]],[1]Sheet1!$A:$AO,11,FALSE)</f>
        <v>45370</v>
      </c>
      <c r="L385" s="387"/>
      <c r="M385" s="393">
        <f>VLOOKUP(Complete[[#This Row],[Code
(PAP)]],[1]Sheet1!$A:$AO,13,FALSE)</f>
        <v>45387</v>
      </c>
      <c r="N385" s="393">
        <f>VLOOKUP(Complete[[#This Row],[Code
(PAP)]],[1]Sheet1!$A:$AO,14,FALSE)</f>
        <v>45387</v>
      </c>
      <c r="O385" s="393">
        <v>45404</v>
      </c>
      <c r="P385" s="387"/>
      <c r="Q385" s="387"/>
      <c r="R385" s="387"/>
      <c r="S385" s="576">
        <f>VLOOKUP(Complete[[#This Row],[Code
(PAP)]],[1]Sheet1!$A:$AO,19,FALSE)</f>
        <v>45405</v>
      </c>
      <c r="T385" s="576">
        <f>VLOOKUP(Complete[[#This Row],[Code
(PAP)]],[1]Sheet1!$A:$AO,20,FALSE)</f>
        <v>45411</v>
      </c>
      <c r="U385" s="576">
        <f>VLOOKUP(Complete[[#This Row],[Code
(PAP)]],[1]Sheet1!$A:$AO,21,FALSE)</f>
        <v>45433</v>
      </c>
      <c r="V385" s="387"/>
      <c r="W385" s="387"/>
      <c r="X385" s="392">
        <f>VLOOKUP(Complete[[#This Row],[Code
(PAP)]],[1]Sheet1!$A:$AO,24,FALSE)</f>
        <v>45439</v>
      </c>
      <c r="Y385" s="392">
        <f>Complete[[#This Row],[Delivery/ Completion]]</f>
        <v>45439</v>
      </c>
      <c r="Z385" s="610" t="s">
        <v>1478</v>
      </c>
      <c r="AA385" s="462">
        <f>Complete[[#This Row],[MOOE]]+Complete[[#This Row],[CO]]</f>
        <v>1343882.5</v>
      </c>
      <c r="AB385" s="466">
        <v>1343882.5</v>
      </c>
      <c r="AC385" s="497"/>
      <c r="AD385" s="498">
        <f>IF(Complete[[#This Row],[Procurement Project]]="","",SUM(Complete[[#This Row],[MOOE2]]+Complete[[#This Row],[CO3]]))</f>
        <v>812840</v>
      </c>
      <c r="AE385" s="501">
        <v>812840</v>
      </c>
      <c r="AF385" s="541"/>
      <c r="AG385" s="400"/>
      <c r="AH385" s="380" t="s">
        <v>1205</v>
      </c>
      <c r="AI385" s="576">
        <f>VLOOKUP(Complete[[#This Row],[Code
(PAP)]],[1]Sheet1!$A:$AO,35,FALSE)</f>
        <v>45352</v>
      </c>
      <c r="AJ385" s="576">
        <f>VLOOKUP(Complete[[#This Row],[Code
(PAP)]],[1]Sheet1!$A:$AO,36,FALSE)</f>
        <v>45366</v>
      </c>
      <c r="AK385" s="576">
        <f>VLOOKUP(Complete[[#This Row],[Code
(PAP)]],[1]Sheet1!$A:$AO,37,FALSE)</f>
        <v>45366</v>
      </c>
      <c r="AL385" s="576">
        <f>VLOOKUP(Complete[[#This Row],[Code
(PAP)]],[1]Sheet1!$A:$AO,38,FALSE)</f>
        <v>45366</v>
      </c>
      <c r="AM385" s="576">
        <f>VLOOKUP(Complete[[#This Row],[Code
(PAP)]],[1]Sheet1!$A:$AO,38,FALSE)</f>
        <v>45366</v>
      </c>
      <c r="AN385" s="595" t="s">
        <v>713</v>
      </c>
      <c r="AO385" s="303" t="s">
        <v>139</v>
      </c>
      <c r="AP385" s="389"/>
      <c r="AQ385" s="389"/>
    </row>
    <row r="386" spans="1:43" s="224" customFormat="1" ht="75" customHeight="1" x14ac:dyDescent="0.25">
      <c r="A386" s="385" t="s">
        <v>564</v>
      </c>
      <c r="B386" s="406" t="str">
        <f>VLOOKUP(Complete[[#This Row],[Code
(PAP)]],[1]Sheet1!$A:$AO,2,FALSE)</f>
        <v>SPAREPARTS (LIGHT VEHICLES)</v>
      </c>
      <c r="C386" s="408" t="str">
        <f>VLOOKUP(Complete[[#This Row],[Code
(PAP)]],[1]Sheet1!$A:$AO,3,FALSE)</f>
        <v>PGSO-Inventory</v>
      </c>
      <c r="D386" s="380" t="s">
        <v>712</v>
      </c>
      <c r="E386" s="409" t="str">
        <f>VLOOKUP(Complete[[#This Row],[Code
(PAP)]],[2]Sheet1!$A:$AO,5,FALSE)</f>
        <v>Competitive Bidding</v>
      </c>
      <c r="F386" s="393">
        <f>VLOOKUP(Complete[[#This Row],[Code
(PAP)]],[1]Sheet1!$A:$AO,6,FALSE)</f>
        <v>45342</v>
      </c>
      <c r="G386" s="393">
        <f>VLOOKUP(Complete[[#This Row],[Code
(PAP)]],[1]Sheet1!$A:$AO,7,FALSE)</f>
        <v>45348</v>
      </c>
      <c r="H386" s="374"/>
      <c r="I386" s="394">
        <f>VLOOKUP(Complete[[#This Row],[Code
(PAP)]],[1]Sheet1!$A:$AO,9,FALSE)</f>
        <v>45356</v>
      </c>
      <c r="J386" s="393">
        <f>VLOOKUP(Complete[[#This Row],[Code
(PAP)]],[1]Sheet1!$A:$AO,10,FALSE)</f>
        <v>45370</v>
      </c>
      <c r="K386" s="393">
        <f>VLOOKUP(Complete[[#This Row],[Code
(PAP)]],[1]Sheet1!$A:$AO,11,FALSE)</f>
        <v>45370</v>
      </c>
      <c r="L386" s="387"/>
      <c r="M386" s="393">
        <f>VLOOKUP(Complete[[#This Row],[Code
(PAP)]],[1]Sheet1!$A:$AO,13,FALSE)</f>
        <v>45393</v>
      </c>
      <c r="N386" s="393">
        <f>VLOOKUP(Complete[[#This Row],[Code
(PAP)]],[1]Sheet1!$A:$AO,14,FALSE)</f>
        <v>45393</v>
      </c>
      <c r="O386" s="393">
        <v>45404</v>
      </c>
      <c r="P386" s="387"/>
      <c r="Q386" s="387"/>
      <c r="R386" s="387"/>
      <c r="S386" s="576">
        <v>45405</v>
      </c>
      <c r="T386" s="576">
        <f>VLOOKUP(Complete[[#This Row],[Code
(PAP)]],[1]Sheet1!$A:$AO,20,FALSE)</f>
        <v>45412</v>
      </c>
      <c r="U386" s="576">
        <f>VLOOKUP(Complete[[#This Row],[Code
(PAP)]],[1]Sheet1!$A:$AO,21,FALSE)</f>
        <v>45422</v>
      </c>
      <c r="V386" s="387"/>
      <c r="W386" s="387"/>
      <c r="X386" s="392">
        <f>VLOOKUP(Complete[[#This Row],[Code
(PAP)]],[1]Sheet1!$A:$AO,24,FALSE)</f>
        <v>45453</v>
      </c>
      <c r="Y386" s="392">
        <f>Complete[[#This Row],[Delivery/ Completion]]</f>
        <v>45453</v>
      </c>
      <c r="Z386" s="610" t="s">
        <v>1478</v>
      </c>
      <c r="AA386" s="462">
        <f>Complete[[#This Row],[MOOE]]+Complete[[#This Row],[CO]]</f>
        <v>4493654.28</v>
      </c>
      <c r="AB386" s="466">
        <v>4493654.28</v>
      </c>
      <c r="AC386" s="497"/>
      <c r="AD386" s="498">
        <f>IF(Complete[[#This Row],[Procurement Project]]="","",SUM(Complete[[#This Row],[MOOE2]]+Complete[[#This Row],[CO3]]))</f>
        <v>1990169</v>
      </c>
      <c r="AE386" s="501">
        <v>1990169</v>
      </c>
      <c r="AF386" s="541"/>
      <c r="AG386" s="400"/>
      <c r="AH386" s="380" t="s">
        <v>1205</v>
      </c>
      <c r="AI386" s="576">
        <f>VLOOKUP(Complete[[#This Row],[Code
(PAP)]],[1]Sheet1!$A:$AO,35,FALSE)</f>
        <v>45352</v>
      </c>
      <c r="AJ386" s="576">
        <f>VLOOKUP(Complete[[#This Row],[Code
(PAP)]],[1]Sheet1!$A:$AO,36,FALSE)</f>
        <v>45366</v>
      </c>
      <c r="AK386" s="576">
        <f>VLOOKUP(Complete[[#This Row],[Code
(PAP)]],[1]Sheet1!$A:$AO,37,FALSE)</f>
        <v>45366</v>
      </c>
      <c r="AL386" s="576">
        <f>VLOOKUP(Complete[[#This Row],[Code
(PAP)]],[1]Sheet1!$A:$AO,38,FALSE)</f>
        <v>45366</v>
      </c>
      <c r="AM386" s="576">
        <f>VLOOKUP(Complete[[#This Row],[Code
(PAP)]],[1]Sheet1!$A:$AO,38,FALSE)</f>
        <v>45366</v>
      </c>
      <c r="AN386" s="595" t="s">
        <v>713</v>
      </c>
      <c r="AO386" s="303" t="s">
        <v>139</v>
      </c>
      <c r="AP386" s="389"/>
      <c r="AQ386" s="389"/>
    </row>
    <row r="387" spans="1:43" s="224" customFormat="1" ht="75" customHeight="1" x14ac:dyDescent="0.25">
      <c r="A387" s="385" t="s">
        <v>565</v>
      </c>
      <c r="B387" s="406" t="str">
        <f>VLOOKUP(Complete[[#This Row],[Code
(PAP)]],[1]Sheet1!$A:$AO,2,FALSE)</f>
        <v>LABORATORY SUPPLIES</v>
      </c>
      <c r="C387" s="408" t="str">
        <f>VLOOKUP(Complete[[#This Row],[Code
(PAP)]],[1]Sheet1!$A:$AO,3,FALSE)</f>
        <v>PEEMO</v>
      </c>
      <c r="D387" s="380" t="s">
        <v>712</v>
      </c>
      <c r="E387" s="409" t="str">
        <f>VLOOKUP(Complete[[#This Row],[Code
(PAP)]],[2]Sheet1!$A:$AO,5,FALSE)</f>
        <v>Competitive Bidding</v>
      </c>
      <c r="F387" s="393" t="str">
        <f>VLOOKUP(Complete[[#This Row],[Code
(PAP)]],[1]Sheet1!$A:$AO,6,FALSE)</f>
        <v>N/A</v>
      </c>
      <c r="G387" s="393">
        <f>VLOOKUP(Complete[[#This Row],[Code
(PAP)]],[1]Sheet1!$A:$AO,7,FALSE)</f>
        <v>45341</v>
      </c>
      <c r="H387" s="374"/>
      <c r="I387" s="394">
        <f>VLOOKUP(Complete[[#This Row],[Code
(PAP)]],[1]Sheet1!$A:$AO,9,FALSE)</f>
        <v>45356</v>
      </c>
      <c r="J387" s="393">
        <f>VLOOKUP(Complete[[#This Row],[Code
(PAP)]],[1]Sheet1!$A:$AO,10,FALSE)</f>
        <v>45370</v>
      </c>
      <c r="K387" s="393">
        <f>VLOOKUP(Complete[[#This Row],[Code
(PAP)]],[1]Sheet1!$A:$AO,11,FALSE)</f>
        <v>45370</v>
      </c>
      <c r="L387" s="387"/>
      <c r="M387" s="393">
        <f>VLOOKUP(Complete[[#This Row],[Code
(PAP)]],[1]Sheet1!$A:$AO,13,FALSE)</f>
        <v>45370</v>
      </c>
      <c r="N387" s="393">
        <f>VLOOKUP(Complete[[#This Row],[Code
(PAP)]],[1]Sheet1!$A:$AO,14,FALSE)</f>
        <v>45399</v>
      </c>
      <c r="O387" s="393">
        <f>VLOOKUP(Complete[[#This Row],[Code
(PAP)]],[1]Sheet1!$A:$AO,15,FALSE)</f>
        <v>45411</v>
      </c>
      <c r="P387" s="387"/>
      <c r="Q387" s="387"/>
      <c r="R387" s="387"/>
      <c r="S387" s="576">
        <v>45420</v>
      </c>
      <c r="T387" s="576">
        <f>VLOOKUP(Complete[[#This Row],[Code
(PAP)]],[1]Sheet1!$A:$AO,20,FALSE)</f>
        <v>45425</v>
      </c>
      <c r="U387" s="576">
        <f>VLOOKUP(Complete[[#This Row],[Code
(PAP)]],[1]Sheet1!$A:$AO,21,FALSE)</f>
        <v>45434</v>
      </c>
      <c r="V387" s="387"/>
      <c r="W387" s="387"/>
      <c r="X387" s="392">
        <f>VLOOKUP(Complete[[#This Row],[Code
(PAP)]],[1]Sheet1!$A:$AO,24,FALSE)</f>
        <v>45454</v>
      </c>
      <c r="Y387" s="392">
        <f>Complete[[#This Row],[Delivery/ Completion]]</f>
        <v>45454</v>
      </c>
      <c r="Z387" s="610" t="s">
        <v>1478</v>
      </c>
      <c r="AA387" s="462">
        <f>Complete[[#This Row],[MOOE]]+Complete[[#This Row],[CO]]</f>
        <v>1412808</v>
      </c>
      <c r="AB387" s="466">
        <v>1412808</v>
      </c>
      <c r="AC387" s="497"/>
      <c r="AD387" s="498">
        <f>IF(Complete[[#This Row],[Procurement Project]]="","",SUM(Complete[[#This Row],[MOOE2]]+Complete[[#This Row],[CO3]]))</f>
        <v>911483</v>
      </c>
      <c r="AE387" s="501">
        <v>911483</v>
      </c>
      <c r="AF387" s="541"/>
      <c r="AG387" s="400"/>
      <c r="AH387" s="380" t="s">
        <v>1205</v>
      </c>
      <c r="AI387" s="576">
        <f>VLOOKUP(Complete[[#This Row],[Code
(PAP)]],[1]Sheet1!$A:$AO,35,FALSE)</f>
        <v>45352</v>
      </c>
      <c r="AJ387" s="576">
        <f>VLOOKUP(Complete[[#This Row],[Code
(PAP)]],[1]Sheet1!$A:$AO,36,FALSE)</f>
        <v>45366</v>
      </c>
      <c r="AK387" s="576">
        <f>VLOOKUP(Complete[[#This Row],[Code
(PAP)]],[1]Sheet1!$A:$AO,37,FALSE)</f>
        <v>45366</v>
      </c>
      <c r="AL387" s="576">
        <f>VLOOKUP(Complete[[#This Row],[Code
(PAP)]],[1]Sheet1!$A:$AO,38,FALSE)</f>
        <v>45366</v>
      </c>
      <c r="AM387" s="576">
        <f>VLOOKUP(Complete[[#This Row],[Code
(PAP)]],[1]Sheet1!$A:$AO,38,FALSE)</f>
        <v>45366</v>
      </c>
      <c r="AN387" s="595" t="s">
        <v>713</v>
      </c>
      <c r="AO387" s="303" t="s">
        <v>139</v>
      </c>
      <c r="AP387" s="389"/>
      <c r="AQ387" s="389"/>
    </row>
    <row r="388" spans="1:43" s="224" customFormat="1" ht="75" customHeight="1" x14ac:dyDescent="0.25">
      <c r="A388" s="385" t="s">
        <v>566</v>
      </c>
      <c r="B388" s="406" t="str">
        <f>VLOOKUP(Complete[[#This Row],[Code
(PAP)]],[1]Sheet1!$A:$AO,2,FALSE)</f>
        <v>RACK MOUNTED SERVER AND SERVER MANAGEMENT SOFTWARE WITH CLOUD SUPPORT</v>
      </c>
      <c r="C388" s="408" t="str">
        <f>VLOOKUP(Complete[[#This Row],[Code
(PAP)]],[1]Sheet1!$A:$AO,3,FALSE)</f>
        <v>PHO</v>
      </c>
      <c r="D388" s="380" t="s">
        <v>712</v>
      </c>
      <c r="E388" s="409" t="str">
        <f>VLOOKUP(Complete[[#This Row],[Code
(PAP)]],[2]Sheet1!$A:$AO,5,FALSE)</f>
        <v>Competitive Bidding</v>
      </c>
      <c r="F388" s="393">
        <f>VLOOKUP(Complete[[#This Row],[Code
(PAP)]],[1]Sheet1!$A:$AO,6,FALSE)</f>
        <v>45342</v>
      </c>
      <c r="G388" s="393">
        <f>VLOOKUP(Complete[[#This Row],[Code
(PAP)]],[1]Sheet1!$A:$AO,7,FALSE)</f>
        <v>45348</v>
      </c>
      <c r="H388" s="374"/>
      <c r="I388" s="394">
        <f>VLOOKUP(Complete[[#This Row],[Code
(PAP)]],[1]Sheet1!$A:$AO,9,FALSE)</f>
        <v>45356</v>
      </c>
      <c r="J388" s="393">
        <f>VLOOKUP(Complete[[#This Row],[Code
(PAP)]],[1]Sheet1!$A:$AO,10,FALSE)</f>
        <v>45370</v>
      </c>
      <c r="K388" s="393">
        <f>VLOOKUP(Complete[[#This Row],[Code
(PAP)]],[1]Sheet1!$A:$AO,11,FALSE)</f>
        <v>45370</v>
      </c>
      <c r="L388" s="387"/>
      <c r="M388" s="393">
        <f>VLOOKUP(Complete[[#This Row],[Code
(PAP)]],[1]Sheet1!$A:$AO,13,FALSE)</f>
        <v>45370</v>
      </c>
      <c r="N388" s="393">
        <f>VLOOKUP(Complete[[#This Row],[Code
(PAP)]],[1]Sheet1!$A:$AO,14,FALSE)</f>
        <v>45392</v>
      </c>
      <c r="O388" s="393">
        <f>VLOOKUP(Complete[[#This Row],[Code
(PAP)]],[1]Sheet1!$A:$AO,15,FALSE)</f>
        <v>45411</v>
      </c>
      <c r="P388" s="387"/>
      <c r="Q388" s="387"/>
      <c r="R388" s="387"/>
      <c r="S388" s="576">
        <v>45419</v>
      </c>
      <c r="T388" s="576">
        <f>VLOOKUP(Complete[[#This Row],[Code
(PAP)]],[1]Sheet1!$A:$AO,20,FALSE)</f>
        <v>45429</v>
      </c>
      <c r="U388" s="576">
        <f>VLOOKUP(Complete[[#This Row],[Code
(PAP)]],[1]Sheet1!$A:$AO,21,FALSE)</f>
        <v>45434</v>
      </c>
      <c r="V388" s="387"/>
      <c r="W388" s="387"/>
      <c r="X388" s="392">
        <f>VLOOKUP(Complete[[#This Row],[Code
(PAP)]],[1]Sheet1!$A:$AO,24,FALSE)</f>
        <v>45457</v>
      </c>
      <c r="Y388" s="392">
        <f>Complete[[#This Row],[Delivery/ Completion]]</f>
        <v>45457</v>
      </c>
      <c r="Z388" s="610" t="s">
        <v>1478</v>
      </c>
      <c r="AA388" s="462">
        <f>Complete[[#This Row],[MOOE]]+Complete[[#This Row],[CO]]</f>
        <v>516848.55</v>
      </c>
      <c r="AB388" s="466"/>
      <c r="AC388" s="497">
        <v>516848.55</v>
      </c>
      <c r="AD388" s="498">
        <f>IF(Complete[[#This Row],[Procurement Project]]="","",SUM(Complete[[#This Row],[MOOE2]]+Complete[[#This Row],[CO3]]))</f>
        <v>510000</v>
      </c>
      <c r="AE388" s="501"/>
      <c r="AF388" s="541">
        <v>510000</v>
      </c>
      <c r="AG388" s="400"/>
      <c r="AH388" s="380" t="s">
        <v>1205</v>
      </c>
      <c r="AI388" s="576">
        <f>VLOOKUP(Complete[[#This Row],[Code
(PAP)]],[1]Sheet1!$A:$AO,35,FALSE)</f>
        <v>45352</v>
      </c>
      <c r="AJ388" s="576">
        <f>VLOOKUP(Complete[[#This Row],[Code
(PAP)]],[1]Sheet1!$A:$AO,36,FALSE)</f>
        <v>45366</v>
      </c>
      <c r="AK388" s="576">
        <f>VLOOKUP(Complete[[#This Row],[Code
(PAP)]],[1]Sheet1!$A:$AO,37,FALSE)</f>
        <v>45366</v>
      </c>
      <c r="AL388" s="576">
        <f>VLOOKUP(Complete[[#This Row],[Code
(PAP)]],[1]Sheet1!$A:$AO,38,FALSE)</f>
        <v>45366</v>
      </c>
      <c r="AM388" s="576">
        <f>VLOOKUP(Complete[[#This Row],[Code
(PAP)]],[1]Sheet1!$A:$AO,38,FALSE)</f>
        <v>45366</v>
      </c>
      <c r="AN388" s="595" t="s">
        <v>713</v>
      </c>
      <c r="AO388" s="303" t="s">
        <v>139</v>
      </c>
      <c r="AP388" s="389"/>
      <c r="AQ388" s="389"/>
    </row>
    <row r="389" spans="1:43" s="224" customFormat="1" ht="75" customHeight="1" x14ac:dyDescent="0.25">
      <c r="A389" s="385" t="s">
        <v>567</v>
      </c>
      <c r="B389" s="406" t="str">
        <f>VLOOKUP(Complete[[#This Row],[Code
(PAP)]],[1]Sheet1!$A:$AO,2,FALSE)</f>
        <v>TIRES</v>
      </c>
      <c r="C389" s="408" t="str">
        <f>VLOOKUP(Complete[[#This Row],[Code
(PAP)]],[1]Sheet1!$A:$AO,3,FALSE)</f>
        <v>PEO</v>
      </c>
      <c r="D389" s="380" t="s">
        <v>712</v>
      </c>
      <c r="E389" s="409" t="str">
        <f>VLOOKUP(Complete[[#This Row],[Code
(PAP)]],[2]Sheet1!$A:$AO,5,FALSE)</f>
        <v>Competitive Bidding</v>
      </c>
      <c r="F389" s="393">
        <f>VLOOKUP(Complete[[#This Row],[Code
(PAP)]],[1]Sheet1!$A:$AO,6,FALSE)</f>
        <v>45342</v>
      </c>
      <c r="G389" s="393">
        <f>VLOOKUP(Complete[[#This Row],[Code
(PAP)]],[1]Sheet1!$A:$AO,7,FALSE)</f>
        <v>45348</v>
      </c>
      <c r="H389" s="374"/>
      <c r="I389" s="394">
        <f>VLOOKUP(Complete[[#This Row],[Code
(PAP)]],[1]Sheet1!$A:$AO,9,FALSE)</f>
        <v>45356</v>
      </c>
      <c r="J389" s="393">
        <f>VLOOKUP(Complete[[#This Row],[Code
(PAP)]],[1]Sheet1!$A:$AO,10,FALSE)</f>
        <v>45370</v>
      </c>
      <c r="K389" s="393">
        <f>VLOOKUP(Complete[[#This Row],[Code
(PAP)]],[1]Sheet1!$A:$AO,11,FALSE)</f>
        <v>45370</v>
      </c>
      <c r="L389" s="387"/>
      <c r="M389" s="393">
        <f>VLOOKUP(Complete[[#This Row],[Code
(PAP)]],[1]Sheet1!$A:$AO,13,FALSE)</f>
        <v>45370</v>
      </c>
      <c r="N389" s="393">
        <f>VLOOKUP(Complete[[#This Row],[Code
(PAP)]],[1]Sheet1!$A:$AO,14,FALSE)</f>
        <v>45393</v>
      </c>
      <c r="O389" s="393">
        <f>VLOOKUP(Complete[[#This Row],[Code
(PAP)]],[1]Sheet1!$A:$AO,15,FALSE)</f>
        <v>45411</v>
      </c>
      <c r="P389" s="387"/>
      <c r="Q389" s="387"/>
      <c r="R389" s="387"/>
      <c r="S389" s="576">
        <v>45420</v>
      </c>
      <c r="T389" s="576">
        <f>VLOOKUP(Complete[[#This Row],[Code
(PAP)]],[1]Sheet1!$A:$AO,20,FALSE)</f>
        <v>45425</v>
      </c>
      <c r="U389" s="576">
        <f>VLOOKUP(Complete[[#This Row],[Code
(PAP)]],[1]Sheet1!$A:$AO,21,FALSE)</f>
        <v>45434</v>
      </c>
      <c r="V389" s="387"/>
      <c r="W389" s="387"/>
      <c r="X389" s="392">
        <f>VLOOKUP(Complete[[#This Row],[Code
(PAP)]],[1]Sheet1!$A:$AO,24,FALSE)</f>
        <v>45469</v>
      </c>
      <c r="Y389" s="392">
        <f>Complete[[#This Row],[Delivery/ Completion]]</f>
        <v>45469</v>
      </c>
      <c r="Z389" s="610" t="s">
        <v>1478</v>
      </c>
      <c r="AA389" s="462">
        <f>Complete[[#This Row],[MOOE]]+Complete[[#This Row],[CO]]</f>
        <v>7001000</v>
      </c>
      <c r="AB389" s="466">
        <v>7001000</v>
      </c>
      <c r="AC389" s="497"/>
      <c r="AD389" s="498">
        <f>IF(Complete[[#This Row],[Procurement Project]]="","",SUM(Complete[[#This Row],[MOOE2]]+Complete[[#This Row],[CO3]]))</f>
        <v>3994700</v>
      </c>
      <c r="AE389" s="501">
        <v>3994700</v>
      </c>
      <c r="AF389" s="541"/>
      <c r="AG389" s="400"/>
      <c r="AH389" s="380" t="s">
        <v>1205</v>
      </c>
      <c r="AI389" s="576">
        <f>VLOOKUP(Complete[[#This Row],[Code
(PAP)]],[1]Sheet1!$A:$AO,35,FALSE)</f>
        <v>45352</v>
      </c>
      <c r="AJ389" s="576">
        <f>VLOOKUP(Complete[[#This Row],[Code
(PAP)]],[1]Sheet1!$A:$AO,36,FALSE)</f>
        <v>45366</v>
      </c>
      <c r="AK389" s="576">
        <f>VLOOKUP(Complete[[#This Row],[Code
(PAP)]],[1]Sheet1!$A:$AO,37,FALSE)</f>
        <v>45366</v>
      </c>
      <c r="AL389" s="576">
        <f>VLOOKUP(Complete[[#This Row],[Code
(PAP)]],[1]Sheet1!$A:$AO,38,FALSE)</f>
        <v>45366</v>
      </c>
      <c r="AM389" s="576">
        <f>VLOOKUP(Complete[[#This Row],[Code
(PAP)]],[1]Sheet1!$A:$AO,38,FALSE)</f>
        <v>45366</v>
      </c>
      <c r="AN389" s="595" t="s">
        <v>713</v>
      </c>
      <c r="AO389" s="303" t="s">
        <v>139</v>
      </c>
      <c r="AP389" s="389"/>
      <c r="AQ389" s="389"/>
    </row>
    <row r="390" spans="1:43" s="224" customFormat="1" ht="75" customHeight="1" x14ac:dyDescent="0.25">
      <c r="A390" s="385" t="s">
        <v>568</v>
      </c>
      <c r="B390" s="406" t="str">
        <f>VLOOKUP(Complete[[#This Row],[Code
(PAP)]],[1]Sheet1!$A:$AO,2,FALSE)</f>
        <v>PUMP IRRIGATION SYSTEM OPEN SOURCE (PISOS)-PUMP &amp; ENGINE SET</v>
      </c>
      <c r="C390" s="408" t="str">
        <f>VLOOKUP(Complete[[#This Row],[Code
(PAP)]],[1]Sheet1!$A:$AO,3,FALSE)</f>
        <v>PAGRO</v>
      </c>
      <c r="D390" s="380" t="s">
        <v>712</v>
      </c>
      <c r="E390" s="409" t="str">
        <f>VLOOKUP(Complete[[#This Row],[Code
(PAP)]],[2]Sheet1!$A:$AO,5,FALSE)</f>
        <v>Competitive Bidding</v>
      </c>
      <c r="F390" s="393">
        <f>VLOOKUP(Complete[[#This Row],[Code
(PAP)]],[1]Sheet1!$A:$AO,6,FALSE)</f>
        <v>45342</v>
      </c>
      <c r="G390" s="393">
        <f>VLOOKUP(Complete[[#This Row],[Code
(PAP)]],[1]Sheet1!$A:$AO,7,FALSE)</f>
        <v>45348</v>
      </c>
      <c r="H390" s="374"/>
      <c r="I390" s="394">
        <f>VLOOKUP(Complete[[#This Row],[Code
(PAP)]],[1]Sheet1!$A:$AO,9,FALSE)</f>
        <v>45356</v>
      </c>
      <c r="J390" s="393">
        <f>VLOOKUP(Complete[[#This Row],[Code
(PAP)]],[1]Sheet1!$A:$AO,10,FALSE)</f>
        <v>45370</v>
      </c>
      <c r="K390" s="393">
        <f>VLOOKUP(Complete[[#This Row],[Code
(PAP)]],[1]Sheet1!$A:$AO,11,FALSE)</f>
        <v>45370</v>
      </c>
      <c r="L390" s="387"/>
      <c r="M390" s="393">
        <f>VLOOKUP(Complete[[#This Row],[Code
(PAP)]],[1]Sheet1!$A:$AO,13,FALSE)</f>
        <v>45370</v>
      </c>
      <c r="N390" s="393">
        <f>VLOOKUP(Complete[[#This Row],[Code
(PAP)]],[1]Sheet1!$A:$AO,14,FALSE)</f>
        <v>45401</v>
      </c>
      <c r="O390" s="393">
        <f>VLOOKUP(Complete[[#This Row],[Code
(PAP)]],[1]Sheet1!$A:$AO,15,FALSE)</f>
        <v>45411</v>
      </c>
      <c r="P390" s="387"/>
      <c r="Q390" s="387"/>
      <c r="R390" s="387"/>
      <c r="S390" s="576">
        <v>45420</v>
      </c>
      <c r="T390" s="576">
        <f>VLOOKUP(Complete[[#This Row],[Code
(PAP)]],[1]Sheet1!$A:$AO,20,FALSE)</f>
        <v>45425</v>
      </c>
      <c r="U390" s="576">
        <f>VLOOKUP(Complete[[#This Row],[Code
(PAP)]],[1]Sheet1!$A:$AO,21,FALSE)</f>
        <v>45441</v>
      </c>
      <c r="V390" s="387"/>
      <c r="W390" s="387"/>
      <c r="X390" s="392">
        <f>VLOOKUP(Complete[[#This Row],[Code
(PAP)]],[1]Sheet1!$A:$AO,24,FALSE)</f>
        <v>45448</v>
      </c>
      <c r="Y390" s="392">
        <f>Complete[[#This Row],[Delivery/ Completion]]</f>
        <v>45448</v>
      </c>
      <c r="Z390" s="610" t="s">
        <v>1478</v>
      </c>
      <c r="AA390" s="462">
        <f>Complete[[#This Row],[MOOE]]+Complete[[#This Row],[CO]]</f>
        <v>3000000</v>
      </c>
      <c r="AB390" s="466"/>
      <c r="AC390" s="497">
        <v>3000000</v>
      </c>
      <c r="AD390" s="498">
        <f>IF(Complete[[#This Row],[Procurement Project]]="","",SUM(Complete[[#This Row],[MOOE2]]+Complete[[#This Row],[CO3]]))</f>
        <v>2970000</v>
      </c>
      <c r="AE390" s="501"/>
      <c r="AF390" s="541">
        <v>2970000</v>
      </c>
      <c r="AG390" s="400"/>
      <c r="AH390" s="380" t="s">
        <v>1205</v>
      </c>
      <c r="AI390" s="576">
        <f>VLOOKUP(Complete[[#This Row],[Code
(PAP)]],[1]Sheet1!$A:$AO,35,FALSE)</f>
        <v>45352</v>
      </c>
      <c r="AJ390" s="576">
        <f>VLOOKUP(Complete[[#This Row],[Code
(PAP)]],[1]Sheet1!$A:$AO,36,FALSE)</f>
        <v>45366</v>
      </c>
      <c r="AK390" s="576">
        <f>VLOOKUP(Complete[[#This Row],[Code
(PAP)]],[1]Sheet1!$A:$AO,37,FALSE)</f>
        <v>45366</v>
      </c>
      <c r="AL390" s="576">
        <f>VLOOKUP(Complete[[#This Row],[Code
(PAP)]],[1]Sheet1!$A:$AO,38,FALSE)</f>
        <v>45366</v>
      </c>
      <c r="AM390" s="576">
        <f>VLOOKUP(Complete[[#This Row],[Code
(PAP)]],[1]Sheet1!$A:$AO,38,FALSE)</f>
        <v>45366</v>
      </c>
      <c r="AN390" s="595" t="s">
        <v>713</v>
      </c>
      <c r="AO390" s="303" t="s">
        <v>139</v>
      </c>
      <c r="AP390" s="389"/>
      <c r="AQ390" s="389"/>
    </row>
    <row r="391" spans="1:43" s="224" customFormat="1" ht="75" customHeight="1" x14ac:dyDescent="0.25">
      <c r="A391" s="385" t="s">
        <v>569</v>
      </c>
      <c r="B391" s="406" t="str">
        <f>VLOOKUP(Complete[[#This Row],[Code
(PAP)]],[1]Sheet1!$A:$AO,2,FALSE)</f>
        <v>FLUIDS</v>
      </c>
      <c r="C391" s="408" t="str">
        <f>VLOOKUP(Complete[[#This Row],[Code
(PAP)]],[1]Sheet1!$A:$AO,3,FALSE)</f>
        <v>PEEMO</v>
      </c>
      <c r="D391" s="380" t="s">
        <v>712</v>
      </c>
      <c r="E391" s="409" t="str">
        <f>VLOOKUP(Complete[[#This Row],[Code
(PAP)]],[2]Sheet1!$A:$AO,5,FALSE)</f>
        <v>Competitive Bidding</v>
      </c>
      <c r="F391" s="393">
        <f>VLOOKUP(Complete[[#This Row],[Code
(PAP)]],[1]Sheet1!$A:$AO,6,FALSE)</f>
        <v>45342</v>
      </c>
      <c r="G391" s="393">
        <f>VLOOKUP(Complete[[#This Row],[Code
(PAP)]],[1]Sheet1!$A:$AO,7,FALSE)</f>
        <v>45348</v>
      </c>
      <c r="H391" s="374"/>
      <c r="I391" s="394">
        <f>VLOOKUP(Complete[[#This Row],[Code
(PAP)]],[1]Sheet1!$A:$AO,9,FALSE)</f>
        <v>45356</v>
      </c>
      <c r="J391" s="393">
        <f>VLOOKUP(Complete[[#This Row],[Code
(PAP)]],[1]Sheet1!$A:$AO,10,FALSE)</f>
        <v>45370</v>
      </c>
      <c r="K391" s="393">
        <f>VLOOKUP(Complete[[#This Row],[Code
(PAP)]],[1]Sheet1!$A:$AO,11,FALSE)</f>
        <v>45370</v>
      </c>
      <c r="L391" s="387"/>
      <c r="M391" s="393">
        <f>VLOOKUP(Complete[[#This Row],[Code
(PAP)]],[1]Sheet1!$A:$AO,13,FALSE)</f>
        <v>45370</v>
      </c>
      <c r="N391" s="393">
        <f>VLOOKUP(Complete[[#This Row],[Code
(PAP)]],[1]Sheet1!$A:$AO,14,FALSE)</f>
        <v>45400</v>
      </c>
      <c r="O391" s="393">
        <f>VLOOKUP(Complete[[#This Row],[Code
(PAP)]],[1]Sheet1!$A:$AO,15,FALSE)</f>
        <v>45411</v>
      </c>
      <c r="P391" s="387"/>
      <c r="Q391" s="387"/>
      <c r="R391" s="387"/>
      <c r="S391" s="576">
        <v>45421</v>
      </c>
      <c r="T391" s="576">
        <f>VLOOKUP(Complete[[#This Row],[Code
(PAP)]],[1]Sheet1!$A:$AO,20,FALSE)</f>
        <v>45432</v>
      </c>
      <c r="U391" s="576">
        <f>VLOOKUP(Complete[[#This Row],[Code
(PAP)]],[1]Sheet1!$A:$AO,21,FALSE)</f>
        <v>45433</v>
      </c>
      <c r="V391" s="387"/>
      <c r="W391" s="387"/>
      <c r="X391" s="392">
        <f>VLOOKUP(Complete[[#This Row],[Code
(PAP)]],[1]Sheet1!$A:$AO,24,FALSE)</f>
        <v>45440</v>
      </c>
      <c r="Y391" s="392">
        <f>Complete[[#This Row],[Delivery/ Completion]]</f>
        <v>45440</v>
      </c>
      <c r="Z391" s="610" t="s">
        <v>1478</v>
      </c>
      <c r="AA391" s="462">
        <f>Complete[[#This Row],[MOOE]]+Complete[[#This Row],[CO]]</f>
        <v>1678204</v>
      </c>
      <c r="AB391" s="466">
        <v>1678204</v>
      </c>
      <c r="AC391" s="497"/>
      <c r="AD391" s="498">
        <f>IF(Complete[[#This Row],[Procurement Project]]="","",SUM(Complete[[#This Row],[MOOE2]]+Complete[[#This Row],[CO3]]))</f>
        <v>1093996</v>
      </c>
      <c r="AE391" s="501">
        <v>1093996</v>
      </c>
      <c r="AF391" s="541"/>
      <c r="AG391" s="400"/>
      <c r="AH391" s="380" t="s">
        <v>1205</v>
      </c>
      <c r="AI391" s="576">
        <f>VLOOKUP(Complete[[#This Row],[Code
(PAP)]],[1]Sheet1!$A:$AO,35,FALSE)</f>
        <v>45352</v>
      </c>
      <c r="AJ391" s="576">
        <f>VLOOKUP(Complete[[#This Row],[Code
(PAP)]],[1]Sheet1!$A:$AO,36,FALSE)</f>
        <v>45366</v>
      </c>
      <c r="AK391" s="576">
        <f>VLOOKUP(Complete[[#This Row],[Code
(PAP)]],[1]Sheet1!$A:$AO,37,FALSE)</f>
        <v>45366</v>
      </c>
      <c r="AL391" s="576">
        <f>VLOOKUP(Complete[[#This Row],[Code
(PAP)]],[1]Sheet1!$A:$AO,38,FALSE)</f>
        <v>45366</v>
      </c>
      <c r="AM391" s="576">
        <f>VLOOKUP(Complete[[#This Row],[Code
(PAP)]],[1]Sheet1!$A:$AO,38,FALSE)</f>
        <v>45366</v>
      </c>
      <c r="AN391" s="595" t="s">
        <v>713</v>
      </c>
      <c r="AO391" s="303" t="s">
        <v>139</v>
      </c>
      <c r="AP391" s="389"/>
      <c r="AQ391" s="389"/>
    </row>
    <row r="392" spans="1:43" s="224" customFormat="1" ht="75" customHeight="1" x14ac:dyDescent="0.25">
      <c r="A392" s="385" t="s">
        <v>570</v>
      </c>
      <c r="B392" s="406" t="str">
        <f>VLOOKUP(Complete[[#This Row],[Code
(PAP)]],[1]Sheet1!$A:$AO,2,FALSE)</f>
        <v>FUEL, OIL, AND LUBRICANTS</v>
      </c>
      <c r="C392" s="408" t="str">
        <f>VLOOKUP(Complete[[#This Row],[Code
(PAP)]],[1]Sheet1!$A:$AO,3,FALSE)</f>
        <v>PGSO</v>
      </c>
      <c r="D392" s="380" t="s">
        <v>712</v>
      </c>
      <c r="E392" s="409" t="str">
        <f>VLOOKUP(Complete[[#This Row],[Code
(PAP)]],[2]Sheet1!$A:$AO,5,FALSE)</f>
        <v>Competitive Bidding</v>
      </c>
      <c r="F392" s="393" t="str">
        <f>VLOOKUP(Complete[[#This Row],[Code
(PAP)]],[1]Sheet1!$A:$AO,6,FALSE)</f>
        <v>N/A</v>
      </c>
      <c r="G392" s="393">
        <f>VLOOKUP(Complete[[#This Row],[Code
(PAP)]],[1]Sheet1!$A:$AO,7,FALSE)</f>
        <v>45355</v>
      </c>
      <c r="H392" s="374"/>
      <c r="I392" s="394">
        <f>VLOOKUP(Complete[[#This Row],[Code
(PAP)]],[1]Sheet1!$A:$AO,9,FALSE)</f>
        <v>45370</v>
      </c>
      <c r="J392" s="393">
        <f>VLOOKUP(Complete[[#This Row],[Code
(PAP)]],[1]Sheet1!$A:$AO,10,FALSE)</f>
        <v>45384</v>
      </c>
      <c r="K392" s="393">
        <f>VLOOKUP(Complete[[#This Row],[Code
(PAP)]],[1]Sheet1!$A:$AO,11,FALSE)</f>
        <v>45384</v>
      </c>
      <c r="L392" s="387"/>
      <c r="M392" s="393">
        <f>VLOOKUP(Complete[[#This Row],[Code
(PAP)]],[1]Sheet1!$A:$AO,13,FALSE)</f>
        <v>45384</v>
      </c>
      <c r="N392" s="393">
        <f>VLOOKUP(Complete[[#This Row],[Code
(PAP)]],[1]Sheet1!$A:$AO,14,FALSE)</f>
        <v>45393</v>
      </c>
      <c r="O392" s="393">
        <f>VLOOKUP(Complete[[#This Row],[Code
(PAP)]],[1]Sheet1!$A:$AO,15,FALSE)</f>
        <v>45411</v>
      </c>
      <c r="P392" s="387"/>
      <c r="Q392" s="387"/>
      <c r="R392" s="387"/>
      <c r="S392" s="576">
        <v>45418</v>
      </c>
      <c r="T392" s="576">
        <f>VLOOKUP(Complete[[#This Row],[Code
(PAP)]],[1]Sheet1!$A:$AO,20,FALSE)</f>
        <v>45425</v>
      </c>
      <c r="U392" s="576">
        <f>VLOOKUP(Complete[[#This Row],[Code
(PAP)]],[1]Sheet1!$A:$AO,21,FALSE)</f>
        <v>45435</v>
      </c>
      <c r="V392" s="387"/>
      <c r="W392" s="387"/>
      <c r="X392" s="392">
        <f>VLOOKUP(Complete[[#This Row],[Code
(PAP)]],[1]Sheet1!$A:$AO,24,FALSE)</f>
        <v>45449</v>
      </c>
      <c r="Y392" s="392">
        <f>Complete[[#This Row],[Delivery/ Completion]]</f>
        <v>45449</v>
      </c>
      <c r="Z392" s="610" t="s">
        <v>1478</v>
      </c>
      <c r="AA392" s="462">
        <f>Complete[[#This Row],[MOOE]]+Complete[[#This Row],[CO]]</f>
        <v>1548381.74</v>
      </c>
      <c r="AB392" s="466">
        <v>1548381.74</v>
      </c>
      <c r="AC392" s="497"/>
      <c r="AD392" s="498">
        <f>IF(Complete[[#This Row],[Procurement Project]]="","",SUM(Complete[[#This Row],[MOOE2]]+Complete[[#This Row],[CO3]]))</f>
        <v>890290</v>
      </c>
      <c r="AE392" s="501">
        <v>890290</v>
      </c>
      <c r="AF392" s="541"/>
      <c r="AG392" s="400"/>
      <c r="AH392" s="380" t="s">
        <v>1205</v>
      </c>
      <c r="AI392" s="576">
        <f>VLOOKUP(Complete[[#This Row],[Code
(PAP)]],[1]Sheet1!$A:$AO,35,FALSE)</f>
        <v>45366</v>
      </c>
      <c r="AJ392" s="576">
        <f>VLOOKUP(Complete[[#This Row],[Code
(PAP)]],[1]Sheet1!$A:$AO,36,FALSE)</f>
        <v>45383</v>
      </c>
      <c r="AK392" s="576">
        <f>VLOOKUP(Complete[[#This Row],[Code
(PAP)]],[1]Sheet1!$A:$AO,37,FALSE)</f>
        <v>45383</v>
      </c>
      <c r="AL392" s="576">
        <f>VLOOKUP(Complete[[#This Row],[Code
(PAP)]],[1]Sheet1!$A:$AO,38,FALSE)</f>
        <v>45383</v>
      </c>
      <c r="AM392" s="576">
        <f>VLOOKUP(Complete[[#This Row],[Code
(PAP)]],[1]Sheet1!$A:$AO,38,FALSE)</f>
        <v>45383</v>
      </c>
      <c r="AN392" s="595" t="s">
        <v>713</v>
      </c>
      <c r="AO392" s="303" t="s">
        <v>139</v>
      </c>
      <c r="AP392" s="389"/>
      <c r="AQ392" s="389"/>
    </row>
    <row r="393" spans="1:43" s="224" customFormat="1" ht="75" customHeight="1" x14ac:dyDescent="0.25">
      <c r="A393" s="385" t="s">
        <v>571</v>
      </c>
      <c r="B393" s="406" t="str">
        <f>VLOOKUP(Complete[[#This Row],[Code
(PAP)]],[1]Sheet1!$A:$AO,2,FALSE)</f>
        <v>SPAREPARTS (SPAREPARTS)</v>
      </c>
      <c r="C393" s="408" t="str">
        <f>VLOOKUP(Complete[[#This Row],[Code
(PAP)]],[1]Sheet1!$A:$AO,3,FALSE)</f>
        <v>PEO</v>
      </c>
      <c r="D393" s="380" t="s">
        <v>712</v>
      </c>
      <c r="E393" s="409" t="str">
        <f>VLOOKUP(Complete[[#This Row],[Code
(PAP)]],[2]Sheet1!$A:$AO,5,FALSE)</f>
        <v>Competitive Bidding</v>
      </c>
      <c r="F393" s="393" t="str">
        <f>VLOOKUP(Complete[[#This Row],[Code
(PAP)]],[1]Sheet1!$A:$AO,6,FALSE)</f>
        <v>N/A</v>
      </c>
      <c r="G393" s="393">
        <f>VLOOKUP(Complete[[#This Row],[Code
(PAP)]],[1]Sheet1!$A:$AO,7,FALSE)</f>
        <v>45362</v>
      </c>
      <c r="H393" s="374"/>
      <c r="I393" s="394">
        <f>VLOOKUP(Complete[[#This Row],[Code
(PAP)]],[1]Sheet1!$A:$AO,9,FALSE)</f>
        <v>45370</v>
      </c>
      <c r="J393" s="393">
        <f>VLOOKUP(Complete[[#This Row],[Code
(PAP)]],[1]Sheet1!$A:$AO,10,FALSE)</f>
        <v>45384</v>
      </c>
      <c r="K393" s="393">
        <f>VLOOKUP(Complete[[#This Row],[Code
(PAP)]],[1]Sheet1!$A:$AO,11,FALSE)</f>
        <v>45384</v>
      </c>
      <c r="L393" s="387"/>
      <c r="M393" s="393">
        <f>VLOOKUP(Complete[[#This Row],[Code
(PAP)]],[1]Sheet1!$A:$AO,13,FALSE)</f>
        <v>45326</v>
      </c>
      <c r="N393" s="393">
        <f>VLOOKUP(Complete[[#This Row],[Code
(PAP)]],[1]Sheet1!$A:$AO,14,FALSE)</f>
        <v>45406</v>
      </c>
      <c r="O393" s="393">
        <f>VLOOKUP(Complete[[#This Row],[Code
(PAP)]],[1]Sheet1!$A:$AO,15,FALSE)</f>
        <v>45411</v>
      </c>
      <c r="P393" s="387"/>
      <c r="Q393" s="387"/>
      <c r="R393" s="387"/>
      <c r="S393" s="576">
        <v>45419</v>
      </c>
      <c r="T393" s="576">
        <f>VLOOKUP(Complete[[#This Row],[Code
(PAP)]],[1]Sheet1!$A:$AO,20,FALSE)</f>
        <v>45433</v>
      </c>
      <c r="U393" s="576">
        <f>VLOOKUP(Complete[[#This Row],[Code
(PAP)]],[1]Sheet1!$A:$AO,21,FALSE)</f>
        <v>45435</v>
      </c>
      <c r="V393" s="387"/>
      <c r="W393" s="387"/>
      <c r="X393" s="392">
        <f>VLOOKUP(Complete[[#This Row],[Code
(PAP)]],[1]Sheet1!$A:$AO,24,FALSE)</f>
        <v>45446</v>
      </c>
      <c r="Y393" s="392">
        <f>Complete[[#This Row],[Delivery/ Completion]]</f>
        <v>45446</v>
      </c>
      <c r="Z393" s="610" t="s">
        <v>1478</v>
      </c>
      <c r="AA393" s="462">
        <f>Complete[[#This Row],[MOOE]]+Complete[[#This Row],[CO]]</f>
        <v>1823618</v>
      </c>
      <c r="AB393" s="466">
        <v>1823618</v>
      </c>
      <c r="AC393" s="497"/>
      <c r="AD393" s="498">
        <f>IF(Complete[[#This Row],[Procurement Project]]="","",SUM(Complete[[#This Row],[MOOE2]]+Complete[[#This Row],[CO3]]))</f>
        <v>1684350</v>
      </c>
      <c r="AE393" s="501">
        <v>1684350</v>
      </c>
      <c r="AF393" s="541"/>
      <c r="AG393" s="400"/>
      <c r="AH393" s="380" t="s">
        <v>1205</v>
      </c>
      <c r="AI393" s="576">
        <f>VLOOKUP(Complete[[#This Row],[Code
(PAP)]],[1]Sheet1!$A:$AO,35,FALSE)</f>
        <v>45366</v>
      </c>
      <c r="AJ393" s="576">
        <f>VLOOKUP(Complete[[#This Row],[Code
(PAP)]],[1]Sheet1!$A:$AO,36,FALSE)</f>
        <v>45383</v>
      </c>
      <c r="AK393" s="576">
        <f>VLOOKUP(Complete[[#This Row],[Code
(PAP)]],[1]Sheet1!$A:$AO,37,FALSE)</f>
        <v>45383</v>
      </c>
      <c r="AL393" s="576">
        <f>VLOOKUP(Complete[[#This Row],[Code
(PAP)]],[1]Sheet1!$A:$AO,38,FALSE)</f>
        <v>45383</v>
      </c>
      <c r="AM393" s="576">
        <f>VLOOKUP(Complete[[#This Row],[Code
(PAP)]],[1]Sheet1!$A:$AO,38,FALSE)</f>
        <v>45383</v>
      </c>
      <c r="AN393" s="595" t="s">
        <v>713</v>
      </c>
      <c r="AO393" s="303" t="s">
        <v>139</v>
      </c>
      <c r="AP393" s="389"/>
      <c r="AQ393" s="389"/>
    </row>
    <row r="394" spans="1:43" s="224" customFormat="1" ht="75" customHeight="1" x14ac:dyDescent="0.25">
      <c r="A394" s="385" t="s">
        <v>572</v>
      </c>
      <c r="B394" s="406" t="str">
        <f>VLOOKUP(Complete[[#This Row],[Code
(PAP)]],[1]Sheet1!$A:$AO,2,FALSE)</f>
        <v>MEALS AND SNACKS WITH ACCOMMODATION</v>
      </c>
      <c r="C394" s="408" t="str">
        <f>VLOOKUP(Complete[[#This Row],[Code
(PAP)]],[1]Sheet1!$A:$AO,3,FALSE)</f>
        <v>PDRRMO</v>
      </c>
      <c r="D394" s="380" t="s">
        <v>712</v>
      </c>
      <c r="E394" s="409" t="str">
        <f>VLOOKUP(Complete[[#This Row],[Code
(PAP)]],[2]Sheet1!$A:$AO,5,FALSE)</f>
        <v>Competitive Bidding</v>
      </c>
      <c r="F394" s="393">
        <f>VLOOKUP(Complete[[#This Row],[Code
(PAP)]],[1]Sheet1!$A:$AO,6,FALSE)</f>
        <v>45356</v>
      </c>
      <c r="G394" s="393">
        <f>VLOOKUP(Complete[[#This Row],[Code
(PAP)]],[1]Sheet1!$A:$AO,7,FALSE)</f>
        <v>45376</v>
      </c>
      <c r="H394" s="374"/>
      <c r="I394" s="394" t="str">
        <f>VLOOKUP(Complete[[#This Row],[Code
(PAP)]],[1]Sheet1!$A:$AO,9,FALSE)</f>
        <v>N/A</v>
      </c>
      <c r="J394" s="393">
        <f>VLOOKUP(Complete[[#This Row],[Code
(PAP)]],[1]Sheet1!$A:$AO,10,FALSE)</f>
        <v>45384</v>
      </c>
      <c r="K394" s="393">
        <f>VLOOKUP(Complete[[#This Row],[Code
(PAP)]],[1]Sheet1!$A:$AO,11,FALSE)</f>
        <v>45384</v>
      </c>
      <c r="L394" s="387"/>
      <c r="M394" s="393">
        <f>VLOOKUP(Complete[[#This Row],[Code
(PAP)]],[1]Sheet1!$A:$AO,13,FALSE)</f>
        <v>45384</v>
      </c>
      <c r="N394" s="393">
        <f>VLOOKUP(Complete[[#This Row],[Code
(PAP)]],[1]Sheet1!$A:$AO,14,FALSE)</f>
        <v>45399</v>
      </c>
      <c r="O394" s="393">
        <f>VLOOKUP(Complete[[#This Row],[Code
(PAP)]],[1]Sheet1!$A:$AO,15,FALSE)</f>
        <v>45411</v>
      </c>
      <c r="P394" s="387"/>
      <c r="Q394" s="387"/>
      <c r="R394" s="387"/>
      <c r="S394" s="576">
        <v>45414</v>
      </c>
      <c r="T394" s="576">
        <f>VLOOKUP(Complete[[#This Row],[Code
(PAP)]],[1]Sheet1!$A:$AO,20,FALSE)</f>
        <v>45425</v>
      </c>
      <c r="U394" s="576">
        <f>VLOOKUP(Complete[[#This Row],[Code
(PAP)]],[1]Sheet1!$A:$AO,21,FALSE)</f>
        <v>45435</v>
      </c>
      <c r="V394" s="387"/>
      <c r="W394" s="387"/>
      <c r="X394" s="392">
        <f>VLOOKUP(Complete[[#This Row],[Code
(PAP)]],[1]Sheet1!$A:$AO,24,FALSE)</f>
        <v>45464</v>
      </c>
      <c r="Y394" s="392">
        <f>Complete[[#This Row],[Delivery/ Completion]]</f>
        <v>45464</v>
      </c>
      <c r="Z394" s="610" t="s">
        <v>1478</v>
      </c>
      <c r="AA394" s="462">
        <f>Complete[[#This Row],[MOOE]]+Complete[[#This Row],[CO]]</f>
        <v>437400</v>
      </c>
      <c r="AB394" s="466"/>
      <c r="AC394" s="497">
        <v>437400</v>
      </c>
      <c r="AD394" s="498">
        <f>IF(Complete[[#This Row],[Procurement Project]]="","",SUM(Complete[[#This Row],[MOOE2]]+Complete[[#This Row],[CO3]]))</f>
        <v>436995</v>
      </c>
      <c r="AE394" s="501"/>
      <c r="AF394" s="541">
        <v>436995</v>
      </c>
      <c r="AG394" s="400"/>
      <c r="AH394" s="380" t="s">
        <v>1205</v>
      </c>
      <c r="AI394" s="576" t="str">
        <f>VLOOKUP(Complete[[#This Row],[Code
(PAP)]],[1]Sheet1!$A:$AO,35,FALSE)</f>
        <v>N/A</v>
      </c>
      <c r="AJ394" s="576">
        <f>VLOOKUP(Complete[[#This Row],[Code
(PAP)]],[1]Sheet1!$A:$AO,36,FALSE)</f>
        <v>45383</v>
      </c>
      <c r="AK394" s="576">
        <f>VLOOKUP(Complete[[#This Row],[Code
(PAP)]],[1]Sheet1!$A:$AO,37,FALSE)</f>
        <v>45383</v>
      </c>
      <c r="AL394" s="576">
        <f>VLOOKUP(Complete[[#This Row],[Code
(PAP)]],[1]Sheet1!$A:$AO,38,FALSE)</f>
        <v>45383</v>
      </c>
      <c r="AM394" s="576">
        <f>VLOOKUP(Complete[[#This Row],[Code
(PAP)]],[1]Sheet1!$A:$AO,38,FALSE)</f>
        <v>45383</v>
      </c>
      <c r="AN394" s="595" t="s">
        <v>713</v>
      </c>
      <c r="AO394" s="303" t="s">
        <v>139</v>
      </c>
      <c r="AP394" s="389"/>
      <c r="AQ394" s="389"/>
    </row>
    <row r="395" spans="1:43" s="224" customFormat="1" ht="75" customHeight="1" x14ac:dyDescent="0.25">
      <c r="A395" s="385" t="s">
        <v>573</v>
      </c>
      <c r="B395" s="406" t="str">
        <f>VLOOKUP(Complete[[#This Row],[Code
(PAP)]],[1]Sheet1!$A:$AO,2,FALSE)</f>
        <v>OFFICE SUPPLIES</v>
      </c>
      <c r="C395" s="408" t="str">
        <f>VLOOKUP(Complete[[#This Row],[Code
(PAP)]],[1]Sheet1!$A:$AO,3,FALSE)</f>
        <v>PASSO</v>
      </c>
      <c r="D395" s="380" t="s">
        <v>712</v>
      </c>
      <c r="E395" s="409" t="str">
        <f>VLOOKUP(Complete[[#This Row],[Code
(PAP)]],[2]Sheet1!$A:$AO,5,FALSE)</f>
        <v>Competitive Bidding</v>
      </c>
      <c r="F395" s="393" t="str">
        <f>VLOOKUP(Complete[[#This Row],[Code
(PAP)]],[1]Sheet1!$A:$AO,6,FALSE)</f>
        <v>N/A</v>
      </c>
      <c r="G395" s="393">
        <f>VLOOKUP(Complete[[#This Row],[Code
(PAP)]],[1]Sheet1!$A:$AO,7,FALSE)</f>
        <v>45376</v>
      </c>
      <c r="H395" s="374"/>
      <c r="I395" s="394" t="str">
        <f>VLOOKUP(Complete[[#This Row],[Code
(PAP)]],[1]Sheet1!$A:$AO,9,FALSE)</f>
        <v>N/A</v>
      </c>
      <c r="J395" s="393">
        <f>VLOOKUP(Complete[[#This Row],[Code
(PAP)]],[1]Sheet1!$A:$AO,10,FALSE)</f>
        <v>45384</v>
      </c>
      <c r="K395" s="393">
        <f>VLOOKUP(Complete[[#This Row],[Code
(PAP)]],[1]Sheet1!$A:$AO,11,FALSE)</f>
        <v>45384</v>
      </c>
      <c r="L395" s="387"/>
      <c r="M395" s="393">
        <f>VLOOKUP(Complete[[#This Row],[Code
(PAP)]],[1]Sheet1!$A:$AO,13,FALSE)</f>
        <v>45384</v>
      </c>
      <c r="N395" s="393">
        <f>VLOOKUP(Complete[[#This Row],[Code
(PAP)]],[1]Sheet1!$A:$AO,14,FALSE)</f>
        <v>45405</v>
      </c>
      <c r="O395" s="393">
        <f>VLOOKUP(Complete[[#This Row],[Code
(PAP)]],[1]Sheet1!$A:$AO,15,FALSE)</f>
        <v>45411</v>
      </c>
      <c r="P395" s="387"/>
      <c r="Q395" s="387"/>
      <c r="R395" s="387"/>
      <c r="S395" s="576">
        <v>45420</v>
      </c>
      <c r="T395" s="576">
        <f>VLOOKUP(Complete[[#This Row],[Code
(PAP)]],[1]Sheet1!$A:$AO,20,FALSE)</f>
        <v>45425</v>
      </c>
      <c r="U395" s="576">
        <f>VLOOKUP(Complete[[#This Row],[Code
(PAP)]],[1]Sheet1!$A:$AO,21,FALSE)</f>
        <v>45433</v>
      </c>
      <c r="V395" s="387"/>
      <c r="W395" s="387"/>
      <c r="X395" s="392">
        <f>VLOOKUP(Complete[[#This Row],[Code
(PAP)]],[1]Sheet1!$A:$AO,24,FALSE)</f>
        <v>45454</v>
      </c>
      <c r="Y395" s="392">
        <f>Complete[[#This Row],[Delivery/ Completion]]</f>
        <v>45454</v>
      </c>
      <c r="Z395" s="610" t="s">
        <v>1478</v>
      </c>
      <c r="AA395" s="462">
        <f>Complete[[#This Row],[MOOE]]+Complete[[#This Row],[CO]]</f>
        <v>375571</v>
      </c>
      <c r="AB395" s="466"/>
      <c r="AC395" s="497">
        <v>375571</v>
      </c>
      <c r="AD395" s="498">
        <f>IF(Complete[[#This Row],[Procurement Project]]="","",SUM(Complete[[#This Row],[MOOE2]]+Complete[[#This Row],[CO3]]))</f>
        <v>371631</v>
      </c>
      <c r="AE395" s="501"/>
      <c r="AF395" s="541">
        <v>371631</v>
      </c>
      <c r="AG395" s="400"/>
      <c r="AH395" s="380" t="s">
        <v>1205</v>
      </c>
      <c r="AI395" s="576" t="str">
        <f>VLOOKUP(Complete[[#This Row],[Code
(PAP)]],[1]Sheet1!$A:$AO,35,FALSE)</f>
        <v>N/A</v>
      </c>
      <c r="AJ395" s="576">
        <f>VLOOKUP(Complete[[#This Row],[Code
(PAP)]],[1]Sheet1!$A:$AO,36,FALSE)</f>
        <v>45383</v>
      </c>
      <c r="AK395" s="576">
        <f>VLOOKUP(Complete[[#This Row],[Code
(PAP)]],[1]Sheet1!$A:$AO,37,FALSE)</f>
        <v>45383</v>
      </c>
      <c r="AL395" s="576">
        <f>VLOOKUP(Complete[[#This Row],[Code
(PAP)]],[1]Sheet1!$A:$AO,38,FALSE)</f>
        <v>45383</v>
      </c>
      <c r="AM395" s="576">
        <f>VLOOKUP(Complete[[#This Row],[Code
(PAP)]],[1]Sheet1!$A:$AO,38,FALSE)</f>
        <v>45383</v>
      </c>
      <c r="AN395" s="595" t="s">
        <v>713</v>
      </c>
      <c r="AO395" s="303" t="s">
        <v>139</v>
      </c>
      <c r="AP395" s="389"/>
      <c r="AQ395" s="389"/>
    </row>
    <row r="396" spans="1:43" s="224" customFormat="1" ht="75" customHeight="1" x14ac:dyDescent="0.25">
      <c r="A396" s="385" t="s">
        <v>574</v>
      </c>
      <c r="B396" s="406" t="str">
        <f>VLOOKUP(Complete[[#This Row],[Code
(PAP)]],[1]Sheet1!$A:$AO,2,FALSE)</f>
        <v>MOLY BEARING GREASE</v>
      </c>
      <c r="C396" s="408" t="str">
        <f>VLOOKUP(Complete[[#This Row],[Code
(PAP)]],[1]Sheet1!$A:$AO,3,FALSE)</f>
        <v>PEO</v>
      </c>
      <c r="D396" s="380" t="s">
        <v>712</v>
      </c>
      <c r="E396" s="409" t="str">
        <f>VLOOKUP(Complete[[#This Row],[Code
(PAP)]],[2]Sheet1!$A:$AO,5,FALSE)</f>
        <v>Competitive Bidding</v>
      </c>
      <c r="F396" s="393" t="str">
        <f>VLOOKUP(Complete[[#This Row],[Code
(PAP)]],[1]Sheet1!$A:$AO,6,FALSE)</f>
        <v>N/A</v>
      </c>
      <c r="G396" s="393">
        <f>VLOOKUP(Complete[[#This Row],[Code
(PAP)]],[1]Sheet1!$A:$AO,7,FALSE)</f>
        <v>45376</v>
      </c>
      <c r="H396" s="374"/>
      <c r="I396" s="394" t="str">
        <f>VLOOKUP(Complete[[#This Row],[Code
(PAP)]],[1]Sheet1!$A:$AO,9,FALSE)</f>
        <v>N/A</v>
      </c>
      <c r="J396" s="393">
        <f>VLOOKUP(Complete[[#This Row],[Code
(PAP)]],[1]Sheet1!$A:$AO,10,FALSE)</f>
        <v>45384</v>
      </c>
      <c r="K396" s="393">
        <f>VLOOKUP(Complete[[#This Row],[Code
(PAP)]],[1]Sheet1!$A:$AO,11,FALSE)</f>
        <v>45384</v>
      </c>
      <c r="L396" s="387"/>
      <c r="M396" s="393">
        <f>VLOOKUP(Complete[[#This Row],[Code
(PAP)]],[1]Sheet1!$A:$AO,13,FALSE)</f>
        <v>45384</v>
      </c>
      <c r="N396" s="393">
        <f>VLOOKUP(Complete[[#This Row],[Code
(PAP)]],[1]Sheet1!$A:$AO,14,FALSE)</f>
        <v>45406</v>
      </c>
      <c r="O396" s="393">
        <f>VLOOKUP(Complete[[#This Row],[Code
(PAP)]],[1]Sheet1!$A:$AO,15,FALSE)</f>
        <v>45411</v>
      </c>
      <c r="P396" s="387"/>
      <c r="Q396" s="387"/>
      <c r="R396" s="387"/>
      <c r="S396" s="576">
        <v>45421</v>
      </c>
      <c r="T396" s="576">
        <f>VLOOKUP(Complete[[#This Row],[Code
(PAP)]],[1]Sheet1!$A:$AO,20,FALSE)</f>
        <v>45429</v>
      </c>
      <c r="U396" s="576">
        <f>VLOOKUP(Complete[[#This Row],[Code
(PAP)]],[1]Sheet1!$A:$AO,21,FALSE)</f>
        <v>45434</v>
      </c>
      <c r="V396" s="387"/>
      <c r="W396" s="387"/>
      <c r="X396" s="392">
        <f>VLOOKUP(Complete[[#This Row],[Code
(PAP)]],[1]Sheet1!$A:$AO,24,FALSE)</f>
        <v>45435</v>
      </c>
      <c r="Y396" s="392">
        <f>Complete[[#This Row],[Delivery/ Completion]]</f>
        <v>45435</v>
      </c>
      <c r="Z396" s="610" t="s">
        <v>1478</v>
      </c>
      <c r="AA396" s="462">
        <f>Complete[[#This Row],[MOOE]]+Complete[[#This Row],[CO]]</f>
        <v>346800</v>
      </c>
      <c r="AB396" s="466">
        <v>346800</v>
      </c>
      <c r="AC396" s="497"/>
      <c r="AD396" s="498">
        <f>IF(Complete[[#This Row],[Procurement Project]]="","",SUM(Complete[[#This Row],[MOOE2]]+Complete[[#This Row],[CO3]]))</f>
        <v>346104</v>
      </c>
      <c r="AE396" s="501">
        <v>346104</v>
      </c>
      <c r="AF396" s="541"/>
      <c r="AG396" s="400"/>
      <c r="AH396" s="380" t="s">
        <v>1205</v>
      </c>
      <c r="AI396" s="576" t="str">
        <f>VLOOKUP(Complete[[#This Row],[Code
(PAP)]],[1]Sheet1!$A:$AO,35,FALSE)</f>
        <v>N/A</v>
      </c>
      <c r="AJ396" s="576">
        <f>VLOOKUP(Complete[[#This Row],[Code
(PAP)]],[1]Sheet1!$A:$AO,36,FALSE)</f>
        <v>45383</v>
      </c>
      <c r="AK396" s="576">
        <f>VLOOKUP(Complete[[#This Row],[Code
(PAP)]],[1]Sheet1!$A:$AO,37,FALSE)</f>
        <v>45383</v>
      </c>
      <c r="AL396" s="576">
        <f>VLOOKUP(Complete[[#This Row],[Code
(PAP)]],[1]Sheet1!$A:$AO,38,FALSE)</f>
        <v>45383</v>
      </c>
      <c r="AM396" s="576">
        <f>VLOOKUP(Complete[[#This Row],[Code
(PAP)]],[1]Sheet1!$A:$AO,38,FALSE)</f>
        <v>45383</v>
      </c>
      <c r="AN396" s="595" t="s">
        <v>713</v>
      </c>
      <c r="AO396" s="303" t="s">
        <v>139</v>
      </c>
      <c r="AP396" s="389"/>
      <c r="AQ396" s="389"/>
    </row>
    <row r="397" spans="1:43" s="224" customFormat="1" ht="75" customHeight="1" x14ac:dyDescent="0.25">
      <c r="A397" s="385" t="s">
        <v>575</v>
      </c>
      <c r="B397" s="406" t="str">
        <f>VLOOKUP(Complete[[#This Row],[Code
(PAP)]],[1]Sheet1!$A:$AO,2,FALSE)</f>
        <v>OFFICE SUPPLIES</v>
      </c>
      <c r="C397" s="408" t="str">
        <f>VLOOKUP(Complete[[#This Row],[Code
(PAP)]],[1]Sheet1!$A:$AO,3,FALSE)</f>
        <v>PENRO</v>
      </c>
      <c r="D397" s="380" t="s">
        <v>712</v>
      </c>
      <c r="E397" s="409" t="str">
        <f>VLOOKUP(Complete[[#This Row],[Code
(PAP)]],[2]Sheet1!$A:$AO,5,FALSE)</f>
        <v>Shopping 52.1(b) - Regular Office Supplies and Equipment no available in PS</v>
      </c>
      <c r="F397" s="393" t="str">
        <f>VLOOKUP(Complete[[#This Row],[Code
(PAP)]],[1]Sheet1!$A:$AO,6,FALSE)</f>
        <v>N/A</v>
      </c>
      <c r="G397" s="393">
        <f>VLOOKUP(Complete[[#This Row],[Code
(PAP)]],[1]Sheet1!$A:$AO,7,FALSE)</f>
        <v>45384</v>
      </c>
      <c r="H397" s="374"/>
      <c r="I397" s="394" t="str">
        <f>VLOOKUP(Complete[[#This Row],[Code
(PAP)]],[1]Sheet1!$A:$AO,9,FALSE)</f>
        <v>N/A</v>
      </c>
      <c r="J397" s="393">
        <f>VLOOKUP(Complete[[#This Row],[Code
(PAP)]],[1]Sheet1!$A:$AO,10,FALSE)</f>
        <v>45407</v>
      </c>
      <c r="K397" s="393">
        <f>VLOOKUP(Complete[[#This Row],[Code
(PAP)]],[1]Sheet1!$A:$AO,11,FALSE)</f>
        <v>45407</v>
      </c>
      <c r="L397" s="387"/>
      <c r="M397" s="393" t="str">
        <f>VLOOKUP(Complete[[#This Row],[Code
(PAP)]],[1]Sheet1!$A:$AO,13,FALSE)</f>
        <v>N/A</v>
      </c>
      <c r="N397" s="393" t="str">
        <f>VLOOKUP(Complete[[#This Row],[Code
(PAP)]],[1]Sheet1!$A:$AO,14,FALSE)</f>
        <v>N/A</v>
      </c>
      <c r="O397" s="393">
        <f>VLOOKUP(Complete[[#This Row],[Code
(PAP)]],[1]Sheet1!$A:$AO,15,FALSE)</f>
        <v>45411</v>
      </c>
      <c r="P397" s="387"/>
      <c r="Q397" s="387"/>
      <c r="R397" s="387"/>
      <c r="S397" s="576">
        <v>45418</v>
      </c>
      <c r="T397" s="576">
        <f>VLOOKUP(Complete[[#This Row],[Code
(PAP)]],[1]Sheet1!$A:$AO,20,FALSE)</f>
        <v>45425</v>
      </c>
      <c r="U397" s="576">
        <f>VLOOKUP(Complete[[#This Row],[Code
(PAP)]],[1]Sheet1!$A:$AO,21,FALSE)</f>
        <v>45434</v>
      </c>
      <c r="V397" s="387"/>
      <c r="W397" s="387"/>
      <c r="X397" s="392">
        <f>VLOOKUP(Complete[[#This Row],[Code
(PAP)]],[1]Sheet1!$A:$AO,24,FALSE)</f>
        <v>45450</v>
      </c>
      <c r="Y397" s="392">
        <f>Complete[[#This Row],[Delivery/ Completion]]</f>
        <v>45450</v>
      </c>
      <c r="Z397" s="610" t="s">
        <v>1478</v>
      </c>
      <c r="AA397" s="462">
        <f>Complete[[#This Row],[MOOE]]+Complete[[#This Row],[CO]]</f>
        <v>128635</v>
      </c>
      <c r="AB397" s="466"/>
      <c r="AC397" s="497">
        <v>128635</v>
      </c>
      <c r="AD397" s="498">
        <f>IF(Complete[[#This Row],[Procurement Project]]="","",SUM(Complete[[#This Row],[MOOE2]]+Complete[[#This Row],[CO3]]))</f>
        <v>127596</v>
      </c>
      <c r="AE397" s="501"/>
      <c r="AF397" s="541">
        <v>127596</v>
      </c>
      <c r="AG397" s="400"/>
      <c r="AH397" s="380" t="s">
        <v>1205</v>
      </c>
      <c r="AI397" s="576" t="str">
        <f>VLOOKUP(Complete[[#This Row],[Code
(PAP)]],[1]Sheet1!$A:$AO,35,FALSE)</f>
        <v>N/A</v>
      </c>
      <c r="AJ397" s="576" t="str">
        <f>VLOOKUP(Complete[[#This Row],[Code
(PAP)]],[1]Sheet1!$A:$AO,36,FALSE)</f>
        <v>N/A</v>
      </c>
      <c r="AK397" s="576" t="str">
        <f>VLOOKUP(Complete[[#This Row],[Code
(PAP)]],[1]Sheet1!$A:$AO,37,FALSE)</f>
        <v>N/A</v>
      </c>
      <c r="AL397" s="576" t="str">
        <f>VLOOKUP(Complete[[#This Row],[Code
(PAP)]],[1]Sheet1!$A:$AO,38,FALSE)</f>
        <v>N/A</v>
      </c>
      <c r="AM397" s="576" t="str">
        <f>VLOOKUP(Complete[[#This Row],[Code
(PAP)]],[1]Sheet1!$A:$AO,38,FALSE)</f>
        <v>N/A</v>
      </c>
      <c r="AN397" s="595" t="s">
        <v>713</v>
      </c>
      <c r="AO397" s="303" t="s">
        <v>139</v>
      </c>
      <c r="AP397" s="389"/>
      <c r="AQ397" s="389"/>
    </row>
    <row r="398" spans="1:43" s="224" customFormat="1" ht="75" customHeight="1" x14ac:dyDescent="0.25">
      <c r="A398" s="385" t="s">
        <v>576</v>
      </c>
      <c r="B398" s="406" t="str">
        <f>VLOOKUP(Complete[[#This Row],[Code
(PAP)]],[1]Sheet1!$A:$AO,2,FALSE)</f>
        <v>OFFICE SUPPLIES</v>
      </c>
      <c r="C398" s="408" t="str">
        <f>VLOOKUP(Complete[[#This Row],[Code
(PAP)]],[1]Sheet1!$A:$AO,3,FALSE)</f>
        <v>PGO</v>
      </c>
      <c r="D398" s="380" t="s">
        <v>712</v>
      </c>
      <c r="E398" s="409" t="str">
        <f>VLOOKUP(Complete[[#This Row],[Code
(PAP)]],[2]Sheet1!$A:$AO,5,FALSE)</f>
        <v>Shopping 52.1(b) - Regular Office Supplies and Equipment no available in PS</v>
      </c>
      <c r="F398" s="393" t="str">
        <f>VLOOKUP(Complete[[#This Row],[Code
(PAP)]],[1]Sheet1!$A:$AO,6,FALSE)</f>
        <v>N/A</v>
      </c>
      <c r="G398" s="393">
        <f>VLOOKUP(Complete[[#This Row],[Code
(PAP)]],[1]Sheet1!$A:$AO,7,FALSE)</f>
        <v>45384</v>
      </c>
      <c r="H398" s="374"/>
      <c r="I398" s="394" t="str">
        <f>VLOOKUP(Complete[[#This Row],[Code
(PAP)]],[1]Sheet1!$A:$AO,9,FALSE)</f>
        <v>N/A</v>
      </c>
      <c r="J398" s="393">
        <f>VLOOKUP(Complete[[#This Row],[Code
(PAP)]],[1]Sheet1!$A:$AO,10,FALSE)</f>
        <v>45407</v>
      </c>
      <c r="K398" s="393">
        <f>VLOOKUP(Complete[[#This Row],[Code
(PAP)]],[1]Sheet1!$A:$AO,11,FALSE)</f>
        <v>45407</v>
      </c>
      <c r="L398" s="387"/>
      <c r="M398" s="393" t="str">
        <f>VLOOKUP(Complete[[#This Row],[Code
(PAP)]],[1]Sheet1!$A:$AO,13,FALSE)</f>
        <v>N/A</v>
      </c>
      <c r="N398" s="393" t="str">
        <f>VLOOKUP(Complete[[#This Row],[Code
(PAP)]],[1]Sheet1!$A:$AO,14,FALSE)</f>
        <v>N/A</v>
      </c>
      <c r="O398" s="393">
        <f>VLOOKUP(Complete[[#This Row],[Code
(PAP)]],[1]Sheet1!$A:$AO,15,FALSE)</f>
        <v>45411</v>
      </c>
      <c r="P398" s="387"/>
      <c r="Q398" s="387"/>
      <c r="R398" s="387"/>
      <c r="S398" s="576" t="s">
        <v>713</v>
      </c>
      <c r="T398" s="576">
        <f>VLOOKUP(Complete[[#This Row],[Code
(PAP)]],[1]Sheet1!$A:$AO,20,FALSE)</f>
        <v>45427</v>
      </c>
      <c r="U398" s="576">
        <f>VLOOKUP(Complete[[#This Row],[Code
(PAP)]],[1]Sheet1!$A:$AO,21,FALSE)</f>
        <v>45433</v>
      </c>
      <c r="V398" s="387"/>
      <c r="W398" s="387"/>
      <c r="X398" s="392">
        <f>VLOOKUP(Complete[[#This Row],[Code
(PAP)]],[1]Sheet1!$A:$AO,24,FALSE)</f>
        <v>45439</v>
      </c>
      <c r="Y398" s="392">
        <f>Complete[[#This Row],[Delivery/ Completion]]</f>
        <v>45439</v>
      </c>
      <c r="Z398" s="610" t="s">
        <v>1478</v>
      </c>
      <c r="AA398" s="462">
        <f>Complete[[#This Row],[MOOE]]+Complete[[#This Row],[CO]]</f>
        <v>1980</v>
      </c>
      <c r="AB398" s="466"/>
      <c r="AC398" s="497">
        <v>1980</v>
      </c>
      <c r="AD398" s="498">
        <f>IF(Complete[[#This Row],[Procurement Project]]="","",SUM(Complete[[#This Row],[MOOE2]]+Complete[[#This Row],[CO3]]))</f>
        <v>1950</v>
      </c>
      <c r="AE398" s="501"/>
      <c r="AF398" s="541">
        <v>1950</v>
      </c>
      <c r="AG398" s="400"/>
      <c r="AH398" s="380" t="s">
        <v>1205</v>
      </c>
      <c r="AI398" s="576" t="str">
        <f>VLOOKUP(Complete[[#This Row],[Code
(PAP)]],[1]Sheet1!$A:$AO,35,FALSE)</f>
        <v>N/A</v>
      </c>
      <c r="AJ398" s="576" t="str">
        <f>VLOOKUP(Complete[[#This Row],[Code
(PAP)]],[1]Sheet1!$A:$AO,36,FALSE)</f>
        <v>N/A</v>
      </c>
      <c r="AK398" s="576" t="str">
        <f>VLOOKUP(Complete[[#This Row],[Code
(PAP)]],[1]Sheet1!$A:$AO,37,FALSE)</f>
        <v>N/A</v>
      </c>
      <c r="AL398" s="576" t="str">
        <f>VLOOKUP(Complete[[#This Row],[Code
(PAP)]],[1]Sheet1!$A:$AO,38,FALSE)</f>
        <v>N/A</v>
      </c>
      <c r="AM398" s="576" t="str">
        <f>VLOOKUP(Complete[[#This Row],[Code
(PAP)]],[1]Sheet1!$A:$AO,38,FALSE)</f>
        <v>N/A</v>
      </c>
      <c r="AN398" s="595" t="s">
        <v>713</v>
      </c>
      <c r="AO398" s="303" t="s">
        <v>139</v>
      </c>
      <c r="AP398" s="389"/>
      <c r="AQ398" s="389"/>
    </row>
    <row r="399" spans="1:43" s="224" customFormat="1" ht="75" customHeight="1" x14ac:dyDescent="0.25">
      <c r="A399" s="385" t="s">
        <v>577</v>
      </c>
      <c r="B399" s="406" t="str">
        <f>VLOOKUP(Complete[[#This Row],[Code
(PAP)]],[1]Sheet1!$A:$AO,2,FALSE)</f>
        <v>OFFICE SUPPLIES</v>
      </c>
      <c r="C399" s="408" t="str">
        <f>VLOOKUP(Complete[[#This Row],[Code
(PAP)]],[1]Sheet1!$A:$AO,3,FALSE)</f>
        <v>SPO</v>
      </c>
      <c r="D399" s="380" t="s">
        <v>712</v>
      </c>
      <c r="E399" s="409" t="str">
        <f>VLOOKUP(Complete[[#This Row],[Code
(PAP)]],[2]Sheet1!$A:$AO,5,FALSE)</f>
        <v>Shopping 52.1(b) - Regular Office Supplies and Equipment no available in PS</v>
      </c>
      <c r="F399" s="393" t="str">
        <f>VLOOKUP(Complete[[#This Row],[Code
(PAP)]],[1]Sheet1!$A:$AO,6,FALSE)</f>
        <v>N/A</v>
      </c>
      <c r="G399" s="393">
        <f>VLOOKUP(Complete[[#This Row],[Code
(PAP)]],[1]Sheet1!$A:$AO,7,FALSE)</f>
        <v>45376</v>
      </c>
      <c r="H399" s="374"/>
      <c r="I399" s="394" t="str">
        <f>VLOOKUP(Complete[[#This Row],[Code
(PAP)]],[1]Sheet1!$A:$AO,9,FALSE)</f>
        <v>N/A</v>
      </c>
      <c r="J399" s="393">
        <f>VLOOKUP(Complete[[#This Row],[Code
(PAP)]],[1]Sheet1!$A:$AO,10,FALSE)</f>
        <v>45407</v>
      </c>
      <c r="K399" s="393">
        <f>VLOOKUP(Complete[[#This Row],[Code
(PAP)]],[1]Sheet1!$A:$AO,11,FALSE)</f>
        <v>45407</v>
      </c>
      <c r="L399" s="387"/>
      <c r="M399" s="393" t="str">
        <f>VLOOKUP(Complete[[#This Row],[Code
(PAP)]],[1]Sheet1!$A:$AO,13,FALSE)</f>
        <v>N/A</v>
      </c>
      <c r="N399" s="393" t="str">
        <f>VLOOKUP(Complete[[#This Row],[Code
(PAP)]],[1]Sheet1!$A:$AO,14,FALSE)</f>
        <v>N/A</v>
      </c>
      <c r="O399" s="393">
        <f>VLOOKUP(Complete[[#This Row],[Code
(PAP)]],[1]Sheet1!$A:$AO,15,FALSE)</f>
        <v>45411</v>
      </c>
      <c r="P399" s="387"/>
      <c r="Q399" s="387"/>
      <c r="R399" s="387"/>
      <c r="S399" s="576" t="s">
        <v>713</v>
      </c>
      <c r="T399" s="576">
        <f>VLOOKUP(Complete[[#This Row],[Code
(PAP)]],[1]Sheet1!$A:$AO,20,FALSE)</f>
        <v>45449</v>
      </c>
      <c r="U399" s="576">
        <f>VLOOKUP(Complete[[#This Row],[Code
(PAP)]],[1]Sheet1!$A:$AO,21,FALSE)</f>
        <v>45454</v>
      </c>
      <c r="V399" s="387"/>
      <c r="W399" s="387"/>
      <c r="X399" s="392">
        <f>VLOOKUP(Complete[[#This Row],[Code
(PAP)]],[1]Sheet1!$A:$AO,24,FALSE)</f>
        <v>45464</v>
      </c>
      <c r="Y399" s="392">
        <f>Complete[[#This Row],[Delivery/ Completion]]</f>
        <v>45464</v>
      </c>
      <c r="Z399" s="610" t="s">
        <v>1478</v>
      </c>
      <c r="AA399" s="462">
        <f>Complete[[#This Row],[MOOE]]+Complete[[#This Row],[CO]]</f>
        <v>49648</v>
      </c>
      <c r="AB399" s="466">
        <v>49648</v>
      </c>
      <c r="AC399" s="497"/>
      <c r="AD399" s="498">
        <f>IF(Complete[[#This Row],[Procurement Project]]="","",SUM(Complete[[#This Row],[MOOE2]]+Complete[[#This Row],[CO3]]))</f>
        <v>49483</v>
      </c>
      <c r="AE399" s="501">
        <v>49483</v>
      </c>
      <c r="AF399" s="541"/>
      <c r="AG399" s="400"/>
      <c r="AH399" s="380" t="s">
        <v>1205</v>
      </c>
      <c r="AI399" s="576" t="str">
        <f>VLOOKUP(Complete[[#This Row],[Code
(PAP)]],[1]Sheet1!$A:$AO,35,FALSE)</f>
        <v>N/A</v>
      </c>
      <c r="AJ399" s="576" t="str">
        <f>VLOOKUP(Complete[[#This Row],[Code
(PAP)]],[1]Sheet1!$A:$AO,36,FALSE)</f>
        <v>N/A</v>
      </c>
      <c r="AK399" s="576" t="str">
        <f>VLOOKUP(Complete[[#This Row],[Code
(PAP)]],[1]Sheet1!$A:$AO,37,FALSE)</f>
        <v>N/A</v>
      </c>
      <c r="AL399" s="576" t="str">
        <f>VLOOKUP(Complete[[#This Row],[Code
(PAP)]],[1]Sheet1!$A:$AO,38,FALSE)</f>
        <v>N/A</v>
      </c>
      <c r="AM399" s="576" t="str">
        <f>VLOOKUP(Complete[[#This Row],[Code
(PAP)]],[1]Sheet1!$A:$AO,38,FALSE)</f>
        <v>N/A</v>
      </c>
      <c r="AN399" s="595" t="s">
        <v>713</v>
      </c>
      <c r="AO399" s="303" t="s">
        <v>139</v>
      </c>
      <c r="AP399" s="389"/>
      <c r="AQ399" s="389"/>
    </row>
    <row r="400" spans="1:43" s="224" customFormat="1" ht="75" customHeight="1" x14ac:dyDescent="0.25">
      <c r="A400" s="385" t="s">
        <v>578</v>
      </c>
      <c r="B400" s="406" t="str">
        <f>VLOOKUP(Complete[[#This Row],[Code
(PAP)]],[1]Sheet1!$A:$AO,2,FALSE)</f>
        <v>OFFICE SUPPLIES</v>
      </c>
      <c r="C400" s="408" t="str">
        <f>VLOOKUP(Complete[[#This Row],[Code
(PAP)]],[1]Sheet1!$A:$AO,3,FALSE)</f>
        <v>PVO</v>
      </c>
      <c r="D400" s="380" t="s">
        <v>712</v>
      </c>
      <c r="E400" s="409" t="str">
        <f>VLOOKUP(Complete[[#This Row],[Code
(PAP)]],[2]Sheet1!$A:$AO,5,FALSE)</f>
        <v>Shopping 52.1(b) - Regular Office Supplies and Equipment no available in PS</v>
      </c>
      <c r="F400" s="393" t="str">
        <f>VLOOKUP(Complete[[#This Row],[Code
(PAP)]],[1]Sheet1!$A:$AO,6,FALSE)</f>
        <v>N/A</v>
      </c>
      <c r="G400" s="393">
        <f>VLOOKUP(Complete[[#This Row],[Code
(PAP)]],[1]Sheet1!$A:$AO,7,FALSE)</f>
        <v>45385</v>
      </c>
      <c r="H400" s="374"/>
      <c r="I400" s="394" t="str">
        <f>VLOOKUP(Complete[[#This Row],[Code
(PAP)]],[1]Sheet1!$A:$AO,9,FALSE)</f>
        <v>N/A</v>
      </c>
      <c r="J400" s="393">
        <f>VLOOKUP(Complete[[#This Row],[Code
(PAP)]],[1]Sheet1!$A:$AO,10,FALSE)</f>
        <v>45407</v>
      </c>
      <c r="K400" s="393">
        <f>VLOOKUP(Complete[[#This Row],[Code
(PAP)]],[1]Sheet1!$A:$AO,11,FALSE)</f>
        <v>45407</v>
      </c>
      <c r="L400" s="387"/>
      <c r="M400" s="393" t="str">
        <f>VLOOKUP(Complete[[#This Row],[Code
(PAP)]],[1]Sheet1!$A:$AO,13,FALSE)</f>
        <v>N/A</v>
      </c>
      <c r="N400" s="393" t="str">
        <f>VLOOKUP(Complete[[#This Row],[Code
(PAP)]],[1]Sheet1!$A:$AO,14,FALSE)</f>
        <v>N/A</v>
      </c>
      <c r="O400" s="393">
        <f>VLOOKUP(Complete[[#This Row],[Code
(PAP)]],[1]Sheet1!$A:$AO,15,FALSE)</f>
        <v>45411</v>
      </c>
      <c r="P400" s="387"/>
      <c r="Q400" s="387"/>
      <c r="R400" s="387"/>
      <c r="S400" s="576">
        <v>45419</v>
      </c>
      <c r="T400" s="576">
        <f>VLOOKUP(Complete[[#This Row],[Code
(PAP)]],[1]Sheet1!$A:$AO,20,FALSE)</f>
        <v>45432</v>
      </c>
      <c r="U400" s="576">
        <f>VLOOKUP(Complete[[#This Row],[Code
(PAP)]],[1]Sheet1!$A:$AO,21,FALSE)</f>
        <v>45436</v>
      </c>
      <c r="V400" s="387"/>
      <c r="W400" s="387"/>
      <c r="X400" s="392">
        <f>VLOOKUP(Complete[[#This Row],[Code
(PAP)]],[1]Sheet1!$A:$AO,24,FALSE)</f>
        <v>45464</v>
      </c>
      <c r="Y400" s="392">
        <f>Complete[[#This Row],[Delivery/ Completion]]</f>
        <v>45464</v>
      </c>
      <c r="Z400" s="610" t="s">
        <v>1478</v>
      </c>
      <c r="AA400" s="462">
        <f>Complete[[#This Row],[MOOE]]+Complete[[#This Row],[CO]]</f>
        <v>99064</v>
      </c>
      <c r="AB400" s="466">
        <v>99064</v>
      </c>
      <c r="AC400" s="497"/>
      <c r="AD400" s="498">
        <f>IF(Complete[[#This Row],[Procurement Project]]="","",SUM(Complete[[#This Row],[MOOE2]]+Complete[[#This Row],[CO3]]))</f>
        <v>98676.5</v>
      </c>
      <c r="AE400" s="501">
        <v>98676.5</v>
      </c>
      <c r="AF400" s="541"/>
      <c r="AG400" s="400"/>
      <c r="AH400" s="380" t="s">
        <v>1205</v>
      </c>
      <c r="AI400" s="576" t="str">
        <f>VLOOKUP(Complete[[#This Row],[Code
(PAP)]],[1]Sheet1!$A:$AO,35,FALSE)</f>
        <v>N/A</v>
      </c>
      <c r="AJ400" s="576" t="str">
        <f>VLOOKUP(Complete[[#This Row],[Code
(PAP)]],[1]Sheet1!$A:$AO,36,FALSE)</f>
        <v>N/A</v>
      </c>
      <c r="AK400" s="576" t="str">
        <f>VLOOKUP(Complete[[#This Row],[Code
(PAP)]],[1]Sheet1!$A:$AO,37,FALSE)</f>
        <v>N/A</v>
      </c>
      <c r="AL400" s="576" t="str">
        <f>VLOOKUP(Complete[[#This Row],[Code
(PAP)]],[1]Sheet1!$A:$AO,38,FALSE)</f>
        <v>N/A</v>
      </c>
      <c r="AM400" s="576" t="str">
        <f>VLOOKUP(Complete[[#This Row],[Code
(PAP)]],[1]Sheet1!$A:$AO,38,FALSE)</f>
        <v>N/A</v>
      </c>
      <c r="AN400" s="595" t="s">
        <v>713</v>
      </c>
      <c r="AO400" s="303" t="s">
        <v>139</v>
      </c>
      <c r="AP400" s="389"/>
      <c r="AQ400" s="389"/>
    </row>
    <row r="401" spans="1:43" s="224" customFormat="1" ht="75" customHeight="1" x14ac:dyDescent="0.25">
      <c r="A401" s="385" t="s">
        <v>579</v>
      </c>
      <c r="B401" s="406" t="str">
        <f>VLOOKUP(Complete[[#This Row],[Code
(PAP)]],[1]Sheet1!$A:$AO,2,FALSE)</f>
        <v>OFFICE SUPPLIES</v>
      </c>
      <c r="C401" s="408" t="str">
        <f>VLOOKUP(Complete[[#This Row],[Code
(PAP)]],[1]Sheet1!$A:$AO,3,FALSE)</f>
        <v>PHRMDO</v>
      </c>
      <c r="D401" s="380" t="s">
        <v>712</v>
      </c>
      <c r="E401" s="409" t="str">
        <f>VLOOKUP(Complete[[#This Row],[Code
(PAP)]],[2]Sheet1!$A:$AO,5,FALSE)</f>
        <v>Shopping 52.1(b) - Regular Office Supplies and Equipment no available in PS</v>
      </c>
      <c r="F401" s="393">
        <f>VLOOKUP(Complete[[#This Row],[Code
(PAP)]],[1]Sheet1!$A:$AO,6,FALSE)</f>
        <v>45384</v>
      </c>
      <c r="G401" s="393">
        <f>VLOOKUP(Complete[[#This Row],[Code
(PAP)]],[1]Sheet1!$A:$AO,7,FALSE)</f>
        <v>45390</v>
      </c>
      <c r="H401" s="374"/>
      <c r="I401" s="394" t="str">
        <f>VLOOKUP(Complete[[#This Row],[Code
(PAP)]],[1]Sheet1!$A:$AO,9,FALSE)</f>
        <v>N/A</v>
      </c>
      <c r="J401" s="393">
        <f>VLOOKUP(Complete[[#This Row],[Code
(PAP)]],[1]Sheet1!$A:$AO,10,FALSE)</f>
        <v>45407</v>
      </c>
      <c r="K401" s="393">
        <f>VLOOKUP(Complete[[#This Row],[Code
(PAP)]],[1]Sheet1!$A:$AO,11,FALSE)</f>
        <v>45407</v>
      </c>
      <c r="L401" s="387"/>
      <c r="M401" s="393" t="str">
        <f>VLOOKUP(Complete[[#This Row],[Code
(PAP)]],[1]Sheet1!$A:$AO,13,FALSE)</f>
        <v>N/A</v>
      </c>
      <c r="N401" s="393" t="str">
        <f>VLOOKUP(Complete[[#This Row],[Code
(PAP)]],[1]Sheet1!$A:$AO,14,FALSE)</f>
        <v>N/A</v>
      </c>
      <c r="O401" s="393">
        <f>VLOOKUP(Complete[[#This Row],[Code
(PAP)]],[1]Sheet1!$A:$AO,15,FALSE)</f>
        <v>45411</v>
      </c>
      <c r="P401" s="387"/>
      <c r="Q401" s="387"/>
      <c r="R401" s="387"/>
      <c r="S401" s="576">
        <v>45419</v>
      </c>
      <c r="T401" s="576">
        <f>VLOOKUP(Complete[[#This Row],[Code
(PAP)]],[1]Sheet1!$A:$AO,20,FALSE)</f>
        <v>45434</v>
      </c>
      <c r="U401" s="576">
        <f>VLOOKUP(Complete[[#This Row],[Code
(PAP)]],[1]Sheet1!$A:$AO,21,FALSE)</f>
        <v>45434</v>
      </c>
      <c r="V401" s="387"/>
      <c r="W401" s="387"/>
      <c r="X401" s="392">
        <f>VLOOKUP(Complete[[#This Row],[Code
(PAP)]],[1]Sheet1!$A:$AO,24,FALSE)</f>
        <v>45443</v>
      </c>
      <c r="Y401" s="392">
        <f>Complete[[#This Row],[Delivery/ Completion]]</f>
        <v>45443</v>
      </c>
      <c r="Z401" s="610" t="s">
        <v>1478</v>
      </c>
      <c r="AA401" s="462">
        <f>Complete[[#This Row],[MOOE]]+Complete[[#This Row],[CO]]</f>
        <v>78882</v>
      </c>
      <c r="AB401" s="466">
        <v>78882</v>
      </c>
      <c r="AC401" s="497"/>
      <c r="AD401" s="498">
        <f>IF(Complete[[#This Row],[Procurement Project]]="","",SUM(Complete[[#This Row],[MOOE2]]+Complete[[#This Row],[CO3]]))</f>
        <v>77577</v>
      </c>
      <c r="AE401" s="501">
        <v>77577</v>
      </c>
      <c r="AF401" s="541"/>
      <c r="AG401" s="400"/>
      <c r="AH401" s="380" t="s">
        <v>1205</v>
      </c>
      <c r="AI401" s="576" t="str">
        <f>VLOOKUP(Complete[[#This Row],[Code
(PAP)]],[1]Sheet1!$A:$AO,35,FALSE)</f>
        <v>N/A</v>
      </c>
      <c r="AJ401" s="576" t="str">
        <f>VLOOKUP(Complete[[#This Row],[Code
(PAP)]],[1]Sheet1!$A:$AO,36,FALSE)</f>
        <v>N/A</v>
      </c>
      <c r="AK401" s="576" t="str">
        <f>VLOOKUP(Complete[[#This Row],[Code
(PAP)]],[1]Sheet1!$A:$AO,37,FALSE)</f>
        <v>N/A</v>
      </c>
      <c r="AL401" s="576" t="str">
        <f>VLOOKUP(Complete[[#This Row],[Code
(PAP)]],[1]Sheet1!$A:$AO,38,FALSE)</f>
        <v>N/A</v>
      </c>
      <c r="AM401" s="576" t="str">
        <f>VLOOKUP(Complete[[#This Row],[Code
(PAP)]],[1]Sheet1!$A:$AO,38,FALSE)</f>
        <v>N/A</v>
      </c>
      <c r="AN401" s="595" t="s">
        <v>713</v>
      </c>
      <c r="AO401" s="303" t="s">
        <v>139</v>
      </c>
      <c r="AP401" s="389"/>
      <c r="AQ401" s="389"/>
    </row>
    <row r="402" spans="1:43" s="224" customFormat="1" ht="75" customHeight="1" x14ac:dyDescent="0.25">
      <c r="A402" s="385" t="s">
        <v>580</v>
      </c>
      <c r="B402" s="406" t="str">
        <f>VLOOKUP(Complete[[#This Row],[Code
(PAP)]],[1]Sheet1!$A:$AO,2,FALSE)</f>
        <v>OFFICE SUPPLIES</v>
      </c>
      <c r="C402" s="408" t="str">
        <f>VLOOKUP(Complete[[#This Row],[Code
(PAP)]],[1]Sheet1!$A:$AO,3,FALSE)</f>
        <v>PGO</v>
      </c>
      <c r="D402" s="380" t="s">
        <v>712</v>
      </c>
      <c r="E402" s="409" t="str">
        <f>VLOOKUP(Complete[[#This Row],[Code
(PAP)]],[2]Sheet1!$A:$AO,5,FALSE)</f>
        <v>Shopping 52.1(b) - Regular Office Supplies and Equipment no available in PS</v>
      </c>
      <c r="F402" s="393" t="str">
        <f>VLOOKUP(Complete[[#This Row],[Code
(PAP)]],[1]Sheet1!$A:$AO,6,FALSE)</f>
        <v>N/A</v>
      </c>
      <c r="G402" s="393">
        <f>VLOOKUP(Complete[[#This Row],[Code
(PAP)]],[1]Sheet1!$A:$AO,7,FALSE)</f>
        <v>45390</v>
      </c>
      <c r="H402" s="374"/>
      <c r="I402" s="394" t="str">
        <f>VLOOKUP(Complete[[#This Row],[Code
(PAP)]],[1]Sheet1!$A:$AO,9,FALSE)</f>
        <v>N/A</v>
      </c>
      <c r="J402" s="393">
        <f>VLOOKUP(Complete[[#This Row],[Code
(PAP)]],[1]Sheet1!$A:$AO,10,FALSE)</f>
        <v>45407</v>
      </c>
      <c r="K402" s="393">
        <f>VLOOKUP(Complete[[#This Row],[Code
(PAP)]],[1]Sheet1!$A:$AO,11,FALSE)</f>
        <v>45407</v>
      </c>
      <c r="L402" s="387"/>
      <c r="M402" s="393" t="str">
        <f>VLOOKUP(Complete[[#This Row],[Code
(PAP)]],[1]Sheet1!$A:$AO,13,FALSE)</f>
        <v>N/A</v>
      </c>
      <c r="N402" s="393" t="str">
        <f>VLOOKUP(Complete[[#This Row],[Code
(PAP)]],[1]Sheet1!$A:$AO,14,FALSE)</f>
        <v>N/A</v>
      </c>
      <c r="O402" s="393">
        <f>VLOOKUP(Complete[[#This Row],[Code
(PAP)]],[1]Sheet1!$A:$AO,15,FALSE)</f>
        <v>45411</v>
      </c>
      <c r="P402" s="387"/>
      <c r="Q402" s="387"/>
      <c r="R402" s="387"/>
      <c r="S402" s="576">
        <v>45418</v>
      </c>
      <c r="T402" s="576">
        <f>VLOOKUP(Complete[[#This Row],[Code
(PAP)]],[1]Sheet1!$A:$AO,20,FALSE)</f>
        <v>45427</v>
      </c>
      <c r="U402" s="576">
        <f>VLOOKUP(Complete[[#This Row],[Code
(PAP)]],[1]Sheet1!$A:$AO,21,FALSE)</f>
        <v>45446</v>
      </c>
      <c r="V402" s="387"/>
      <c r="W402" s="387"/>
      <c r="X402" s="392">
        <f>VLOOKUP(Complete[[#This Row],[Code
(PAP)]],[1]Sheet1!$A:$AO,24,FALSE)</f>
        <v>45450</v>
      </c>
      <c r="Y402" s="392">
        <f>Complete[[#This Row],[Delivery/ Completion]]</f>
        <v>45450</v>
      </c>
      <c r="Z402" s="610" t="s">
        <v>1478</v>
      </c>
      <c r="AA402" s="462">
        <f>Complete[[#This Row],[MOOE]]+Complete[[#This Row],[CO]]</f>
        <v>76340</v>
      </c>
      <c r="AB402" s="466"/>
      <c r="AC402" s="497">
        <v>76340</v>
      </c>
      <c r="AD402" s="498">
        <f>IF(Complete[[#This Row],[Procurement Project]]="","",SUM(Complete[[#This Row],[MOOE2]]+Complete[[#This Row],[CO3]]))</f>
        <v>74800</v>
      </c>
      <c r="AE402" s="501"/>
      <c r="AF402" s="541">
        <v>74800</v>
      </c>
      <c r="AG402" s="400"/>
      <c r="AH402" s="380" t="s">
        <v>1205</v>
      </c>
      <c r="AI402" s="576" t="str">
        <f>VLOOKUP(Complete[[#This Row],[Code
(PAP)]],[1]Sheet1!$A:$AO,35,FALSE)</f>
        <v>N/A</v>
      </c>
      <c r="AJ402" s="576" t="str">
        <f>VLOOKUP(Complete[[#This Row],[Code
(PAP)]],[1]Sheet1!$A:$AO,36,FALSE)</f>
        <v>N/A</v>
      </c>
      <c r="AK402" s="576" t="str">
        <f>VLOOKUP(Complete[[#This Row],[Code
(PAP)]],[1]Sheet1!$A:$AO,37,FALSE)</f>
        <v>N/A</v>
      </c>
      <c r="AL402" s="576" t="str">
        <f>VLOOKUP(Complete[[#This Row],[Code
(PAP)]],[1]Sheet1!$A:$AO,38,FALSE)</f>
        <v>N/A</v>
      </c>
      <c r="AM402" s="576" t="str">
        <f>VLOOKUP(Complete[[#This Row],[Code
(PAP)]],[1]Sheet1!$A:$AO,38,FALSE)</f>
        <v>N/A</v>
      </c>
      <c r="AN402" s="595" t="s">
        <v>713</v>
      </c>
      <c r="AO402" s="303" t="s">
        <v>139</v>
      </c>
      <c r="AP402" s="389"/>
      <c r="AQ402" s="389"/>
    </row>
    <row r="403" spans="1:43" s="224" customFormat="1" ht="75" customHeight="1" x14ac:dyDescent="0.25">
      <c r="A403" s="385" t="s">
        <v>581</v>
      </c>
      <c r="B403" s="406" t="str">
        <f>VLOOKUP(Complete[[#This Row],[Code
(PAP)]],[1]Sheet1!$A:$AO,2,FALSE)</f>
        <v>OFFICE SUPPLIES</v>
      </c>
      <c r="C403" s="408" t="str">
        <f>VLOOKUP(Complete[[#This Row],[Code
(PAP)]],[1]Sheet1!$A:$AO,3,FALSE)</f>
        <v>PAO</v>
      </c>
      <c r="D403" s="380" t="s">
        <v>712</v>
      </c>
      <c r="E403" s="409" t="str">
        <f>VLOOKUP(Complete[[#This Row],[Code
(PAP)]],[2]Sheet1!$A:$AO,5,FALSE)</f>
        <v>Shopping 52.1(b) - Regular Office Supplies and Equipment no available in PS</v>
      </c>
      <c r="F403" s="393">
        <f>VLOOKUP(Complete[[#This Row],[Code
(PAP)]],[1]Sheet1!$A:$AO,6,FALSE)</f>
        <v>45384</v>
      </c>
      <c r="G403" s="393">
        <f>VLOOKUP(Complete[[#This Row],[Code
(PAP)]],[1]Sheet1!$A:$AO,7,FALSE)</f>
        <v>45390</v>
      </c>
      <c r="H403" s="374"/>
      <c r="I403" s="394" t="str">
        <f>VLOOKUP(Complete[[#This Row],[Code
(PAP)]],[1]Sheet1!$A:$AO,9,FALSE)</f>
        <v>N/A</v>
      </c>
      <c r="J403" s="393">
        <f>VLOOKUP(Complete[[#This Row],[Code
(PAP)]],[1]Sheet1!$A:$AO,10,FALSE)</f>
        <v>45407</v>
      </c>
      <c r="K403" s="393">
        <f>VLOOKUP(Complete[[#This Row],[Code
(PAP)]],[1]Sheet1!$A:$AO,11,FALSE)</f>
        <v>45407</v>
      </c>
      <c r="L403" s="387"/>
      <c r="M403" s="393" t="str">
        <f>VLOOKUP(Complete[[#This Row],[Code
(PAP)]],[1]Sheet1!$A:$AO,13,FALSE)</f>
        <v>N/A</v>
      </c>
      <c r="N403" s="393" t="str">
        <f>VLOOKUP(Complete[[#This Row],[Code
(PAP)]],[1]Sheet1!$A:$AO,14,FALSE)</f>
        <v>N/A</v>
      </c>
      <c r="O403" s="393">
        <f>VLOOKUP(Complete[[#This Row],[Code
(PAP)]],[1]Sheet1!$A:$AO,15,FALSE)</f>
        <v>45411</v>
      </c>
      <c r="P403" s="387"/>
      <c r="Q403" s="387"/>
      <c r="R403" s="387"/>
      <c r="S403" s="576" t="s">
        <v>713</v>
      </c>
      <c r="T403" s="576">
        <f>VLOOKUP(Complete[[#This Row],[Code
(PAP)]],[1]Sheet1!$A:$AO,20,FALSE)</f>
        <v>45429</v>
      </c>
      <c r="U403" s="576">
        <f>VLOOKUP(Complete[[#This Row],[Code
(PAP)]],[1]Sheet1!$A:$AO,21,FALSE)</f>
        <v>45432</v>
      </c>
      <c r="V403" s="387"/>
      <c r="W403" s="387"/>
      <c r="X403" s="392">
        <f>VLOOKUP(Complete[[#This Row],[Code
(PAP)]],[1]Sheet1!$A:$AO,24,FALSE)</f>
        <v>45436</v>
      </c>
      <c r="Y403" s="392">
        <f>Complete[[#This Row],[Delivery/ Completion]]</f>
        <v>45436</v>
      </c>
      <c r="Z403" s="610" t="s">
        <v>1478</v>
      </c>
      <c r="AA403" s="462">
        <f>Complete[[#This Row],[MOOE]]+Complete[[#This Row],[CO]]</f>
        <v>5582</v>
      </c>
      <c r="AB403" s="466">
        <v>5582</v>
      </c>
      <c r="AC403" s="497"/>
      <c r="AD403" s="498">
        <f>IF(Complete[[#This Row],[Procurement Project]]="","",SUM(Complete[[#This Row],[MOOE2]]+Complete[[#This Row],[CO3]]))</f>
        <v>5460</v>
      </c>
      <c r="AE403" s="501">
        <v>5460</v>
      </c>
      <c r="AF403" s="541"/>
      <c r="AG403" s="400"/>
      <c r="AH403" s="380" t="s">
        <v>1205</v>
      </c>
      <c r="AI403" s="576" t="str">
        <f>VLOOKUP(Complete[[#This Row],[Code
(PAP)]],[1]Sheet1!$A:$AO,35,FALSE)</f>
        <v>N/A</v>
      </c>
      <c r="AJ403" s="576" t="str">
        <f>VLOOKUP(Complete[[#This Row],[Code
(PAP)]],[1]Sheet1!$A:$AO,36,FALSE)</f>
        <v>N/A</v>
      </c>
      <c r="AK403" s="576" t="str">
        <f>VLOOKUP(Complete[[#This Row],[Code
(PAP)]],[1]Sheet1!$A:$AO,37,FALSE)</f>
        <v>N/A</v>
      </c>
      <c r="AL403" s="576" t="str">
        <f>VLOOKUP(Complete[[#This Row],[Code
(PAP)]],[1]Sheet1!$A:$AO,38,FALSE)</f>
        <v>N/A</v>
      </c>
      <c r="AM403" s="576" t="str">
        <f>VLOOKUP(Complete[[#This Row],[Code
(PAP)]],[1]Sheet1!$A:$AO,38,FALSE)</f>
        <v>N/A</v>
      </c>
      <c r="AN403" s="595" t="s">
        <v>713</v>
      </c>
      <c r="AO403" s="303" t="s">
        <v>139</v>
      </c>
      <c r="AP403" s="389"/>
      <c r="AQ403" s="389"/>
    </row>
    <row r="404" spans="1:43" s="224" customFormat="1" ht="75" customHeight="1" x14ac:dyDescent="0.25">
      <c r="A404" s="385" t="s">
        <v>582</v>
      </c>
      <c r="B404" s="406" t="str">
        <f>VLOOKUP(Complete[[#This Row],[Code
(PAP)]],[1]Sheet1!$A:$AO,2,FALSE)</f>
        <v>OFFICE SUPPLIES</v>
      </c>
      <c r="C404" s="408" t="str">
        <f>VLOOKUP(Complete[[#This Row],[Code
(PAP)]],[1]Sheet1!$A:$AO,3,FALSE)</f>
        <v>PAGRO</v>
      </c>
      <c r="D404" s="380" t="s">
        <v>712</v>
      </c>
      <c r="E404" s="409" t="str">
        <f>VLOOKUP(Complete[[#This Row],[Code
(PAP)]],[2]Sheet1!$A:$AO,5,FALSE)</f>
        <v>Shopping 52.1(b) - Regular Office Supplies and Equipment no available in PS</v>
      </c>
      <c r="F404" s="393" t="str">
        <f>VLOOKUP(Complete[[#This Row],[Code
(PAP)]],[1]Sheet1!$A:$AO,6,FALSE)</f>
        <v>N/A</v>
      </c>
      <c r="G404" s="393">
        <f>VLOOKUP(Complete[[#This Row],[Code
(PAP)]],[1]Sheet1!$A:$AO,7,FALSE)</f>
        <v>45390</v>
      </c>
      <c r="H404" s="374"/>
      <c r="I404" s="394" t="str">
        <f>VLOOKUP(Complete[[#This Row],[Code
(PAP)]],[1]Sheet1!$A:$AO,9,FALSE)</f>
        <v>N/A</v>
      </c>
      <c r="J404" s="393">
        <f>VLOOKUP(Complete[[#This Row],[Code
(PAP)]],[1]Sheet1!$A:$AO,10,FALSE)</f>
        <v>45407</v>
      </c>
      <c r="K404" s="393">
        <f>VLOOKUP(Complete[[#This Row],[Code
(PAP)]],[1]Sheet1!$A:$AO,11,FALSE)</f>
        <v>45407</v>
      </c>
      <c r="L404" s="387"/>
      <c r="M404" s="393" t="str">
        <f>VLOOKUP(Complete[[#This Row],[Code
(PAP)]],[1]Sheet1!$A:$AO,13,FALSE)</f>
        <v>N/A</v>
      </c>
      <c r="N404" s="393" t="str">
        <f>VLOOKUP(Complete[[#This Row],[Code
(PAP)]],[1]Sheet1!$A:$AO,14,FALSE)</f>
        <v>N/A</v>
      </c>
      <c r="O404" s="393">
        <f>VLOOKUP(Complete[[#This Row],[Code
(PAP)]],[1]Sheet1!$A:$AO,15,FALSE)</f>
        <v>45411</v>
      </c>
      <c r="P404" s="387"/>
      <c r="Q404" s="387"/>
      <c r="R404" s="387"/>
      <c r="S404" s="576" t="s">
        <v>713</v>
      </c>
      <c r="T404" s="576">
        <f>VLOOKUP(Complete[[#This Row],[Code
(PAP)]],[1]Sheet1!$A:$AO,20,FALSE)</f>
        <v>45432</v>
      </c>
      <c r="U404" s="576">
        <f>VLOOKUP(Complete[[#This Row],[Code
(PAP)]],[1]Sheet1!$A:$AO,21,FALSE)</f>
        <v>45433</v>
      </c>
      <c r="V404" s="387"/>
      <c r="W404" s="387"/>
      <c r="X404" s="392">
        <f>VLOOKUP(Complete[[#This Row],[Code
(PAP)]],[1]Sheet1!$A:$AO,24,FALSE)</f>
        <v>45463</v>
      </c>
      <c r="Y404" s="392">
        <f>Complete[[#This Row],[Delivery/ Completion]]</f>
        <v>45463</v>
      </c>
      <c r="Z404" s="610" t="s">
        <v>1478</v>
      </c>
      <c r="AA404" s="462">
        <f>Complete[[#This Row],[MOOE]]+Complete[[#This Row],[CO]]</f>
        <v>5588</v>
      </c>
      <c r="AB404" s="466"/>
      <c r="AC404" s="497">
        <v>5588</v>
      </c>
      <c r="AD404" s="498">
        <f>IF(Complete[[#This Row],[Procurement Project]]="","",SUM(Complete[[#This Row],[MOOE2]]+Complete[[#This Row],[CO3]]))</f>
        <v>5370</v>
      </c>
      <c r="AE404" s="501"/>
      <c r="AF404" s="541">
        <v>5370</v>
      </c>
      <c r="AG404" s="400"/>
      <c r="AH404" s="380" t="s">
        <v>1205</v>
      </c>
      <c r="AI404" s="576" t="str">
        <f>VLOOKUP(Complete[[#This Row],[Code
(PAP)]],[1]Sheet1!$A:$AO,35,FALSE)</f>
        <v>N/A</v>
      </c>
      <c r="AJ404" s="576" t="str">
        <f>VLOOKUP(Complete[[#This Row],[Code
(PAP)]],[1]Sheet1!$A:$AO,36,FALSE)</f>
        <v>N/A</v>
      </c>
      <c r="AK404" s="576" t="str">
        <f>VLOOKUP(Complete[[#This Row],[Code
(PAP)]],[1]Sheet1!$A:$AO,37,FALSE)</f>
        <v>N/A</v>
      </c>
      <c r="AL404" s="576" t="str">
        <f>VLOOKUP(Complete[[#This Row],[Code
(PAP)]],[1]Sheet1!$A:$AO,38,FALSE)</f>
        <v>N/A</v>
      </c>
      <c r="AM404" s="576" t="str">
        <f>VLOOKUP(Complete[[#This Row],[Code
(PAP)]],[1]Sheet1!$A:$AO,38,FALSE)</f>
        <v>N/A</v>
      </c>
      <c r="AN404" s="595" t="s">
        <v>713</v>
      </c>
      <c r="AO404" s="303" t="s">
        <v>139</v>
      </c>
      <c r="AP404" s="389"/>
      <c r="AQ404" s="389"/>
    </row>
    <row r="405" spans="1:43" s="224" customFormat="1" ht="75" customHeight="1" x14ac:dyDescent="0.25">
      <c r="A405" s="385" t="s">
        <v>583</v>
      </c>
      <c r="B405" s="406" t="str">
        <f>VLOOKUP(Complete[[#This Row],[Code
(PAP)]],[1]Sheet1!$A:$AO,2,FALSE)</f>
        <v>OFFICE SUPPLIES</v>
      </c>
      <c r="C405" s="408" t="str">
        <f>VLOOKUP(Complete[[#This Row],[Code
(PAP)]],[1]Sheet1!$A:$AO,3,FALSE)</f>
        <v>PGSO</v>
      </c>
      <c r="D405" s="380" t="s">
        <v>712</v>
      </c>
      <c r="E405" s="409" t="str">
        <f>VLOOKUP(Complete[[#This Row],[Code
(PAP)]],[2]Sheet1!$A:$AO,5,FALSE)</f>
        <v>Shopping 52.1(b) - Regular Office Supplies and Equipment no available in PS</v>
      </c>
      <c r="F405" s="393" t="str">
        <f>VLOOKUP(Complete[[#This Row],[Code
(PAP)]],[1]Sheet1!$A:$AO,6,FALSE)</f>
        <v>N/A</v>
      </c>
      <c r="G405" s="393">
        <f>VLOOKUP(Complete[[#This Row],[Code
(PAP)]],[1]Sheet1!$A:$AO,7,FALSE)</f>
        <v>45376</v>
      </c>
      <c r="H405" s="374"/>
      <c r="I405" s="394" t="str">
        <f>VLOOKUP(Complete[[#This Row],[Code
(PAP)]],[1]Sheet1!$A:$AO,9,FALSE)</f>
        <v>N/A</v>
      </c>
      <c r="J405" s="393">
        <f>VLOOKUP(Complete[[#This Row],[Code
(PAP)]],[1]Sheet1!$A:$AO,10,FALSE)</f>
        <v>45407</v>
      </c>
      <c r="K405" s="393">
        <f>VLOOKUP(Complete[[#This Row],[Code
(PAP)]],[1]Sheet1!$A:$AO,11,FALSE)</f>
        <v>45407</v>
      </c>
      <c r="L405" s="387"/>
      <c r="M405" s="393" t="str">
        <f>VLOOKUP(Complete[[#This Row],[Code
(PAP)]],[1]Sheet1!$A:$AO,13,FALSE)</f>
        <v>N/A</v>
      </c>
      <c r="N405" s="393" t="str">
        <f>VLOOKUP(Complete[[#This Row],[Code
(PAP)]],[1]Sheet1!$A:$AO,14,FALSE)</f>
        <v>N/A</v>
      </c>
      <c r="O405" s="393">
        <f>VLOOKUP(Complete[[#This Row],[Code
(PAP)]],[1]Sheet1!$A:$AO,15,FALSE)</f>
        <v>45411</v>
      </c>
      <c r="P405" s="387"/>
      <c r="Q405" s="387"/>
      <c r="R405" s="387"/>
      <c r="S405" s="576" t="s">
        <v>713</v>
      </c>
      <c r="T405" s="576">
        <f>VLOOKUP(Complete[[#This Row],[Code
(PAP)]],[1]Sheet1!$A:$AO,20,FALSE)</f>
        <v>45427</v>
      </c>
      <c r="U405" s="576">
        <f>VLOOKUP(Complete[[#This Row],[Code
(PAP)]],[1]Sheet1!$A:$AO,21,FALSE)</f>
        <v>45448</v>
      </c>
      <c r="V405" s="387"/>
      <c r="W405" s="387"/>
      <c r="X405" s="392">
        <f>VLOOKUP(Complete[[#This Row],[Code
(PAP)]],[1]Sheet1!$A:$AO,24,FALSE)</f>
        <v>45468</v>
      </c>
      <c r="Y405" s="392">
        <f>Complete[[#This Row],[Delivery/ Completion]]</f>
        <v>45468</v>
      </c>
      <c r="Z405" s="610" t="s">
        <v>1478</v>
      </c>
      <c r="AA405" s="462">
        <f>Complete[[#This Row],[MOOE]]+Complete[[#This Row],[CO]]</f>
        <v>41238</v>
      </c>
      <c r="AB405" s="466">
        <v>41238</v>
      </c>
      <c r="AC405" s="497"/>
      <c r="AD405" s="498">
        <f>IF(Complete[[#This Row],[Procurement Project]]="","",SUM(Complete[[#This Row],[MOOE2]]+Complete[[#This Row],[CO3]]))</f>
        <v>41196</v>
      </c>
      <c r="AE405" s="501">
        <v>41196</v>
      </c>
      <c r="AF405" s="541"/>
      <c r="AG405" s="400"/>
      <c r="AH405" s="380" t="s">
        <v>1205</v>
      </c>
      <c r="AI405" s="576" t="str">
        <f>VLOOKUP(Complete[[#This Row],[Code
(PAP)]],[1]Sheet1!$A:$AO,35,FALSE)</f>
        <v>N/A</v>
      </c>
      <c r="AJ405" s="576" t="str">
        <f>VLOOKUP(Complete[[#This Row],[Code
(PAP)]],[1]Sheet1!$A:$AO,36,FALSE)</f>
        <v>N/A</v>
      </c>
      <c r="AK405" s="576" t="str">
        <f>VLOOKUP(Complete[[#This Row],[Code
(PAP)]],[1]Sheet1!$A:$AO,37,FALSE)</f>
        <v>N/A</v>
      </c>
      <c r="AL405" s="576" t="str">
        <f>VLOOKUP(Complete[[#This Row],[Code
(PAP)]],[1]Sheet1!$A:$AO,38,FALSE)</f>
        <v>N/A</v>
      </c>
      <c r="AM405" s="576" t="str">
        <f>VLOOKUP(Complete[[#This Row],[Code
(PAP)]],[1]Sheet1!$A:$AO,38,FALSE)</f>
        <v>N/A</v>
      </c>
      <c r="AN405" s="595" t="s">
        <v>713</v>
      </c>
      <c r="AO405" s="303" t="s">
        <v>139</v>
      </c>
      <c r="AP405" s="389"/>
      <c r="AQ405" s="389"/>
    </row>
    <row r="406" spans="1:43" s="224" customFormat="1" ht="75" customHeight="1" x14ac:dyDescent="0.25">
      <c r="A406" s="385" t="s">
        <v>584</v>
      </c>
      <c r="B406" s="406" t="str">
        <f>VLOOKUP(Complete[[#This Row],[Code
(PAP)]],[1]Sheet1!$A:$AO,2,FALSE)</f>
        <v>RICE, WELL MILLED</v>
      </c>
      <c r="C406" s="408" t="str">
        <f>VLOOKUP(Complete[[#This Row],[Code
(PAP)]],[1]Sheet1!$A:$AO,3,FALSE)</f>
        <v>PGO</v>
      </c>
      <c r="D406" s="380" t="s">
        <v>712</v>
      </c>
      <c r="E406" s="409" t="str">
        <f>VLOOKUP(Complete[[#This Row],[Code
(PAP)]],[2]Sheet1!$A:$AO,5,FALSE)</f>
        <v>NP-53.9 - Small Value Procurement</v>
      </c>
      <c r="F406" s="393">
        <f>VLOOKUP(Complete[[#This Row],[Code
(PAP)]],[1]Sheet1!$A:$AO,6,FALSE)</f>
        <v>45370</v>
      </c>
      <c r="G406" s="393">
        <f>VLOOKUP(Complete[[#This Row],[Code
(PAP)]],[1]Sheet1!$A:$AO,7,FALSE)</f>
        <v>45376</v>
      </c>
      <c r="H406" s="374"/>
      <c r="I406" s="394" t="str">
        <f>VLOOKUP(Complete[[#This Row],[Code
(PAP)]],[1]Sheet1!$A:$AO,9,FALSE)</f>
        <v>N/A</v>
      </c>
      <c r="J406" s="393">
        <f>VLOOKUP(Complete[[#This Row],[Code
(PAP)]],[1]Sheet1!$A:$AO,10,FALSE)</f>
        <v>45407</v>
      </c>
      <c r="K406" s="393">
        <f>VLOOKUP(Complete[[#This Row],[Code
(PAP)]],[1]Sheet1!$A:$AO,11,FALSE)</f>
        <v>45407</v>
      </c>
      <c r="L406" s="387"/>
      <c r="M406" s="393" t="str">
        <f>VLOOKUP(Complete[[#This Row],[Code
(PAP)]],[1]Sheet1!$A:$AO,13,FALSE)</f>
        <v>N/A</v>
      </c>
      <c r="N406" s="393" t="str">
        <f>VLOOKUP(Complete[[#This Row],[Code
(PAP)]],[1]Sheet1!$A:$AO,14,FALSE)</f>
        <v>N/A</v>
      </c>
      <c r="O406" s="393">
        <f>VLOOKUP(Complete[[#This Row],[Code
(PAP)]],[1]Sheet1!$A:$AO,15,FALSE)</f>
        <v>45411</v>
      </c>
      <c r="P406" s="387"/>
      <c r="Q406" s="387"/>
      <c r="R406" s="387"/>
      <c r="S406" s="576">
        <v>45418</v>
      </c>
      <c r="T406" s="576">
        <f>VLOOKUP(Complete[[#This Row],[Code
(PAP)]],[1]Sheet1!$A:$AO,20,FALSE)</f>
        <v>45420</v>
      </c>
      <c r="U406" s="576">
        <f>VLOOKUP(Complete[[#This Row],[Code
(PAP)]],[1]Sheet1!$A:$AO,21,FALSE)</f>
        <v>45425</v>
      </c>
      <c r="V406" s="387"/>
      <c r="W406" s="387"/>
      <c r="X406" s="392">
        <f>VLOOKUP(Complete[[#This Row],[Code
(PAP)]],[1]Sheet1!$A:$AO,24,FALSE)</f>
        <v>45427</v>
      </c>
      <c r="Y406" s="392">
        <f>Complete[[#This Row],[Delivery/ Completion]]</f>
        <v>45427</v>
      </c>
      <c r="Z406" s="610" t="s">
        <v>1478</v>
      </c>
      <c r="AA406" s="462">
        <f>Complete[[#This Row],[MOOE]]+Complete[[#This Row],[CO]]</f>
        <v>482790</v>
      </c>
      <c r="AB406" s="466"/>
      <c r="AC406" s="497">
        <v>482790</v>
      </c>
      <c r="AD406" s="498">
        <f>IF(Complete[[#This Row],[Procurement Project]]="","",SUM(Complete[[#This Row],[MOOE2]]+Complete[[#This Row],[CO3]]))</f>
        <v>477400</v>
      </c>
      <c r="AE406" s="501"/>
      <c r="AF406" s="675">
        <v>477400</v>
      </c>
      <c r="AG406" s="400"/>
      <c r="AH406" s="380" t="s">
        <v>1205</v>
      </c>
      <c r="AI406" s="576" t="str">
        <f>VLOOKUP(Complete[[#This Row],[Code
(PAP)]],[1]Sheet1!$A:$AO,35,FALSE)</f>
        <v>N/A</v>
      </c>
      <c r="AJ406" s="576" t="str">
        <f>VLOOKUP(Complete[[#This Row],[Code
(PAP)]],[1]Sheet1!$A:$AO,36,FALSE)</f>
        <v>N/A</v>
      </c>
      <c r="AK406" s="576" t="str">
        <f>VLOOKUP(Complete[[#This Row],[Code
(PAP)]],[1]Sheet1!$A:$AO,37,FALSE)</f>
        <v>N/A</v>
      </c>
      <c r="AL406" s="576" t="str">
        <f>VLOOKUP(Complete[[#This Row],[Code
(PAP)]],[1]Sheet1!$A:$AO,38,FALSE)</f>
        <v>N/A</v>
      </c>
      <c r="AM406" s="576" t="str">
        <f>VLOOKUP(Complete[[#This Row],[Code
(PAP)]],[1]Sheet1!$A:$AO,38,FALSE)</f>
        <v>N/A</v>
      </c>
      <c r="AN406" s="595" t="s">
        <v>713</v>
      </c>
      <c r="AO406" s="303" t="s">
        <v>139</v>
      </c>
      <c r="AP406" s="389"/>
      <c r="AQ406" s="389"/>
    </row>
    <row r="407" spans="1:43" s="224" customFormat="1" ht="75" customHeight="1" x14ac:dyDescent="0.25">
      <c r="A407" s="385" t="s">
        <v>585</v>
      </c>
      <c r="B407" s="406" t="str">
        <f>VLOOKUP(Complete[[#This Row],[Code
(PAP)]],[1]Sheet1!$A:$AO,2,FALSE)</f>
        <v>SPHYGMOMANOMETER</v>
      </c>
      <c r="C407" s="408" t="str">
        <f>VLOOKUP(Complete[[#This Row],[Code
(PAP)]],[1]Sheet1!$A:$AO,3,FALSE)</f>
        <v>PAO</v>
      </c>
      <c r="D407" s="380" t="s">
        <v>712</v>
      </c>
      <c r="E407" s="409" t="str">
        <f>VLOOKUP(Complete[[#This Row],[Code
(PAP)]],[2]Sheet1!$A:$AO,5,FALSE)</f>
        <v>NP-53.9 - Small Value Procurement</v>
      </c>
      <c r="F407" s="393" t="str">
        <f>VLOOKUP(Complete[[#This Row],[Code
(PAP)]],[1]Sheet1!$A:$AO,6,FALSE)</f>
        <v>N/A</v>
      </c>
      <c r="G407" s="393">
        <f>VLOOKUP(Complete[[#This Row],[Code
(PAP)]],[1]Sheet1!$A:$AO,7,FALSE)</f>
        <v>45385</v>
      </c>
      <c r="H407" s="374"/>
      <c r="I407" s="394" t="str">
        <f>VLOOKUP(Complete[[#This Row],[Code
(PAP)]],[1]Sheet1!$A:$AO,9,FALSE)</f>
        <v>N/A</v>
      </c>
      <c r="J407" s="393">
        <f>VLOOKUP(Complete[[#This Row],[Code
(PAP)]],[1]Sheet1!$A:$AO,10,FALSE)</f>
        <v>45407</v>
      </c>
      <c r="K407" s="393">
        <f>VLOOKUP(Complete[[#This Row],[Code
(PAP)]],[1]Sheet1!$A:$AO,11,FALSE)</f>
        <v>45407</v>
      </c>
      <c r="L407" s="387"/>
      <c r="M407" s="393" t="str">
        <f>VLOOKUP(Complete[[#This Row],[Code
(PAP)]],[1]Sheet1!$A:$AO,13,FALSE)</f>
        <v>N/A</v>
      </c>
      <c r="N407" s="393" t="str">
        <f>VLOOKUP(Complete[[#This Row],[Code
(PAP)]],[1]Sheet1!$A:$AO,14,FALSE)</f>
        <v>N/A</v>
      </c>
      <c r="O407" s="393">
        <f>VLOOKUP(Complete[[#This Row],[Code
(PAP)]],[1]Sheet1!$A:$AO,15,FALSE)</f>
        <v>45411</v>
      </c>
      <c r="P407" s="387"/>
      <c r="Q407" s="387"/>
      <c r="R407" s="387"/>
      <c r="S407" s="576" t="s">
        <v>713</v>
      </c>
      <c r="T407" s="576">
        <f>VLOOKUP(Complete[[#This Row],[Code
(PAP)]],[1]Sheet1!$A:$AO,20,FALSE)</f>
        <v>45425</v>
      </c>
      <c r="U407" s="576">
        <f>VLOOKUP(Complete[[#This Row],[Code
(PAP)]],[1]Sheet1!$A:$AO,21,FALSE)</f>
        <v>45432</v>
      </c>
      <c r="V407" s="387"/>
      <c r="W407" s="387"/>
      <c r="X407" s="392">
        <f>VLOOKUP(Complete[[#This Row],[Code
(PAP)]],[1]Sheet1!$A:$AO,24,FALSE)</f>
        <v>45448</v>
      </c>
      <c r="Y407" s="392">
        <f>Complete[[#This Row],[Delivery/ Completion]]</f>
        <v>45448</v>
      </c>
      <c r="Z407" s="610" t="s">
        <v>1478</v>
      </c>
      <c r="AA407" s="462">
        <f>Complete[[#This Row],[MOOE]]+Complete[[#This Row],[CO]]</f>
        <v>6600</v>
      </c>
      <c r="AB407" s="466">
        <v>6600</v>
      </c>
      <c r="AC407" s="497"/>
      <c r="AD407" s="498">
        <f>IF(Complete[[#This Row],[Procurement Project]]="","",SUM(Complete[[#This Row],[MOOE2]]+Complete[[#This Row],[CO3]]))</f>
        <v>2000</v>
      </c>
      <c r="AE407" s="501">
        <v>2000</v>
      </c>
      <c r="AF407" s="541"/>
      <c r="AG407" s="400"/>
      <c r="AH407" s="380" t="s">
        <v>1205</v>
      </c>
      <c r="AI407" s="576" t="str">
        <f>VLOOKUP(Complete[[#This Row],[Code
(PAP)]],[1]Sheet1!$A:$AO,35,FALSE)</f>
        <v>N/A</v>
      </c>
      <c r="AJ407" s="576" t="str">
        <f>VLOOKUP(Complete[[#This Row],[Code
(PAP)]],[1]Sheet1!$A:$AO,36,FALSE)</f>
        <v>N/A</v>
      </c>
      <c r="AK407" s="576" t="str">
        <f>VLOOKUP(Complete[[#This Row],[Code
(PAP)]],[1]Sheet1!$A:$AO,37,FALSE)</f>
        <v>N/A</v>
      </c>
      <c r="AL407" s="576" t="str">
        <f>VLOOKUP(Complete[[#This Row],[Code
(PAP)]],[1]Sheet1!$A:$AO,38,FALSE)</f>
        <v>N/A</v>
      </c>
      <c r="AM407" s="576" t="str">
        <f>VLOOKUP(Complete[[#This Row],[Code
(PAP)]],[1]Sheet1!$A:$AO,38,FALSE)</f>
        <v>N/A</v>
      </c>
      <c r="AN407" s="595" t="s">
        <v>713</v>
      </c>
      <c r="AO407" s="303" t="s">
        <v>139</v>
      </c>
      <c r="AP407" s="389"/>
      <c r="AQ407" s="389"/>
    </row>
    <row r="408" spans="1:43" s="224" customFormat="1" ht="75" customHeight="1" x14ac:dyDescent="0.25">
      <c r="A408" s="385" t="s">
        <v>586</v>
      </c>
      <c r="B408" s="406" t="str">
        <f>VLOOKUP(Complete[[#This Row],[Code
(PAP)]],[1]Sheet1!$A:$AO,2,FALSE)</f>
        <v>OIL, 2T</v>
      </c>
      <c r="C408" s="408" t="str">
        <f>VLOOKUP(Complete[[#This Row],[Code
(PAP)]],[1]Sheet1!$A:$AO,3,FALSE)</f>
        <v>PENRO</v>
      </c>
      <c r="D408" s="380" t="s">
        <v>712</v>
      </c>
      <c r="E408" s="409" t="str">
        <f>VLOOKUP(Complete[[#This Row],[Code
(PAP)]],[2]Sheet1!$A:$AO,5,FALSE)</f>
        <v>NP-53.9 - Small Value Procurement</v>
      </c>
      <c r="F408" s="393" t="str">
        <f>VLOOKUP(Complete[[#This Row],[Code
(PAP)]],[1]Sheet1!$A:$AO,6,FALSE)</f>
        <v>N/A</v>
      </c>
      <c r="G408" s="393">
        <f>VLOOKUP(Complete[[#This Row],[Code
(PAP)]],[1]Sheet1!$A:$AO,7,FALSE)</f>
        <v>45384</v>
      </c>
      <c r="H408" s="374"/>
      <c r="I408" s="394" t="str">
        <f>VLOOKUP(Complete[[#This Row],[Code
(PAP)]],[1]Sheet1!$A:$AO,9,FALSE)</f>
        <v>N/A</v>
      </c>
      <c r="J408" s="393">
        <f>VLOOKUP(Complete[[#This Row],[Code
(PAP)]],[1]Sheet1!$A:$AO,10,FALSE)</f>
        <v>45407</v>
      </c>
      <c r="K408" s="393">
        <f>VLOOKUP(Complete[[#This Row],[Code
(PAP)]],[1]Sheet1!$A:$AO,11,FALSE)</f>
        <v>45407</v>
      </c>
      <c r="L408" s="387"/>
      <c r="M408" s="393" t="str">
        <f>VLOOKUP(Complete[[#This Row],[Code
(PAP)]],[1]Sheet1!$A:$AO,13,FALSE)</f>
        <v>N/A</v>
      </c>
      <c r="N408" s="393" t="str">
        <f>VLOOKUP(Complete[[#This Row],[Code
(PAP)]],[1]Sheet1!$A:$AO,14,FALSE)</f>
        <v>N/A</v>
      </c>
      <c r="O408" s="393">
        <f>VLOOKUP(Complete[[#This Row],[Code
(PAP)]],[1]Sheet1!$A:$AO,15,FALSE)</f>
        <v>45411</v>
      </c>
      <c r="P408" s="387"/>
      <c r="Q408" s="387"/>
      <c r="R408" s="387"/>
      <c r="S408" s="576" t="s">
        <v>713</v>
      </c>
      <c r="T408" s="576">
        <f>VLOOKUP(Complete[[#This Row],[Code
(PAP)]],[1]Sheet1!$A:$AO,20,FALSE)</f>
        <v>45432</v>
      </c>
      <c r="U408" s="576">
        <f>VLOOKUP(Complete[[#This Row],[Code
(PAP)]],[1]Sheet1!$A:$AO,21,FALSE)</f>
        <v>45436</v>
      </c>
      <c r="V408" s="387"/>
      <c r="W408" s="387"/>
      <c r="X408" s="392">
        <f>VLOOKUP(Complete[[#This Row],[Code
(PAP)]],[1]Sheet1!$A:$AO,24,FALSE)</f>
        <v>45440</v>
      </c>
      <c r="Y408" s="392">
        <f>Complete[[#This Row],[Delivery/ Completion]]</f>
        <v>45440</v>
      </c>
      <c r="Z408" s="610" t="s">
        <v>1478</v>
      </c>
      <c r="AA408" s="462">
        <f>Complete[[#This Row],[MOOE]]+Complete[[#This Row],[CO]]</f>
        <v>408</v>
      </c>
      <c r="AB408" s="466"/>
      <c r="AC408" s="497">
        <v>408</v>
      </c>
      <c r="AD408" s="498">
        <f>IF(Complete[[#This Row],[Procurement Project]]="","",SUM(Complete[[#This Row],[MOOE2]]+Complete[[#This Row],[CO3]]))</f>
        <v>402</v>
      </c>
      <c r="AE408" s="501"/>
      <c r="AF408" s="541">
        <v>402</v>
      </c>
      <c r="AG408" s="400"/>
      <c r="AH408" s="380" t="s">
        <v>1205</v>
      </c>
      <c r="AI408" s="576" t="str">
        <f>VLOOKUP(Complete[[#This Row],[Code
(PAP)]],[1]Sheet1!$A:$AO,35,FALSE)</f>
        <v>N/A</v>
      </c>
      <c r="AJ408" s="576" t="str">
        <f>VLOOKUP(Complete[[#This Row],[Code
(PAP)]],[1]Sheet1!$A:$AO,36,FALSE)</f>
        <v>N/A</v>
      </c>
      <c r="AK408" s="576" t="str">
        <f>VLOOKUP(Complete[[#This Row],[Code
(PAP)]],[1]Sheet1!$A:$AO,37,FALSE)</f>
        <v>N/A</v>
      </c>
      <c r="AL408" s="576" t="str">
        <f>VLOOKUP(Complete[[#This Row],[Code
(PAP)]],[1]Sheet1!$A:$AO,38,FALSE)</f>
        <v>N/A</v>
      </c>
      <c r="AM408" s="576" t="str">
        <f>VLOOKUP(Complete[[#This Row],[Code
(PAP)]],[1]Sheet1!$A:$AO,38,FALSE)</f>
        <v>N/A</v>
      </c>
      <c r="AN408" s="595" t="s">
        <v>713</v>
      </c>
      <c r="AO408" s="303" t="s">
        <v>139</v>
      </c>
      <c r="AP408" s="389"/>
      <c r="AQ408" s="389"/>
    </row>
    <row r="409" spans="1:43" s="224" customFormat="1" ht="75" customHeight="1" x14ac:dyDescent="0.25">
      <c r="A409" s="385" t="s">
        <v>587</v>
      </c>
      <c r="B409" s="406" t="str">
        <f>VLOOKUP(Complete[[#This Row],[Code
(PAP)]],[1]Sheet1!$A:$AO,2,FALSE)</f>
        <v>TARPAULIN</v>
      </c>
      <c r="C409" s="408" t="str">
        <f>VLOOKUP(Complete[[#This Row],[Code
(PAP)]],[1]Sheet1!$A:$AO,3,FALSE)</f>
        <v>PSWDO</v>
      </c>
      <c r="D409" s="380" t="s">
        <v>712</v>
      </c>
      <c r="E409" s="409" t="str">
        <f>VLOOKUP(Complete[[#This Row],[Code
(PAP)]],[2]Sheet1!$A:$AO,5,FALSE)</f>
        <v>NP-53.9 - Small Value Procurement</v>
      </c>
      <c r="F409" s="393" t="str">
        <f>VLOOKUP(Complete[[#This Row],[Code
(PAP)]],[1]Sheet1!$A:$AO,6,FALSE)</f>
        <v>N/A</v>
      </c>
      <c r="G409" s="393">
        <f>VLOOKUP(Complete[[#This Row],[Code
(PAP)]],[1]Sheet1!$A:$AO,7,FALSE)</f>
        <v>45385</v>
      </c>
      <c r="H409" s="374"/>
      <c r="I409" s="394" t="str">
        <f>VLOOKUP(Complete[[#This Row],[Code
(PAP)]],[1]Sheet1!$A:$AO,9,FALSE)</f>
        <v>N/A</v>
      </c>
      <c r="J409" s="393">
        <f>VLOOKUP(Complete[[#This Row],[Code
(PAP)]],[1]Sheet1!$A:$AO,10,FALSE)</f>
        <v>45407</v>
      </c>
      <c r="K409" s="393">
        <f>VLOOKUP(Complete[[#This Row],[Code
(PAP)]],[1]Sheet1!$A:$AO,11,FALSE)</f>
        <v>45407</v>
      </c>
      <c r="L409" s="387"/>
      <c r="M409" s="393" t="str">
        <f>VLOOKUP(Complete[[#This Row],[Code
(PAP)]],[1]Sheet1!$A:$AO,13,FALSE)</f>
        <v>N/A</v>
      </c>
      <c r="N409" s="393" t="str">
        <f>VLOOKUP(Complete[[#This Row],[Code
(PAP)]],[1]Sheet1!$A:$AO,14,FALSE)</f>
        <v>N/A</v>
      </c>
      <c r="O409" s="393">
        <f>VLOOKUP(Complete[[#This Row],[Code
(PAP)]],[1]Sheet1!$A:$AO,15,FALSE)</f>
        <v>45411</v>
      </c>
      <c r="P409" s="387"/>
      <c r="Q409" s="387"/>
      <c r="R409" s="387"/>
      <c r="S409" s="576" t="s">
        <v>713</v>
      </c>
      <c r="T409" s="576">
        <f>VLOOKUP(Complete[[#This Row],[Code
(PAP)]],[1]Sheet1!$A:$AO,20,FALSE)</f>
        <v>45425</v>
      </c>
      <c r="U409" s="576">
        <f>VLOOKUP(Complete[[#This Row],[Code
(PAP)]],[1]Sheet1!$A:$AO,21,FALSE)</f>
        <v>45435</v>
      </c>
      <c r="V409" s="387"/>
      <c r="W409" s="387"/>
      <c r="X409" s="392">
        <f>VLOOKUP(Complete[[#This Row],[Code
(PAP)]],[1]Sheet1!$A:$AO,24,FALSE)</f>
        <v>45462</v>
      </c>
      <c r="Y409" s="392">
        <f>Complete[[#This Row],[Delivery/ Completion]]</f>
        <v>45462</v>
      </c>
      <c r="Z409" s="610" t="s">
        <v>1478</v>
      </c>
      <c r="AA409" s="462">
        <f>Complete[[#This Row],[MOOE]]+Complete[[#This Row],[CO]]</f>
        <v>6720</v>
      </c>
      <c r="AB409" s="466"/>
      <c r="AC409" s="497">
        <v>6720</v>
      </c>
      <c r="AD409" s="498">
        <f>IF(Complete[[#This Row],[Procurement Project]]="","",SUM(Complete[[#This Row],[MOOE2]]+Complete[[#This Row],[CO3]]))</f>
        <v>6720</v>
      </c>
      <c r="AE409" s="501"/>
      <c r="AF409" s="541">
        <v>6720</v>
      </c>
      <c r="AG409" s="400"/>
      <c r="AH409" s="380" t="s">
        <v>1205</v>
      </c>
      <c r="AI409" s="576" t="str">
        <f>VLOOKUP(Complete[[#This Row],[Code
(PAP)]],[1]Sheet1!$A:$AO,35,FALSE)</f>
        <v>N/A</v>
      </c>
      <c r="AJ409" s="576" t="str">
        <f>VLOOKUP(Complete[[#This Row],[Code
(PAP)]],[1]Sheet1!$A:$AO,36,FALSE)</f>
        <v>N/A</v>
      </c>
      <c r="AK409" s="576" t="str">
        <f>VLOOKUP(Complete[[#This Row],[Code
(PAP)]],[1]Sheet1!$A:$AO,37,FALSE)</f>
        <v>N/A</v>
      </c>
      <c r="AL409" s="576" t="str">
        <f>VLOOKUP(Complete[[#This Row],[Code
(PAP)]],[1]Sheet1!$A:$AO,38,FALSE)</f>
        <v>N/A</v>
      </c>
      <c r="AM409" s="576" t="str">
        <f>VLOOKUP(Complete[[#This Row],[Code
(PAP)]],[1]Sheet1!$A:$AO,38,FALSE)</f>
        <v>N/A</v>
      </c>
      <c r="AN409" s="595" t="s">
        <v>713</v>
      </c>
      <c r="AO409" s="303" t="s">
        <v>139</v>
      </c>
      <c r="AP409" s="389"/>
      <c r="AQ409" s="389"/>
    </row>
    <row r="410" spans="1:43" s="224" customFormat="1" ht="75" customHeight="1" x14ac:dyDescent="0.25">
      <c r="A410" s="385" t="s">
        <v>588</v>
      </c>
      <c r="B410" s="406" t="str">
        <f>VLOOKUP(Complete[[#This Row],[Code
(PAP)]],[1]Sheet1!$A:$AO,2,FALSE)</f>
        <v>JANITORIAL SUPPLIES</v>
      </c>
      <c r="C410" s="408" t="str">
        <f>VLOOKUP(Complete[[#This Row],[Code
(PAP)]],[1]Sheet1!$A:$AO,3,FALSE)</f>
        <v>PHO</v>
      </c>
      <c r="D410" s="380" t="s">
        <v>712</v>
      </c>
      <c r="E410" s="409" t="str">
        <f>VLOOKUP(Complete[[#This Row],[Code
(PAP)]],[2]Sheet1!$A:$AO,5,FALSE)</f>
        <v>NP-53.9 - Small Value Procurement</v>
      </c>
      <c r="F410" s="393" t="str">
        <f>VLOOKUP(Complete[[#This Row],[Code
(PAP)]],[1]Sheet1!$A:$AO,6,FALSE)</f>
        <v>N/A</v>
      </c>
      <c r="G410" s="393">
        <f>VLOOKUP(Complete[[#This Row],[Code
(PAP)]],[1]Sheet1!$A:$AO,7,FALSE)</f>
        <v>45376</v>
      </c>
      <c r="H410" s="374"/>
      <c r="I410" s="394" t="str">
        <f>VLOOKUP(Complete[[#This Row],[Code
(PAP)]],[1]Sheet1!$A:$AO,9,FALSE)</f>
        <v>N/A</v>
      </c>
      <c r="J410" s="393">
        <f>VLOOKUP(Complete[[#This Row],[Code
(PAP)]],[1]Sheet1!$A:$AO,10,FALSE)</f>
        <v>45407</v>
      </c>
      <c r="K410" s="393">
        <f>VLOOKUP(Complete[[#This Row],[Code
(PAP)]],[1]Sheet1!$A:$AO,11,FALSE)</f>
        <v>45407</v>
      </c>
      <c r="L410" s="387"/>
      <c r="M410" s="393" t="str">
        <f>VLOOKUP(Complete[[#This Row],[Code
(PAP)]],[1]Sheet1!$A:$AO,13,FALSE)</f>
        <v>N/A</v>
      </c>
      <c r="N410" s="393" t="str">
        <f>VLOOKUP(Complete[[#This Row],[Code
(PAP)]],[1]Sheet1!$A:$AO,14,FALSE)</f>
        <v>N/A</v>
      </c>
      <c r="O410" s="393">
        <f>VLOOKUP(Complete[[#This Row],[Code
(PAP)]],[1]Sheet1!$A:$AO,15,FALSE)</f>
        <v>45411</v>
      </c>
      <c r="P410" s="387"/>
      <c r="Q410" s="387"/>
      <c r="R410" s="387"/>
      <c r="S410" s="576">
        <v>45421</v>
      </c>
      <c r="T410" s="576">
        <f>VLOOKUP(Complete[[#This Row],[Code
(PAP)]],[1]Sheet1!$A:$AO,20,FALSE)</f>
        <v>45425</v>
      </c>
      <c r="U410" s="576">
        <f>VLOOKUP(Complete[[#This Row],[Code
(PAP)]],[1]Sheet1!$A:$AO,21,FALSE)</f>
        <v>45433</v>
      </c>
      <c r="V410" s="387"/>
      <c r="W410" s="387"/>
      <c r="X410" s="392">
        <f>VLOOKUP(Complete[[#This Row],[Code
(PAP)]],[1]Sheet1!$A:$AO,24,FALSE)</f>
        <v>45458</v>
      </c>
      <c r="Y410" s="392">
        <f>Complete[[#This Row],[Delivery/ Completion]]</f>
        <v>45458</v>
      </c>
      <c r="Z410" s="610" t="s">
        <v>1478</v>
      </c>
      <c r="AA410" s="462">
        <f>Complete[[#This Row],[MOOE]]+Complete[[#This Row],[CO]]</f>
        <v>115118.6</v>
      </c>
      <c r="AB410" s="466">
        <v>115118.6</v>
      </c>
      <c r="AC410" s="497"/>
      <c r="AD410" s="498">
        <f>IF(Complete[[#This Row],[Procurement Project]]="","",SUM(Complete[[#This Row],[MOOE2]]+Complete[[#This Row],[CO3]]))</f>
        <v>110548</v>
      </c>
      <c r="AE410" s="501">
        <v>110548</v>
      </c>
      <c r="AF410" s="541"/>
      <c r="AG410" s="400"/>
      <c r="AH410" s="380" t="s">
        <v>1205</v>
      </c>
      <c r="AI410" s="576" t="str">
        <f>VLOOKUP(Complete[[#This Row],[Code
(PAP)]],[1]Sheet1!$A:$AO,35,FALSE)</f>
        <v>N/A</v>
      </c>
      <c r="AJ410" s="576" t="str">
        <f>VLOOKUP(Complete[[#This Row],[Code
(PAP)]],[1]Sheet1!$A:$AO,36,FALSE)</f>
        <v>N/A</v>
      </c>
      <c r="AK410" s="576" t="str">
        <f>VLOOKUP(Complete[[#This Row],[Code
(PAP)]],[1]Sheet1!$A:$AO,37,FALSE)</f>
        <v>N/A</v>
      </c>
      <c r="AL410" s="576" t="str">
        <f>VLOOKUP(Complete[[#This Row],[Code
(PAP)]],[1]Sheet1!$A:$AO,38,FALSE)</f>
        <v>N/A</v>
      </c>
      <c r="AM410" s="576" t="str">
        <f>VLOOKUP(Complete[[#This Row],[Code
(PAP)]],[1]Sheet1!$A:$AO,38,FALSE)</f>
        <v>N/A</v>
      </c>
      <c r="AN410" s="595" t="s">
        <v>713</v>
      </c>
      <c r="AO410" s="303" t="s">
        <v>139</v>
      </c>
      <c r="AP410" s="389"/>
      <c r="AQ410" s="389"/>
    </row>
    <row r="411" spans="1:43" s="224" customFormat="1" ht="75" customHeight="1" x14ac:dyDescent="0.25">
      <c r="A411" s="385" t="s">
        <v>589</v>
      </c>
      <c r="B411" s="406" t="str">
        <f>VLOOKUP(Complete[[#This Row],[Code
(PAP)]],[1]Sheet1!$A:$AO,2,FALSE)</f>
        <v>SPAREPARTS (LIGHT VEHICLES)</v>
      </c>
      <c r="C411" s="408" t="str">
        <f>VLOOKUP(Complete[[#This Row],[Code
(PAP)]],[1]Sheet1!$A:$AO,3,FALSE)</f>
        <v>PEEMO</v>
      </c>
      <c r="D411" s="380" t="s">
        <v>712</v>
      </c>
      <c r="E411" s="409" t="str">
        <f>VLOOKUP(Complete[[#This Row],[Code
(PAP)]],[2]Sheet1!$A:$AO,5,FALSE)</f>
        <v>NP-53.9 - Small Value Procurement</v>
      </c>
      <c r="F411" s="393" t="str">
        <f>VLOOKUP(Complete[[#This Row],[Code
(PAP)]],[1]Sheet1!$A:$AO,6,FALSE)</f>
        <v>N/A</v>
      </c>
      <c r="G411" s="393">
        <f>VLOOKUP(Complete[[#This Row],[Code
(PAP)]],[1]Sheet1!$A:$AO,7,FALSE)</f>
        <v>45385</v>
      </c>
      <c r="H411" s="374"/>
      <c r="I411" s="394" t="str">
        <f>VLOOKUP(Complete[[#This Row],[Code
(PAP)]],[1]Sheet1!$A:$AO,9,FALSE)</f>
        <v>N/A</v>
      </c>
      <c r="J411" s="393">
        <f>VLOOKUP(Complete[[#This Row],[Code
(PAP)]],[1]Sheet1!$A:$AO,10,FALSE)</f>
        <v>45407</v>
      </c>
      <c r="K411" s="393">
        <f>VLOOKUP(Complete[[#This Row],[Code
(PAP)]],[1]Sheet1!$A:$AO,11,FALSE)</f>
        <v>45407</v>
      </c>
      <c r="L411" s="387"/>
      <c r="M411" s="393" t="str">
        <f>VLOOKUP(Complete[[#This Row],[Code
(PAP)]],[1]Sheet1!$A:$AO,13,FALSE)</f>
        <v>N/A</v>
      </c>
      <c r="N411" s="393" t="str">
        <f>VLOOKUP(Complete[[#This Row],[Code
(PAP)]],[1]Sheet1!$A:$AO,14,FALSE)</f>
        <v>N/A</v>
      </c>
      <c r="O411" s="393">
        <f>VLOOKUP(Complete[[#This Row],[Code
(PAP)]],[1]Sheet1!$A:$AO,15,FALSE)</f>
        <v>45411</v>
      </c>
      <c r="P411" s="387"/>
      <c r="Q411" s="387"/>
      <c r="R411" s="387"/>
      <c r="S411" s="576">
        <v>45420</v>
      </c>
      <c r="T411" s="576">
        <f>VLOOKUP(Complete[[#This Row],[Code
(PAP)]],[1]Sheet1!$A:$AO,20,FALSE)</f>
        <v>45433</v>
      </c>
      <c r="U411" s="576">
        <f>VLOOKUP(Complete[[#This Row],[Code
(PAP)]],[1]Sheet1!$A:$AO,21,FALSE)</f>
        <v>45436</v>
      </c>
      <c r="V411" s="387"/>
      <c r="W411" s="387"/>
      <c r="X411" s="392">
        <f>VLOOKUP(Complete[[#This Row],[Code
(PAP)]],[1]Sheet1!$A:$AO,24,FALSE)</f>
        <v>45468</v>
      </c>
      <c r="Y411" s="392">
        <f>Complete[[#This Row],[Delivery/ Completion]]</f>
        <v>45468</v>
      </c>
      <c r="Z411" s="610" t="s">
        <v>1478</v>
      </c>
      <c r="AA411" s="462">
        <f>Complete[[#This Row],[MOOE]]+Complete[[#This Row],[CO]]</f>
        <v>233417</v>
      </c>
      <c r="AB411" s="466">
        <v>233417</v>
      </c>
      <c r="AC411" s="497"/>
      <c r="AD411" s="498">
        <f>IF(Complete[[#This Row],[Procurement Project]]="","",SUM(Complete[[#This Row],[MOOE2]]+Complete[[#This Row],[CO3]]))</f>
        <v>228172</v>
      </c>
      <c r="AE411" s="501">
        <v>228172</v>
      </c>
      <c r="AF411" s="541"/>
      <c r="AG411" s="400"/>
      <c r="AH411" s="380" t="s">
        <v>1205</v>
      </c>
      <c r="AI411" s="576" t="str">
        <f>VLOOKUP(Complete[[#This Row],[Code
(PAP)]],[1]Sheet1!$A:$AO,35,FALSE)</f>
        <v>N/A</v>
      </c>
      <c r="AJ411" s="576" t="str">
        <f>VLOOKUP(Complete[[#This Row],[Code
(PAP)]],[1]Sheet1!$A:$AO,36,FALSE)</f>
        <v>N/A</v>
      </c>
      <c r="AK411" s="576" t="str">
        <f>VLOOKUP(Complete[[#This Row],[Code
(PAP)]],[1]Sheet1!$A:$AO,37,FALSE)</f>
        <v>N/A</v>
      </c>
      <c r="AL411" s="576" t="str">
        <f>VLOOKUP(Complete[[#This Row],[Code
(PAP)]],[1]Sheet1!$A:$AO,38,FALSE)</f>
        <v>N/A</v>
      </c>
      <c r="AM411" s="576" t="str">
        <f>VLOOKUP(Complete[[#This Row],[Code
(PAP)]],[1]Sheet1!$A:$AO,38,FALSE)</f>
        <v>N/A</v>
      </c>
      <c r="AN411" s="595" t="s">
        <v>713</v>
      </c>
      <c r="AO411" s="303" t="s">
        <v>139</v>
      </c>
      <c r="AP411" s="389"/>
      <c r="AQ411" s="389"/>
    </row>
    <row r="412" spans="1:43" s="224" customFormat="1" ht="75" customHeight="1" x14ac:dyDescent="0.25">
      <c r="A412" s="385" t="s">
        <v>590</v>
      </c>
      <c r="B412" s="406" t="str">
        <f>VLOOKUP(Complete[[#This Row],[Code
(PAP)]],[1]Sheet1!$A:$AO,2,FALSE)</f>
        <v>TARPAULIN</v>
      </c>
      <c r="C412" s="408" t="str">
        <f>VLOOKUP(Complete[[#This Row],[Code
(PAP)]],[1]Sheet1!$A:$AO,3,FALSE)</f>
        <v>PGO</v>
      </c>
      <c r="D412" s="380" t="s">
        <v>712</v>
      </c>
      <c r="E412" s="409" t="str">
        <f>VLOOKUP(Complete[[#This Row],[Code
(PAP)]],[2]Sheet1!$A:$AO,5,FALSE)</f>
        <v>NP-53.9 - Small Value Procurement</v>
      </c>
      <c r="F412" s="393" t="str">
        <f>VLOOKUP(Complete[[#This Row],[Code
(PAP)]],[1]Sheet1!$A:$AO,6,FALSE)</f>
        <v>N/A</v>
      </c>
      <c r="G412" s="393">
        <f>VLOOKUP(Complete[[#This Row],[Code
(PAP)]],[1]Sheet1!$A:$AO,7,FALSE)</f>
        <v>45385</v>
      </c>
      <c r="H412" s="374"/>
      <c r="I412" s="394" t="str">
        <f>VLOOKUP(Complete[[#This Row],[Code
(PAP)]],[1]Sheet1!$A:$AO,9,FALSE)</f>
        <v>N/A</v>
      </c>
      <c r="J412" s="393">
        <f>VLOOKUP(Complete[[#This Row],[Code
(PAP)]],[1]Sheet1!$A:$AO,10,FALSE)</f>
        <v>45407</v>
      </c>
      <c r="K412" s="393">
        <f>VLOOKUP(Complete[[#This Row],[Code
(PAP)]],[1]Sheet1!$A:$AO,11,FALSE)</f>
        <v>45407</v>
      </c>
      <c r="L412" s="387"/>
      <c r="M412" s="393" t="str">
        <f>VLOOKUP(Complete[[#This Row],[Code
(PAP)]],[1]Sheet1!$A:$AO,13,FALSE)</f>
        <v>N/A</v>
      </c>
      <c r="N412" s="393" t="str">
        <f>VLOOKUP(Complete[[#This Row],[Code
(PAP)]],[1]Sheet1!$A:$AO,14,FALSE)</f>
        <v>N/A</v>
      </c>
      <c r="O412" s="393">
        <f>VLOOKUP(Complete[[#This Row],[Code
(PAP)]],[1]Sheet1!$A:$AO,15,FALSE)</f>
        <v>45411</v>
      </c>
      <c r="P412" s="387"/>
      <c r="Q412" s="387"/>
      <c r="R412" s="387"/>
      <c r="S412" s="576" t="s">
        <v>713</v>
      </c>
      <c r="T412" s="576">
        <f>VLOOKUP(Complete[[#This Row],[Code
(PAP)]],[1]Sheet1!$A:$AO,20,FALSE)</f>
        <v>45427</v>
      </c>
      <c r="U412" s="576">
        <f>VLOOKUP(Complete[[#This Row],[Code
(PAP)]],[1]Sheet1!$A:$AO,21,FALSE)</f>
        <v>45446</v>
      </c>
      <c r="V412" s="387"/>
      <c r="W412" s="387"/>
      <c r="X412" s="392">
        <f>VLOOKUP(Complete[[#This Row],[Code
(PAP)]],[1]Sheet1!$A:$AO,24,FALSE)</f>
        <v>45462</v>
      </c>
      <c r="Y412" s="392">
        <f>Complete[[#This Row],[Delivery/ Completion]]</f>
        <v>45462</v>
      </c>
      <c r="Z412" s="610" t="s">
        <v>1478</v>
      </c>
      <c r="AA412" s="462">
        <f>Complete[[#This Row],[MOOE]]+Complete[[#This Row],[CO]]</f>
        <v>42784</v>
      </c>
      <c r="AB412" s="466"/>
      <c r="AC412" s="497">
        <v>42784</v>
      </c>
      <c r="AD412" s="498">
        <f>IF(Complete[[#This Row],[Procurement Project]]="","",SUM(Complete[[#This Row],[MOOE2]]+Complete[[#This Row],[CO3]]))</f>
        <v>42784</v>
      </c>
      <c r="AE412" s="501"/>
      <c r="AF412" s="541">
        <v>42784</v>
      </c>
      <c r="AG412" s="400"/>
      <c r="AH412" s="380" t="s">
        <v>1205</v>
      </c>
      <c r="AI412" s="576" t="str">
        <f>VLOOKUP(Complete[[#This Row],[Code
(PAP)]],[1]Sheet1!$A:$AO,35,FALSE)</f>
        <v>N/A</v>
      </c>
      <c r="AJ412" s="576" t="str">
        <f>VLOOKUP(Complete[[#This Row],[Code
(PAP)]],[1]Sheet1!$A:$AO,36,FALSE)</f>
        <v>N/A</v>
      </c>
      <c r="AK412" s="576" t="str">
        <f>VLOOKUP(Complete[[#This Row],[Code
(PAP)]],[1]Sheet1!$A:$AO,37,FALSE)</f>
        <v>N/A</v>
      </c>
      <c r="AL412" s="576" t="str">
        <f>VLOOKUP(Complete[[#This Row],[Code
(PAP)]],[1]Sheet1!$A:$AO,38,FALSE)</f>
        <v>N/A</v>
      </c>
      <c r="AM412" s="576" t="str">
        <f>VLOOKUP(Complete[[#This Row],[Code
(PAP)]],[1]Sheet1!$A:$AO,38,FALSE)</f>
        <v>N/A</v>
      </c>
      <c r="AN412" s="595" t="s">
        <v>713</v>
      </c>
      <c r="AO412" s="303" t="s">
        <v>139</v>
      </c>
      <c r="AP412" s="389"/>
      <c r="AQ412" s="389"/>
    </row>
    <row r="413" spans="1:43" s="224" customFormat="1" ht="75" customHeight="1" x14ac:dyDescent="0.25">
      <c r="A413" s="385" t="s">
        <v>591</v>
      </c>
      <c r="B413" s="406" t="str">
        <f>VLOOKUP(Complete[[#This Row],[Code
(PAP)]],[1]Sheet1!$A:$AO,2,FALSE)</f>
        <v>SAFETY GEARS &amp; EQUIPMENT</v>
      </c>
      <c r="C413" s="408" t="str">
        <f>VLOOKUP(Complete[[#This Row],[Code
(PAP)]],[1]Sheet1!$A:$AO,3,FALSE)</f>
        <v>PTO</v>
      </c>
      <c r="D413" s="380" t="s">
        <v>712</v>
      </c>
      <c r="E413" s="409" t="str">
        <f>VLOOKUP(Complete[[#This Row],[Code
(PAP)]],[2]Sheet1!$A:$AO,5,FALSE)</f>
        <v>NP-53.9 - Small Value Procurement</v>
      </c>
      <c r="F413" s="393" t="str">
        <f>VLOOKUP(Complete[[#This Row],[Code
(PAP)]],[1]Sheet1!$A:$AO,6,FALSE)</f>
        <v>N/A</v>
      </c>
      <c r="G413" s="393">
        <f>VLOOKUP(Complete[[#This Row],[Code
(PAP)]],[1]Sheet1!$A:$AO,7,FALSE)</f>
        <v>45376</v>
      </c>
      <c r="H413" s="374"/>
      <c r="I413" s="394" t="str">
        <f>VLOOKUP(Complete[[#This Row],[Code
(PAP)]],[1]Sheet1!$A:$AO,9,FALSE)</f>
        <v>N/A</v>
      </c>
      <c r="J413" s="393">
        <f>VLOOKUP(Complete[[#This Row],[Code
(PAP)]],[1]Sheet1!$A:$AO,10,FALSE)</f>
        <v>45407</v>
      </c>
      <c r="K413" s="393">
        <f>VLOOKUP(Complete[[#This Row],[Code
(PAP)]],[1]Sheet1!$A:$AO,11,FALSE)</f>
        <v>45407</v>
      </c>
      <c r="L413" s="387"/>
      <c r="M413" s="393" t="str">
        <f>VLOOKUP(Complete[[#This Row],[Code
(PAP)]],[1]Sheet1!$A:$AO,13,FALSE)</f>
        <v>N/A</v>
      </c>
      <c r="N413" s="393" t="str">
        <f>VLOOKUP(Complete[[#This Row],[Code
(PAP)]],[1]Sheet1!$A:$AO,14,FALSE)</f>
        <v>N/A</v>
      </c>
      <c r="O413" s="393">
        <f>VLOOKUP(Complete[[#This Row],[Code
(PAP)]],[1]Sheet1!$A:$AO,15,FALSE)</f>
        <v>45411</v>
      </c>
      <c r="P413" s="387"/>
      <c r="Q413" s="387"/>
      <c r="R413" s="387"/>
      <c r="S413" s="576" t="s">
        <v>713</v>
      </c>
      <c r="T413" s="576">
        <f>VLOOKUP(Complete[[#This Row],[Code
(PAP)]],[1]Sheet1!$A:$AO,20,FALSE)</f>
        <v>45425</v>
      </c>
      <c r="U413" s="576">
        <f>VLOOKUP(Complete[[#This Row],[Code
(PAP)]],[1]Sheet1!$A:$AO,21,FALSE)</f>
        <v>45433</v>
      </c>
      <c r="V413" s="387"/>
      <c r="W413" s="387"/>
      <c r="X413" s="392">
        <f>VLOOKUP(Complete[[#This Row],[Code
(PAP)]],[1]Sheet1!$A:$AO,24,FALSE)</f>
        <v>45464</v>
      </c>
      <c r="Y413" s="392">
        <f>Complete[[#This Row],[Delivery/ Completion]]</f>
        <v>45464</v>
      </c>
      <c r="Z413" s="610" t="s">
        <v>1478</v>
      </c>
      <c r="AA413" s="462">
        <f>Complete[[#This Row],[MOOE]]+Complete[[#This Row],[CO]]</f>
        <v>45496</v>
      </c>
      <c r="AB413" s="466">
        <v>45496</v>
      </c>
      <c r="AC413" s="497"/>
      <c r="AD413" s="498">
        <f>IF(Complete[[#This Row],[Procurement Project]]="","",SUM(Complete[[#This Row],[MOOE2]]+Complete[[#This Row],[CO3]]))</f>
        <v>45475</v>
      </c>
      <c r="AE413" s="501">
        <v>45475</v>
      </c>
      <c r="AF413" s="541"/>
      <c r="AG413" s="400"/>
      <c r="AH413" s="380" t="s">
        <v>1205</v>
      </c>
      <c r="AI413" s="576" t="str">
        <f>VLOOKUP(Complete[[#This Row],[Code
(PAP)]],[1]Sheet1!$A:$AO,35,FALSE)</f>
        <v>N/A</v>
      </c>
      <c r="AJ413" s="576" t="str">
        <f>VLOOKUP(Complete[[#This Row],[Code
(PAP)]],[1]Sheet1!$A:$AO,36,FALSE)</f>
        <v>N/A</v>
      </c>
      <c r="AK413" s="576" t="str">
        <f>VLOOKUP(Complete[[#This Row],[Code
(PAP)]],[1]Sheet1!$A:$AO,37,FALSE)</f>
        <v>N/A</v>
      </c>
      <c r="AL413" s="576" t="str">
        <f>VLOOKUP(Complete[[#This Row],[Code
(PAP)]],[1]Sheet1!$A:$AO,38,FALSE)</f>
        <v>N/A</v>
      </c>
      <c r="AM413" s="576" t="str">
        <f>VLOOKUP(Complete[[#This Row],[Code
(PAP)]],[1]Sheet1!$A:$AO,38,FALSE)</f>
        <v>N/A</v>
      </c>
      <c r="AN413" s="595" t="s">
        <v>713</v>
      </c>
      <c r="AO413" s="303" t="s">
        <v>139</v>
      </c>
      <c r="AP413" s="389"/>
      <c r="AQ413" s="389"/>
    </row>
    <row r="414" spans="1:43" s="224" customFormat="1" ht="75" customHeight="1" x14ac:dyDescent="0.25">
      <c r="A414" s="385" t="s">
        <v>592</v>
      </c>
      <c r="B414" s="406" t="str">
        <f>VLOOKUP(Complete[[#This Row],[Code
(PAP)]],[1]Sheet1!$A:$AO,2,FALSE)</f>
        <v>FIRST AID KIT</v>
      </c>
      <c r="C414" s="408" t="str">
        <f>VLOOKUP(Complete[[#This Row],[Code
(PAP)]],[1]Sheet1!$A:$AO,3,FALSE)</f>
        <v>PGO</v>
      </c>
      <c r="D414" s="380" t="s">
        <v>712</v>
      </c>
      <c r="E414" s="409" t="str">
        <f>VLOOKUP(Complete[[#This Row],[Code
(PAP)]],[2]Sheet1!$A:$AO,5,FALSE)</f>
        <v>NP-53.9 - Small Value Procurement</v>
      </c>
      <c r="F414" s="393" t="str">
        <f>VLOOKUP(Complete[[#This Row],[Code
(PAP)]],[1]Sheet1!$A:$AO,6,FALSE)</f>
        <v>N/A</v>
      </c>
      <c r="G414" s="393">
        <f>VLOOKUP(Complete[[#This Row],[Code
(PAP)]],[1]Sheet1!$A:$AO,7,FALSE)</f>
        <v>45385</v>
      </c>
      <c r="H414" s="374"/>
      <c r="I414" s="394" t="str">
        <f>VLOOKUP(Complete[[#This Row],[Code
(PAP)]],[1]Sheet1!$A:$AO,9,FALSE)</f>
        <v>N/A</v>
      </c>
      <c r="J414" s="393">
        <f>VLOOKUP(Complete[[#This Row],[Code
(PAP)]],[1]Sheet1!$A:$AO,10,FALSE)</f>
        <v>45407</v>
      </c>
      <c r="K414" s="393">
        <f>VLOOKUP(Complete[[#This Row],[Code
(PAP)]],[1]Sheet1!$A:$AO,11,FALSE)</f>
        <v>45407</v>
      </c>
      <c r="L414" s="387"/>
      <c r="M414" s="393" t="str">
        <f>VLOOKUP(Complete[[#This Row],[Code
(PAP)]],[1]Sheet1!$A:$AO,13,FALSE)</f>
        <v>N/A</v>
      </c>
      <c r="N414" s="393" t="str">
        <f>VLOOKUP(Complete[[#This Row],[Code
(PAP)]],[1]Sheet1!$A:$AO,14,FALSE)</f>
        <v>N/A</v>
      </c>
      <c r="O414" s="393">
        <f>VLOOKUP(Complete[[#This Row],[Code
(PAP)]],[1]Sheet1!$A:$AO,15,FALSE)</f>
        <v>45411</v>
      </c>
      <c r="P414" s="387"/>
      <c r="Q414" s="387"/>
      <c r="R414" s="387"/>
      <c r="S414" s="576" t="s">
        <v>713</v>
      </c>
      <c r="T414" s="576">
        <f>VLOOKUP(Complete[[#This Row],[Code
(PAP)]],[1]Sheet1!$A:$AO,20,FALSE)</f>
        <v>45432</v>
      </c>
      <c r="U414" s="576">
        <f>VLOOKUP(Complete[[#This Row],[Code
(PAP)]],[1]Sheet1!$A:$AO,21,FALSE)</f>
        <v>45436</v>
      </c>
      <c r="V414" s="387"/>
      <c r="W414" s="387"/>
      <c r="X414" s="392">
        <f>VLOOKUP(Complete[[#This Row],[Code
(PAP)]],[1]Sheet1!$A:$AO,24,FALSE)</f>
        <v>45464</v>
      </c>
      <c r="Y414" s="392">
        <f>Complete[[#This Row],[Delivery/ Completion]]</f>
        <v>45464</v>
      </c>
      <c r="Z414" s="610" t="s">
        <v>1478</v>
      </c>
      <c r="AA414" s="462">
        <f>Complete[[#This Row],[MOOE]]+Complete[[#This Row],[CO]]</f>
        <v>4000</v>
      </c>
      <c r="AB414" s="466"/>
      <c r="AC414" s="497">
        <v>4000</v>
      </c>
      <c r="AD414" s="498">
        <f>IF(Complete[[#This Row],[Procurement Project]]="","",SUM(Complete[[#This Row],[MOOE2]]+Complete[[#This Row],[CO3]]))</f>
        <v>3990</v>
      </c>
      <c r="AE414" s="501"/>
      <c r="AF414" s="541">
        <v>3990</v>
      </c>
      <c r="AG414" s="400"/>
      <c r="AH414" s="380" t="s">
        <v>1205</v>
      </c>
      <c r="AI414" s="576" t="str">
        <f>VLOOKUP(Complete[[#This Row],[Code
(PAP)]],[1]Sheet1!$A:$AO,35,FALSE)</f>
        <v>N/A</v>
      </c>
      <c r="AJ414" s="576" t="str">
        <f>VLOOKUP(Complete[[#This Row],[Code
(PAP)]],[1]Sheet1!$A:$AO,36,FALSE)</f>
        <v>N/A</v>
      </c>
      <c r="AK414" s="576" t="str">
        <f>VLOOKUP(Complete[[#This Row],[Code
(PAP)]],[1]Sheet1!$A:$AO,37,FALSE)</f>
        <v>N/A</v>
      </c>
      <c r="AL414" s="576" t="str">
        <f>VLOOKUP(Complete[[#This Row],[Code
(PAP)]],[1]Sheet1!$A:$AO,38,FALSE)</f>
        <v>N/A</v>
      </c>
      <c r="AM414" s="576" t="str">
        <f>VLOOKUP(Complete[[#This Row],[Code
(PAP)]],[1]Sheet1!$A:$AO,38,FALSE)</f>
        <v>N/A</v>
      </c>
      <c r="AN414" s="595" t="s">
        <v>713</v>
      </c>
      <c r="AO414" s="303" t="s">
        <v>139</v>
      </c>
      <c r="AP414" s="389"/>
      <c r="AQ414" s="389"/>
    </row>
    <row r="415" spans="1:43" s="224" customFormat="1" ht="75" customHeight="1" x14ac:dyDescent="0.25">
      <c r="A415" s="385" t="s">
        <v>593</v>
      </c>
      <c r="B415" s="406" t="str">
        <f>VLOOKUP(Complete[[#This Row],[Code
(PAP)]],[1]Sheet1!$A:$AO,2,FALSE)</f>
        <v>CHAIR, MONOBLOC</v>
      </c>
      <c r="C415" s="408" t="str">
        <f>VLOOKUP(Complete[[#This Row],[Code
(PAP)]],[1]Sheet1!$A:$AO,3,FALSE)</f>
        <v>SEF</v>
      </c>
      <c r="D415" s="380" t="s">
        <v>712</v>
      </c>
      <c r="E415" s="409" t="str">
        <f>VLOOKUP(Complete[[#This Row],[Code
(PAP)]],[2]Sheet1!$A:$AO,5,FALSE)</f>
        <v>NP-53.9 - Small Value Procurement</v>
      </c>
      <c r="F415" s="393" t="str">
        <f>VLOOKUP(Complete[[#This Row],[Code
(PAP)]],[1]Sheet1!$A:$AO,6,FALSE)</f>
        <v>N/A</v>
      </c>
      <c r="G415" s="393">
        <f>VLOOKUP(Complete[[#This Row],[Code
(PAP)]],[1]Sheet1!$A:$AO,7,FALSE)</f>
        <v>45384</v>
      </c>
      <c r="H415" s="374"/>
      <c r="I415" s="394" t="str">
        <f>VLOOKUP(Complete[[#This Row],[Code
(PAP)]],[1]Sheet1!$A:$AO,9,FALSE)</f>
        <v>N/A</v>
      </c>
      <c r="J415" s="393">
        <f>VLOOKUP(Complete[[#This Row],[Code
(PAP)]],[1]Sheet1!$A:$AO,10,FALSE)</f>
        <v>45407</v>
      </c>
      <c r="K415" s="393">
        <f>VLOOKUP(Complete[[#This Row],[Code
(PAP)]],[1]Sheet1!$A:$AO,11,FALSE)</f>
        <v>45407</v>
      </c>
      <c r="L415" s="387"/>
      <c r="M415" s="393" t="str">
        <f>VLOOKUP(Complete[[#This Row],[Code
(PAP)]],[1]Sheet1!$A:$AO,13,FALSE)</f>
        <v>N/A</v>
      </c>
      <c r="N415" s="393" t="str">
        <f>VLOOKUP(Complete[[#This Row],[Code
(PAP)]],[1]Sheet1!$A:$AO,14,FALSE)</f>
        <v>N/A</v>
      </c>
      <c r="O415" s="393">
        <f>VLOOKUP(Complete[[#This Row],[Code
(PAP)]],[1]Sheet1!$A:$AO,15,FALSE)</f>
        <v>45411</v>
      </c>
      <c r="P415" s="387"/>
      <c r="Q415" s="387"/>
      <c r="R415" s="387"/>
      <c r="S415" s="576">
        <v>45418</v>
      </c>
      <c r="T415" s="576">
        <f>VLOOKUP(Complete[[#This Row],[Code
(PAP)]],[1]Sheet1!$A:$AO,20,FALSE)</f>
        <v>45425</v>
      </c>
      <c r="U415" s="576">
        <f>VLOOKUP(Complete[[#This Row],[Code
(PAP)]],[1]Sheet1!$A:$AO,21,FALSE)</f>
        <v>45435</v>
      </c>
      <c r="V415" s="387"/>
      <c r="W415" s="387"/>
      <c r="X415" s="392">
        <f>VLOOKUP(Complete[[#This Row],[Code
(PAP)]],[1]Sheet1!$A:$AO,24,FALSE)</f>
        <v>45443</v>
      </c>
      <c r="Y415" s="392">
        <f>Complete[[#This Row],[Delivery/ Completion]]</f>
        <v>45443</v>
      </c>
      <c r="Z415" s="610" t="s">
        <v>1478</v>
      </c>
      <c r="AA415" s="462">
        <f>Complete[[#This Row],[MOOE]]+Complete[[#This Row],[CO]]</f>
        <v>72098</v>
      </c>
      <c r="AB415" s="466"/>
      <c r="AC415" s="497">
        <v>72098</v>
      </c>
      <c r="AD415" s="498">
        <f>IF(Complete[[#This Row],[Procurement Project]]="","",SUM(Complete[[#This Row],[MOOE2]]+Complete[[#This Row],[CO3]]))</f>
        <v>72068.5</v>
      </c>
      <c r="AE415" s="501"/>
      <c r="AF415" s="541">
        <v>72068.5</v>
      </c>
      <c r="AG415" s="400"/>
      <c r="AH415" s="380" t="s">
        <v>1205</v>
      </c>
      <c r="AI415" s="576" t="str">
        <f>VLOOKUP(Complete[[#This Row],[Code
(PAP)]],[1]Sheet1!$A:$AO,35,FALSE)</f>
        <v>N/A</v>
      </c>
      <c r="AJ415" s="576" t="str">
        <f>VLOOKUP(Complete[[#This Row],[Code
(PAP)]],[1]Sheet1!$A:$AO,36,FALSE)</f>
        <v>N/A</v>
      </c>
      <c r="AK415" s="576" t="str">
        <f>VLOOKUP(Complete[[#This Row],[Code
(PAP)]],[1]Sheet1!$A:$AO,37,FALSE)</f>
        <v>N/A</v>
      </c>
      <c r="AL415" s="576" t="str">
        <f>VLOOKUP(Complete[[#This Row],[Code
(PAP)]],[1]Sheet1!$A:$AO,38,FALSE)</f>
        <v>N/A</v>
      </c>
      <c r="AM415" s="576" t="str">
        <f>VLOOKUP(Complete[[#This Row],[Code
(PAP)]],[1]Sheet1!$A:$AO,38,FALSE)</f>
        <v>N/A</v>
      </c>
      <c r="AN415" s="595" t="s">
        <v>713</v>
      </c>
      <c r="AO415" s="303" t="s">
        <v>139</v>
      </c>
      <c r="AP415" s="389"/>
      <c r="AQ415" s="389"/>
    </row>
    <row r="416" spans="1:43" s="224" customFormat="1" ht="75" customHeight="1" x14ac:dyDescent="0.25">
      <c r="A416" s="385" t="s">
        <v>594</v>
      </c>
      <c r="B416" s="406" t="str">
        <f>VLOOKUP(Complete[[#This Row],[Code
(PAP)]],[1]Sheet1!$A:$AO,2,FALSE)</f>
        <v>BOOKBINDING AND TARPAULIN</v>
      </c>
      <c r="C416" s="408" t="str">
        <f>VLOOKUP(Complete[[#This Row],[Code
(PAP)]],[1]Sheet1!$A:$AO,3,FALSE)</f>
        <v>PPDO</v>
      </c>
      <c r="D416" s="380" t="s">
        <v>712</v>
      </c>
      <c r="E416" s="409" t="str">
        <f>VLOOKUP(Complete[[#This Row],[Code
(PAP)]],[2]Sheet1!$A:$AO,5,FALSE)</f>
        <v>NP-53.9 - Small Value Procurement</v>
      </c>
      <c r="F416" s="393" t="str">
        <f>VLOOKUP(Complete[[#This Row],[Code
(PAP)]],[1]Sheet1!$A:$AO,6,FALSE)</f>
        <v>N/A</v>
      </c>
      <c r="G416" s="393">
        <f>VLOOKUP(Complete[[#This Row],[Code
(PAP)]],[1]Sheet1!$A:$AO,7,FALSE)</f>
        <v>45376</v>
      </c>
      <c r="H416" s="374"/>
      <c r="I416" s="394" t="str">
        <f>VLOOKUP(Complete[[#This Row],[Code
(PAP)]],[1]Sheet1!$A:$AO,9,FALSE)</f>
        <v>N/A</v>
      </c>
      <c r="J416" s="393">
        <f>VLOOKUP(Complete[[#This Row],[Code
(PAP)]],[1]Sheet1!$A:$AO,10,FALSE)</f>
        <v>45407</v>
      </c>
      <c r="K416" s="393">
        <f>VLOOKUP(Complete[[#This Row],[Code
(PAP)]],[1]Sheet1!$A:$AO,11,FALSE)</f>
        <v>45407</v>
      </c>
      <c r="L416" s="387"/>
      <c r="M416" s="393" t="str">
        <f>VLOOKUP(Complete[[#This Row],[Code
(PAP)]],[1]Sheet1!$A:$AO,13,FALSE)</f>
        <v>N/A</v>
      </c>
      <c r="N416" s="393" t="str">
        <f>VLOOKUP(Complete[[#This Row],[Code
(PAP)]],[1]Sheet1!$A:$AO,14,FALSE)</f>
        <v>N/A</v>
      </c>
      <c r="O416" s="393">
        <f>VLOOKUP(Complete[[#This Row],[Code
(PAP)]],[1]Sheet1!$A:$AO,15,FALSE)</f>
        <v>45411</v>
      </c>
      <c r="P416" s="387"/>
      <c r="Q416" s="387"/>
      <c r="R416" s="387"/>
      <c r="S416" s="576" t="s">
        <v>713</v>
      </c>
      <c r="T416" s="576">
        <f>VLOOKUP(Complete[[#This Row],[Code
(PAP)]],[1]Sheet1!$A:$AO,20,FALSE)</f>
        <v>45425</v>
      </c>
      <c r="U416" s="576">
        <f>VLOOKUP(Complete[[#This Row],[Code
(PAP)]],[1]Sheet1!$A:$AO,21,FALSE)</f>
        <v>45433</v>
      </c>
      <c r="V416" s="387"/>
      <c r="W416" s="387"/>
      <c r="X416" s="392">
        <f>VLOOKUP(Complete[[#This Row],[Code
(PAP)]],[1]Sheet1!$A:$AO,24,FALSE)</f>
        <v>45449</v>
      </c>
      <c r="Y416" s="392">
        <f>Complete[[#This Row],[Delivery/ Completion]]</f>
        <v>45449</v>
      </c>
      <c r="Z416" s="610" t="s">
        <v>1478</v>
      </c>
      <c r="AA416" s="462">
        <f>Complete[[#This Row],[MOOE]]+Complete[[#This Row],[CO]]</f>
        <v>25350</v>
      </c>
      <c r="AB416" s="466">
        <v>25350</v>
      </c>
      <c r="AC416" s="497"/>
      <c r="AD416" s="498">
        <f>IF(Complete[[#This Row],[Procurement Project]]="","",SUM(Complete[[#This Row],[MOOE2]]+Complete[[#This Row],[CO3]]))</f>
        <v>25350</v>
      </c>
      <c r="AE416" s="501">
        <v>25350</v>
      </c>
      <c r="AF416" s="541"/>
      <c r="AG416" s="400"/>
      <c r="AH416" s="380" t="s">
        <v>1205</v>
      </c>
      <c r="AI416" s="576" t="str">
        <f>VLOOKUP(Complete[[#This Row],[Code
(PAP)]],[1]Sheet1!$A:$AO,35,FALSE)</f>
        <v>N/A</v>
      </c>
      <c r="AJ416" s="576" t="str">
        <f>VLOOKUP(Complete[[#This Row],[Code
(PAP)]],[1]Sheet1!$A:$AO,36,FALSE)</f>
        <v>N/A</v>
      </c>
      <c r="AK416" s="576" t="str">
        <f>VLOOKUP(Complete[[#This Row],[Code
(PAP)]],[1]Sheet1!$A:$AO,37,FALSE)</f>
        <v>N/A</v>
      </c>
      <c r="AL416" s="576" t="str">
        <f>VLOOKUP(Complete[[#This Row],[Code
(PAP)]],[1]Sheet1!$A:$AO,38,FALSE)</f>
        <v>N/A</v>
      </c>
      <c r="AM416" s="576" t="str">
        <f>VLOOKUP(Complete[[#This Row],[Code
(PAP)]],[1]Sheet1!$A:$AO,38,FALSE)</f>
        <v>N/A</v>
      </c>
      <c r="AN416" s="595" t="s">
        <v>713</v>
      </c>
      <c r="AO416" s="303" t="s">
        <v>139</v>
      </c>
      <c r="AP416" s="389"/>
      <c r="AQ416" s="389"/>
    </row>
    <row r="417" spans="1:43" s="224" customFormat="1" ht="75" customHeight="1" x14ac:dyDescent="0.25">
      <c r="A417" s="385" t="s">
        <v>595</v>
      </c>
      <c r="B417" s="406" t="str">
        <f>VLOOKUP(Complete[[#This Row],[Code
(PAP)]],[1]Sheet1!$A:$AO,2,FALSE)</f>
        <v>MEIDCAL SUPPLIES</v>
      </c>
      <c r="C417" s="408" t="str">
        <f>VLOOKUP(Complete[[#This Row],[Code
(PAP)]],[1]Sheet1!$A:$AO,3,FALSE)</f>
        <v>PGO</v>
      </c>
      <c r="D417" s="380" t="s">
        <v>712</v>
      </c>
      <c r="E417" s="409" t="str">
        <f>VLOOKUP(Complete[[#This Row],[Code
(PAP)]],[2]Sheet1!$A:$AO,5,FALSE)</f>
        <v>NP-53.9 - Small Value Procurement</v>
      </c>
      <c r="F417" s="393" t="str">
        <f>VLOOKUP(Complete[[#This Row],[Code
(PAP)]],[1]Sheet1!$A:$AO,6,FALSE)</f>
        <v>N/A</v>
      </c>
      <c r="G417" s="393">
        <f>VLOOKUP(Complete[[#This Row],[Code
(PAP)]],[1]Sheet1!$A:$AO,7,FALSE)</f>
        <v>45385</v>
      </c>
      <c r="H417" s="374"/>
      <c r="I417" s="394" t="str">
        <f>VLOOKUP(Complete[[#This Row],[Code
(PAP)]],[1]Sheet1!$A:$AO,9,FALSE)</f>
        <v>N/A</v>
      </c>
      <c r="J417" s="393">
        <f>VLOOKUP(Complete[[#This Row],[Code
(PAP)]],[1]Sheet1!$A:$AO,10,FALSE)</f>
        <v>45407</v>
      </c>
      <c r="K417" s="393">
        <f>VLOOKUP(Complete[[#This Row],[Code
(PAP)]],[1]Sheet1!$A:$AO,11,FALSE)</f>
        <v>45407</v>
      </c>
      <c r="L417" s="387"/>
      <c r="M417" s="393" t="str">
        <f>VLOOKUP(Complete[[#This Row],[Code
(PAP)]],[1]Sheet1!$A:$AO,13,FALSE)</f>
        <v>N/A</v>
      </c>
      <c r="N417" s="393" t="str">
        <f>VLOOKUP(Complete[[#This Row],[Code
(PAP)]],[1]Sheet1!$A:$AO,14,FALSE)</f>
        <v>N/A</v>
      </c>
      <c r="O417" s="393">
        <f>VLOOKUP(Complete[[#This Row],[Code
(PAP)]],[1]Sheet1!$A:$AO,15,FALSE)</f>
        <v>45411</v>
      </c>
      <c r="P417" s="387"/>
      <c r="Q417" s="387"/>
      <c r="R417" s="387"/>
      <c r="S417" s="576">
        <v>45414</v>
      </c>
      <c r="T417" s="576">
        <f>VLOOKUP(Complete[[#This Row],[Code
(PAP)]],[1]Sheet1!$A:$AO,20,FALSE)</f>
        <v>45427</v>
      </c>
      <c r="U417" s="576">
        <f>VLOOKUP(Complete[[#This Row],[Code
(PAP)]],[1]Sheet1!$A:$AO,21,FALSE)</f>
        <v>45433</v>
      </c>
      <c r="V417" s="387"/>
      <c r="W417" s="387"/>
      <c r="X417" s="392">
        <f>VLOOKUP(Complete[[#This Row],[Code
(PAP)]],[1]Sheet1!$A:$AO,24,FALSE)</f>
        <v>45448</v>
      </c>
      <c r="Y417" s="392">
        <f>Complete[[#This Row],[Delivery/ Completion]]</f>
        <v>45448</v>
      </c>
      <c r="Z417" s="610" t="s">
        <v>1478</v>
      </c>
      <c r="AA417" s="462">
        <f>Complete[[#This Row],[MOOE]]+Complete[[#This Row],[CO]]</f>
        <v>173835</v>
      </c>
      <c r="AB417" s="466"/>
      <c r="AC417" s="497">
        <v>173835</v>
      </c>
      <c r="AD417" s="498">
        <f>IF(Complete[[#This Row],[Procurement Project]]="","",SUM(Complete[[#This Row],[MOOE2]]+Complete[[#This Row],[CO3]]))</f>
        <v>153060</v>
      </c>
      <c r="AE417" s="501"/>
      <c r="AF417" s="541">
        <v>153060</v>
      </c>
      <c r="AG417" s="400"/>
      <c r="AH417" s="380" t="s">
        <v>1205</v>
      </c>
      <c r="AI417" s="576" t="str">
        <f>VLOOKUP(Complete[[#This Row],[Code
(PAP)]],[1]Sheet1!$A:$AO,35,FALSE)</f>
        <v>N/A</v>
      </c>
      <c r="AJ417" s="576" t="str">
        <f>VLOOKUP(Complete[[#This Row],[Code
(PAP)]],[1]Sheet1!$A:$AO,36,FALSE)</f>
        <v>N/A</v>
      </c>
      <c r="AK417" s="576" t="str">
        <f>VLOOKUP(Complete[[#This Row],[Code
(PAP)]],[1]Sheet1!$A:$AO,37,FALSE)</f>
        <v>N/A</v>
      </c>
      <c r="AL417" s="576" t="str">
        <f>VLOOKUP(Complete[[#This Row],[Code
(PAP)]],[1]Sheet1!$A:$AO,38,FALSE)</f>
        <v>N/A</v>
      </c>
      <c r="AM417" s="576" t="str">
        <f>VLOOKUP(Complete[[#This Row],[Code
(PAP)]],[1]Sheet1!$A:$AO,38,FALSE)</f>
        <v>N/A</v>
      </c>
      <c r="AN417" s="595" t="s">
        <v>713</v>
      </c>
      <c r="AO417" s="303" t="s">
        <v>139</v>
      </c>
      <c r="AP417" s="389"/>
      <c r="AQ417" s="389"/>
    </row>
    <row r="418" spans="1:43" s="224" customFormat="1" ht="75" customHeight="1" x14ac:dyDescent="0.25">
      <c r="A418" s="385" t="s">
        <v>596</v>
      </c>
      <c r="B418" s="406" t="str">
        <f>VLOOKUP(Complete[[#This Row],[Code
(PAP)]],[1]Sheet1!$A:$AO,2,FALSE)</f>
        <v>OIL, DIESEL ENGINE</v>
      </c>
      <c r="C418" s="408" t="str">
        <f>VLOOKUP(Complete[[#This Row],[Code
(PAP)]],[1]Sheet1!$A:$AO,3,FALSE)</f>
        <v>PGO</v>
      </c>
      <c r="D418" s="380" t="s">
        <v>712</v>
      </c>
      <c r="E418" s="409" t="str">
        <f>VLOOKUP(Complete[[#This Row],[Code
(PAP)]],[2]Sheet1!$A:$AO,5,FALSE)</f>
        <v>NP-53.9 - Small Value Procurement</v>
      </c>
      <c r="F418" s="393" t="str">
        <f>VLOOKUP(Complete[[#This Row],[Code
(PAP)]],[1]Sheet1!$A:$AO,6,FALSE)</f>
        <v>N/A</v>
      </c>
      <c r="G418" s="393">
        <f>VLOOKUP(Complete[[#This Row],[Code
(PAP)]],[1]Sheet1!$A:$AO,7,FALSE)</f>
        <v>45384</v>
      </c>
      <c r="H418" s="374"/>
      <c r="I418" s="394" t="str">
        <f>VLOOKUP(Complete[[#This Row],[Code
(PAP)]],[1]Sheet1!$A:$AO,9,FALSE)</f>
        <v>N/A</v>
      </c>
      <c r="J418" s="393">
        <f>VLOOKUP(Complete[[#This Row],[Code
(PAP)]],[1]Sheet1!$A:$AO,10,FALSE)</f>
        <v>45407</v>
      </c>
      <c r="K418" s="393">
        <f>VLOOKUP(Complete[[#This Row],[Code
(PAP)]],[1]Sheet1!$A:$AO,11,FALSE)</f>
        <v>45407</v>
      </c>
      <c r="L418" s="387"/>
      <c r="M418" s="393" t="str">
        <f>VLOOKUP(Complete[[#This Row],[Code
(PAP)]],[1]Sheet1!$A:$AO,13,FALSE)</f>
        <v>N/A</v>
      </c>
      <c r="N418" s="393" t="str">
        <f>VLOOKUP(Complete[[#This Row],[Code
(PAP)]],[1]Sheet1!$A:$AO,14,FALSE)</f>
        <v>N/A</v>
      </c>
      <c r="O418" s="393">
        <f>VLOOKUP(Complete[[#This Row],[Code
(PAP)]],[1]Sheet1!$A:$AO,15,FALSE)</f>
        <v>45411</v>
      </c>
      <c r="P418" s="387"/>
      <c r="Q418" s="387"/>
      <c r="R418" s="387"/>
      <c r="S418" s="576" t="s">
        <v>713</v>
      </c>
      <c r="T418" s="576">
        <f>VLOOKUP(Complete[[#This Row],[Code
(PAP)]],[1]Sheet1!$A:$AO,20,FALSE)</f>
        <v>45432</v>
      </c>
      <c r="U418" s="576">
        <f>VLOOKUP(Complete[[#This Row],[Code
(PAP)]],[1]Sheet1!$A:$AO,21,FALSE)</f>
        <v>45435</v>
      </c>
      <c r="V418" s="387"/>
      <c r="W418" s="387"/>
      <c r="X418" s="392">
        <f>VLOOKUP(Complete[[#This Row],[Code
(PAP)]],[1]Sheet1!$A:$AO,24,FALSE)</f>
        <v>45441</v>
      </c>
      <c r="Y418" s="392">
        <f>Complete[[#This Row],[Delivery/ Completion]]</f>
        <v>45441</v>
      </c>
      <c r="Z418" s="610" t="s">
        <v>1478</v>
      </c>
      <c r="AA418" s="462">
        <f>Complete[[#This Row],[MOOE]]+Complete[[#This Row],[CO]]</f>
        <v>10560</v>
      </c>
      <c r="AB418" s="466"/>
      <c r="AC418" s="497">
        <v>10560</v>
      </c>
      <c r="AD418" s="498">
        <f>IF(Complete[[#This Row],[Procurement Project]]="","",SUM(Complete[[#This Row],[MOOE2]]+Complete[[#This Row],[CO3]]))</f>
        <v>10320</v>
      </c>
      <c r="AE418" s="501"/>
      <c r="AF418" s="541">
        <v>10320</v>
      </c>
      <c r="AG418" s="400"/>
      <c r="AH418" s="380" t="s">
        <v>1205</v>
      </c>
      <c r="AI418" s="576" t="str">
        <f>VLOOKUP(Complete[[#This Row],[Code
(PAP)]],[1]Sheet1!$A:$AO,35,FALSE)</f>
        <v>N/A</v>
      </c>
      <c r="AJ418" s="576" t="str">
        <f>VLOOKUP(Complete[[#This Row],[Code
(PAP)]],[1]Sheet1!$A:$AO,36,FALSE)</f>
        <v>N/A</v>
      </c>
      <c r="AK418" s="576" t="str">
        <f>VLOOKUP(Complete[[#This Row],[Code
(PAP)]],[1]Sheet1!$A:$AO,37,FALSE)</f>
        <v>N/A</v>
      </c>
      <c r="AL418" s="576" t="str">
        <f>VLOOKUP(Complete[[#This Row],[Code
(PAP)]],[1]Sheet1!$A:$AO,38,FALSE)</f>
        <v>N/A</v>
      </c>
      <c r="AM418" s="576" t="str">
        <f>VLOOKUP(Complete[[#This Row],[Code
(PAP)]],[1]Sheet1!$A:$AO,38,FALSE)</f>
        <v>N/A</v>
      </c>
      <c r="AN418" s="595" t="s">
        <v>713</v>
      </c>
      <c r="AO418" s="303" t="s">
        <v>139</v>
      </c>
      <c r="AP418" s="389"/>
      <c r="AQ418" s="389"/>
    </row>
    <row r="419" spans="1:43" s="224" customFormat="1" ht="75" customHeight="1" x14ac:dyDescent="0.25">
      <c r="A419" s="385" t="s">
        <v>597</v>
      </c>
      <c r="B419" s="406" t="str">
        <f>VLOOKUP(Complete[[#This Row],[Code
(PAP)]],[1]Sheet1!$A:$AO,2,FALSE)</f>
        <v>MEDICAL SUPPLIES</v>
      </c>
      <c r="C419" s="408" t="str">
        <f>VLOOKUP(Complete[[#This Row],[Code
(PAP)]],[1]Sheet1!$A:$AO,3,FALSE)</f>
        <v>PHO</v>
      </c>
      <c r="D419" s="380" t="s">
        <v>712</v>
      </c>
      <c r="E419" s="409" t="str">
        <f>VLOOKUP(Complete[[#This Row],[Code
(PAP)]],[2]Sheet1!$A:$AO,5,FALSE)</f>
        <v>NP-53.9 - Small Value Procurement</v>
      </c>
      <c r="F419" s="393" t="str">
        <f>VLOOKUP(Complete[[#This Row],[Code
(PAP)]],[1]Sheet1!$A:$AO,6,FALSE)</f>
        <v>N/A</v>
      </c>
      <c r="G419" s="393">
        <f>VLOOKUP(Complete[[#This Row],[Code
(PAP)]],[1]Sheet1!$A:$AO,7,FALSE)</f>
        <v>45376</v>
      </c>
      <c r="H419" s="374"/>
      <c r="I419" s="394" t="str">
        <f>VLOOKUP(Complete[[#This Row],[Code
(PAP)]],[1]Sheet1!$A:$AO,9,FALSE)</f>
        <v>N/A</v>
      </c>
      <c r="J419" s="393">
        <f>VLOOKUP(Complete[[#This Row],[Code
(PAP)]],[1]Sheet1!$A:$AO,10,FALSE)</f>
        <v>45407</v>
      </c>
      <c r="K419" s="393">
        <f>VLOOKUP(Complete[[#This Row],[Code
(PAP)]],[1]Sheet1!$A:$AO,11,FALSE)</f>
        <v>45407</v>
      </c>
      <c r="L419" s="387"/>
      <c r="M419" s="393" t="str">
        <f>VLOOKUP(Complete[[#This Row],[Code
(PAP)]],[1]Sheet1!$A:$AO,13,FALSE)</f>
        <v>N/A</v>
      </c>
      <c r="N419" s="393" t="str">
        <f>VLOOKUP(Complete[[#This Row],[Code
(PAP)]],[1]Sheet1!$A:$AO,14,FALSE)</f>
        <v>N/A</v>
      </c>
      <c r="O419" s="393">
        <f>VLOOKUP(Complete[[#This Row],[Code
(PAP)]],[1]Sheet1!$A:$AO,15,FALSE)</f>
        <v>45411</v>
      </c>
      <c r="P419" s="387"/>
      <c r="Q419" s="387"/>
      <c r="R419" s="387"/>
      <c r="S419" s="576" t="s">
        <v>713</v>
      </c>
      <c r="T419" s="576">
        <f>VLOOKUP(Complete[[#This Row],[Code
(PAP)]],[1]Sheet1!$A:$AO,20,FALSE)</f>
        <v>45432</v>
      </c>
      <c r="U419" s="576">
        <f>VLOOKUP(Complete[[#This Row],[Code
(PAP)]],[1]Sheet1!$A:$AO,21,FALSE)</f>
        <v>45435</v>
      </c>
      <c r="V419" s="387"/>
      <c r="W419" s="387"/>
      <c r="X419" s="392">
        <f>VLOOKUP(Complete[[#This Row],[Code
(PAP)]],[1]Sheet1!$A:$AO,24,FALSE)</f>
        <v>45457</v>
      </c>
      <c r="Y419" s="392">
        <f>Complete[[#This Row],[Delivery/ Completion]]</f>
        <v>45457</v>
      </c>
      <c r="Z419" s="610" t="s">
        <v>1478</v>
      </c>
      <c r="AA419" s="462">
        <f>Complete[[#This Row],[MOOE]]+Complete[[#This Row],[CO]]</f>
        <v>17024</v>
      </c>
      <c r="AB419" s="466"/>
      <c r="AC419" s="497">
        <v>17024</v>
      </c>
      <c r="AD419" s="498">
        <f>Complete[[#This Row],[MOOE2]]+Complete[[#This Row],[CO3]]</f>
        <v>12790</v>
      </c>
      <c r="AE419" s="501"/>
      <c r="AF419" s="541">
        <v>12790</v>
      </c>
      <c r="AG419" s="400"/>
      <c r="AH419" s="380" t="s">
        <v>1205</v>
      </c>
      <c r="AI419" s="576" t="str">
        <f>VLOOKUP(Complete[[#This Row],[Code
(PAP)]],[1]Sheet1!$A:$AO,35,FALSE)</f>
        <v>N/A</v>
      </c>
      <c r="AJ419" s="576" t="str">
        <f>VLOOKUP(Complete[[#This Row],[Code
(PAP)]],[1]Sheet1!$A:$AO,36,FALSE)</f>
        <v>N/A</v>
      </c>
      <c r="AK419" s="576" t="str">
        <f>VLOOKUP(Complete[[#This Row],[Code
(PAP)]],[1]Sheet1!$A:$AO,37,FALSE)</f>
        <v>N/A</v>
      </c>
      <c r="AL419" s="576" t="str">
        <f>VLOOKUP(Complete[[#This Row],[Code
(PAP)]],[1]Sheet1!$A:$AO,38,FALSE)</f>
        <v>N/A</v>
      </c>
      <c r="AM419" s="576" t="str">
        <f>VLOOKUP(Complete[[#This Row],[Code
(PAP)]],[1]Sheet1!$A:$AO,38,FALSE)</f>
        <v>N/A</v>
      </c>
      <c r="AN419" s="595" t="s">
        <v>713</v>
      </c>
      <c r="AO419" s="303" t="s">
        <v>139</v>
      </c>
      <c r="AP419" s="389"/>
      <c r="AQ419" s="389"/>
    </row>
    <row r="420" spans="1:43" s="224" customFormat="1" ht="75" customHeight="1" x14ac:dyDescent="0.25">
      <c r="A420" s="385" t="s">
        <v>598</v>
      </c>
      <c r="B420" s="406" t="str">
        <f>VLOOKUP(Complete[[#This Row],[Code
(PAP)]],[1]Sheet1!$A:$AO,2,FALSE)</f>
        <v>SPAREPARTS (LIGHT VEHICLES)</v>
      </c>
      <c r="C420" s="408" t="str">
        <f>VLOOKUP(Complete[[#This Row],[Code
(PAP)]],[1]Sheet1!$A:$AO,3,FALSE)</f>
        <v>PGSO</v>
      </c>
      <c r="D420" s="380" t="s">
        <v>712</v>
      </c>
      <c r="E420" s="409" t="str">
        <f>VLOOKUP(Complete[[#This Row],[Code
(PAP)]],[2]Sheet1!$A:$AO,5,FALSE)</f>
        <v>NP-53.9 - Small Value Procurement</v>
      </c>
      <c r="F420" s="393">
        <f>VLOOKUP(Complete[[#This Row],[Code
(PAP)]],[1]Sheet1!$A:$AO,6,FALSE)</f>
        <v>45370</v>
      </c>
      <c r="G420" s="393">
        <f>VLOOKUP(Complete[[#This Row],[Code
(PAP)]],[1]Sheet1!$A:$AO,7,FALSE)</f>
        <v>45376</v>
      </c>
      <c r="H420" s="374"/>
      <c r="I420" s="394" t="str">
        <f>VLOOKUP(Complete[[#This Row],[Code
(PAP)]],[1]Sheet1!$A:$AO,9,FALSE)</f>
        <v>N/A</v>
      </c>
      <c r="J420" s="393">
        <f>VLOOKUP(Complete[[#This Row],[Code
(PAP)]],[1]Sheet1!$A:$AO,10,FALSE)</f>
        <v>45407</v>
      </c>
      <c r="K420" s="393">
        <f>VLOOKUP(Complete[[#This Row],[Code
(PAP)]],[1]Sheet1!$A:$AO,11,FALSE)</f>
        <v>45407</v>
      </c>
      <c r="L420" s="387"/>
      <c r="M420" s="393" t="str">
        <f>VLOOKUP(Complete[[#This Row],[Code
(PAP)]],[1]Sheet1!$A:$AO,13,FALSE)</f>
        <v>N/A</v>
      </c>
      <c r="N420" s="393" t="str">
        <f>VLOOKUP(Complete[[#This Row],[Code
(PAP)]],[1]Sheet1!$A:$AO,14,FALSE)</f>
        <v>N/A</v>
      </c>
      <c r="O420" s="393">
        <f>VLOOKUP(Complete[[#This Row],[Code
(PAP)]],[1]Sheet1!$A:$AO,15,FALSE)</f>
        <v>45411</v>
      </c>
      <c r="P420" s="387"/>
      <c r="Q420" s="387"/>
      <c r="R420" s="387"/>
      <c r="S420" s="576">
        <v>45418</v>
      </c>
      <c r="T420" s="576">
        <f>VLOOKUP(Complete[[#This Row],[Code
(PAP)]],[1]Sheet1!$A:$AO,20,FALSE)</f>
        <v>45425</v>
      </c>
      <c r="U420" s="576">
        <f>VLOOKUP(Complete[[#This Row],[Code
(PAP)]],[1]Sheet1!$A:$AO,21,FALSE)</f>
        <v>45448</v>
      </c>
      <c r="V420" s="387"/>
      <c r="W420" s="387"/>
      <c r="X420" s="392">
        <f>VLOOKUP(Complete[[#This Row],[Code
(PAP)]],[1]Sheet1!$A:$AO,24,FALSE)</f>
        <v>45453</v>
      </c>
      <c r="Y420" s="392">
        <f>Complete[[#This Row],[Delivery/ Completion]]</f>
        <v>45453</v>
      </c>
      <c r="Z420" s="610" t="s">
        <v>1478</v>
      </c>
      <c r="AA420" s="462">
        <f>Complete[[#This Row],[MOOE]]+Complete[[#This Row],[CO]]</f>
        <v>70600</v>
      </c>
      <c r="AB420" s="466">
        <v>70600</v>
      </c>
      <c r="AC420" s="497"/>
      <c r="AD420" s="498">
        <f>IF(Complete[[#This Row],[Procurement Project]]="","",SUM(Complete[[#This Row],[MOOE2]]+Complete[[#This Row],[CO3]]))</f>
        <v>56400</v>
      </c>
      <c r="AE420" s="501">
        <v>56400</v>
      </c>
      <c r="AF420" s="541"/>
      <c r="AG420" s="400"/>
      <c r="AH420" s="380" t="s">
        <v>1205</v>
      </c>
      <c r="AI420" s="576" t="str">
        <f>VLOOKUP(Complete[[#This Row],[Code
(PAP)]],[1]Sheet1!$A:$AO,35,FALSE)</f>
        <v>N/A</v>
      </c>
      <c r="AJ420" s="576" t="str">
        <f>VLOOKUP(Complete[[#This Row],[Code
(PAP)]],[1]Sheet1!$A:$AO,36,FALSE)</f>
        <v>N/A</v>
      </c>
      <c r="AK420" s="576" t="str">
        <f>VLOOKUP(Complete[[#This Row],[Code
(PAP)]],[1]Sheet1!$A:$AO,37,FALSE)</f>
        <v>N/A</v>
      </c>
      <c r="AL420" s="576" t="str">
        <f>VLOOKUP(Complete[[#This Row],[Code
(PAP)]],[1]Sheet1!$A:$AO,38,FALSE)</f>
        <v>N/A</v>
      </c>
      <c r="AM420" s="576" t="str">
        <f>VLOOKUP(Complete[[#This Row],[Code
(PAP)]],[1]Sheet1!$A:$AO,38,FALSE)</f>
        <v>N/A</v>
      </c>
      <c r="AN420" s="595" t="s">
        <v>713</v>
      </c>
      <c r="AO420" s="303" t="s">
        <v>139</v>
      </c>
      <c r="AP420" s="389"/>
      <c r="AQ420" s="389"/>
    </row>
    <row r="421" spans="1:43" s="224" customFormat="1" ht="75" customHeight="1" x14ac:dyDescent="0.25">
      <c r="A421" s="385" t="s">
        <v>599</v>
      </c>
      <c r="B421" s="406" t="str">
        <f>VLOOKUP(Complete[[#This Row],[Code
(PAP)]],[1]Sheet1!$A:$AO,2,FALSE)</f>
        <v>LABOR FOR REPLACEMENT</v>
      </c>
      <c r="C421" s="408" t="str">
        <f>VLOOKUP(Complete[[#This Row],[Code
(PAP)]],[1]Sheet1!$A:$AO,3,FALSE)</f>
        <v>PGSO</v>
      </c>
      <c r="D421" s="380" t="s">
        <v>712</v>
      </c>
      <c r="E421" s="409" t="str">
        <f>VLOOKUP(Complete[[#This Row],[Code
(PAP)]],[2]Sheet1!$A:$AO,5,FALSE)</f>
        <v>NP-53.9 - Small Value Procurement</v>
      </c>
      <c r="F421" s="393">
        <f>VLOOKUP(Complete[[#This Row],[Code
(PAP)]],[1]Sheet1!$A:$AO,6,FALSE)</f>
        <v>45370</v>
      </c>
      <c r="G421" s="393">
        <f>VLOOKUP(Complete[[#This Row],[Code
(PAP)]],[1]Sheet1!$A:$AO,7,FALSE)</f>
        <v>45376</v>
      </c>
      <c r="H421" s="374"/>
      <c r="I421" s="394" t="str">
        <f>VLOOKUP(Complete[[#This Row],[Code
(PAP)]],[1]Sheet1!$A:$AO,9,FALSE)</f>
        <v>N/A</v>
      </c>
      <c r="J421" s="393">
        <f>VLOOKUP(Complete[[#This Row],[Code
(PAP)]],[1]Sheet1!$A:$AO,10,FALSE)</f>
        <v>45407</v>
      </c>
      <c r="K421" s="393">
        <f>VLOOKUP(Complete[[#This Row],[Code
(PAP)]],[1]Sheet1!$A:$AO,11,FALSE)</f>
        <v>45407</v>
      </c>
      <c r="L421" s="387"/>
      <c r="M421" s="393" t="str">
        <f>VLOOKUP(Complete[[#This Row],[Code
(PAP)]],[1]Sheet1!$A:$AO,13,FALSE)</f>
        <v>N/A</v>
      </c>
      <c r="N421" s="393" t="str">
        <f>VLOOKUP(Complete[[#This Row],[Code
(PAP)]],[1]Sheet1!$A:$AO,14,FALSE)</f>
        <v>N/A</v>
      </c>
      <c r="O421" s="393">
        <f>VLOOKUP(Complete[[#This Row],[Code
(PAP)]],[1]Sheet1!$A:$AO,15,FALSE)</f>
        <v>45411</v>
      </c>
      <c r="P421" s="387"/>
      <c r="Q421" s="387"/>
      <c r="R421" s="387"/>
      <c r="S421" s="576">
        <v>45421</v>
      </c>
      <c r="T421" s="576">
        <f>VLOOKUP(Complete[[#This Row],[Code
(PAP)]],[1]Sheet1!$A:$AO,20,FALSE)</f>
        <v>45427</v>
      </c>
      <c r="U421" s="576">
        <f>VLOOKUP(Complete[[#This Row],[Code
(PAP)]],[1]Sheet1!$A:$AO,21,FALSE)</f>
        <v>45448</v>
      </c>
      <c r="V421" s="387"/>
      <c r="W421" s="387"/>
      <c r="X421" s="392">
        <f>VLOOKUP(Complete[[#This Row],[Code
(PAP)]],[1]Sheet1!$A:$AO,24,FALSE)</f>
        <v>45458</v>
      </c>
      <c r="Y421" s="392">
        <f>Complete[[#This Row],[Delivery/ Completion]]</f>
        <v>45458</v>
      </c>
      <c r="Z421" s="610" t="s">
        <v>1478</v>
      </c>
      <c r="AA421" s="462">
        <f>Complete[[#This Row],[MOOE]]+Complete[[#This Row],[CO]]</f>
        <v>103500</v>
      </c>
      <c r="AB421" s="466">
        <v>103500</v>
      </c>
      <c r="AC421" s="497"/>
      <c r="AD421" s="498">
        <f>IF(Complete[[#This Row],[Procurement Project]]="","",SUM(Complete[[#This Row],[MOOE2]]+Complete[[#This Row],[CO3]]))</f>
        <v>83000</v>
      </c>
      <c r="AE421" s="501">
        <v>83000</v>
      </c>
      <c r="AF421" s="541"/>
      <c r="AG421" s="400"/>
      <c r="AH421" s="380" t="s">
        <v>1205</v>
      </c>
      <c r="AI421" s="576" t="str">
        <f>VLOOKUP(Complete[[#This Row],[Code
(PAP)]],[1]Sheet1!$A:$AO,35,FALSE)</f>
        <v>N/A</v>
      </c>
      <c r="AJ421" s="576" t="str">
        <f>VLOOKUP(Complete[[#This Row],[Code
(PAP)]],[1]Sheet1!$A:$AO,36,FALSE)</f>
        <v>N/A</v>
      </c>
      <c r="AK421" s="576" t="str">
        <f>VLOOKUP(Complete[[#This Row],[Code
(PAP)]],[1]Sheet1!$A:$AO,37,FALSE)</f>
        <v>N/A</v>
      </c>
      <c r="AL421" s="576" t="str">
        <f>VLOOKUP(Complete[[#This Row],[Code
(PAP)]],[1]Sheet1!$A:$AO,38,FALSE)</f>
        <v>N/A</v>
      </c>
      <c r="AM421" s="576" t="str">
        <f>VLOOKUP(Complete[[#This Row],[Code
(PAP)]],[1]Sheet1!$A:$AO,38,FALSE)</f>
        <v>N/A</v>
      </c>
      <c r="AN421" s="595" t="s">
        <v>713</v>
      </c>
      <c r="AO421" s="303" t="s">
        <v>139</v>
      </c>
      <c r="AP421" s="389"/>
      <c r="AQ421" s="389"/>
    </row>
    <row r="422" spans="1:43" s="224" customFormat="1" ht="75" customHeight="1" x14ac:dyDescent="0.25">
      <c r="A422" s="385" t="s">
        <v>600</v>
      </c>
      <c r="B422" s="406" t="str">
        <f>VLOOKUP(Complete[[#This Row],[Code
(PAP)]],[1]Sheet1!$A:$AO,2,FALSE)</f>
        <v>JANITORIAL SUPPLIES</v>
      </c>
      <c r="C422" s="408" t="str">
        <f>VLOOKUP(Complete[[#This Row],[Code
(PAP)]],[1]Sheet1!$A:$AO,3,FALSE)</f>
        <v>PAGRO</v>
      </c>
      <c r="D422" s="380" t="s">
        <v>712</v>
      </c>
      <c r="E422" s="409" t="str">
        <f>VLOOKUP(Complete[[#This Row],[Code
(PAP)]],[2]Sheet1!$A:$AO,5,FALSE)</f>
        <v>NP-53.9 - Small Value Procurement</v>
      </c>
      <c r="F422" s="393" t="str">
        <f>VLOOKUP(Complete[[#This Row],[Code
(PAP)]],[1]Sheet1!$A:$AO,6,FALSE)</f>
        <v>N/A</v>
      </c>
      <c r="G422" s="393">
        <f>VLOOKUP(Complete[[#This Row],[Code
(PAP)]],[1]Sheet1!$A:$AO,7,FALSE)</f>
        <v>45390</v>
      </c>
      <c r="H422" s="374"/>
      <c r="I422" s="394" t="str">
        <f>VLOOKUP(Complete[[#This Row],[Code
(PAP)]],[1]Sheet1!$A:$AO,9,FALSE)</f>
        <v>N/A</v>
      </c>
      <c r="J422" s="393">
        <f>VLOOKUP(Complete[[#This Row],[Code
(PAP)]],[1]Sheet1!$A:$AO,10,FALSE)</f>
        <v>45407</v>
      </c>
      <c r="K422" s="393">
        <f>VLOOKUP(Complete[[#This Row],[Code
(PAP)]],[1]Sheet1!$A:$AO,11,FALSE)</f>
        <v>45407</v>
      </c>
      <c r="L422" s="387"/>
      <c r="M422" s="393" t="str">
        <f>VLOOKUP(Complete[[#This Row],[Code
(PAP)]],[1]Sheet1!$A:$AO,13,FALSE)</f>
        <v>N/A</v>
      </c>
      <c r="N422" s="393" t="str">
        <f>VLOOKUP(Complete[[#This Row],[Code
(PAP)]],[1]Sheet1!$A:$AO,14,FALSE)</f>
        <v>N/A</v>
      </c>
      <c r="O422" s="393">
        <f>VLOOKUP(Complete[[#This Row],[Code
(PAP)]],[1]Sheet1!$A:$AO,15,FALSE)</f>
        <v>45411</v>
      </c>
      <c r="P422" s="387"/>
      <c r="Q422" s="387"/>
      <c r="R422" s="387"/>
      <c r="S422" s="576" t="s">
        <v>713</v>
      </c>
      <c r="T422" s="576">
        <f>VLOOKUP(Complete[[#This Row],[Code
(PAP)]],[1]Sheet1!$A:$AO,20,FALSE)</f>
        <v>45432</v>
      </c>
      <c r="U422" s="576">
        <f>VLOOKUP(Complete[[#This Row],[Code
(PAP)]],[1]Sheet1!$A:$AO,21,FALSE)</f>
        <v>45433</v>
      </c>
      <c r="V422" s="387"/>
      <c r="W422" s="387"/>
      <c r="X422" s="392">
        <f>VLOOKUP(Complete[[#This Row],[Code
(PAP)]],[1]Sheet1!$A:$AO,24,FALSE)</f>
        <v>45457</v>
      </c>
      <c r="Y422" s="392">
        <f>Complete[[#This Row],[Delivery/ Completion]]</f>
        <v>45457</v>
      </c>
      <c r="Z422" s="610" t="s">
        <v>1478</v>
      </c>
      <c r="AA422" s="462">
        <f>Complete[[#This Row],[MOOE]]+Complete[[#This Row],[CO]]</f>
        <v>13451</v>
      </c>
      <c r="AB422" s="466">
        <v>13451</v>
      </c>
      <c r="AC422" s="497"/>
      <c r="AD422" s="498">
        <f>IF(Complete[[#This Row],[Procurement Project]]="","",SUM(Complete[[#This Row],[MOOE2]]+Complete[[#This Row],[CO3]]))</f>
        <v>13002</v>
      </c>
      <c r="AE422" s="501">
        <v>13002</v>
      </c>
      <c r="AF422" s="541"/>
      <c r="AG422" s="400"/>
      <c r="AH422" s="380" t="s">
        <v>1205</v>
      </c>
      <c r="AI422" s="576" t="str">
        <f>VLOOKUP(Complete[[#This Row],[Code
(PAP)]],[1]Sheet1!$A:$AO,35,FALSE)</f>
        <v>N/A</v>
      </c>
      <c r="AJ422" s="576" t="str">
        <f>VLOOKUP(Complete[[#This Row],[Code
(PAP)]],[1]Sheet1!$A:$AO,36,FALSE)</f>
        <v>N/A</v>
      </c>
      <c r="AK422" s="576" t="str">
        <f>VLOOKUP(Complete[[#This Row],[Code
(PAP)]],[1]Sheet1!$A:$AO,37,FALSE)</f>
        <v>N/A</v>
      </c>
      <c r="AL422" s="576" t="str">
        <f>VLOOKUP(Complete[[#This Row],[Code
(PAP)]],[1]Sheet1!$A:$AO,38,FALSE)</f>
        <v>N/A</v>
      </c>
      <c r="AM422" s="576" t="str">
        <f>VLOOKUP(Complete[[#This Row],[Code
(PAP)]],[1]Sheet1!$A:$AO,38,FALSE)</f>
        <v>N/A</v>
      </c>
      <c r="AN422" s="595" t="s">
        <v>713</v>
      </c>
      <c r="AO422" s="303" t="s">
        <v>139</v>
      </c>
      <c r="AP422" s="389"/>
      <c r="AQ422" s="389"/>
    </row>
    <row r="423" spans="1:43" s="224" customFormat="1" ht="75" customHeight="1" x14ac:dyDescent="0.25">
      <c r="A423" s="385" t="s">
        <v>601</v>
      </c>
      <c r="B423" s="406" t="str">
        <f>VLOOKUP(Complete[[#This Row],[Code
(PAP)]],[1]Sheet1!$A:$AO,2,FALSE)</f>
        <v>MEDICAL CERTIFICATE</v>
      </c>
      <c r="C423" s="408" t="str">
        <f>VLOOKUP(Complete[[#This Row],[Code
(PAP)]],[1]Sheet1!$A:$AO,3,FALSE)</f>
        <v>PVO</v>
      </c>
      <c r="D423" s="380" t="s">
        <v>712</v>
      </c>
      <c r="E423" s="409" t="str">
        <f>VLOOKUP(Complete[[#This Row],[Code
(PAP)]],[2]Sheet1!$A:$AO,5,FALSE)</f>
        <v>NP-53.9 - Small Value Procurement</v>
      </c>
      <c r="F423" s="393">
        <f>VLOOKUP(Complete[[#This Row],[Code
(PAP)]],[1]Sheet1!$A:$AO,6,FALSE)</f>
        <v>45384</v>
      </c>
      <c r="G423" s="393">
        <f>VLOOKUP(Complete[[#This Row],[Code
(PAP)]],[1]Sheet1!$A:$AO,7,FALSE)</f>
        <v>45390</v>
      </c>
      <c r="H423" s="374"/>
      <c r="I423" s="394" t="str">
        <f>VLOOKUP(Complete[[#This Row],[Code
(PAP)]],[1]Sheet1!$A:$AO,9,FALSE)</f>
        <v>N/A</v>
      </c>
      <c r="J423" s="393">
        <f>VLOOKUP(Complete[[#This Row],[Code
(PAP)]],[1]Sheet1!$A:$AO,10,FALSE)</f>
        <v>45407</v>
      </c>
      <c r="K423" s="393">
        <f>VLOOKUP(Complete[[#This Row],[Code
(PAP)]],[1]Sheet1!$A:$AO,11,FALSE)</f>
        <v>45407</v>
      </c>
      <c r="L423" s="387"/>
      <c r="M423" s="393" t="str">
        <f>VLOOKUP(Complete[[#This Row],[Code
(PAP)]],[1]Sheet1!$A:$AO,13,FALSE)</f>
        <v>N/A</v>
      </c>
      <c r="N423" s="393" t="str">
        <f>VLOOKUP(Complete[[#This Row],[Code
(PAP)]],[1]Sheet1!$A:$AO,14,FALSE)</f>
        <v>N/A</v>
      </c>
      <c r="O423" s="393">
        <f>VLOOKUP(Complete[[#This Row],[Code
(PAP)]],[1]Sheet1!$A:$AO,15,FALSE)</f>
        <v>45411</v>
      </c>
      <c r="P423" s="387"/>
      <c r="Q423" s="387"/>
      <c r="R423" s="387"/>
      <c r="S423" s="576" t="s">
        <v>713</v>
      </c>
      <c r="T423" s="576">
        <f>VLOOKUP(Complete[[#This Row],[Code
(PAP)]],[1]Sheet1!$A:$AO,20,FALSE)</f>
        <v>45427</v>
      </c>
      <c r="U423" s="576">
        <f>VLOOKUP(Complete[[#This Row],[Code
(PAP)]],[1]Sheet1!$A:$AO,21,FALSE)</f>
        <v>45433</v>
      </c>
      <c r="V423" s="387"/>
      <c r="W423" s="387"/>
      <c r="X423" s="392">
        <f>VLOOKUP(Complete[[#This Row],[Code
(PAP)]],[1]Sheet1!$A:$AO,24,FALSE)</f>
        <v>45446</v>
      </c>
      <c r="Y423" s="392">
        <f>Complete[[#This Row],[Delivery/ Completion]]</f>
        <v>45446</v>
      </c>
      <c r="Z423" s="610" t="s">
        <v>1478</v>
      </c>
      <c r="AA423" s="462">
        <f>Complete[[#This Row],[MOOE]]+Complete[[#This Row],[CO]]</f>
        <v>3850</v>
      </c>
      <c r="AB423" s="466"/>
      <c r="AC423" s="497">
        <v>3850</v>
      </c>
      <c r="AD423" s="498">
        <f>IF(Complete[[#This Row],[Procurement Project]]="","",SUM(Complete[[#This Row],[MOOE2]]+Complete[[#This Row],[CO3]]))</f>
        <v>3746</v>
      </c>
      <c r="AE423" s="501"/>
      <c r="AF423" s="541">
        <v>3746</v>
      </c>
      <c r="AG423" s="400"/>
      <c r="AH423" s="380" t="s">
        <v>1205</v>
      </c>
      <c r="AI423" s="576" t="str">
        <f>VLOOKUP(Complete[[#This Row],[Code
(PAP)]],[1]Sheet1!$A:$AO,35,FALSE)</f>
        <v>N/A</v>
      </c>
      <c r="AJ423" s="576" t="str">
        <f>VLOOKUP(Complete[[#This Row],[Code
(PAP)]],[1]Sheet1!$A:$AO,36,FALSE)</f>
        <v>N/A</v>
      </c>
      <c r="AK423" s="576" t="str">
        <f>VLOOKUP(Complete[[#This Row],[Code
(PAP)]],[1]Sheet1!$A:$AO,37,FALSE)</f>
        <v>N/A</v>
      </c>
      <c r="AL423" s="576" t="str">
        <f>VLOOKUP(Complete[[#This Row],[Code
(PAP)]],[1]Sheet1!$A:$AO,38,FALSE)</f>
        <v>N/A</v>
      </c>
      <c r="AM423" s="576" t="str">
        <f>VLOOKUP(Complete[[#This Row],[Code
(PAP)]],[1]Sheet1!$A:$AO,38,FALSE)</f>
        <v>N/A</v>
      </c>
      <c r="AN423" s="595" t="s">
        <v>713</v>
      </c>
      <c r="AO423" s="303" t="s">
        <v>139</v>
      </c>
      <c r="AP423" s="389"/>
      <c r="AQ423" s="389"/>
    </row>
    <row r="424" spans="1:43" s="224" customFormat="1" ht="75" customHeight="1" x14ac:dyDescent="0.25">
      <c r="A424" s="385" t="s">
        <v>602</v>
      </c>
      <c r="B424" s="406" t="str">
        <f>VLOOKUP(Complete[[#This Row],[Code
(PAP)]],[1]Sheet1!$A:$AO,2,FALSE)</f>
        <v>ELECTRICAL SUPPLIES</v>
      </c>
      <c r="C424" s="408" t="str">
        <f>VLOOKUP(Complete[[#This Row],[Code
(PAP)]],[1]Sheet1!$A:$AO,3,FALSE)</f>
        <v>PEEMO</v>
      </c>
      <c r="D424" s="380" t="s">
        <v>712</v>
      </c>
      <c r="E424" s="409" t="str">
        <f>VLOOKUP(Complete[[#This Row],[Code
(PAP)]],[2]Sheet1!$A:$AO,5,FALSE)</f>
        <v>NP-53.9 - Small Value Procurement</v>
      </c>
      <c r="F424" s="393" t="str">
        <f>VLOOKUP(Complete[[#This Row],[Code
(PAP)]],[1]Sheet1!$A:$AO,6,FALSE)</f>
        <v>N/A</v>
      </c>
      <c r="G424" s="393">
        <f>VLOOKUP(Complete[[#This Row],[Code
(PAP)]],[1]Sheet1!$A:$AO,7,FALSE)</f>
        <v>45390</v>
      </c>
      <c r="H424" s="374"/>
      <c r="I424" s="394" t="str">
        <f>VLOOKUP(Complete[[#This Row],[Code
(PAP)]],[1]Sheet1!$A:$AO,9,FALSE)</f>
        <v>N/A</v>
      </c>
      <c r="J424" s="393">
        <f>VLOOKUP(Complete[[#This Row],[Code
(PAP)]],[1]Sheet1!$A:$AO,10,FALSE)</f>
        <v>45407</v>
      </c>
      <c r="K424" s="393">
        <f>VLOOKUP(Complete[[#This Row],[Code
(PAP)]],[1]Sheet1!$A:$AO,11,FALSE)</f>
        <v>45407</v>
      </c>
      <c r="L424" s="387"/>
      <c r="M424" s="393" t="str">
        <f>VLOOKUP(Complete[[#This Row],[Code
(PAP)]],[1]Sheet1!$A:$AO,13,FALSE)</f>
        <v>N/A</v>
      </c>
      <c r="N424" s="393" t="str">
        <f>VLOOKUP(Complete[[#This Row],[Code
(PAP)]],[1]Sheet1!$A:$AO,14,FALSE)</f>
        <v>N/A</v>
      </c>
      <c r="O424" s="393">
        <f>VLOOKUP(Complete[[#This Row],[Code
(PAP)]],[1]Sheet1!$A:$AO,15,FALSE)</f>
        <v>45411</v>
      </c>
      <c r="P424" s="387"/>
      <c r="Q424" s="387"/>
      <c r="R424" s="387"/>
      <c r="S424" s="576">
        <v>45418</v>
      </c>
      <c r="T424" s="576">
        <f>VLOOKUP(Complete[[#This Row],[Code
(PAP)]],[1]Sheet1!$A:$AO,20,FALSE)</f>
        <v>45425</v>
      </c>
      <c r="U424" s="576">
        <f>VLOOKUP(Complete[[#This Row],[Code
(PAP)]],[1]Sheet1!$A:$AO,21,FALSE)</f>
        <v>45434</v>
      </c>
      <c r="V424" s="387"/>
      <c r="W424" s="387"/>
      <c r="X424" s="392">
        <f>VLOOKUP(Complete[[#This Row],[Code
(PAP)]],[1]Sheet1!$A:$AO,24,FALSE)</f>
        <v>45471</v>
      </c>
      <c r="Y424" s="392">
        <f>Complete[[#This Row],[Delivery/ Completion]]</f>
        <v>45471</v>
      </c>
      <c r="Z424" s="610" t="s">
        <v>1478</v>
      </c>
      <c r="AA424" s="462">
        <f>Complete[[#This Row],[MOOE]]+Complete[[#This Row],[CO]]</f>
        <v>162933.4</v>
      </c>
      <c r="AB424" s="466">
        <v>162933.4</v>
      </c>
      <c r="AC424" s="497"/>
      <c r="AD424" s="498">
        <f>IF(Complete[[#This Row],[Procurement Project]]="","",SUM(Complete[[#This Row],[MOOE2]]+Complete[[#This Row],[CO3]]))</f>
        <v>161647</v>
      </c>
      <c r="AE424" s="501">
        <v>161647</v>
      </c>
      <c r="AF424" s="541"/>
      <c r="AG424" s="400"/>
      <c r="AH424" s="380" t="s">
        <v>1205</v>
      </c>
      <c r="AI424" s="576" t="str">
        <f>VLOOKUP(Complete[[#This Row],[Code
(PAP)]],[1]Sheet1!$A:$AO,35,FALSE)</f>
        <v>N/A</v>
      </c>
      <c r="AJ424" s="576" t="str">
        <f>VLOOKUP(Complete[[#This Row],[Code
(PAP)]],[1]Sheet1!$A:$AO,36,FALSE)</f>
        <v>N/A</v>
      </c>
      <c r="AK424" s="576" t="str">
        <f>VLOOKUP(Complete[[#This Row],[Code
(PAP)]],[1]Sheet1!$A:$AO,37,FALSE)</f>
        <v>N/A</v>
      </c>
      <c r="AL424" s="576" t="str">
        <f>VLOOKUP(Complete[[#This Row],[Code
(PAP)]],[1]Sheet1!$A:$AO,38,FALSE)</f>
        <v>N/A</v>
      </c>
      <c r="AM424" s="576" t="str">
        <f>VLOOKUP(Complete[[#This Row],[Code
(PAP)]],[1]Sheet1!$A:$AO,38,FALSE)</f>
        <v>N/A</v>
      </c>
      <c r="AN424" s="595" t="s">
        <v>713</v>
      </c>
      <c r="AO424" s="303" t="s">
        <v>139</v>
      </c>
      <c r="AP424" s="389"/>
      <c r="AQ424" s="389"/>
    </row>
    <row r="425" spans="1:43" s="224" customFormat="1" ht="75" customHeight="1" x14ac:dyDescent="0.25">
      <c r="A425" s="385" t="s">
        <v>603</v>
      </c>
      <c r="B425" s="406" t="str">
        <f>VLOOKUP(Complete[[#This Row],[Code
(PAP)]],[1]Sheet1!$A:$AO,2,FALSE)</f>
        <v>COMPUTER SET</v>
      </c>
      <c r="C425" s="408" t="str">
        <f>VLOOKUP(Complete[[#This Row],[Code
(PAP)]],[1]Sheet1!$A:$AO,3,FALSE)</f>
        <v>PTO</v>
      </c>
      <c r="D425" s="380" t="s">
        <v>712</v>
      </c>
      <c r="E425" s="409" t="str">
        <f>VLOOKUP(Complete[[#This Row],[Code
(PAP)]],[2]Sheet1!$A:$AO,5,FALSE)</f>
        <v>NP-53.9 - Small Value Procurement</v>
      </c>
      <c r="F425" s="393" t="str">
        <f>VLOOKUP(Complete[[#This Row],[Code
(PAP)]],[1]Sheet1!$A:$AO,6,FALSE)</f>
        <v>N/A</v>
      </c>
      <c r="G425" s="393">
        <f>VLOOKUP(Complete[[#This Row],[Code
(PAP)]],[1]Sheet1!$A:$AO,7,FALSE)</f>
        <v>45397</v>
      </c>
      <c r="H425" s="374"/>
      <c r="I425" s="394" t="str">
        <f>VLOOKUP(Complete[[#This Row],[Code
(PAP)]],[1]Sheet1!$A:$AO,9,FALSE)</f>
        <v>N/A</v>
      </c>
      <c r="J425" s="393">
        <f>VLOOKUP(Complete[[#This Row],[Code
(PAP)]],[1]Sheet1!$A:$AO,10,FALSE)</f>
        <v>45407</v>
      </c>
      <c r="K425" s="393">
        <f>VLOOKUP(Complete[[#This Row],[Code
(PAP)]],[1]Sheet1!$A:$AO,11,FALSE)</f>
        <v>45407</v>
      </c>
      <c r="L425" s="387"/>
      <c r="M425" s="393" t="str">
        <f>VLOOKUP(Complete[[#This Row],[Code
(PAP)]],[1]Sheet1!$A:$AO,13,FALSE)</f>
        <v>N/A</v>
      </c>
      <c r="N425" s="393" t="str">
        <f>VLOOKUP(Complete[[#This Row],[Code
(PAP)]],[1]Sheet1!$A:$AO,14,FALSE)</f>
        <v>N/A</v>
      </c>
      <c r="O425" s="393">
        <f>VLOOKUP(Complete[[#This Row],[Code
(PAP)]],[1]Sheet1!$A:$AO,15,FALSE)</f>
        <v>45411</v>
      </c>
      <c r="P425" s="387"/>
      <c r="Q425" s="387"/>
      <c r="R425" s="387"/>
      <c r="S425" s="576">
        <v>45419</v>
      </c>
      <c r="T425" s="576">
        <f>VLOOKUP(Complete[[#This Row],[Code
(PAP)]],[1]Sheet1!$A:$AO,20,FALSE)</f>
        <v>45425</v>
      </c>
      <c r="U425" s="576">
        <f>VLOOKUP(Complete[[#This Row],[Code
(PAP)]],[1]Sheet1!$A:$AO,21,FALSE)</f>
        <v>45433</v>
      </c>
      <c r="V425" s="387"/>
      <c r="W425" s="387"/>
      <c r="X425" s="392">
        <f>VLOOKUP(Complete[[#This Row],[Code
(PAP)]],[1]Sheet1!$A:$AO,24,FALSE)</f>
        <v>45443</v>
      </c>
      <c r="Y425" s="392">
        <f>Complete[[#This Row],[Delivery/ Completion]]</f>
        <v>45443</v>
      </c>
      <c r="Z425" s="610" t="s">
        <v>1478</v>
      </c>
      <c r="AA425" s="462">
        <f>Complete[[#This Row],[MOOE]]+Complete[[#This Row],[CO]]</f>
        <v>135000</v>
      </c>
      <c r="AB425" s="466">
        <v>135000</v>
      </c>
      <c r="AC425" s="497"/>
      <c r="AD425" s="498">
        <f>IF(Complete[[#This Row],[Procurement Project]]="","",SUM(Complete[[#This Row],[MOOE2]]+Complete[[#This Row],[CO3]]))</f>
        <v>134700</v>
      </c>
      <c r="AE425" s="501">
        <v>134700</v>
      </c>
      <c r="AF425" s="541"/>
      <c r="AG425" s="400"/>
      <c r="AH425" s="380" t="s">
        <v>1205</v>
      </c>
      <c r="AI425" s="576" t="str">
        <f>VLOOKUP(Complete[[#This Row],[Code
(PAP)]],[1]Sheet1!$A:$AO,35,FALSE)</f>
        <v>N/A</v>
      </c>
      <c r="AJ425" s="576" t="str">
        <f>VLOOKUP(Complete[[#This Row],[Code
(PAP)]],[1]Sheet1!$A:$AO,36,FALSE)</f>
        <v>N/A</v>
      </c>
      <c r="AK425" s="576" t="str">
        <f>VLOOKUP(Complete[[#This Row],[Code
(PAP)]],[1]Sheet1!$A:$AO,37,FALSE)</f>
        <v>N/A</v>
      </c>
      <c r="AL425" s="576" t="str">
        <f>VLOOKUP(Complete[[#This Row],[Code
(PAP)]],[1]Sheet1!$A:$AO,38,FALSE)</f>
        <v>N/A</v>
      </c>
      <c r="AM425" s="576" t="str">
        <f>VLOOKUP(Complete[[#This Row],[Code
(PAP)]],[1]Sheet1!$A:$AO,38,FALSE)</f>
        <v>N/A</v>
      </c>
      <c r="AN425" s="595" t="s">
        <v>713</v>
      </c>
      <c r="AO425" s="303" t="s">
        <v>139</v>
      </c>
      <c r="AP425" s="389"/>
      <c r="AQ425" s="389"/>
    </row>
    <row r="426" spans="1:43" s="224" customFormat="1" ht="75" customHeight="1" x14ac:dyDescent="0.25">
      <c r="A426" s="385" t="s">
        <v>604</v>
      </c>
      <c r="B426" s="406" t="str">
        <f>VLOOKUP(Complete[[#This Row],[Code
(PAP)]],[1]Sheet1!$A:$AO,2,FALSE)</f>
        <v>VETERINARY SUPPLIES</v>
      </c>
      <c r="C426" s="408" t="str">
        <f>VLOOKUP(Complete[[#This Row],[Code
(PAP)]],[1]Sheet1!$A:$AO,3,FALSE)</f>
        <v>PVO</v>
      </c>
      <c r="D426" s="380" t="s">
        <v>712</v>
      </c>
      <c r="E426" s="409" t="str">
        <f>VLOOKUP(Complete[[#This Row],[Code
(PAP)]],[2]Sheet1!$A:$AO,5,FALSE)</f>
        <v>NP-53.9 - Small Value Procurement</v>
      </c>
      <c r="F426" s="393" t="str">
        <f>VLOOKUP(Complete[[#This Row],[Code
(PAP)]],[1]Sheet1!$A:$AO,6,FALSE)</f>
        <v>N/A</v>
      </c>
      <c r="G426" s="393">
        <f>VLOOKUP(Complete[[#This Row],[Code
(PAP)]],[1]Sheet1!$A:$AO,7,FALSE)</f>
        <v>45385</v>
      </c>
      <c r="H426" s="374"/>
      <c r="I426" s="394" t="str">
        <f>VLOOKUP(Complete[[#This Row],[Code
(PAP)]],[1]Sheet1!$A:$AO,9,FALSE)</f>
        <v>N/A</v>
      </c>
      <c r="J426" s="393">
        <f>VLOOKUP(Complete[[#This Row],[Code
(PAP)]],[1]Sheet1!$A:$AO,10,FALSE)</f>
        <v>45407</v>
      </c>
      <c r="K426" s="393">
        <f>VLOOKUP(Complete[[#This Row],[Code
(PAP)]],[1]Sheet1!$A:$AO,11,FALSE)</f>
        <v>45407</v>
      </c>
      <c r="L426" s="387"/>
      <c r="M426" s="393" t="str">
        <f>VLOOKUP(Complete[[#This Row],[Code
(PAP)]],[1]Sheet1!$A:$AO,13,FALSE)</f>
        <v>N/A</v>
      </c>
      <c r="N426" s="393" t="str">
        <f>VLOOKUP(Complete[[#This Row],[Code
(PAP)]],[1]Sheet1!$A:$AO,14,FALSE)</f>
        <v>N/A</v>
      </c>
      <c r="O426" s="393">
        <f>VLOOKUP(Complete[[#This Row],[Code
(PAP)]],[1]Sheet1!$A:$AO,15,FALSE)</f>
        <v>45411</v>
      </c>
      <c r="P426" s="387"/>
      <c r="Q426" s="387"/>
      <c r="R426" s="387"/>
      <c r="S426" s="576">
        <v>45418</v>
      </c>
      <c r="T426" s="576">
        <f>VLOOKUP(Complete[[#This Row],[Code
(PAP)]],[1]Sheet1!$A:$AO,20,FALSE)</f>
        <v>45433</v>
      </c>
      <c r="U426" s="576">
        <f>VLOOKUP(Complete[[#This Row],[Code
(PAP)]],[1]Sheet1!$A:$AO,21,FALSE)</f>
        <v>45435</v>
      </c>
      <c r="V426" s="387"/>
      <c r="W426" s="387"/>
      <c r="X426" s="392">
        <f>VLOOKUP(Complete[[#This Row],[Code
(PAP)]],[1]Sheet1!$A:$AO,24,FALSE)</f>
        <v>45456</v>
      </c>
      <c r="Y426" s="392">
        <f>Complete[[#This Row],[Delivery/ Completion]]</f>
        <v>45456</v>
      </c>
      <c r="Z426" s="610" t="s">
        <v>1478</v>
      </c>
      <c r="AA426" s="462">
        <f>Complete[[#This Row],[MOOE]]+Complete[[#This Row],[CO]]</f>
        <v>72177</v>
      </c>
      <c r="AB426" s="466">
        <v>72177</v>
      </c>
      <c r="AC426" s="497"/>
      <c r="AD426" s="498">
        <f>IF(Complete[[#This Row],[Procurement Project]]="","",SUM(Complete[[#This Row],[MOOE2]]+Complete[[#This Row],[CO3]]))</f>
        <v>71932</v>
      </c>
      <c r="AE426" s="501">
        <v>71932</v>
      </c>
      <c r="AF426" s="541"/>
      <c r="AG426" s="400"/>
      <c r="AH426" s="380" t="s">
        <v>1205</v>
      </c>
      <c r="AI426" s="576" t="str">
        <f>VLOOKUP(Complete[[#This Row],[Code
(PAP)]],[1]Sheet1!$A:$AO,35,FALSE)</f>
        <v>N/A</v>
      </c>
      <c r="AJ426" s="576" t="str">
        <f>VLOOKUP(Complete[[#This Row],[Code
(PAP)]],[1]Sheet1!$A:$AO,36,FALSE)</f>
        <v>N/A</v>
      </c>
      <c r="AK426" s="576" t="str">
        <f>VLOOKUP(Complete[[#This Row],[Code
(PAP)]],[1]Sheet1!$A:$AO,37,FALSE)</f>
        <v>N/A</v>
      </c>
      <c r="AL426" s="576" t="str">
        <f>VLOOKUP(Complete[[#This Row],[Code
(PAP)]],[1]Sheet1!$A:$AO,38,FALSE)</f>
        <v>N/A</v>
      </c>
      <c r="AM426" s="576" t="str">
        <f>VLOOKUP(Complete[[#This Row],[Code
(PAP)]],[1]Sheet1!$A:$AO,38,FALSE)</f>
        <v>N/A</v>
      </c>
      <c r="AN426" s="595" t="s">
        <v>713</v>
      </c>
      <c r="AO426" s="303" t="s">
        <v>139</v>
      </c>
      <c r="AP426" s="389"/>
      <c r="AQ426" s="389"/>
    </row>
    <row r="427" spans="1:43" s="224" customFormat="1" ht="75" customHeight="1" x14ac:dyDescent="0.25">
      <c r="A427" s="385" t="s">
        <v>605</v>
      </c>
      <c r="B427" s="406" t="str">
        <f>VLOOKUP(Complete[[#This Row],[Code
(PAP)]],[1]Sheet1!$A:$AO,2,FALSE)</f>
        <v>EXTERNAL DRIVE</v>
      </c>
      <c r="C427" s="408" t="str">
        <f>VLOOKUP(Complete[[#This Row],[Code
(PAP)]],[1]Sheet1!$A:$AO,3,FALSE)</f>
        <v>PTO</v>
      </c>
      <c r="D427" s="380" t="s">
        <v>712</v>
      </c>
      <c r="E427" s="409" t="str">
        <f>VLOOKUP(Complete[[#This Row],[Code
(PAP)]],[2]Sheet1!$A:$AO,5,FALSE)</f>
        <v>NP-53.9 - Small Value Procurement</v>
      </c>
      <c r="F427" s="393" t="str">
        <f>VLOOKUP(Complete[[#This Row],[Code
(PAP)]],[1]Sheet1!$A:$AO,6,FALSE)</f>
        <v>N/A</v>
      </c>
      <c r="G427" s="393">
        <f>VLOOKUP(Complete[[#This Row],[Code
(PAP)]],[1]Sheet1!$A:$AO,7,FALSE)</f>
        <v>45397</v>
      </c>
      <c r="H427" s="374"/>
      <c r="I427" s="394" t="str">
        <f>VLOOKUP(Complete[[#This Row],[Code
(PAP)]],[1]Sheet1!$A:$AO,9,FALSE)</f>
        <v>N/A</v>
      </c>
      <c r="J427" s="393">
        <f>VLOOKUP(Complete[[#This Row],[Code
(PAP)]],[1]Sheet1!$A:$AO,10,FALSE)</f>
        <v>45407</v>
      </c>
      <c r="K427" s="393">
        <f>VLOOKUP(Complete[[#This Row],[Code
(PAP)]],[1]Sheet1!$A:$AO,11,FALSE)</f>
        <v>45407</v>
      </c>
      <c r="L427" s="387"/>
      <c r="M427" s="393" t="str">
        <f>VLOOKUP(Complete[[#This Row],[Code
(PAP)]],[1]Sheet1!$A:$AO,13,FALSE)</f>
        <v>N/A</v>
      </c>
      <c r="N427" s="393" t="str">
        <f>VLOOKUP(Complete[[#This Row],[Code
(PAP)]],[1]Sheet1!$A:$AO,14,FALSE)</f>
        <v>N/A</v>
      </c>
      <c r="O427" s="393">
        <f>VLOOKUP(Complete[[#This Row],[Code
(PAP)]],[1]Sheet1!$A:$AO,15,FALSE)</f>
        <v>45411</v>
      </c>
      <c r="P427" s="387"/>
      <c r="Q427" s="387"/>
      <c r="R427" s="387"/>
      <c r="S427" s="576" t="s">
        <v>713</v>
      </c>
      <c r="T427" s="576">
        <f>VLOOKUP(Complete[[#This Row],[Code
(PAP)]],[1]Sheet1!$A:$AO,20,FALSE)</f>
        <v>45429</v>
      </c>
      <c r="U427" s="576">
        <f>VLOOKUP(Complete[[#This Row],[Code
(PAP)]],[1]Sheet1!$A:$AO,21,FALSE)</f>
        <v>45433</v>
      </c>
      <c r="V427" s="387"/>
      <c r="W427" s="387"/>
      <c r="X427" s="392">
        <f>VLOOKUP(Complete[[#This Row],[Code
(PAP)]],[1]Sheet1!$A:$AO,24,FALSE)</f>
        <v>45439</v>
      </c>
      <c r="Y427" s="392">
        <f>Complete[[#This Row],[Delivery/ Completion]]</f>
        <v>45439</v>
      </c>
      <c r="Z427" s="610" t="s">
        <v>1478</v>
      </c>
      <c r="AA427" s="462">
        <f>Complete[[#This Row],[MOOE]]+Complete[[#This Row],[CO]]</f>
        <v>18700</v>
      </c>
      <c r="AB427" s="466">
        <v>18700</v>
      </c>
      <c r="AC427" s="497"/>
      <c r="AD427" s="498">
        <f>IF(Complete[[#This Row],[Procurement Project]]="","",SUM(Complete[[#This Row],[MOOE2]]+Complete[[#This Row],[CO3]]))</f>
        <v>18000</v>
      </c>
      <c r="AE427" s="501">
        <v>18000</v>
      </c>
      <c r="AF427" s="541"/>
      <c r="AG427" s="400"/>
      <c r="AH427" s="380" t="s">
        <v>1205</v>
      </c>
      <c r="AI427" s="576" t="str">
        <f>VLOOKUP(Complete[[#This Row],[Code
(PAP)]],[1]Sheet1!$A:$AO,35,FALSE)</f>
        <v>N/A</v>
      </c>
      <c r="AJ427" s="576" t="str">
        <f>VLOOKUP(Complete[[#This Row],[Code
(PAP)]],[1]Sheet1!$A:$AO,36,FALSE)</f>
        <v>N/A</v>
      </c>
      <c r="AK427" s="576" t="str">
        <f>VLOOKUP(Complete[[#This Row],[Code
(PAP)]],[1]Sheet1!$A:$AO,37,FALSE)</f>
        <v>N/A</v>
      </c>
      <c r="AL427" s="576" t="str">
        <f>VLOOKUP(Complete[[#This Row],[Code
(PAP)]],[1]Sheet1!$A:$AO,38,FALSE)</f>
        <v>N/A</v>
      </c>
      <c r="AM427" s="576" t="str">
        <f>VLOOKUP(Complete[[#This Row],[Code
(PAP)]],[1]Sheet1!$A:$AO,38,FALSE)</f>
        <v>N/A</v>
      </c>
      <c r="AN427" s="595" t="s">
        <v>713</v>
      </c>
      <c r="AO427" s="303" t="s">
        <v>139</v>
      </c>
      <c r="AP427" s="389"/>
      <c r="AQ427" s="389"/>
    </row>
    <row r="428" spans="1:43" s="224" customFormat="1" ht="75" customHeight="1" x14ac:dyDescent="0.25">
      <c r="A428" s="385" t="s">
        <v>606</v>
      </c>
      <c r="B428" s="406" t="str">
        <f>VLOOKUP(Complete[[#This Row],[Code
(PAP)]],[1]Sheet1!$A:$AO,2,FALSE)</f>
        <v>DOG VACCINATION CERTIFICATE AND TARPAULIN</v>
      </c>
      <c r="C428" s="408" t="str">
        <f>VLOOKUP(Complete[[#This Row],[Code
(PAP)]],[1]Sheet1!$A:$AO,3,FALSE)</f>
        <v>PVO</v>
      </c>
      <c r="D428" s="380" t="s">
        <v>712</v>
      </c>
      <c r="E428" s="409" t="str">
        <f>VLOOKUP(Complete[[#This Row],[Code
(PAP)]],[2]Sheet1!$A:$AO,5,FALSE)</f>
        <v>NP-53.9 - Small Value Procurement</v>
      </c>
      <c r="F428" s="393" t="str">
        <f>VLOOKUP(Complete[[#This Row],[Code
(PAP)]],[1]Sheet1!$A:$AO,6,FALSE)</f>
        <v>N/A</v>
      </c>
      <c r="G428" s="393">
        <f>VLOOKUP(Complete[[#This Row],[Code
(PAP)]],[1]Sheet1!$A:$AO,7,FALSE)</f>
        <v>45390</v>
      </c>
      <c r="H428" s="374"/>
      <c r="I428" s="394" t="str">
        <f>VLOOKUP(Complete[[#This Row],[Code
(PAP)]],[1]Sheet1!$A:$AO,9,FALSE)</f>
        <v>N/A</v>
      </c>
      <c r="J428" s="393">
        <f>VLOOKUP(Complete[[#This Row],[Code
(PAP)]],[1]Sheet1!$A:$AO,10,FALSE)</f>
        <v>45407</v>
      </c>
      <c r="K428" s="393">
        <f>VLOOKUP(Complete[[#This Row],[Code
(PAP)]],[1]Sheet1!$A:$AO,11,FALSE)</f>
        <v>45407</v>
      </c>
      <c r="L428" s="387"/>
      <c r="M428" s="393" t="str">
        <f>VLOOKUP(Complete[[#This Row],[Code
(PAP)]],[1]Sheet1!$A:$AO,13,FALSE)</f>
        <v>N/A</v>
      </c>
      <c r="N428" s="393" t="str">
        <f>VLOOKUP(Complete[[#This Row],[Code
(PAP)]],[1]Sheet1!$A:$AO,14,FALSE)</f>
        <v>N/A</v>
      </c>
      <c r="O428" s="393">
        <f>VLOOKUP(Complete[[#This Row],[Code
(PAP)]],[1]Sheet1!$A:$AO,15,FALSE)</f>
        <v>45411</v>
      </c>
      <c r="P428" s="387"/>
      <c r="Q428" s="387"/>
      <c r="R428" s="387"/>
      <c r="S428" s="576" t="s">
        <v>713</v>
      </c>
      <c r="T428" s="576">
        <f>VLOOKUP(Complete[[#This Row],[Code
(PAP)]],[1]Sheet1!$A:$AO,20,FALSE)</f>
        <v>45432</v>
      </c>
      <c r="U428" s="576">
        <f>VLOOKUP(Complete[[#This Row],[Code
(PAP)]],[1]Sheet1!$A:$AO,21,FALSE)</f>
        <v>45435</v>
      </c>
      <c r="V428" s="387"/>
      <c r="W428" s="387"/>
      <c r="X428" s="392">
        <f>VLOOKUP(Complete[[#This Row],[Code
(PAP)]],[1]Sheet1!$A:$AO,24,FALSE)</f>
        <v>45447</v>
      </c>
      <c r="Y428" s="392">
        <f>Complete[[#This Row],[Delivery/ Completion]]</f>
        <v>45447</v>
      </c>
      <c r="Z428" s="610" t="s">
        <v>1478</v>
      </c>
      <c r="AA428" s="462">
        <f>Complete[[#This Row],[MOOE]]+Complete[[#This Row],[CO]]</f>
        <v>31560</v>
      </c>
      <c r="AB428" s="466">
        <v>31560</v>
      </c>
      <c r="AC428" s="497"/>
      <c r="AD428" s="498">
        <f>IF(Complete[[#This Row],[Procurement Project]]="","",SUM(Complete[[#This Row],[MOOE2]]+Complete[[#This Row],[CO3]]))</f>
        <v>31560</v>
      </c>
      <c r="AE428" s="501">
        <v>31560</v>
      </c>
      <c r="AF428" s="541"/>
      <c r="AG428" s="400"/>
      <c r="AH428" s="380" t="s">
        <v>1205</v>
      </c>
      <c r="AI428" s="576" t="str">
        <f>VLOOKUP(Complete[[#This Row],[Code
(PAP)]],[1]Sheet1!$A:$AO,35,FALSE)</f>
        <v>N/A</v>
      </c>
      <c r="AJ428" s="576" t="str">
        <f>VLOOKUP(Complete[[#This Row],[Code
(PAP)]],[1]Sheet1!$A:$AO,36,FALSE)</f>
        <v>N/A</v>
      </c>
      <c r="AK428" s="576" t="str">
        <f>VLOOKUP(Complete[[#This Row],[Code
(PAP)]],[1]Sheet1!$A:$AO,37,FALSE)</f>
        <v>N/A</v>
      </c>
      <c r="AL428" s="576" t="str">
        <f>VLOOKUP(Complete[[#This Row],[Code
(PAP)]],[1]Sheet1!$A:$AO,38,FALSE)</f>
        <v>N/A</v>
      </c>
      <c r="AM428" s="576" t="str">
        <f>VLOOKUP(Complete[[#This Row],[Code
(PAP)]],[1]Sheet1!$A:$AO,38,FALSE)</f>
        <v>N/A</v>
      </c>
      <c r="AN428" s="595" t="s">
        <v>713</v>
      </c>
      <c r="AO428" s="303" t="s">
        <v>139</v>
      </c>
      <c r="AP428" s="389"/>
      <c r="AQ428" s="389"/>
    </row>
    <row r="429" spans="1:43" s="224" customFormat="1" ht="75" customHeight="1" x14ac:dyDescent="0.25">
      <c r="A429" s="385" t="s">
        <v>607</v>
      </c>
      <c r="B429" s="406" t="str">
        <f>VLOOKUP(Complete[[#This Row],[Code
(PAP)]],[1]Sheet1!$A:$AO,2,FALSE)</f>
        <v>SPAREPARTS (MOTORCYCLE)</v>
      </c>
      <c r="C429" s="408" t="str">
        <f>VLOOKUP(Complete[[#This Row],[Code
(PAP)]],[1]Sheet1!$A:$AO,3,FALSE)</f>
        <v>PGSO</v>
      </c>
      <c r="D429" s="380" t="s">
        <v>712</v>
      </c>
      <c r="E429" s="409" t="str">
        <f>VLOOKUP(Complete[[#This Row],[Code
(PAP)]],[2]Sheet1!$A:$AO,5,FALSE)</f>
        <v>NP-53.9 - Small Value Procurement</v>
      </c>
      <c r="F429" s="393">
        <f>VLOOKUP(Complete[[#This Row],[Code
(PAP)]],[1]Sheet1!$A:$AO,6,FALSE)</f>
        <v>45390</v>
      </c>
      <c r="G429" s="393">
        <f>VLOOKUP(Complete[[#This Row],[Code
(PAP)]],[1]Sheet1!$A:$AO,7,FALSE)</f>
        <v>45397</v>
      </c>
      <c r="H429" s="374"/>
      <c r="I429" s="394" t="str">
        <f>VLOOKUP(Complete[[#This Row],[Code
(PAP)]],[1]Sheet1!$A:$AO,9,FALSE)</f>
        <v>N/A</v>
      </c>
      <c r="J429" s="393">
        <f>VLOOKUP(Complete[[#This Row],[Code
(PAP)]],[1]Sheet1!$A:$AO,10,FALSE)</f>
        <v>45407</v>
      </c>
      <c r="K429" s="393">
        <f>VLOOKUP(Complete[[#This Row],[Code
(PAP)]],[1]Sheet1!$A:$AO,11,FALSE)</f>
        <v>45407</v>
      </c>
      <c r="L429" s="387"/>
      <c r="M429" s="393" t="str">
        <f>VLOOKUP(Complete[[#This Row],[Code
(PAP)]],[1]Sheet1!$A:$AO,13,FALSE)</f>
        <v>N/A</v>
      </c>
      <c r="N429" s="393" t="str">
        <f>VLOOKUP(Complete[[#This Row],[Code
(PAP)]],[1]Sheet1!$A:$AO,14,FALSE)</f>
        <v>N/A</v>
      </c>
      <c r="O429" s="393">
        <f>VLOOKUP(Complete[[#This Row],[Code
(PAP)]],[1]Sheet1!$A:$AO,15,FALSE)</f>
        <v>45411</v>
      </c>
      <c r="P429" s="387"/>
      <c r="Q429" s="387"/>
      <c r="R429" s="387"/>
      <c r="S429" s="576" t="s">
        <v>713</v>
      </c>
      <c r="T429" s="576">
        <f>VLOOKUP(Complete[[#This Row],[Code
(PAP)]],[1]Sheet1!$A:$AO,20,FALSE)</f>
        <v>45426</v>
      </c>
      <c r="U429" s="576">
        <f>VLOOKUP(Complete[[#This Row],[Code
(PAP)]],[1]Sheet1!$A:$AO,21,FALSE)</f>
        <v>45446</v>
      </c>
      <c r="V429" s="387"/>
      <c r="W429" s="387"/>
      <c r="X429" s="392">
        <f>VLOOKUP(Complete[[#This Row],[Code
(PAP)]],[1]Sheet1!$A:$AO,24,FALSE)</f>
        <v>45449</v>
      </c>
      <c r="Y429" s="392">
        <f>Complete[[#This Row],[Delivery/ Completion]]</f>
        <v>45449</v>
      </c>
      <c r="Z429" s="610" t="s">
        <v>1478</v>
      </c>
      <c r="AA429" s="462">
        <f>Complete[[#This Row],[MOOE]]+Complete[[#This Row],[CO]]</f>
        <v>8680</v>
      </c>
      <c r="AB429" s="466">
        <v>8680</v>
      </c>
      <c r="AC429" s="497"/>
      <c r="AD429" s="498">
        <f>IF(Complete[[#This Row],[Procurement Project]]="","",SUM(Complete[[#This Row],[MOOE2]]+Complete[[#This Row],[CO3]]))</f>
        <v>8620</v>
      </c>
      <c r="AE429" s="501">
        <v>8620</v>
      </c>
      <c r="AF429" s="541"/>
      <c r="AG429" s="400"/>
      <c r="AH429" s="380" t="s">
        <v>1205</v>
      </c>
      <c r="AI429" s="576" t="str">
        <f>VLOOKUP(Complete[[#This Row],[Code
(PAP)]],[1]Sheet1!$A:$AO,35,FALSE)</f>
        <v>N/A</v>
      </c>
      <c r="AJ429" s="576" t="str">
        <f>VLOOKUP(Complete[[#This Row],[Code
(PAP)]],[1]Sheet1!$A:$AO,36,FALSE)</f>
        <v>N/A</v>
      </c>
      <c r="AK429" s="576" t="str">
        <f>VLOOKUP(Complete[[#This Row],[Code
(PAP)]],[1]Sheet1!$A:$AO,37,FALSE)</f>
        <v>N/A</v>
      </c>
      <c r="AL429" s="576" t="str">
        <f>VLOOKUP(Complete[[#This Row],[Code
(PAP)]],[1]Sheet1!$A:$AO,38,FALSE)</f>
        <v>N/A</v>
      </c>
      <c r="AM429" s="576" t="str">
        <f>VLOOKUP(Complete[[#This Row],[Code
(PAP)]],[1]Sheet1!$A:$AO,38,FALSE)</f>
        <v>N/A</v>
      </c>
      <c r="AN429" s="595" t="s">
        <v>713</v>
      </c>
      <c r="AO429" s="303" t="s">
        <v>139</v>
      </c>
      <c r="AP429" s="389"/>
      <c r="AQ429" s="389"/>
    </row>
    <row r="430" spans="1:43" s="224" customFormat="1" ht="75" customHeight="1" x14ac:dyDescent="0.25">
      <c r="A430" s="385" t="s">
        <v>608</v>
      </c>
      <c r="B430" s="406" t="str">
        <f>VLOOKUP(Complete[[#This Row],[Code
(PAP)]],[1]Sheet1!$A:$AO,2,FALSE)</f>
        <v>SPAREPARTS (MOTORCYCLE)</v>
      </c>
      <c r="C430" s="408" t="str">
        <f>VLOOKUP(Complete[[#This Row],[Code
(PAP)]],[1]Sheet1!$A:$AO,3,FALSE)</f>
        <v>PGSO</v>
      </c>
      <c r="D430" s="380" t="s">
        <v>712</v>
      </c>
      <c r="E430" s="409" t="str">
        <f>VLOOKUP(Complete[[#This Row],[Code
(PAP)]],[2]Sheet1!$A:$AO,5,FALSE)</f>
        <v>NP-53.9 - Small Value Procurement</v>
      </c>
      <c r="F430" s="393">
        <f>VLOOKUP(Complete[[#This Row],[Code
(PAP)]],[1]Sheet1!$A:$AO,6,FALSE)</f>
        <v>45390</v>
      </c>
      <c r="G430" s="393">
        <f>VLOOKUP(Complete[[#This Row],[Code
(PAP)]],[1]Sheet1!$A:$AO,7,FALSE)</f>
        <v>45397</v>
      </c>
      <c r="H430" s="374"/>
      <c r="I430" s="394" t="str">
        <f>VLOOKUP(Complete[[#This Row],[Code
(PAP)]],[1]Sheet1!$A:$AO,9,FALSE)</f>
        <v>N/A</v>
      </c>
      <c r="J430" s="393">
        <f>VLOOKUP(Complete[[#This Row],[Code
(PAP)]],[1]Sheet1!$A:$AO,10,FALSE)</f>
        <v>45407</v>
      </c>
      <c r="K430" s="393">
        <f>VLOOKUP(Complete[[#This Row],[Code
(PAP)]],[1]Sheet1!$A:$AO,11,FALSE)</f>
        <v>45407</v>
      </c>
      <c r="L430" s="387"/>
      <c r="M430" s="393" t="str">
        <f>VLOOKUP(Complete[[#This Row],[Code
(PAP)]],[1]Sheet1!$A:$AO,13,FALSE)</f>
        <v>N/A</v>
      </c>
      <c r="N430" s="393" t="str">
        <f>VLOOKUP(Complete[[#This Row],[Code
(PAP)]],[1]Sheet1!$A:$AO,14,FALSE)</f>
        <v>N/A</v>
      </c>
      <c r="O430" s="393">
        <f>VLOOKUP(Complete[[#This Row],[Code
(PAP)]],[1]Sheet1!$A:$AO,15,FALSE)</f>
        <v>45411</v>
      </c>
      <c r="P430" s="387"/>
      <c r="Q430" s="387"/>
      <c r="R430" s="387"/>
      <c r="S430" s="576" t="s">
        <v>713</v>
      </c>
      <c r="T430" s="576">
        <f>VLOOKUP(Complete[[#This Row],[Code
(PAP)]],[1]Sheet1!$A:$AO,20,FALSE)</f>
        <v>45427</v>
      </c>
      <c r="U430" s="576">
        <f>VLOOKUP(Complete[[#This Row],[Code
(PAP)]],[1]Sheet1!$A:$AO,21,FALSE)</f>
        <v>45446</v>
      </c>
      <c r="V430" s="387"/>
      <c r="W430" s="387"/>
      <c r="X430" s="392">
        <f>VLOOKUP(Complete[[#This Row],[Code
(PAP)]],[1]Sheet1!$A:$AO,24,FALSE)</f>
        <v>45449</v>
      </c>
      <c r="Y430" s="392">
        <f>Complete[[#This Row],[Delivery/ Completion]]</f>
        <v>45449</v>
      </c>
      <c r="Z430" s="610" t="s">
        <v>1478</v>
      </c>
      <c r="AA430" s="462">
        <f>Complete[[#This Row],[MOOE]]+Complete[[#This Row],[CO]]</f>
        <v>4900</v>
      </c>
      <c r="AB430" s="466">
        <v>4900</v>
      </c>
      <c r="AC430" s="497"/>
      <c r="AD430" s="498">
        <f>IF(Complete[[#This Row],[Procurement Project]]="","",SUM(Complete[[#This Row],[MOOE2]]+Complete[[#This Row],[CO3]]))</f>
        <v>4863</v>
      </c>
      <c r="AE430" s="501">
        <v>4863</v>
      </c>
      <c r="AF430" s="541"/>
      <c r="AG430" s="400"/>
      <c r="AH430" s="380" t="s">
        <v>1205</v>
      </c>
      <c r="AI430" s="576" t="str">
        <f>VLOOKUP(Complete[[#This Row],[Code
(PAP)]],[1]Sheet1!$A:$AO,35,FALSE)</f>
        <v>N/A</v>
      </c>
      <c r="AJ430" s="576" t="str">
        <f>VLOOKUP(Complete[[#This Row],[Code
(PAP)]],[1]Sheet1!$A:$AO,36,FALSE)</f>
        <v>N/A</v>
      </c>
      <c r="AK430" s="576" t="str">
        <f>VLOOKUP(Complete[[#This Row],[Code
(PAP)]],[1]Sheet1!$A:$AO,37,FALSE)</f>
        <v>N/A</v>
      </c>
      <c r="AL430" s="576" t="str">
        <f>VLOOKUP(Complete[[#This Row],[Code
(PAP)]],[1]Sheet1!$A:$AO,38,FALSE)</f>
        <v>N/A</v>
      </c>
      <c r="AM430" s="576" t="str">
        <f>VLOOKUP(Complete[[#This Row],[Code
(PAP)]],[1]Sheet1!$A:$AO,38,FALSE)</f>
        <v>N/A</v>
      </c>
      <c r="AN430" s="595" t="s">
        <v>713</v>
      </c>
      <c r="AO430" s="303" t="s">
        <v>139</v>
      </c>
      <c r="AP430" s="389"/>
      <c r="AQ430" s="389"/>
    </row>
    <row r="431" spans="1:43" s="224" customFormat="1" ht="75" customHeight="1" x14ac:dyDescent="0.25">
      <c r="A431" s="385" t="s">
        <v>609</v>
      </c>
      <c r="B431" s="406" t="str">
        <f>VLOOKUP(Complete[[#This Row],[Code
(PAP)]],[1]Sheet1!$A:$AO,2,FALSE)</f>
        <v>SPAREPARTS (MOTORCYCLE)</v>
      </c>
      <c r="C431" s="408" t="str">
        <f>VLOOKUP(Complete[[#This Row],[Code
(PAP)]],[1]Sheet1!$A:$AO,3,FALSE)</f>
        <v>PGSO</v>
      </c>
      <c r="D431" s="380" t="s">
        <v>712</v>
      </c>
      <c r="E431" s="409" t="str">
        <f>VLOOKUP(Complete[[#This Row],[Code
(PAP)]],[2]Sheet1!$A:$AO,5,FALSE)</f>
        <v>NP-53.9 - Small Value Procurement</v>
      </c>
      <c r="F431" s="393">
        <f>VLOOKUP(Complete[[#This Row],[Code
(PAP)]],[1]Sheet1!$A:$AO,6,FALSE)</f>
        <v>45390</v>
      </c>
      <c r="G431" s="393">
        <f>VLOOKUP(Complete[[#This Row],[Code
(PAP)]],[1]Sheet1!$A:$AO,7,FALSE)</f>
        <v>45397</v>
      </c>
      <c r="H431" s="374"/>
      <c r="I431" s="394" t="str">
        <f>VLOOKUP(Complete[[#This Row],[Code
(PAP)]],[1]Sheet1!$A:$AO,9,FALSE)</f>
        <v>N/A</v>
      </c>
      <c r="J431" s="393">
        <f>VLOOKUP(Complete[[#This Row],[Code
(PAP)]],[1]Sheet1!$A:$AO,10,FALSE)</f>
        <v>45407</v>
      </c>
      <c r="K431" s="393">
        <f>VLOOKUP(Complete[[#This Row],[Code
(PAP)]],[1]Sheet1!$A:$AO,11,FALSE)</f>
        <v>45407</v>
      </c>
      <c r="L431" s="387"/>
      <c r="M431" s="393" t="str">
        <f>VLOOKUP(Complete[[#This Row],[Code
(PAP)]],[1]Sheet1!$A:$AO,13,FALSE)</f>
        <v>N/A</v>
      </c>
      <c r="N431" s="393" t="str">
        <f>VLOOKUP(Complete[[#This Row],[Code
(PAP)]],[1]Sheet1!$A:$AO,14,FALSE)</f>
        <v>N/A</v>
      </c>
      <c r="O431" s="393">
        <f>VLOOKUP(Complete[[#This Row],[Code
(PAP)]],[1]Sheet1!$A:$AO,15,FALSE)</f>
        <v>45411</v>
      </c>
      <c r="P431" s="387"/>
      <c r="Q431" s="387"/>
      <c r="R431" s="387"/>
      <c r="S431" s="576" t="s">
        <v>713</v>
      </c>
      <c r="T431" s="576">
        <f>VLOOKUP(Complete[[#This Row],[Code
(PAP)]],[1]Sheet1!$A:$AO,20,FALSE)</f>
        <v>45425</v>
      </c>
      <c r="U431" s="576">
        <f>VLOOKUP(Complete[[#This Row],[Code
(PAP)]],[1]Sheet1!$A:$AO,21,FALSE)</f>
        <v>45446</v>
      </c>
      <c r="V431" s="387"/>
      <c r="W431" s="387"/>
      <c r="X431" s="392">
        <f>VLOOKUP(Complete[[#This Row],[Code
(PAP)]],[1]Sheet1!$A:$AO,24,FALSE)</f>
        <v>45449</v>
      </c>
      <c r="Y431" s="392">
        <f>Complete[[#This Row],[Delivery/ Completion]]</f>
        <v>45449</v>
      </c>
      <c r="Z431" s="610" t="s">
        <v>1478</v>
      </c>
      <c r="AA431" s="462">
        <f>Complete[[#This Row],[MOOE]]+Complete[[#This Row],[CO]]</f>
        <v>12430</v>
      </c>
      <c r="AB431" s="466">
        <v>12430</v>
      </c>
      <c r="AC431" s="497"/>
      <c r="AD431" s="498">
        <f>IF(Complete[[#This Row],[Procurement Project]]="","",SUM(Complete[[#This Row],[MOOE2]]+Complete[[#This Row],[CO3]]))</f>
        <v>12250</v>
      </c>
      <c r="AE431" s="501">
        <v>12250</v>
      </c>
      <c r="AF431" s="541"/>
      <c r="AG431" s="400"/>
      <c r="AH431" s="380" t="s">
        <v>1205</v>
      </c>
      <c r="AI431" s="576" t="str">
        <f>VLOOKUP(Complete[[#This Row],[Code
(PAP)]],[1]Sheet1!$A:$AO,35,FALSE)</f>
        <v>N/A</v>
      </c>
      <c r="AJ431" s="576" t="str">
        <f>VLOOKUP(Complete[[#This Row],[Code
(PAP)]],[1]Sheet1!$A:$AO,36,FALSE)</f>
        <v>N/A</v>
      </c>
      <c r="AK431" s="576" t="str">
        <f>VLOOKUP(Complete[[#This Row],[Code
(PAP)]],[1]Sheet1!$A:$AO,37,FALSE)</f>
        <v>N/A</v>
      </c>
      <c r="AL431" s="576" t="str">
        <f>VLOOKUP(Complete[[#This Row],[Code
(PAP)]],[1]Sheet1!$A:$AO,38,FALSE)</f>
        <v>N/A</v>
      </c>
      <c r="AM431" s="576" t="str">
        <f>VLOOKUP(Complete[[#This Row],[Code
(PAP)]],[1]Sheet1!$A:$AO,38,FALSE)</f>
        <v>N/A</v>
      </c>
      <c r="AN431" s="595" t="s">
        <v>713</v>
      </c>
      <c r="AO431" s="303" t="s">
        <v>139</v>
      </c>
      <c r="AP431" s="389"/>
      <c r="AQ431" s="389"/>
    </row>
    <row r="432" spans="1:43" s="224" customFormat="1" ht="75" customHeight="1" x14ac:dyDescent="0.25">
      <c r="A432" s="385" t="s">
        <v>610</v>
      </c>
      <c r="B432" s="406" t="str">
        <f>VLOOKUP(Complete[[#This Row],[Code
(PAP)]],[1]Sheet1!$A:$AO,2,FALSE)</f>
        <v>RICE, WELL MILLED</v>
      </c>
      <c r="C432" s="408" t="str">
        <f>VLOOKUP(Complete[[#This Row],[Code
(PAP)]],[1]Sheet1!$A:$AO,3,FALSE)</f>
        <v>PGO</v>
      </c>
      <c r="D432" s="380" t="s">
        <v>712</v>
      </c>
      <c r="E432" s="409" t="str">
        <f>VLOOKUP(Complete[[#This Row],[Code
(PAP)]],[2]Sheet1!$A:$AO,5,FALSE)</f>
        <v>NP-53.9 - Small Value Procurement</v>
      </c>
      <c r="F432" s="393">
        <f>VLOOKUP(Complete[[#This Row],[Code
(PAP)]],[1]Sheet1!$A:$AO,6,FALSE)</f>
        <v>45384</v>
      </c>
      <c r="G432" s="393">
        <f>VLOOKUP(Complete[[#This Row],[Code
(PAP)]],[1]Sheet1!$A:$AO,7,FALSE)</f>
        <v>45390</v>
      </c>
      <c r="H432" s="374"/>
      <c r="I432" s="394" t="str">
        <f>VLOOKUP(Complete[[#This Row],[Code
(PAP)]],[1]Sheet1!$A:$AO,9,FALSE)</f>
        <v>N/A</v>
      </c>
      <c r="J432" s="393">
        <f>VLOOKUP(Complete[[#This Row],[Code
(PAP)]],[1]Sheet1!$A:$AO,10,FALSE)</f>
        <v>45407</v>
      </c>
      <c r="K432" s="393">
        <f>VLOOKUP(Complete[[#This Row],[Code
(PAP)]],[1]Sheet1!$A:$AO,11,FALSE)</f>
        <v>45407</v>
      </c>
      <c r="L432" s="387"/>
      <c r="M432" s="393" t="str">
        <f>VLOOKUP(Complete[[#This Row],[Code
(PAP)]],[1]Sheet1!$A:$AO,13,FALSE)</f>
        <v>N/A</v>
      </c>
      <c r="N432" s="393" t="str">
        <f>VLOOKUP(Complete[[#This Row],[Code
(PAP)]],[1]Sheet1!$A:$AO,14,FALSE)</f>
        <v>N/A</v>
      </c>
      <c r="O432" s="393">
        <f>VLOOKUP(Complete[[#This Row],[Code
(PAP)]],[1]Sheet1!$A:$AO,15,FALSE)</f>
        <v>45411</v>
      </c>
      <c r="P432" s="387"/>
      <c r="Q432" s="387"/>
      <c r="R432" s="387"/>
      <c r="S432" s="576">
        <v>45418</v>
      </c>
      <c r="T432" s="576">
        <f>VLOOKUP(Complete[[#This Row],[Code
(PAP)]],[1]Sheet1!$A:$AO,20,FALSE)</f>
        <v>45425</v>
      </c>
      <c r="U432" s="576">
        <f>VLOOKUP(Complete[[#This Row],[Code
(PAP)]],[1]Sheet1!$A:$AO,21,FALSE)</f>
        <v>45433</v>
      </c>
      <c r="V432" s="387"/>
      <c r="W432" s="387"/>
      <c r="X432" s="392">
        <f>VLOOKUP(Complete[[#This Row],[Code
(PAP)]],[1]Sheet1!$A:$AO,24,FALSE)</f>
        <v>45436</v>
      </c>
      <c r="Y432" s="392">
        <f>Complete[[#This Row],[Delivery/ Completion]]</f>
        <v>45436</v>
      </c>
      <c r="Z432" s="610" t="s">
        <v>1478</v>
      </c>
      <c r="AA432" s="462">
        <f>Complete[[#This Row],[MOOE]]+Complete[[#This Row],[CO]]</f>
        <v>128535</v>
      </c>
      <c r="AB432" s="466"/>
      <c r="AC432" s="497">
        <v>128535</v>
      </c>
      <c r="AD432" s="498">
        <f>IF(Complete[[#This Row],[Procurement Project]]="","",SUM(Complete[[#This Row],[MOOE2]]+Complete[[#This Row],[CO3]]))</f>
        <v>123000</v>
      </c>
      <c r="AE432" s="501"/>
      <c r="AF432" s="541">
        <v>123000</v>
      </c>
      <c r="AG432" s="400"/>
      <c r="AH432" s="380" t="s">
        <v>1205</v>
      </c>
      <c r="AI432" s="576" t="str">
        <f>VLOOKUP(Complete[[#This Row],[Code
(PAP)]],[1]Sheet1!$A:$AO,35,FALSE)</f>
        <v>N/A</v>
      </c>
      <c r="AJ432" s="576" t="str">
        <f>VLOOKUP(Complete[[#This Row],[Code
(PAP)]],[1]Sheet1!$A:$AO,36,FALSE)</f>
        <v>N/A</v>
      </c>
      <c r="AK432" s="576" t="str">
        <f>VLOOKUP(Complete[[#This Row],[Code
(PAP)]],[1]Sheet1!$A:$AO,37,FALSE)</f>
        <v>N/A</v>
      </c>
      <c r="AL432" s="576" t="str">
        <f>VLOOKUP(Complete[[#This Row],[Code
(PAP)]],[1]Sheet1!$A:$AO,38,FALSE)</f>
        <v>N/A</v>
      </c>
      <c r="AM432" s="576" t="str">
        <f>VLOOKUP(Complete[[#This Row],[Code
(PAP)]],[1]Sheet1!$A:$AO,38,FALSE)</f>
        <v>N/A</v>
      </c>
      <c r="AN432" s="595" t="s">
        <v>713</v>
      </c>
      <c r="AO432" s="303" t="s">
        <v>139</v>
      </c>
      <c r="AP432" s="389"/>
      <c r="AQ432" s="389"/>
    </row>
    <row r="433" spans="1:43" s="224" customFormat="1" ht="75" customHeight="1" x14ac:dyDescent="0.25">
      <c r="A433" s="385" t="s">
        <v>611</v>
      </c>
      <c r="B433" s="406" t="str">
        <f>VLOOKUP(Complete[[#This Row],[Code
(PAP)]],[1]Sheet1!$A:$AO,2,FALSE)</f>
        <v>SPAREPARTS (MOTORCYCLE)</v>
      </c>
      <c r="C433" s="408" t="str">
        <f>VLOOKUP(Complete[[#This Row],[Code
(PAP)]],[1]Sheet1!$A:$AO,3,FALSE)</f>
        <v>PGSO</v>
      </c>
      <c r="D433" s="380" t="s">
        <v>712</v>
      </c>
      <c r="E433" s="409" t="str">
        <f>VLOOKUP(Complete[[#This Row],[Code
(PAP)]],[2]Sheet1!$A:$AO,5,FALSE)</f>
        <v>NP-53.9 - Small Value Procurement</v>
      </c>
      <c r="F433" s="393">
        <f>VLOOKUP(Complete[[#This Row],[Code
(PAP)]],[1]Sheet1!$A:$AO,6,FALSE)</f>
        <v>45390</v>
      </c>
      <c r="G433" s="393">
        <f>VLOOKUP(Complete[[#This Row],[Code
(PAP)]],[1]Sheet1!$A:$AO,7,FALSE)</f>
        <v>45407</v>
      </c>
      <c r="H433" s="374"/>
      <c r="I433" s="394" t="str">
        <f>VLOOKUP(Complete[[#This Row],[Code
(PAP)]],[1]Sheet1!$A:$AO,9,FALSE)</f>
        <v>N/A</v>
      </c>
      <c r="J433" s="393">
        <f>VLOOKUP(Complete[[#This Row],[Code
(PAP)]],[1]Sheet1!$A:$AO,10,FALSE)</f>
        <v>45407</v>
      </c>
      <c r="K433" s="393">
        <f>VLOOKUP(Complete[[#This Row],[Code
(PAP)]],[1]Sheet1!$A:$AO,11,FALSE)</f>
        <v>45407</v>
      </c>
      <c r="L433" s="387"/>
      <c r="M433" s="393" t="str">
        <f>VLOOKUP(Complete[[#This Row],[Code
(PAP)]],[1]Sheet1!$A:$AO,13,FALSE)</f>
        <v>N/A</v>
      </c>
      <c r="N433" s="393" t="str">
        <f>VLOOKUP(Complete[[#This Row],[Code
(PAP)]],[1]Sheet1!$A:$AO,14,FALSE)</f>
        <v>N/A</v>
      </c>
      <c r="O433" s="393">
        <f>VLOOKUP(Complete[[#This Row],[Code
(PAP)]],[1]Sheet1!$A:$AO,15,FALSE)</f>
        <v>45411</v>
      </c>
      <c r="P433" s="387"/>
      <c r="Q433" s="387"/>
      <c r="R433" s="387"/>
      <c r="S433" s="576" t="s">
        <v>713</v>
      </c>
      <c r="T433" s="576">
        <f>VLOOKUP(Complete[[#This Row],[Code
(PAP)]],[1]Sheet1!$A:$AO,20,FALSE)</f>
        <v>45427</v>
      </c>
      <c r="U433" s="576">
        <f>VLOOKUP(Complete[[#This Row],[Code
(PAP)]],[1]Sheet1!$A:$AO,21,FALSE)</f>
        <v>45446</v>
      </c>
      <c r="V433" s="387"/>
      <c r="W433" s="387"/>
      <c r="X433" s="392">
        <f>VLOOKUP(Complete[[#This Row],[Code
(PAP)]],[1]Sheet1!$A:$AO,24,FALSE)</f>
        <v>45449</v>
      </c>
      <c r="Y433" s="392">
        <f>Complete[[#This Row],[Delivery/ Completion]]</f>
        <v>45449</v>
      </c>
      <c r="Z433" s="610" t="s">
        <v>1478</v>
      </c>
      <c r="AA433" s="462">
        <f>Complete[[#This Row],[MOOE]]+Complete[[#This Row],[CO]]</f>
        <v>10300</v>
      </c>
      <c r="AB433" s="466">
        <v>10300</v>
      </c>
      <c r="AC433" s="497"/>
      <c r="AD433" s="498">
        <f>IF(Complete[[#This Row],[Procurement Project]]="","",SUM(Complete[[#This Row],[MOOE2]]+Complete[[#This Row],[CO3]]))</f>
        <v>10252</v>
      </c>
      <c r="AE433" s="501">
        <v>10252</v>
      </c>
      <c r="AF433" s="541"/>
      <c r="AG433" s="400"/>
      <c r="AH433" s="380" t="s">
        <v>1205</v>
      </c>
      <c r="AI433" s="576" t="str">
        <f>VLOOKUP(Complete[[#This Row],[Code
(PAP)]],[1]Sheet1!$A:$AO,35,FALSE)</f>
        <v>N/A</v>
      </c>
      <c r="AJ433" s="576" t="str">
        <f>VLOOKUP(Complete[[#This Row],[Code
(PAP)]],[1]Sheet1!$A:$AO,36,FALSE)</f>
        <v>N/A</v>
      </c>
      <c r="AK433" s="576" t="str">
        <f>VLOOKUP(Complete[[#This Row],[Code
(PAP)]],[1]Sheet1!$A:$AO,37,FALSE)</f>
        <v>N/A</v>
      </c>
      <c r="AL433" s="576" t="str">
        <f>VLOOKUP(Complete[[#This Row],[Code
(PAP)]],[1]Sheet1!$A:$AO,38,FALSE)</f>
        <v>N/A</v>
      </c>
      <c r="AM433" s="576" t="str">
        <f>VLOOKUP(Complete[[#This Row],[Code
(PAP)]],[1]Sheet1!$A:$AO,38,FALSE)</f>
        <v>N/A</v>
      </c>
      <c r="AN433" s="595" t="s">
        <v>713</v>
      </c>
      <c r="AO433" s="303" t="s">
        <v>139</v>
      </c>
      <c r="AP433" s="389"/>
      <c r="AQ433" s="389"/>
    </row>
    <row r="434" spans="1:43" s="224" customFormat="1" ht="75" customHeight="1" x14ac:dyDescent="0.25">
      <c r="A434" s="385" t="s">
        <v>612</v>
      </c>
      <c r="B434" s="406" t="str">
        <f>VLOOKUP(Complete[[#This Row],[Code
(PAP)]],[1]Sheet1!$A:$AO,2,FALSE)</f>
        <v>SPAREPARTS (LIGHT VEHICLES)</v>
      </c>
      <c r="C434" s="408" t="str">
        <f>VLOOKUP(Complete[[#This Row],[Code
(PAP)]],[1]Sheet1!$A:$AO,3,FALSE)</f>
        <v>PGSO</v>
      </c>
      <c r="D434" s="380" t="s">
        <v>712</v>
      </c>
      <c r="E434" s="409" t="str">
        <f>VLOOKUP(Complete[[#This Row],[Code
(PAP)]],[2]Sheet1!$A:$AO,5,FALSE)</f>
        <v>NP-53.9 - Small Value Procurement</v>
      </c>
      <c r="F434" s="393">
        <f>VLOOKUP(Complete[[#This Row],[Code
(PAP)]],[1]Sheet1!$A:$AO,6,FALSE)</f>
        <v>45390</v>
      </c>
      <c r="G434" s="393">
        <f>VLOOKUP(Complete[[#This Row],[Code
(PAP)]],[1]Sheet1!$A:$AO,7,FALSE)</f>
        <v>45397</v>
      </c>
      <c r="H434" s="374"/>
      <c r="I434" s="394" t="str">
        <f>VLOOKUP(Complete[[#This Row],[Code
(PAP)]],[1]Sheet1!$A:$AO,9,FALSE)</f>
        <v>N/A</v>
      </c>
      <c r="J434" s="393">
        <f>VLOOKUP(Complete[[#This Row],[Code
(PAP)]],[1]Sheet1!$A:$AO,10,FALSE)</f>
        <v>45407</v>
      </c>
      <c r="K434" s="393">
        <f>VLOOKUP(Complete[[#This Row],[Code
(PAP)]],[1]Sheet1!$A:$AO,11,FALSE)</f>
        <v>45407</v>
      </c>
      <c r="L434" s="387"/>
      <c r="M434" s="393" t="str">
        <f>VLOOKUP(Complete[[#This Row],[Code
(PAP)]],[1]Sheet1!$A:$AO,13,FALSE)</f>
        <v>N/A</v>
      </c>
      <c r="N434" s="393" t="str">
        <f>VLOOKUP(Complete[[#This Row],[Code
(PAP)]],[1]Sheet1!$A:$AO,14,FALSE)</f>
        <v>N/A</v>
      </c>
      <c r="O434" s="393">
        <f>VLOOKUP(Complete[[#This Row],[Code
(PAP)]],[1]Sheet1!$A:$AO,15,FALSE)</f>
        <v>45411</v>
      </c>
      <c r="P434" s="387"/>
      <c r="Q434" s="387"/>
      <c r="R434" s="387"/>
      <c r="S434" s="576">
        <v>45419</v>
      </c>
      <c r="T434" s="576">
        <f>VLOOKUP(Complete[[#This Row],[Code
(PAP)]],[1]Sheet1!$A:$AO,20,FALSE)</f>
        <v>45434</v>
      </c>
      <c r="U434" s="576">
        <f>VLOOKUP(Complete[[#This Row],[Code
(PAP)]],[1]Sheet1!$A:$AO,21,FALSE)</f>
        <v>45435</v>
      </c>
      <c r="V434" s="387"/>
      <c r="W434" s="387"/>
      <c r="X434" s="392">
        <f>VLOOKUP(Complete[[#This Row],[Code
(PAP)]],[1]Sheet1!$A:$AO,24,FALSE)</f>
        <v>45441</v>
      </c>
      <c r="Y434" s="392">
        <f>Complete[[#This Row],[Delivery/ Completion]]</f>
        <v>45441</v>
      </c>
      <c r="Z434" s="610" t="s">
        <v>1478</v>
      </c>
      <c r="AA434" s="462">
        <f>Complete[[#This Row],[MOOE]]+Complete[[#This Row],[CO]]</f>
        <v>70212</v>
      </c>
      <c r="AB434" s="466">
        <v>70212</v>
      </c>
      <c r="AC434" s="497"/>
      <c r="AD434" s="498">
        <f>IF(Complete[[#This Row],[Procurement Project]]="","",SUM(Complete[[#This Row],[MOOE2]]+Complete[[#This Row],[CO3]]))</f>
        <v>70212</v>
      </c>
      <c r="AE434" s="501">
        <v>70212</v>
      </c>
      <c r="AF434" s="541"/>
      <c r="AG434" s="400"/>
      <c r="AH434" s="380" t="s">
        <v>1205</v>
      </c>
      <c r="AI434" s="576" t="str">
        <f>VLOOKUP(Complete[[#This Row],[Code
(PAP)]],[1]Sheet1!$A:$AO,35,FALSE)</f>
        <v>N/A</v>
      </c>
      <c r="AJ434" s="576" t="str">
        <f>VLOOKUP(Complete[[#This Row],[Code
(PAP)]],[1]Sheet1!$A:$AO,36,FALSE)</f>
        <v>N/A</v>
      </c>
      <c r="AK434" s="576" t="str">
        <f>VLOOKUP(Complete[[#This Row],[Code
(PAP)]],[1]Sheet1!$A:$AO,37,FALSE)</f>
        <v>N/A</v>
      </c>
      <c r="AL434" s="576" t="str">
        <f>VLOOKUP(Complete[[#This Row],[Code
(PAP)]],[1]Sheet1!$A:$AO,38,FALSE)</f>
        <v>N/A</v>
      </c>
      <c r="AM434" s="576" t="str">
        <f>VLOOKUP(Complete[[#This Row],[Code
(PAP)]],[1]Sheet1!$A:$AO,38,FALSE)</f>
        <v>N/A</v>
      </c>
      <c r="AN434" s="595" t="s">
        <v>713</v>
      </c>
      <c r="AO434" s="303" t="s">
        <v>139</v>
      </c>
      <c r="AP434" s="389"/>
      <c r="AQ434" s="389"/>
    </row>
    <row r="435" spans="1:43" s="224" customFormat="1" ht="75" customHeight="1" x14ac:dyDescent="0.25">
      <c r="A435" s="385" t="s">
        <v>613</v>
      </c>
      <c r="B435" s="406" t="str">
        <f>VLOOKUP(Complete[[#This Row],[Code
(PAP)]],[1]Sheet1!$A:$AO,2,FALSE)</f>
        <v>TARPAULIN</v>
      </c>
      <c r="C435" s="408" t="str">
        <f>VLOOKUP(Complete[[#This Row],[Code
(PAP)]],[1]Sheet1!$A:$AO,3,FALSE)</f>
        <v>PGO</v>
      </c>
      <c r="D435" s="380" t="s">
        <v>712</v>
      </c>
      <c r="E435" s="409" t="str">
        <f>VLOOKUP(Complete[[#This Row],[Code
(PAP)]],[2]Sheet1!$A:$AO,5,FALSE)</f>
        <v>NP-53.9 - Small Value Procurement</v>
      </c>
      <c r="F435" s="393">
        <f>VLOOKUP(Complete[[#This Row],[Code
(PAP)]],[1]Sheet1!$A:$AO,6,FALSE)</f>
        <v>45390</v>
      </c>
      <c r="G435" s="393">
        <f>VLOOKUP(Complete[[#This Row],[Code
(PAP)]],[1]Sheet1!$A:$AO,7,FALSE)</f>
        <v>45397</v>
      </c>
      <c r="H435" s="374"/>
      <c r="I435" s="394" t="str">
        <f>VLOOKUP(Complete[[#This Row],[Code
(PAP)]],[1]Sheet1!$A:$AO,9,FALSE)</f>
        <v>N/A</v>
      </c>
      <c r="J435" s="393">
        <f>VLOOKUP(Complete[[#This Row],[Code
(PAP)]],[1]Sheet1!$A:$AO,10,FALSE)</f>
        <v>45407</v>
      </c>
      <c r="K435" s="393">
        <f>VLOOKUP(Complete[[#This Row],[Code
(PAP)]],[1]Sheet1!$A:$AO,11,FALSE)</f>
        <v>45407</v>
      </c>
      <c r="L435" s="387"/>
      <c r="M435" s="393" t="str">
        <f>VLOOKUP(Complete[[#This Row],[Code
(PAP)]],[1]Sheet1!$A:$AO,13,FALSE)</f>
        <v>N/A</v>
      </c>
      <c r="N435" s="393" t="str">
        <f>VLOOKUP(Complete[[#This Row],[Code
(PAP)]],[1]Sheet1!$A:$AO,14,FALSE)</f>
        <v>N/A</v>
      </c>
      <c r="O435" s="393">
        <f>VLOOKUP(Complete[[#This Row],[Code
(PAP)]],[1]Sheet1!$A:$AO,15,FALSE)</f>
        <v>45411</v>
      </c>
      <c r="P435" s="387"/>
      <c r="Q435" s="387"/>
      <c r="R435" s="387"/>
      <c r="S435" s="576" t="s">
        <v>713</v>
      </c>
      <c r="T435" s="576">
        <f>VLOOKUP(Complete[[#This Row],[Code
(PAP)]],[1]Sheet1!$A:$AO,20,FALSE)</f>
        <v>45432</v>
      </c>
      <c r="U435" s="576">
        <f>VLOOKUP(Complete[[#This Row],[Code
(PAP)]],[1]Sheet1!$A:$AO,21,FALSE)</f>
        <v>45435</v>
      </c>
      <c r="V435" s="387"/>
      <c r="W435" s="387"/>
      <c r="X435" s="392">
        <v>45461</v>
      </c>
      <c r="Y435" s="392">
        <f>Complete[[#This Row],[Delivery/ Completion]]</f>
        <v>45461</v>
      </c>
      <c r="Z435" s="610" t="s">
        <v>1478</v>
      </c>
      <c r="AA435" s="462">
        <f>Complete[[#This Row],[MOOE]]+Complete[[#This Row],[CO]]</f>
        <v>24976</v>
      </c>
      <c r="AB435" s="466"/>
      <c r="AC435" s="497">
        <v>24976</v>
      </c>
      <c r="AD435" s="498">
        <f>IF(Complete[[#This Row],[Procurement Project]]="","",SUM(Complete[[#This Row],[MOOE2]]+Complete[[#This Row],[CO3]]))</f>
        <v>24976</v>
      </c>
      <c r="AE435" s="501"/>
      <c r="AF435" s="541">
        <v>24976</v>
      </c>
      <c r="AG435" s="400"/>
      <c r="AH435" s="380" t="s">
        <v>1205</v>
      </c>
      <c r="AI435" s="576" t="str">
        <f>VLOOKUP(Complete[[#This Row],[Code
(PAP)]],[1]Sheet1!$A:$AO,35,FALSE)</f>
        <v>N/A</v>
      </c>
      <c r="AJ435" s="576" t="str">
        <f>VLOOKUP(Complete[[#This Row],[Code
(PAP)]],[1]Sheet1!$A:$AO,36,FALSE)</f>
        <v>N/A</v>
      </c>
      <c r="AK435" s="576" t="str">
        <f>VLOOKUP(Complete[[#This Row],[Code
(PAP)]],[1]Sheet1!$A:$AO,37,FALSE)</f>
        <v>N/A</v>
      </c>
      <c r="AL435" s="576" t="str">
        <f>VLOOKUP(Complete[[#This Row],[Code
(PAP)]],[1]Sheet1!$A:$AO,38,FALSE)</f>
        <v>N/A</v>
      </c>
      <c r="AM435" s="576" t="str">
        <f>VLOOKUP(Complete[[#This Row],[Code
(PAP)]],[1]Sheet1!$A:$AO,38,FALSE)</f>
        <v>N/A</v>
      </c>
      <c r="AN435" s="595" t="s">
        <v>713</v>
      </c>
      <c r="AO435" s="303" t="s">
        <v>139</v>
      </c>
      <c r="AP435" s="389"/>
      <c r="AQ435" s="389"/>
    </row>
    <row r="436" spans="1:43" s="224" customFormat="1" ht="75" customHeight="1" x14ac:dyDescent="0.25">
      <c r="A436" s="385" t="s">
        <v>614</v>
      </c>
      <c r="B436" s="406" t="str">
        <f>VLOOKUP(Complete[[#This Row],[Code
(PAP)]],[1]Sheet1!$A:$AO,2,FALSE)</f>
        <v>POWER SPRAYER, ELECTRIC POWER SPRAY</v>
      </c>
      <c r="C436" s="408" t="str">
        <f>VLOOKUP(Complete[[#This Row],[Code
(PAP)]],[1]Sheet1!$A:$AO,3,FALSE)</f>
        <v>PGSO</v>
      </c>
      <c r="D436" s="380" t="s">
        <v>712</v>
      </c>
      <c r="E436" s="409" t="str">
        <f>VLOOKUP(Complete[[#This Row],[Code
(PAP)]],[2]Sheet1!$A:$AO,5,FALSE)</f>
        <v>NP-53.9 - Small Value Procurement</v>
      </c>
      <c r="F436" s="393" t="str">
        <f>VLOOKUP(Complete[[#This Row],[Code
(PAP)]],[1]Sheet1!$A:$AO,6,FALSE)</f>
        <v>N/A</v>
      </c>
      <c r="G436" s="393">
        <f>VLOOKUP(Complete[[#This Row],[Code
(PAP)]],[1]Sheet1!$A:$AO,7,FALSE)</f>
        <v>45376</v>
      </c>
      <c r="H436" s="374"/>
      <c r="I436" s="394" t="str">
        <f>VLOOKUP(Complete[[#This Row],[Code
(PAP)]],[1]Sheet1!$A:$AO,9,FALSE)</f>
        <v>N/A</v>
      </c>
      <c r="J436" s="393">
        <f>VLOOKUP(Complete[[#This Row],[Code
(PAP)]],[1]Sheet1!$A:$AO,10,FALSE)</f>
        <v>45407</v>
      </c>
      <c r="K436" s="393">
        <f>VLOOKUP(Complete[[#This Row],[Code
(PAP)]],[1]Sheet1!$A:$AO,11,FALSE)</f>
        <v>45407</v>
      </c>
      <c r="L436" s="387"/>
      <c r="M436" s="393" t="str">
        <f>VLOOKUP(Complete[[#This Row],[Code
(PAP)]],[1]Sheet1!$A:$AO,13,FALSE)</f>
        <v>N/A</v>
      </c>
      <c r="N436" s="393" t="str">
        <f>VLOOKUP(Complete[[#This Row],[Code
(PAP)]],[1]Sheet1!$A:$AO,14,FALSE)</f>
        <v>N/A</v>
      </c>
      <c r="O436" s="393">
        <f>VLOOKUP(Complete[[#This Row],[Code
(PAP)]],[1]Sheet1!$A:$AO,15,FALSE)</f>
        <v>45411</v>
      </c>
      <c r="P436" s="387"/>
      <c r="Q436" s="387"/>
      <c r="R436" s="387"/>
      <c r="S436" s="576" t="s">
        <v>713</v>
      </c>
      <c r="T436" s="576">
        <f>VLOOKUP(Complete[[#This Row],[Code
(PAP)]],[1]Sheet1!$A:$AO,20,FALSE)</f>
        <v>45427</v>
      </c>
      <c r="U436" s="576">
        <f>VLOOKUP(Complete[[#This Row],[Code
(PAP)]],[1]Sheet1!$A:$AO,21,FALSE)</f>
        <v>45448</v>
      </c>
      <c r="V436" s="387"/>
      <c r="W436" s="387"/>
      <c r="X436" s="392">
        <f>VLOOKUP(Complete[[#This Row],[Code
(PAP)]],[1]Sheet1!$A:$AO,24,FALSE)</f>
        <v>45464</v>
      </c>
      <c r="Y436" s="392">
        <f>Complete[[#This Row],[Delivery/ Completion]]</f>
        <v>45464</v>
      </c>
      <c r="Z436" s="610" t="s">
        <v>1478</v>
      </c>
      <c r="AA436" s="462">
        <f>Complete[[#This Row],[MOOE]]+Complete[[#This Row],[CO]]</f>
        <v>26000</v>
      </c>
      <c r="AB436" s="466">
        <v>26000</v>
      </c>
      <c r="AC436" s="497"/>
      <c r="AD436" s="498">
        <f>IF(Complete[[#This Row],[Procurement Project]]="","",SUM(Complete[[#This Row],[MOOE2]]+Complete[[#This Row],[CO3]]))</f>
        <v>25999.599999999999</v>
      </c>
      <c r="AE436" s="501">
        <v>25999.599999999999</v>
      </c>
      <c r="AF436" s="541"/>
      <c r="AG436" s="400"/>
      <c r="AH436" s="380" t="s">
        <v>1205</v>
      </c>
      <c r="AI436" s="576" t="str">
        <f>VLOOKUP(Complete[[#This Row],[Code
(PAP)]],[1]Sheet1!$A:$AO,35,FALSE)</f>
        <v>N/A</v>
      </c>
      <c r="AJ436" s="576" t="str">
        <f>VLOOKUP(Complete[[#This Row],[Code
(PAP)]],[1]Sheet1!$A:$AO,36,FALSE)</f>
        <v>N/A</v>
      </c>
      <c r="AK436" s="576" t="str">
        <f>VLOOKUP(Complete[[#This Row],[Code
(PAP)]],[1]Sheet1!$A:$AO,37,FALSE)</f>
        <v>N/A</v>
      </c>
      <c r="AL436" s="576" t="str">
        <f>VLOOKUP(Complete[[#This Row],[Code
(PAP)]],[1]Sheet1!$A:$AO,38,FALSE)</f>
        <v>N/A</v>
      </c>
      <c r="AM436" s="576" t="str">
        <f>VLOOKUP(Complete[[#This Row],[Code
(PAP)]],[1]Sheet1!$A:$AO,38,FALSE)</f>
        <v>N/A</v>
      </c>
      <c r="AN436" s="595" t="s">
        <v>713</v>
      </c>
      <c r="AO436" s="303" t="s">
        <v>139</v>
      </c>
      <c r="AP436" s="389"/>
      <c r="AQ436" s="389"/>
    </row>
    <row r="437" spans="1:43" s="224" customFormat="1" ht="75" customHeight="1" x14ac:dyDescent="0.25">
      <c r="A437" s="385" t="s">
        <v>615</v>
      </c>
      <c r="B437" s="406" t="str">
        <f>VLOOKUP(Complete[[#This Row],[Code
(PAP)]],[1]Sheet1!$A:$AO,2,FALSE)</f>
        <v>MEGAPHONE W/ SIREN &amp; WHISTLE</v>
      </c>
      <c r="C437" s="408" t="str">
        <f>VLOOKUP(Complete[[#This Row],[Code
(PAP)]],[1]Sheet1!$A:$AO,3,FALSE)</f>
        <v>PGO</v>
      </c>
      <c r="D437" s="380" t="s">
        <v>712</v>
      </c>
      <c r="E437" s="409" t="str">
        <f>VLOOKUP(Complete[[#This Row],[Code
(PAP)]],[2]Sheet1!$A:$AO,5,FALSE)</f>
        <v>NP-53.9 - Small Value Procurement</v>
      </c>
      <c r="F437" s="393" t="str">
        <f>VLOOKUP(Complete[[#This Row],[Code
(PAP)]],[1]Sheet1!$A:$AO,6,FALSE)</f>
        <v>N/A</v>
      </c>
      <c r="G437" s="393">
        <f>VLOOKUP(Complete[[#This Row],[Code
(PAP)]],[1]Sheet1!$A:$AO,7,FALSE)</f>
        <v>45390</v>
      </c>
      <c r="H437" s="374"/>
      <c r="I437" s="394" t="str">
        <f>VLOOKUP(Complete[[#This Row],[Code
(PAP)]],[1]Sheet1!$A:$AO,9,FALSE)</f>
        <v>N/A</v>
      </c>
      <c r="J437" s="393">
        <f>VLOOKUP(Complete[[#This Row],[Code
(PAP)]],[1]Sheet1!$A:$AO,10,FALSE)</f>
        <v>45407</v>
      </c>
      <c r="K437" s="393">
        <f>VLOOKUP(Complete[[#This Row],[Code
(PAP)]],[1]Sheet1!$A:$AO,11,FALSE)</f>
        <v>45407</v>
      </c>
      <c r="L437" s="387"/>
      <c r="M437" s="393" t="str">
        <f>VLOOKUP(Complete[[#This Row],[Code
(PAP)]],[1]Sheet1!$A:$AO,13,FALSE)</f>
        <v>N/A</v>
      </c>
      <c r="N437" s="393" t="str">
        <f>VLOOKUP(Complete[[#This Row],[Code
(PAP)]],[1]Sheet1!$A:$AO,14,FALSE)</f>
        <v>N/A</v>
      </c>
      <c r="O437" s="393">
        <f>VLOOKUP(Complete[[#This Row],[Code
(PAP)]],[1]Sheet1!$A:$AO,15,FALSE)</f>
        <v>45411</v>
      </c>
      <c r="P437" s="387"/>
      <c r="Q437" s="387"/>
      <c r="R437" s="387"/>
      <c r="S437" s="576" t="s">
        <v>713</v>
      </c>
      <c r="T437" s="576">
        <f>VLOOKUP(Complete[[#This Row],[Code
(PAP)]],[1]Sheet1!$A:$AO,20,FALSE)</f>
        <v>45432</v>
      </c>
      <c r="U437" s="576">
        <f>VLOOKUP(Complete[[#This Row],[Code
(PAP)]],[1]Sheet1!$A:$AO,21,FALSE)</f>
        <v>45434</v>
      </c>
      <c r="V437" s="387"/>
      <c r="W437" s="387"/>
      <c r="X437" s="392">
        <f>VLOOKUP(Complete[[#This Row],[Code
(PAP)]],[1]Sheet1!$A:$AO,24,FALSE)</f>
        <v>45447</v>
      </c>
      <c r="Y437" s="392">
        <f>Complete[[#This Row],[Delivery/ Completion]]</f>
        <v>45447</v>
      </c>
      <c r="Z437" s="610" t="s">
        <v>1478</v>
      </c>
      <c r="AA437" s="462">
        <f>Complete[[#This Row],[MOOE]]+Complete[[#This Row],[CO]]</f>
        <v>7000</v>
      </c>
      <c r="AB437" s="466"/>
      <c r="AC437" s="497">
        <v>7000</v>
      </c>
      <c r="AD437" s="498">
        <f>IF(Complete[[#This Row],[Procurement Project]]="","",SUM(Complete[[#This Row],[MOOE2]]+Complete[[#This Row],[CO3]]))</f>
        <v>5000</v>
      </c>
      <c r="AE437" s="501"/>
      <c r="AF437" s="541">
        <v>5000</v>
      </c>
      <c r="AG437" s="400"/>
      <c r="AH437" s="380" t="s">
        <v>1205</v>
      </c>
      <c r="AI437" s="576" t="str">
        <f>VLOOKUP(Complete[[#This Row],[Code
(PAP)]],[1]Sheet1!$A:$AO,35,FALSE)</f>
        <v>N/A</v>
      </c>
      <c r="AJ437" s="576" t="str">
        <f>VLOOKUP(Complete[[#This Row],[Code
(PAP)]],[1]Sheet1!$A:$AO,36,FALSE)</f>
        <v>N/A</v>
      </c>
      <c r="AK437" s="576" t="str">
        <f>VLOOKUP(Complete[[#This Row],[Code
(PAP)]],[1]Sheet1!$A:$AO,37,FALSE)</f>
        <v>N/A</v>
      </c>
      <c r="AL437" s="576" t="str">
        <f>VLOOKUP(Complete[[#This Row],[Code
(PAP)]],[1]Sheet1!$A:$AO,38,FALSE)</f>
        <v>N/A</v>
      </c>
      <c r="AM437" s="576" t="str">
        <f>VLOOKUP(Complete[[#This Row],[Code
(PAP)]],[1]Sheet1!$A:$AO,38,FALSE)</f>
        <v>N/A</v>
      </c>
      <c r="AN437" s="595" t="s">
        <v>713</v>
      </c>
      <c r="AO437" s="303" t="s">
        <v>139</v>
      </c>
      <c r="AP437" s="389"/>
      <c r="AQ437" s="389"/>
    </row>
    <row r="438" spans="1:43" s="224" customFormat="1" ht="75" customHeight="1" x14ac:dyDescent="0.25">
      <c r="A438" s="385" t="s">
        <v>616</v>
      </c>
      <c r="B438" s="406" t="str">
        <f>VLOOKUP(Complete[[#This Row],[Code
(PAP)]],[1]Sheet1!$A:$AO,2,FALSE)</f>
        <v>SPAREPARTS ( MOTORCYCLE)</v>
      </c>
      <c r="C438" s="408" t="str">
        <f>VLOOKUP(Complete[[#This Row],[Code
(PAP)]],[1]Sheet1!$A:$AO,3,FALSE)</f>
        <v>PGSO</v>
      </c>
      <c r="D438" s="380" t="s">
        <v>712</v>
      </c>
      <c r="E438" s="409" t="str">
        <f>VLOOKUP(Complete[[#This Row],[Code
(PAP)]],[2]Sheet1!$A:$AO,5,FALSE)</f>
        <v>NP-53.9 - Small Value Procurement</v>
      </c>
      <c r="F438" s="393">
        <f>VLOOKUP(Complete[[#This Row],[Code
(PAP)]],[1]Sheet1!$A:$AO,6,FALSE)</f>
        <v>45390</v>
      </c>
      <c r="G438" s="393">
        <f>VLOOKUP(Complete[[#This Row],[Code
(PAP)]],[1]Sheet1!$A:$AO,7,FALSE)</f>
        <v>45397</v>
      </c>
      <c r="H438" s="374"/>
      <c r="I438" s="394" t="str">
        <f>VLOOKUP(Complete[[#This Row],[Code
(PAP)]],[1]Sheet1!$A:$AO,9,FALSE)</f>
        <v>N/A</v>
      </c>
      <c r="J438" s="393">
        <f>VLOOKUP(Complete[[#This Row],[Code
(PAP)]],[1]Sheet1!$A:$AO,10,FALSE)</f>
        <v>45407</v>
      </c>
      <c r="K438" s="393">
        <f>VLOOKUP(Complete[[#This Row],[Code
(PAP)]],[1]Sheet1!$A:$AO,11,FALSE)</f>
        <v>45407</v>
      </c>
      <c r="L438" s="387"/>
      <c r="M438" s="393" t="str">
        <f>VLOOKUP(Complete[[#This Row],[Code
(PAP)]],[1]Sheet1!$A:$AO,13,FALSE)</f>
        <v>N/A</v>
      </c>
      <c r="N438" s="393" t="str">
        <f>VLOOKUP(Complete[[#This Row],[Code
(PAP)]],[1]Sheet1!$A:$AO,14,FALSE)</f>
        <v>N/A</v>
      </c>
      <c r="O438" s="393">
        <f>VLOOKUP(Complete[[#This Row],[Code
(PAP)]],[1]Sheet1!$A:$AO,15,FALSE)</f>
        <v>45411</v>
      </c>
      <c r="P438" s="387"/>
      <c r="Q438" s="387"/>
      <c r="R438" s="387"/>
      <c r="S438" s="576" t="s">
        <v>713</v>
      </c>
      <c r="T438" s="576">
        <f>VLOOKUP(Complete[[#This Row],[Code
(PAP)]],[1]Sheet1!$A:$AO,20,FALSE)</f>
        <v>45427</v>
      </c>
      <c r="U438" s="576">
        <f>VLOOKUP(Complete[[#This Row],[Code
(PAP)]],[1]Sheet1!$A:$AO,21,FALSE)</f>
        <v>45446</v>
      </c>
      <c r="V438" s="387"/>
      <c r="W438" s="387"/>
      <c r="X438" s="392">
        <f>VLOOKUP(Complete[[#This Row],[Code
(PAP)]],[1]Sheet1!$A:$AO,24,FALSE)</f>
        <v>45461</v>
      </c>
      <c r="Y438" s="392">
        <f>Complete[[#This Row],[Delivery/ Completion]]</f>
        <v>45461</v>
      </c>
      <c r="Z438" s="610" t="s">
        <v>1478</v>
      </c>
      <c r="AA438" s="462">
        <f>Complete[[#This Row],[MOOE]]+Complete[[#This Row],[CO]]</f>
        <v>17390</v>
      </c>
      <c r="AB438" s="466">
        <v>17390</v>
      </c>
      <c r="AC438" s="497"/>
      <c r="AD438" s="498">
        <f>IF(Complete[[#This Row],[Procurement Project]]="","",SUM(Complete[[#This Row],[MOOE2]]+Complete[[#This Row],[CO3]]))</f>
        <v>17225</v>
      </c>
      <c r="AE438" s="501">
        <v>17225</v>
      </c>
      <c r="AF438" s="541"/>
      <c r="AG438" s="400"/>
      <c r="AH438" s="380" t="s">
        <v>1205</v>
      </c>
      <c r="AI438" s="576" t="str">
        <f>VLOOKUP(Complete[[#This Row],[Code
(PAP)]],[1]Sheet1!$A:$AO,35,FALSE)</f>
        <v>N/A</v>
      </c>
      <c r="AJ438" s="576" t="str">
        <f>VLOOKUP(Complete[[#This Row],[Code
(PAP)]],[1]Sheet1!$A:$AO,36,FALSE)</f>
        <v>N/A</v>
      </c>
      <c r="AK438" s="576" t="str">
        <f>VLOOKUP(Complete[[#This Row],[Code
(PAP)]],[1]Sheet1!$A:$AO,37,FALSE)</f>
        <v>N/A</v>
      </c>
      <c r="AL438" s="576" t="str">
        <f>VLOOKUP(Complete[[#This Row],[Code
(PAP)]],[1]Sheet1!$A:$AO,38,FALSE)</f>
        <v>N/A</v>
      </c>
      <c r="AM438" s="576" t="str">
        <f>VLOOKUP(Complete[[#This Row],[Code
(PAP)]],[1]Sheet1!$A:$AO,38,FALSE)</f>
        <v>N/A</v>
      </c>
      <c r="AN438" s="595" t="s">
        <v>713</v>
      </c>
      <c r="AO438" s="303" t="s">
        <v>139</v>
      </c>
      <c r="AP438" s="389"/>
      <c r="AQ438" s="389"/>
    </row>
    <row r="439" spans="1:43" s="224" customFormat="1" ht="75" customHeight="1" x14ac:dyDescent="0.25">
      <c r="A439" s="385" t="s">
        <v>617</v>
      </c>
      <c r="B439" s="406" t="str">
        <f>VLOOKUP(Complete[[#This Row],[Code
(PAP)]],[1]Sheet1!$A:$AO,2,FALSE)</f>
        <v>OFFICE EQUIPMENT</v>
      </c>
      <c r="C439" s="408" t="str">
        <f>VLOOKUP(Complete[[#This Row],[Code
(PAP)]],[1]Sheet1!$A:$AO,3,FALSE)</f>
        <v>PDRRMO</v>
      </c>
      <c r="D439" s="380" t="s">
        <v>712</v>
      </c>
      <c r="E439" s="409" t="str">
        <f>VLOOKUP(Complete[[#This Row],[Code
(PAP)]],[2]Sheet1!$A:$AO,5,FALSE)</f>
        <v>NP-53.9 - Small Value Procurement</v>
      </c>
      <c r="F439" s="393" t="str">
        <f>VLOOKUP(Complete[[#This Row],[Code
(PAP)]],[1]Sheet1!$A:$AO,6,FALSE)</f>
        <v>N/A</v>
      </c>
      <c r="G439" s="393">
        <f>VLOOKUP(Complete[[#This Row],[Code
(PAP)]],[1]Sheet1!$A:$AO,7,FALSE)</f>
        <v>45385</v>
      </c>
      <c r="H439" s="374"/>
      <c r="I439" s="394" t="str">
        <f>VLOOKUP(Complete[[#This Row],[Code
(PAP)]],[1]Sheet1!$A:$AO,9,FALSE)</f>
        <v>N/A</v>
      </c>
      <c r="J439" s="393">
        <f>VLOOKUP(Complete[[#This Row],[Code
(PAP)]],[1]Sheet1!$A:$AO,10,FALSE)</f>
        <v>45407</v>
      </c>
      <c r="K439" s="393">
        <f>VLOOKUP(Complete[[#This Row],[Code
(PAP)]],[1]Sheet1!$A:$AO,11,FALSE)</f>
        <v>45407</v>
      </c>
      <c r="L439" s="387"/>
      <c r="M439" s="393" t="str">
        <f>VLOOKUP(Complete[[#This Row],[Code
(PAP)]],[1]Sheet1!$A:$AO,13,FALSE)</f>
        <v>N/A</v>
      </c>
      <c r="N439" s="393" t="str">
        <f>VLOOKUP(Complete[[#This Row],[Code
(PAP)]],[1]Sheet1!$A:$AO,14,FALSE)</f>
        <v>N/A</v>
      </c>
      <c r="O439" s="393">
        <f>VLOOKUP(Complete[[#This Row],[Code
(PAP)]],[1]Sheet1!$A:$AO,15,FALSE)</f>
        <v>45411</v>
      </c>
      <c r="P439" s="387"/>
      <c r="Q439" s="387"/>
      <c r="R439" s="387"/>
      <c r="S439" s="576">
        <v>45419</v>
      </c>
      <c r="T439" s="576">
        <f>VLOOKUP(Complete[[#This Row],[Code
(PAP)]],[1]Sheet1!$A:$AO,20,FALSE)</f>
        <v>45425</v>
      </c>
      <c r="U439" s="576">
        <f>VLOOKUP(Complete[[#This Row],[Code
(PAP)]],[1]Sheet1!$A:$AO,21,FALSE)</f>
        <v>45433</v>
      </c>
      <c r="V439" s="387"/>
      <c r="W439" s="387"/>
      <c r="X439" s="392">
        <f>VLOOKUP(Complete[[#This Row],[Code
(PAP)]],[1]Sheet1!$A:$AO,24,FALSE)</f>
        <v>45440</v>
      </c>
      <c r="Y439" s="392">
        <f>Complete[[#This Row],[Delivery/ Completion]]</f>
        <v>45440</v>
      </c>
      <c r="Z439" s="610" t="s">
        <v>1478</v>
      </c>
      <c r="AA439" s="462">
        <f>Complete[[#This Row],[MOOE]]+Complete[[#This Row],[CO]]</f>
        <v>196864</v>
      </c>
      <c r="AB439" s="466"/>
      <c r="AC439" s="497">
        <v>196864</v>
      </c>
      <c r="AD439" s="498">
        <f>IF(Complete[[#This Row],[Procurement Project]]="","",SUM(Complete[[#This Row],[MOOE2]]+Complete[[#This Row],[CO3]]))</f>
        <v>196200</v>
      </c>
      <c r="AE439" s="501"/>
      <c r="AF439" s="541">
        <v>196200</v>
      </c>
      <c r="AG439" s="400"/>
      <c r="AH439" s="380" t="s">
        <v>1205</v>
      </c>
      <c r="AI439" s="576" t="str">
        <f>VLOOKUP(Complete[[#This Row],[Code
(PAP)]],[1]Sheet1!$A:$AO,35,FALSE)</f>
        <v>N/A</v>
      </c>
      <c r="AJ439" s="576" t="str">
        <f>VLOOKUP(Complete[[#This Row],[Code
(PAP)]],[1]Sheet1!$A:$AO,36,FALSE)</f>
        <v>N/A</v>
      </c>
      <c r="AK439" s="576" t="str">
        <f>VLOOKUP(Complete[[#This Row],[Code
(PAP)]],[1]Sheet1!$A:$AO,37,FALSE)</f>
        <v>N/A</v>
      </c>
      <c r="AL439" s="576" t="str">
        <f>VLOOKUP(Complete[[#This Row],[Code
(PAP)]],[1]Sheet1!$A:$AO,38,FALSE)</f>
        <v>N/A</v>
      </c>
      <c r="AM439" s="576" t="str">
        <f>VLOOKUP(Complete[[#This Row],[Code
(PAP)]],[1]Sheet1!$A:$AO,38,FALSE)</f>
        <v>N/A</v>
      </c>
      <c r="AN439" s="595" t="s">
        <v>713</v>
      </c>
      <c r="AO439" s="303" t="s">
        <v>139</v>
      </c>
      <c r="AP439" s="389"/>
      <c r="AQ439" s="389"/>
    </row>
    <row r="440" spans="1:43" s="224" customFormat="1" ht="75" customHeight="1" x14ac:dyDescent="0.25">
      <c r="A440" s="385" t="s">
        <v>618</v>
      </c>
      <c r="B440" s="406" t="str">
        <f>VLOOKUP(Complete[[#This Row],[Code
(PAP)]],[1]Sheet1!$A:$AO,2,FALSE)</f>
        <v>GRASSCUTTER &amp; SUBMERSIBLE PUMP</v>
      </c>
      <c r="C440" s="408" t="str">
        <f>VLOOKUP(Complete[[#This Row],[Code
(PAP)]],[1]Sheet1!$A:$AO,3,FALSE)</f>
        <v>PAGRO</v>
      </c>
      <c r="D440" s="380" t="s">
        <v>712</v>
      </c>
      <c r="E440" s="409" t="str">
        <f>VLOOKUP(Complete[[#This Row],[Code
(PAP)]],[2]Sheet1!$A:$AO,5,FALSE)</f>
        <v>NP-53.9 - Small Value Procurement</v>
      </c>
      <c r="F440" s="393" t="str">
        <f>VLOOKUP(Complete[[#This Row],[Code
(PAP)]],[1]Sheet1!$A:$AO,6,FALSE)</f>
        <v>N/A</v>
      </c>
      <c r="G440" s="393">
        <f>VLOOKUP(Complete[[#This Row],[Code
(PAP)]],[1]Sheet1!$A:$AO,7,FALSE)</f>
        <v>45397</v>
      </c>
      <c r="H440" s="374"/>
      <c r="I440" s="394" t="str">
        <f>VLOOKUP(Complete[[#This Row],[Code
(PAP)]],[1]Sheet1!$A:$AO,9,FALSE)</f>
        <v>N/A</v>
      </c>
      <c r="J440" s="393">
        <f>VLOOKUP(Complete[[#This Row],[Code
(PAP)]],[1]Sheet1!$A:$AO,10,FALSE)</f>
        <v>45407</v>
      </c>
      <c r="K440" s="393">
        <f>VLOOKUP(Complete[[#This Row],[Code
(PAP)]],[1]Sheet1!$A:$AO,11,FALSE)</f>
        <v>45407</v>
      </c>
      <c r="L440" s="387"/>
      <c r="M440" s="393" t="str">
        <f>VLOOKUP(Complete[[#This Row],[Code
(PAP)]],[1]Sheet1!$A:$AO,13,FALSE)</f>
        <v>N/A</v>
      </c>
      <c r="N440" s="393" t="str">
        <f>VLOOKUP(Complete[[#This Row],[Code
(PAP)]],[1]Sheet1!$A:$AO,14,FALSE)</f>
        <v>N/A</v>
      </c>
      <c r="O440" s="393">
        <f>VLOOKUP(Complete[[#This Row],[Code
(PAP)]],[1]Sheet1!$A:$AO,15,FALSE)</f>
        <v>45411</v>
      </c>
      <c r="P440" s="387"/>
      <c r="Q440" s="387"/>
      <c r="R440" s="387"/>
      <c r="S440" s="576" t="s">
        <v>713</v>
      </c>
      <c r="T440" s="576">
        <f>VLOOKUP(Complete[[#This Row],[Code
(PAP)]],[1]Sheet1!$A:$AO,20,FALSE)</f>
        <v>45432</v>
      </c>
      <c r="U440" s="576">
        <f>VLOOKUP(Complete[[#This Row],[Code
(PAP)]],[1]Sheet1!$A:$AO,21,FALSE)</f>
        <v>45433</v>
      </c>
      <c r="V440" s="387"/>
      <c r="W440" s="387"/>
      <c r="X440" s="392">
        <f>VLOOKUP(Complete[[#This Row],[Code
(PAP)]],[1]Sheet1!$A:$AO,24,FALSE)</f>
        <v>45440</v>
      </c>
      <c r="Y440" s="392">
        <f>Complete[[#This Row],[Delivery/ Completion]]</f>
        <v>45440</v>
      </c>
      <c r="Z440" s="610" t="s">
        <v>1478</v>
      </c>
      <c r="AA440" s="462">
        <f>Complete[[#This Row],[MOOE]]+Complete[[#This Row],[CO]]</f>
        <v>28500</v>
      </c>
      <c r="AB440" s="466"/>
      <c r="AC440" s="497">
        <v>28500</v>
      </c>
      <c r="AD440" s="498">
        <f>IF(Complete[[#This Row],[Procurement Project]]="","",SUM(Complete[[#This Row],[MOOE2]]+Complete[[#This Row],[CO3]]))</f>
        <v>27750</v>
      </c>
      <c r="AE440" s="501"/>
      <c r="AF440" s="541">
        <v>27750</v>
      </c>
      <c r="AG440" s="400"/>
      <c r="AH440" s="380" t="s">
        <v>1205</v>
      </c>
      <c r="AI440" s="576" t="str">
        <f>VLOOKUP(Complete[[#This Row],[Code
(PAP)]],[1]Sheet1!$A:$AO,35,FALSE)</f>
        <v>N/A</v>
      </c>
      <c r="AJ440" s="576" t="str">
        <f>VLOOKUP(Complete[[#This Row],[Code
(PAP)]],[1]Sheet1!$A:$AO,36,FALSE)</f>
        <v>N/A</v>
      </c>
      <c r="AK440" s="576" t="str">
        <f>VLOOKUP(Complete[[#This Row],[Code
(PAP)]],[1]Sheet1!$A:$AO,37,FALSE)</f>
        <v>N/A</v>
      </c>
      <c r="AL440" s="576" t="str">
        <f>VLOOKUP(Complete[[#This Row],[Code
(PAP)]],[1]Sheet1!$A:$AO,38,FALSE)</f>
        <v>N/A</v>
      </c>
      <c r="AM440" s="576" t="str">
        <f>VLOOKUP(Complete[[#This Row],[Code
(PAP)]],[1]Sheet1!$A:$AO,38,FALSE)</f>
        <v>N/A</v>
      </c>
      <c r="AN440" s="595" t="s">
        <v>713</v>
      </c>
      <c r="AO440" s="303" t="s">
        <v>139</v>
      </c>
      <c r="AP440" s="389"/>
      <c r="AQ440" s="389"/>
    </row>
    <row r="441" spans="1:43" s="224" customFormat="1" ht="75" customHeight="1" x14ac:dyDescent="0.25">
      <c r="A441" s="385" t="s">
        <v>619</v>
      </c>
      <c r="B441" s="406" t="str">
        <f>VLOOKUP(Complete[[#This Row],[Code
(PAP)]],[1]Sheet1!$A:$AO,2,FALSE)</f>
        <v>RICE-WELL MILLED</v>
      </c>
      <c r="C441" s="408" t="str">
        <f>VLOOKUP(Complete[[#This Row],[Code
(PAP)]],[1]Sheet1!$A:$AO,3,FALSE)</f>
        <v>PGO</v>
      </c>
      <c r="D441" s="380" t="s">
        <v>712</v>
      </c>
      <c r="E441" s="409" t="str">
        <f>VLOOKUP(Complete[[#This Row],[Code
(PAP)]],[2]Sheet1!$A:$AO,5,FALSE)</f>
        <v>NP-53.9 - Small Value Procurement</v>
      </c>
      <c r="F441" s="393" t="str">
        <f>VLOOKUP(Complete[[#This Row],[Code
(PAP)]],[1]Sheet1!$A:$AO,6,FALSE)</f>
        <v>N/A</v>
      </c>
      <c r="G441" s="393">
        <f>VLOOKUP(Complete[[#This Row],[Code
(PAP)]],[1]Sheet1!$A:$AO,7,FALSE)</f>
        <v>45385</v>
      </c>
      <c r="H441" s="374"/>
      <c r="I441" s="394" t="str">
        <f>VLOOKUP(Complete[[#This Row],[Code
(PAP)]],[1]Sheet1!$A:$AO,9,FALSE)</f>
        <v>N/A</v>
      </c>
      <c r="J441" s="393">
        <f>VLOOKUP(Complete[[#This Row],[Code
(PAP)]],[1]Sheet1!$A:$AO,10,FALSE)</f>
        <v>45407</v>
      </c>
      <c r="K441" s="393">
        <f>VLOOKUP(Complete[[#This Row],[Code
(PAP)]],[1]Sheet1!$A:$AO,11,FALSE)</f>
        <v>45407</v>
      </c>
      <c r="L441" s="387"/>
      <c r="M441" s="393" t="str">
        <f>VLOOKUP(Complete[[#This Row],[Code
(PAP)]],[1]Sheet1!$A:$AO,13,FALSE)</f>
        <v>N/A</v>
      </c>
      <c r="N441" s="393" t="str">
        <f>VLOOKUP(Complete[[#This Row],[Code
(PAP)]],[1]Sheet1!$A:$AO,14,FALSE)</f>
        <v>N/A</v>
      </c>
      <c r="O441" s="393">
        <f>VLOOKUP(Complete[[#This Row],[Code
(PAP)]],[1]Sheet1!$A:$AO,15,FALSE)</f>
        <v>45411</v>
      </c>
      <c r="P441" s="387"/>
      <c r="Q441" s="387"/>
      <c r="R441" s="387"/>
      <c r="S441" s="576">
        <v>45418</v>
      </c>
      <c r="T441" s="576">
        <f>VLOOKUP(Complete[[#This Row],[Code
(PAP)]],[1]Sheet1!$A:$AO,20,FALSE)</f>
        <v>45432</v>
      </c>
      <c r="U441" s="576">
        <f>VLOOKUP(Complete[[#This Row],[Code
(PAP)]],[1]Sheet1!$A:$AO,21,FALSE)</f>
        <v>45434</v>
      </c>
      <c r="V441" s="387"/>
      <c r="W441" s="387"/>
      <c r="X441" s="392">
        <f>VLOOKUP(Complete[[#This Row],[Code
(PAP)]],[1]Sheet1!$A:$AO,24,FALSE)</f>
        <v>45449</v>
      </c>
      <c r="Y441" s="392">
        <f>Complete[[#This Row],[Delivery/ Completion]]</f>
        <v>45449</v>
      </c>
      <c r="Z441" s="610" t="s">
        <v>1478</v>
      </c>
      <c r="AA441" s="462">
        <f>Complete[[#This Row],[MOOE]]+Complete[[#This Row],[CO]]</f>
        <v>272745</v>
      </c>
      <c r="AB441" s="466"/>
      <c r="AC441" s="497">
        <v>272745</v>
      </c>
      <c r="AD441" s="498">
        <f>IF(Complete[[#This Row],[Procurement Project]]="","",SUM(Complete[[#This Row],[MOOE2]]+Complete[[#This Row],[CO3]]))</f>
        <v>272745</v>
      </c>
      <c r="AE441" s="501"/>
      <c r="AF441" s="541">
        <v>272745</v>
      </c>
      <c r="AG441" s="400"/>
      <c r="AH441" s="380" t="s">
        <v>1205</v>
      </c>
      <c r="AI441" s="576" t="str">
        <f>VLOOKUP(Complete[[#This Row],[Code
(PAP)]],[1]Sheet1!$A:$AO,35,FALSE)</f>
        <v>N/A</v>
      </c>
      <c r="AJ441" s="576" t="str">
        <f>VLOOKUP(Complete[[#This Row],[Code
(PAP)]],[1]Sheet1!$A:$AO,36,FALSE)</f>
        <v>N/A</v>
      </c>
      <c r="AK441" s="576" t="str">
        <f>VLOOKUP(Complete[[#This Row],[Code
(PAP)]],[1]Sheet1!$A:$AO,37,FALSE)</f>
        <v>N/A</v>
      </c>
      <c r="AL441" s="576" t="str">
        <f>VLOOKUP(Complete[[#This Row],[Code
(PAP)]],[1]Sheet1!$A:$AO,38,FALSE)</f>
        <v>N/A</v>
      </c>
      <c r="AM441" s="576" t="str">
        <f>VLOOKUP(Complete[[#This Row],[Code
(PAP)]],[1]Sheet1!$A:$AO,38,FALSE)</f>
        <v>N/A</v>
      </c>
      <c r="AN441" s="595" t="s">
        <v>713</v>
      </c>
      <c r="AO441" s="303" t="s">
        <v>139</v>
      </c>
      <c r="AP441" s="389"/>
      <c r="AQ441" s="389"/>
    </row>
    <row r="442" spans="1:43" s="224" customFormat="1" ht="75" customHeight="1" x14ac:dyDescent="0.25">
      <c r="A442" s="385" t="s">
        <v>620</v>
      </c>
      <c r="B442" s="406" t="str">
        <f>VLOOKUP(Complete[[#This Row],[Code
(PAP)]],[1]Sheet1!$A:$AO,2,FALSE)</f>
        <v>FOOD SUPPLIES</v>
      </c>
      <c r="C442" s="408" t="str">
        <f>VLOOKUP(Complete[[#This Row],[Code
(PAP)]],[1]Sheet1!$A:$AO,3,FALSE)</f>
        <v>PEEMO</v>
      </c>
      <c r="D442" s="380" t="s">
        <v>712</v>
      </c>
      <c r="E442" s="409" t="str">
        <f>VLOOKUP(Complete[[#This Row],[Code
(PAP)]],[2]Sheet1!$A:$AO,5,FALSE)</f>
        <v>NP-53.9 - Small Value Procurement</v>
      </c>
      <c r="F442" s="393">
        <f>VLOOKUP(Complete[[#This Row],[Code
(PAP)]],[1]Sheet1!$A:$AO,6,FALSE)</f>
        <v>45390</v>
      </c>
      <c r="G442" s="393">
        <f>VLOOKUP(Complete[[#This Row],[Code
(PAP)]],[1]Sheet1!$A:$AO,7,FALSE)</f>
        <v>45397</v>
      </c>
      <c r="H442" s="374"/>
      <c r="I442" s="394" t="str">
        <f>VLOOKUP(Complete[[#This Row],[Code
(PAP)]],[1]Sheet1!$A:$AO,9,FALSE)</f>
        <v>N/A</v>
      </c>
      <c r="J442" s="393">
        <f>VLOOKUP(Complete[[#This Row],[Code
(PAP)]],[1]Sheet1!$A:$AO,10,FALSE)</f>
        <v>45407</v>
      </c>
      <c r="K442" s="393">
        <f>VLOOKUP(Complete[[#This Row],[Code
(PAP)]],[1]Sheet1!$A:$AO,11,FALSE)</f>
        <v>45407</v>
      </c>
      <c r="L442" s="387"/>
      <c r="M442" s="393" t="str">
        <f>VLOOKUP(Complete[[#This Row],[Code
(PAP)]],[1]Sheet1!$A:$AO,13,FALSE)</f>
        <v>N/A</v>
      </c>
      <c r="N442" s="393" t="str">
        <f>VLOOKUP(Complete[[#This Row],[Code
(PAP)]],[1]Sheet1!$A:$AO,14,FALSE)</f>
        <v>N/A</v>
      </c>
      <c r="O442" s="393">
        <f>VLOOKUP(Complete[[#This Row],[Code
(PAP)]],[1]Sheet1!$A:$AO,15,FALSE)</f>
        <v>45411</v>
      </c>
      <c r="P442" s="387"/>
      <c r="Q442" s="387"/>
      <c r="R442" s="387"/>
      <c r="S442" s="576">
        <v>45418</v>
      </c>
      <c r="T442" s="576">
        <f>VLOOKUP(Complete[[#This Row],[Code
(PAP)]],[1]Sheet1!$A:$AO,20,FALSE)</f>
        <v>45425</v>
      </c>
      <c r="U442" s="576">
        <f>VLOOKUP(Complete[[#This Row],[Code
(PAP)]],[1]Sheet1!$A:$AO,21,FALSE)</f>
        <v>45434</v>
      </c>
      <c r="V442" s="387"/>
      <c r="W442" s="387"/>
      <c r="X442" s="392">
        <f>VLOOKUP(Complete[[#This Row],[Code
(PAP)]],[1]Sheet1!$A:$AO,24,FALSE)</f>
        <v>45446</v>
      </c>
      <c r="Y442" s="392">
        <f>Complete[[#This Row],[Delivery/ Completion]]</f>
        <v>45446</v>
      </c>
      <c r="Z442" s="610" t="s">
        <v>1478</v>
      </c>
      <c r="AA442" s="462">
        <f>Complete[[#This Row],[MOOE]]+Complete[[#This Row],[CO]]</f>
        <v>251886.51</v>
      </c>
      <c r="AB442" s="466">
        <v>133014</v>
      </c>
      <c r="AC442" s="497">
        <f>VLOOKUP(Complete[[#This Row],[Code
(PAP)]],[1]Sheet1!$A:$AO,29,FALSE)</f>
        <v>118872.51</v>
      </c>
      <c r="AD442" s="498">
        <f>IF(Complete[[#This Row],[Procurement Project]]="","",SUM(Complete[[#This Row],[MOOE2]]+Complete[[#This Row],[CO3]]))</f>
        <v>251121.51</v>
      </c>
      <c r="AE442" s="501">
        <v>132249</v>
      </c>
      <c r="AF442" s="541">
        <f>VLOOKUP(Complete[[#This Row],[Code
(PAP)]],[1]Sheet1!$A:$AO,32,FALSE)</f>
        <v>118872.51</v>
      </c>
      <c r="AG442" s="400"/>
      <c r="AH442" s="380" t="s">
        <v>1205</v>
      </c>
      <c r="AI442" s="576" t="str">
        <f>VLOOKUP(Complete[[#This Row],[Code
(PAP)]],[1]Sheet1!$A:$AO,35,FALSE)</f>
        <v>N/A</v>
      </c>
      <c r="AJ442" s="576" t="str">
        <f>VLOOKUP(Complete[[#This Row],[Code
(PAP)]],[1]Sheet1!$A:$AO,36,FALSE)</f>
        <v>N/A</v>
      </c>
      <c r="AK442" s="576" t="str">
        <f>VLOOKUP(Complete[[#This Row],[Code
(PAP)]],[1]Sheet1!$A:$AO,37,FALSE)</f>
        <v>N/A</v>
      </c>
      <c r="AL442" s="576" t="str">
        <f>VLOOKUP(Complete[[#This Row],[Code
(PAP)]],[1]Sheet1!$A:$AO,38,FALSE)</f>
        <v>N/A</v>
      </c>
      <c r="AM442" s="576" t="str">
        <f>VLOOKUP(Complete[[#This Row],[Code
(PAP)]],[1]Sheet1!$A:$AO,38,FALSE)</f>
        <v>N/A</v>
      </c>
      <c r="AN442" s="595" t="s">
        <v>713</v>
      </c>
      <c r="AO442" s="303" t="s">
        <v>139</v>
      </c>
      <c r="AP442" s="389"/>
      <c r="AQ442" s="389"/>
    </row>
    <row r="443" spans="1:43" s="224" customFormat="1" ht="75" customHeight="1" x14ac:dyDescent="0.25">
      <c r="A443" s="385" t="s">
        <v>621</v>
      </c>
      <c r="B443" s="406" t="str">
        <f>VLOOKUP(Complete[[#This Row],[Code
(PAP)]],[1]Sheet1!$A:$AO,2,FALSE)</f>
        <v>SPAREPARTS (OFFICE &amp; IT EQUIPMENT)</v>
      </c>
      <c r="C443" s="408" t="str">
        <f>VLOOKUP(Complete[[#This Row],[Code
(PAP)]],[1]Sheet1!$A:$AO,3,FALSE)</f>
        <v>PICTO</v>
      </c>
      <c r="D443" s="380" t="s">
        <v>712</v>
      </c>
      <c r="E443" s="409" t="str">
        <f>VLOOKUP(Complete[[#This Row],[Code
(PAP)]],[2]Sheet1!$A:$AO,5,FALSE)</f>
        <v>NP-53.9 - Small Value Procurement</v>
      </c>
      <c r="F443" s="393" t="str">
        <f>VLOOKUP(Complete[[#This Row],[Code
(PAP)]],[1]Sheet1!$A:$AO,6,FALSE)</f>
        <v>N/A</v>
      </c>
      <c r="G443" s="393">
        <f>VLOOKUP(Complete[[#This Row],[Code
(PAP)]],[1]Sheet1!$A:$AO,7,FALSE)</f>
        <v>45385</v>
      </c>
      <c r="H443" s="374"/>
      <c r="I443" s="394" t="str">
        <f>VLOOKUP(Complete[[#This Row],[Code
(PAP)]],[1]Sheet1!$A:$AO,9,FALSE)</f>
        <v>N/A</v>
      </c>
      <c r="J443" s="393">
        <f>VLOOKUP(Complete[[#This Row],[Code
(PAP)]],[1]Sheet1!$A:$AO,10,FALSE)</f>
        <v>45407</v>
      </c>
      <c r="K443" s="393">
        <f>VLOOKUP(Complete[[#This Row],[Code
(PAP)]],[1]Sheet1!$A:$AO,11,FALSE)</f>
        <v>45407</v>
      </c>
      <c r="L443" s="387"/>
      <c r="M443" s="393" t="str">
        <f>VLOOKUP(Complete[[#This Row],[Code
(PAP)]],[1]Sheet1!$A:$AO,13,FALSE)</f>
        <v>N/A</v>
      </c>
      <c r="N443" s="393" t="str">
        <f>VLOOKUP(Complete[[#This Row],[Code
(PAP)]],[1]Sheet1!$A:$AO,14,FALSE)</f>
        <v>N/A</v>
      </c>
      <c r="O443" s="393">
        <f>VLOOKUP(Complete[[#This Row],[Code
(PAP)]],[1]Sheet1!$A:$AO,15,FALSE)</f>
        <v>45411</v>
      </c>
      <c r="P443" s="387"/>
      <c r="Q443" s="387"/>
      <c r="R443" s="387"/>
      <c r="S443" s="576">
        <v>45419</v>
      </c>
      <c r="T443" s="576">
        <f>VLOOKUP(Complete[[#This Row],[Code
(PAP)]],[1]Sheet1!$A:$AO,20,FALSE)</f>
        <v>45425</v>
      </c>
      <c r="U443" s="576">
        <f>VLOOKUP(Complete[[#This Row],[Code
(PAP)]],[1]Sheet1!$A:$AO,21,FALSE)</f>
        <v>45433</v>
      </c>
      <c r="V443" s="387"/>
      <c r="W443" s="387"/>
      <c r="X443" s="392">
        <f>VLOOKUP(Complete[[#This Row],[Code
(PAP)]],[1]Sheet1!$A:$AO,24,FALSE)</f>
        <v>45464</v>
      </c>
      <c r="Y443" s="392">
        <f>Complete[[#This Row],[Delivery/ Completion]]</f>
        <v>45464</v>
      </c>
      <c r="Z443" s="610" t="s">
        <v>1478</v>
      </c>
      <c r="AA443" s="462">
        <f>Complete[[#This Row],[MOOE]]+Complete[[#This Row],[CO]]</f>
        <v>157734</v>
      </c>
      <c r="AB443" s="466"/>
      <c r="AC443" s="497">
        <v>157734</v>
      </c>
      <c r="AD443" s="498">
        <f>IF(Complete[[#This Row],[Procurement Project]]="","",SUM(Complete[[#This Row],[MOOE2]]+Complete[[#This Row],[CO3]]))</f>
        <v>142348</v>
      </c>
      <c r="AE443" s="501"/>
      <c r="AF443" s="541">
        <v>142348</v>
      </c>
      <c r="AG443" s="400"/>
      <c r="AH443" s="380" t="s">
        <v>1205</v>
      </c>
      <c r="AI443" s="576" t="str">
        <f>VLOOKUP(Complete[[#This Row],[Code
(PAP)]],[1]Sheet1!$A:$AO,35,FALSE)</f>
        <v>N/A</v>
      </c>
      <c r="AJ443" s="576" t="str">
        <f>VLOOKUP(Complete[[#This Row],[Code
(PAP)]],[1]Sheet1!$A:$AO,36,FALSE)</f>
        <v>N/A</v>
      </c>
      <c r="AK443" s="576" t="str">
        <f>VLOOKUP(Complete[[#This Row],[Code
(PAP)]],[1]Sheet1!$A:$AO,37,FALSE)</f>
        <v>N/A</v>
      </c>
      <c r="AL443" s="576" t="str">
        <f>VLOOKUP(Complete[[#This Row],[Code
(PAP)]],[1]Sheet1!$A:$AO,38,FALSE)</f>
        <v>N/A</v>
      </c>
      <c r="AM443" s="576" t="str">
        <f>VLOOKUP(Complete[[#This Row],[Code
(PAP)]],[1]Sheet1!$A:$AO,38,FALSE)</f>
        <v>N/A</v>
      </c>
      <c r="AN443" s="595" t="s">
        <v>713</v>
      </c>
      <c r="AO443" s="303" t="s">
        <v>139</v>
      </c>
      <c r="AP443" s="389"/>
      <c r="AQ443" s="389"/>
    </row>
    <row r="444" spans="1:43" s="224" customFormat="1" ht="75" customHeight="1" x14ac:dyDescent="0.25">
      <c r="A444" s="385" t="s">
        <v>622</v>
      </c>
      <c r="B444" s="406" t="str">
        <f>VLOOKUP(Complete[[#This Row],[Code
(PAP)]],[1]Sheet1!$A:$AO,2,FALSE)</f>
        <v>SPAREPARTS (HEAVY EQUIPMENT)</v>
      </c>
      <c r="C444" s="408" t="str">
        <f>VLOOKUP(Complete[[#This Row],[Code
(PAP)]],[1]Sheet1!$A:$AO,3,FALSE)</f>
        <v>PEO-Motorpool</v>
      </c>
      <c r="D444" s="380" t="s">
        <v>712</v>
      </c>
      <c r="E444" s="409" t="str">
        <f>VLOOKUP(Complete[[#This Row],[Code
(PAP)]],[2]Sheet1!$A:$AO,5,FALSE)</f>
        <v>Direct Contracting</v>
      </c>
      <c r="F444" s="393">
        <f>VLOOKUP(Complete[[#This Row],[Code
(PAP)]],[1]Sheet1!$A:$AO,6,FALSE)</f>
        <v>45373</v>
      </c>
      <c r="G444" s="393">
        <f>VLOOKUP(Complete[[#This Row],[Code
(PAP)]],[1]Sheet1!$A:$AO,7,FALSE)</f>
        <v>45384</v>
      </c>
      <c r="H444" s="374"/>
      <c r="I444" s="394" t="str">
        <f>VLOOKUP(Complete[[#This Row],[Code
(PAP)]],[1]Sheet1!$A:$AO,9,FALSE)</f>
        <v>N/A</v>
      </c>
      <c r="J444" s="393">
        <f>VLOOKUP(Complete[[#This Row],[Code
(PAP)]],[1]Sheet1!$A:$AO,10,FALSE)</f>
        <v>45407</v>
      </c>
      <c r="K444" s="393">
        <f>VLOOKUP(Complete[[#This Row],[Code
(PAP)]],[1]Sheet1!$A:$AO,11,FALSE)</f>
        <v>45407</v>
      </c>
      <c r="L444" s="387"/>
      <c r="M444" s="393" t="str">
        <f>VLOOKUP(Complete[[#This Row],[Code
(PAP)]],[1]Sheet1!$A:$AO,13,FALSE)</f>
        <v>N/A</v>
      </c>
      <c r="N444" s="393" t="str">
        <f>VLOOKUP(Complete[[#This Row],[Code
(PAP)]],[1]Sheet1!$A:$AO,14,FALSE)</f>
        <v>N/A</v>
      </c>
      <c r="O444" s="393">
        <f>VLOOKUP(Complete[[#This Row],[Code
(PAP)]],[1]Sheet1!$A:$AO,15,FALSE)</f>
        <v>45411</v>
      </c>
      <c r="P444" s="387"/>
      <c r="Q444" s="387"/>
      <c r="R444" s="387"/>
      <c r="S444" s="576" t="s">
        <v>713</v>
      </c>
      <c r="T444" s="576">
        <f>VLOOKUP(Complete[[#This Row],[Code
(PAP)]],[1]Sheet1!$A:$AO,20,FALSE)</f>
        <v>45432</v>
      </c>
      <c r="U444" s="576">
        <f>VLOOKUP(Complete[[#This Row],[Code
(PAP)]],[1]Sheet1!$A:$AO,21,FALSE)</f>
        <v>45434</v>
      </c>
      <c r="V444" s="387"/>
      <c r="W444" s="387"/>
      <c r="X444" s="392">
        <f>VLOOKUP(Complete[[#This Row],[Code
(PAP)]],[1]Sheet1!$A:$AO,24,FALSE)</f>
        <v>45461</v>
      </c>
      <c r="Y444" s="392">
        <f>Complete[[#This Row],[Delivery/ Completion]]</f>
        <v>45461</v>
      </c>
      <c r="Z444" s="610" t="s">
        <v>1478</v>
      </c>
      <c r="AA444" s="462">
        <f>Complete[[#This Row],[MOOE]]+Complete[[#This Row],[CO]]</f>
        <v>30825.75</v>
      </c>
      <c r="AB444" s="466">
        <v>30825.75</v>
      </c>
      <c r="AC444" s="497"/>
      <c r="AD444" s="498">
        <f>IF(Complete[[#This Row],[Procurement Project]]="","",SUM(Complete[[#This Row],[MOOE2]]+Complete[[#This Row],[CO3]]))</f>
        <v>30825.75</v>
      </c>
      <c r="AE444" s="501">
        <v>30825.75</v>
      </c>
      <c r="AF444" s="541"/>
      <c r="AG444" s="400"/>
      <c r="AH444" s="380" t="s">
        <v>1205</v>
      </c>
      <c r="AI444" s="576" t="str">
        <f>VLOOKUP(Complete[[#This Row],[Code
(PAP)]],[1]Sheet1!$A:$AO,35,FALSE)</f>
        <v>N/A</v>
      </c>
      <c r="AJ444" s="576" t="str">
        <f>VLOOKUP(Complete[[#This Row],[Code
(PAP)]],[1]Sheet1!$A:$AO,36,FALSE)</f>
        <v>N/A</v>
      </c>
      <c r="AK444" s="576" t="str">
        <f>VLOOKUP(Complete[[#This Row],[Code
(PAP)]],[1]Sheet1!$A:$AO,37,FALSE)</f>
        <v>N/A</v>
      </c>
      <c r="AL444" s="576" t="str">
        <f>VLOOKUP(Complete[[#This Row],[Code
(PAP)]],[1]Sheet1!$A:$AO,38,FALSE)</f>
        <v>N/A</v>
      </c>
      <c r="AM444" s="576" t="str">
        <f>VLOOKUP(Complete[[#This Row],[Code
(PAP)]],[1]Sheet1!$A:$AO,38,FALSE)</f>
        <v>N/A</v>
      </c>
      <c r="AN444" s="595" t="s">
        <v>713</v>
      </c>
      <c r="AO444" s="303" t="s">
        <v>139</v>
      </c>
      <c r="AP444" s="389"/>
      <c r="AQ444" s="389"/>
    </row>
    <row r="445" spans="1:43" s="224" customFormat="1" ht="75" customHeight="1" x14ac:dyDescent="0.25">
      <c r="A445" s="385" t="s">
        <v>623</v>
      </c>
      <c r="B445" s="406" t="str">
        <f>VLOOKUP(Complete[[#This Row],[Code
(PAP)]],[1]Sheet1!$A:$AO,2,FALSE)</f>
        <v>SPAREPARTS (HEAVY EQUIPMENT)</v>
      </c>
      <c r="C445" s="408" t="str">
        <f>VLOOKUP(Complete[[#This Row],[Code
(PAP)]],[1]Sheet1!$A:$AO,3,FALSE)</f>
        <v>PEO-Motorpool</v>
      </c>
      <c r="D445" s="380" t="s">
        <v>712</v>
      </c>
      <c r="E445" s="409" t="str">
        <f>VLOOKUP(Complete[[#This Row],[Code
(PAP)]],[2]Sheet1!$A:$AO,5,FALSE)</f>
        <v>Direct Contracting</v>
      </c>
      <c r="F445" s="393">
        <f>VLOOKUP(Complete[[#This Row],[Code
(PAP)]],[1]Sheet1!$A:$AO,6,FALSE)</f>
        <v>45390</v>
      </c>
      <c r="G445" s="393">
        <f>VLOOKUP(Complete[[#This Row],[Code
(PAP)]],[1]Sheet1!$A:$AO,7,FALSE)</f>
        <v>45397</v>
      </c>
      <c r="H445" s="374"/>
      <c r="I445" s="394" t="str">
        <f>VLOOKUP(Complete[[#This Row],[Code
(PAP)]],[1]Sheet1!$A:$AO,9,FALSE)</f>
        <v>N/A</v>
      </c>
      <c r="J445" s="393">
        <f>VLOOKUP(Complete[[#This Row],[Code
(PAP)]],[1]Sheet1!$A:$AO,10,FALSE)</f>
        <v>45407</v>
      </c>
      <c r="K445" s="393">
        <f>VLOOKUP(Complete[[#This Row],[Code
(PAP)]],[1]Sheet1!$A:$AO,11,FALSE)</f>
        <v>45407</v>
      </c>
      <c r="L445" s="387"/>
      <c r="M445" s="393" t="str">
        <f>VLOOKUP(Complete[[#This Row],[Code
(PAP)]],[1]Sheet1!$A:$AO,13,FALSE)</f>
        <v>N/A</v>
      </c>
      <c r="N445" s="393" t="str">
        <f>VLOOKUP(Complete[[#This Row],[Code
(PAP)]],[1]Sheet1!$A:$AO,14,FALSE)</f>
        <v>N/A</v>
      </c>
      <c r="O445" s="393">
        <f>VLOOKUP(Complete[[#This Row],[Code
(PAP)]],[1]Sheet1!$A:$AO,15,FALSE)</f>
        <v>45411</v>
      </c>
      <c r="P445" s="387"/>
      <c r="Q445" s="387"/>
      <c r="R445" s="387"/>
      <c r="S445" s="576" t="s">
        <v>713</v>
      </c>
      <c r="T445" s="576">
        <f>VLOOKUP(Complete[[#This Row],[Code
(PAP)]],[1]Sheet1!$A:$AO,20,FALSE)</f>
        <v>45429</v>
      </c>
      <c r="U445" s="576">
        <f>VLOOKUP(Complete[[#This Row],[Code
(PAP)]],[1]Sheet1!$A:$AO,21,FALSE)</f>
        <v>45434</v>
      </c>
      <c r="V445" s="387"/>
      <c r="W445" s="387"/>
      <c r="X445" s="392">
        <f>VLOOKUP(Complete[[#This Row],[Code
(PAP)]],[1]Sheet1!$A:$AO,24,FALSE)</f>
        <v>45461</v>
      </c>
      <c r="Y445" s="392">
        <f>Complete[[#This Row],[Delivery/ Completion]]</f>
        <v>45461</v>
      </c>
      <c r="Z445" s="610" t="s">
        <v>1478</v>
      </c>
      <c r="AA445" s="462">
        <f>Complete[[#This Row],[MOOE]]+Complete[[#This Row],[CO]]</f>
        <v>118872.51</v>
      </c>
      <c r="AB445" s="466">
        <v>118872.51</v>
      </c>
      <c r="AC445" s="497"/>
      <c r="AD445" s="498">
        <f>IF(Complete[[#This Row],[Procurement Project]]="","",SUM(Complete[[#This Row],[MOOE2]]+Complete[[#This Row],[CO3]]))</f>
        <v>118872.51</v>
      </c>
      <c r="AE445" s="501">
        <v>118872.51</v>
      </c>
      <c r="AF445" s="541"/>
      <c r="AG445" s="400"/>
      <c r="AH445" s="380" t="s">
        <v>1205</v>
      </c>
      <c r="AI445" s="576" t="str">
        <f>VLOOKUP(Complete[[#This Row],[Code
(PAP)]],[1]Sheet1!$A:$AO,35,FALSE)</f>
        <v>N/A</v>
      </c>
      <c r="AJ445" s="576" t="str">
        <f>VLOOKUP(Complete[[#This Row],[Code
(PAP)]],[1]Sheet1!$A:$AO,36,FALSE)</f>
        <v>N/A</v>
      </c>
      <c r="AK445" s="576" t="str">
        <f>VLOOKUP(Complete[[#This Row],[Code
(PAP)]],[1]Sheet1!$A:$AO,37,FALSE)</f>
        <v>N/A</v>
      </c>
      <c r="AL445" s="576" t="str">
        <f>VLOOKUP(Complete[[#This Row],[Code
(PAP)]],[1]Sheet1!$A:$AO,38,FALSE)</f>
        <v>N/A</v>
      </c>
      <c r="AM445" s="576" t="str">
        <f>VLOOKUP(Complete[[#This Row],[Code
(PAP)]],[1]Sheet1!$A:$AO,38,FALSE)</f>
        <v>N/A</v>
      </c>
      <c r="AN445" s="595" t="s">
        <v>713</v>
      </c>
      <c r="AO445" s="303" t="s">
        <v>139</v>
      </c>
      <c r="AP445" s="389"/>
      <c r="AQ445" s="389"/>
    </row>
    <row r="446" spans="1:43" s="224" customFormat="1" ht="75" customHeight="1" x14ac:dyDescent="0.25">
      <c r="A446" s="385" t="s">
        <v>624</v>
      </c>
      <c r="B446" s="406" t="str">
        <f>VLOOKUP(Complete[[#This Row],[Code
(PAP)]],[1]Sheet1!$A:$AO,2,FALSE)</f>
        <v>TONER CARTRIDGE</v>
      </c>
      <c r="C446" s="408" t="str">
        <f>VLOOKUP(Complete[[#This Row],[Code
(PAP)]],[1]Sheet1!$A:$AO,3,FALSE)</f>
        <v>PAO</v>
      </c>
      <c r="D446" s="380" t="s">
        <v>712</v>
      </c>
      <c r="E446" s="409" t="str">
        <f>VLOOKUP(Complete[[#This Row],[Code
(PAP)]],[2]Sheet1!$A:$AO,5,FALSE)</f>
        <v>Direct Contracting</v>
      </c>
      <c r="F446" s="393">
        <f>VLOOKUP(Complete[[#This Row],[Code
(PAP)]],[1]Sheet1!$A:$AO,6,FALSE)</f>
        <v>45387</v>
      </c>
      <c r="G446" s="393">
        <f>VLOOKUP(Complete[[#This Row],[Code
(PAP)]],[1]Sheet1!$A:$AO,7,FALSE)</f>
        <v>45397</v>
      </c>
      <c r="H446" s="374"/>
      <c r="I446" s="394" t="str">
        <f>VLOOKUP(Complete[[#This Row],[Code
(PAP)]],[1]Sheet1!$A:$AO,9,FALSE)</f>
        <v>N/A</v>
      </c>
      <c r="J446" s="393">
        <f>VLOOKUP(Complete[[#This Row],[Code
(PAP)]],[1]Sheet1!$A:$AO,10,FALSE)</f>
        <v>45407</v>
      </c>
      <c r="K446" s="393">
        <f>VLOOKUP(Complete[[#This Row],[Code
(PAP)]],[1]Sheet1!$A:$AO,11,FALSE)</f>
        <v>45407</v>
      </c>
      <c r="L446" s="387"/>
      <c r="M446" s="393" t="str">
        <f>VLOOKUP(Complete[[#This Row],[Code
(PAP)]],[1]Sheet1!$A:$AO,13,FALSE)</f>
        <v>N/A</v>
      </c>
      <c r="N446" s="393" t="str">
        <f>VLOOKUP(Complete[[#This Row],[Code
(PAP)]],[1]Sheet1!$A:$AO,14,FALSE)</f>
        <v>N/A</v>
      </c>
      <c r="O446" s="393">
        <f>VLOOKUP(Complete[[#This Row],[Code
(PAP)]],[1]Sheet1!$A:$AO,15,FALSE)</f>
        <v>45411</v>
      </c>
      <c r="P446" s="387"/>
      <c r="Q446" s="387"/>
      <c r="R446" s="387"/>
      <c r="S446" s="576" t="s">
        <v>713</v>
      </c>
      <c r="T446" s="576">
        <f>VLOOKUP(Complete[[#This Row],[Code
(PAP)]],[1]Sheet1!$A:$AO,20,FALSE)</f>
        <v>45425</v>
      </c>
      <c r="U446" s="576">
        <f>VLOOKUP(Complete[[#This Row],[Code
(PAP)]],[1]Sheet1!$A:$AO,21,FALSE)</f>
        <v>45436</v>
      </c>
      <c r="V446" s="387"/>
      <c r="W446" s="387"/>
      <c r="X446" s="392">
        <f>VLOOKUP(Complete[[#This Row],[Code
(PAP)]],[1]Sheet1!$A:$AO,24,FALSE)</f>
        <v>45440</v>
      </c>
      <c r="Y446" s="392">
        <f>Complete[[#This Row],[Delivery/ Completion]]</f>
        <v>45440</v>
      </c>
      <c r="Z446" s="610" t="s">
        <v>1478</v>
      </c>
      <c r="AA446" s="462">
        <f>Complete[[#This Row],[MOOE]]+Complete[[#This Row],[CO]]</f>
        <v>4810</v>
      </c>
      <c r="AB446" s="466">
        <v>4810</v>
      </c>
      <c r="AC446" s="497"/>
      <c r="AD446" s="498">
        <f>IF(Complete[[#This Row],[Procurement Project]]="","",SUM(Complete[[#This Row],[MOOE2]]+Complete[[#This Row],[CO3]]))</f>
        <v>4810</v>
      </c>
      <c r="AE446" s="501">
        <v>4810</v>
      </c>
      <c r="AF446" s="541"/>
      <c r="AG446" s="400"/>
      <c r="AH446" s="380" t="s">
        <v>1205</v>
      </c>
      <c r="AI446" s="576" t="str">
        <f>VLOOKUP(Complete[[#This Row],[Code
(PAP)]],[1]Sheet1!$A:$AO,35,FALSE)</f>
        <v>N/A</v>
      </c>
      <c r="AJ446" s="576" t="str">
        <f>VLOOKUP(Complete[[#This Row],[Code
(PAP)]],[1]Sheet1!$A:$AO,36,FALSE)</f>
        <v>N/A</v>
      </c>
      <c r="AK446" s="576" t="str">
        <f>VLOOKUP(Complete[[#This Row],[Code
(PAP)]],[1]Sheet1!$A:$AO,37,FALSE)</f>
        <v>N/A</v>
      </c>
      <c r="AL446" s="576" t="str">
        <f>VLOOKUP(Complete[[#This Row],[Code
(PAP)]],[1]Sheet1!$A:$AO,38,FALSE)</f>
        <v>N/A</v>
      </c>
      <c r="AM446" s="576" t="str">
        <f>VLOOKUP(Complete[[#This Row],[Code
(PAP)]],[1]Sheet1!$A:$AO,38,FALSE)</f>
        <v>N/A</v>
      </c>
      <c r="AN446" s="595" t="s">
        <v>713</v>
      </c>
      <c r="AO446" s="303" t="s">
        <v>139</v>
      </c>
      <c r="AP446" s="389"/>
      <c r="AQ446" s="389"/>
    </row>
    <row r="447" spans="1:43" s="224" customFormat="1" ht="75" customHeight="1" x14ac:dyDescent="0.25">
      <c r="A447" s="385" t="s">
        <v>625</v>
      </c>
      <c r="B447" s="406" t="str">
        <f>VLOOKUP(Complete[[#This Row],[Code
(PAP)]],[1]Sheet1!$A:$AO,2,FALSE)</f>
        <v>CTNL (TROPONIN) AND HEMOGLOBIN</v>
      </c>
      <c r="C447" s="408" t="str">
        <f>VLOOKUP(Complete[[#This Row],[Code
(PAP)]],[1]Sheet1!$A:$AO,3,FALSE)</f>
        <v>PEEMO</v>
      </c>
      <c r="D447" s="380" t="s">
        <v>712</v>
      </c>
      <c r="E447" s="409" t="str">
        <f>VLOOKUP(Complete[[#This Row],[Code
(PAP)]],[2]Sheet1!$A:$AO,5,FALSE)</f>
        <v>Direct Contracting</v>
      </c>
      <c r="F447" s="393" t="str">
        <f>VLOOKUP(Complete[[#This Row],[Code
(PAP)]],[1]Sheet1!$A:$AO,6,FALSE)</f>
        <v>N/A</v>
      </c>
      <c r="G447" s="393">
        <f>VLOOKUP(Complete[[#This Row],[Code
(PAP)]],[1]Sheet1!$A:$AO,7,FALSE)</f>
        <v>45385</v>
      </c>
      <c r="H447" s="374"/>
      <c r="I447" s="394" t="str">
        <f>VLOOKUP(Complete[[#This Row],[Code
(PAP)]],[1]Sheet1!$A:$AO,9,FALSE)</f>
        <v>N/A</v>
      </c>
      <c r="J447" s="393">
        <f>VLOOKUP(Complete[[#This Row],[Code
(PAP)]],[1]Sheet1!$A:$AO,10,FALSE)</f>
        <v>45407</v>
      </c>
      <c r="K447" s="393">
        <f>VLOOKUP(Complete[[#This Row],[Code
(PAP)]],[1]Sheet1!$A:$AO,11,FALSE)</f>
        <v>45407</v>
      </c>
      <c r="L447" s="387"/>
      <c r="M447" s="393" t="str">
        <f>VLOOKUP(Complete[[#This Row],[Code
(PAP)]],[1]Sheet1!$A:$AO,13,FALSE)</f>
        <v>N/A</v>
      </c>
      <c r="N447" s="393" t="str">
        <f>VLOOKUP(Complete[[#This Row],[Code
(PAP)]],[1]Sheet1!$A:$AO,14,FALSE)</f>
        <v>N/A</v>
      </c>
      <c r="O447" s="393">
        <f>VLOOKUP(Complete[[#This Row],[Code
(PAP)]],[1]Sheet1!$A:$AO,15,FALSE)</f>
        <v>45411</v>
      </c>
      <c r="P447" s="387"/>
      <c r="Q447" s="387"/>
      <c r="R447" s="387"/>
      <c r="S447" s="576" t="s">
        <v>713</v>
      </c>
      <c r="T447" s="576">
        <f>VLOOKUP(Complete[[#This Row],[Code
(PAP)]],[1]Sheet1!$A:$AO,20,FALSE)</f>
        <v>45432</v>
      </c>
      <c r="U447" s="576">
        <f>VLOOKUP(Complete[[#This Row],[Code
(PAP)]],[1]Sheet1!$A:$AO,21,FALSE)</f>
        <v>45436</v>
      </c>
      <c r="V447" s="387"/>
      <c r="W447" s="387"/>
      <c r="X447" s="392">
        <f>VLOOKUP(Complete[[#This Row],[Code
(PAP)]],[1]Sheet1!$A:$AO,24,FALSE)</f>
        <v>45456</v>
      </c>
      <c r="Y447" s="392">
        <f>Complete[[#This Row],[Delivery/ Completion]]</f>
        <v>45456</v>
      </c>
      <c r="Z447" s="610" t="s">
        <v>1478</v>
      </c>
      <c r="AA447" s="462">
        <f>Complete[[#This Row],[MOOE]]+Complete[[#This Row],[CO]]</f>
        <v>120960</v>
      </c>
      <c r="AB447" s="466">
        <v>120960</v>
      </c>
      <c r="AC447" s="497"/>
      <c r="AD447" s="498">
        <f>IF(Complete[[#This Row],[Procurement Project]]="","",SUM(Complete[[#This Row],[MOOE2]]+Complete[[#This Row],[CO3]]))</f>
        <v>120960</v>
      </c>
      <c r="AE447" s="501">
        <v>120960</v>
      </c>
      <c r="AF447" s="541"/>
      <c r="AG447" s="400"/>
      <c r="AH447" s="380" t="s">
        <v>1205</v>
      </c>
      <c r="AI447" s="576" t="str">
        <f>VLOOKUP(Complete[[#This Row],[Code
(PAP)]],[1]Sheet1!$A:$AO,35,FALSE)</f>
        <v>N/A</v>
      </c>
      <c r="AJ447" s="576" t="str">
        <f>VLOOKUP(Complete[[#This Row],[Code
(PAP)]],[1]Sheet1!$A:$AO,36,FALSE)</f>
        <v>N/A</v>
      </c>
      <c r="AK447" s="576" t="str">
        <f>VLOOKUP(Complete[[#This Row],[Code
(PAP)]],[1]Sheet1!$A:$AO,37,FALSE)</f>
        <v>N/A</v>
      </c>
      <c r="AL447" s="576" t="str">
        <f>VLOOKUP(Complete[[#This Row],[Code
(PAP)]],[1]Sheet1!$A:$AO,38,FALSE)</f>
        <v>N/A</v>
      </c>
      <c r="AM447" s="576" t="str">
        <f>VLOOKUP(Complete[[#This Row],[Code
(PAP)]],[1]Sheet1!$A:$AO,38,FALSE)</f>
        <v>N/A</v>
      </c>
      <c r="AN447" s="595" t="s">
        <v>713</v>
      </c>
      <c r="AO447" s="303" t="s">
        <v>139</v>
      </c>
      <c r="AP447" s="389"/>
      <c r="AQ447" s="389"/>
    </row>
    <row r="448" spans="1:43" s="224" customFormat="1" ht="75" customHeight="1" x14ac:dyDescent="0.25">
      <c r="A448" s="385" t="s">
        <v>626</v>
      </c>
      <c r="B448" s="406" t="str">
        <f>VLOOKUP(Complete[[#This Row],[Code
(PAP)]],[1]Sheet1!$A:$AO,2,FALSE)</f>
        <v>SPAREPARTS (LIGHT VEHICLES)</v>
      </c>
      <c r="C448" s="408" t="str">
        <f>VLOOKUP(Complete[[#This Row],[Code
(PAP)]],[1]Sheet1!$A:$AO,3,FALSE)</f>
        <v>PGSO</v>
      </c>
      <c r="D448" s="380" t="s">
        <v>712</v>
      </c>
      <c r="E448" s="409" t="str">
        <f>VLOOKUP(Complete[[#This Row],[Code
(PAP)]],[2]Sheet1!$A:$AO,5,FALSE)</f>
        <v>Shopping 52.1(a) - Unforeseen Contingency</v>
      </c>
      <c r="F448" s="393" t="str">
        <f>VLOOKUP(Complete[[#This Row],[Code
(PAP)]],[1]Sheet1!$A:$AO,6,FALSE)</f>
        <v>N/A</v>
      </c>
      <c r="G448" s="393">
        <f>VLOOKUP(Complete[[#This Row],[Code
(PAP)]],[1]Sheet1!$A:$AO,7,FALSE)</f>
        <v>45397</v>
      </c>
      <c r="H448" s="374"/>
      <c r="I448" s="394" t="str">
        <f>VLOOKUP(Complete[[#This Row],[Code
(PAP)]],[1]Sheet1!$A:$AO,9,FALSE)</f>
        <v>N/A</v>
      </c>
      <c r="J448" s="393">
        <f>VLOOKUP(Complete[[#This Row],[Code
(PAP)]],[1]Sheet1!$A:$AO,10,FALSE)</f>
        <v>45412</v>
      </c>
      <c r="K448" s="393">
        <f>VLOOKUP(Complete[[#This Row],[Code
(PAP)]],[1]Sheet1!$A:$AO,11,FALSE)</f>
        <v>45412</v>
      </c>
      <c r="L448" s="387"/>
      <c r="M448" s="393" t="str">
        <f>VLOOKUP(Complete[[#This Row],[Code
(PAP)]],[1]Sheet1!$A:$AO,13,FALSE)</f>
        <v>N/A</v>
      </c>
      <c r="N448" s="393" t="str">
        <f>VLOOKUP(Complete[[#This Row],[Code
(PAP)]],[1]Sheet1!$A:$AO,14,FALSE)</f>
        <v>N/A</v>
      </c>
      <c r="O448" s="393">
        <v>45415</v>
      </c>
      <c r="P448" s="387"/>
      <c r="Q448" s="387"/>
      <c r="R448" s="387"/>
      <c r="S448" s="576" t="s">
        <v>713</v>
      </c>
      <c r="T448" s="576">
        <f>VLOOKUP(Complete[[#This Row],[Code
(PAP)]],[1]Sheet1!$A:$AO,20,FALSE)</f>
        <v>45425</v>
      </c>
      <c r="U448" s="576">
        <f>VLOOKUP(Complete[[#This Row],[Code
(PAP)]],[1]Sheet1!$A:$AO,21,FALSE)</f>
        <v>45448</v>
      </c>
      <c r="V448" s="387"/>
      <c r="W448" s="387"/>
      <c r="X448" s="392">
        <f>VLOOKUP(Complete[[#This Row],[Code
(PAP)]],[1]Sheet1!$A:$AO,24,FALSE)</f>
        <v>45448</v>
      </c>
      <c r="Y448" s="392">
        <f>Complete[[#This Row],[Delivery/ Completion]]</f>
        <v>45448</v>
      </c>
      <c r="Z448" s="610" t="s">
        <v>1478</v>
      </c>
      <c r="AA448" s="462">
        <f>Complete[[#This Row],[MOOE]]+Complete[[#This Row],[CO]]</f>
        <v>18000</v>
      </c>
      <c r="AB448" s="466">
        <v>18000</v>
      </c>
      <c r="AC448" s="497"/>
      <c r="AD448" s="498">
        <f>IF(Complete[[#This Row],[Procurement Project]]="","",SUM(Complete[[#This Row],[MOOE2]]+Complete[[#This Row],[CO3]]))</f>
        <v>18000</v>
      </c>
      <c r="AE448" s="501">
        <v>18000</v>
      </c>
      <c r="AF448" s="541"/>
      <c r="AG448" s="400"/>
      <c r="AH448" s="380" t="s">
        <v>1205</v>
      </c>
      <c r="AI448" s="576" t="str">
        <f>VLOOKUP(Complete[[#This Row],[Code
(PAP)]],[1]Sheet1!$A:$AO,35,FALSE)</f>
        <v>N/A</v>
      </c>
      <c r="AJ448" s="576" t="str">
        <f>VLOOKUP(Complete[[#This Row],[Code
(PAP)]],[1]Sheet1!$A:$AO,36,FALSE)</f>
        <v>N/A</v>
      </c>
      <c r="AK448" s="576" t="str">
        <f>VLOOKUP(Complete[[#This Row],[Code
(PAP)]],[1]Sheet1!$A:$AO,37,FALSE)</f>
        <v>N/A</v>
      </c>
      <c r="AL448" s="576" t="str">
        <f>VLOOKUP(Complete[[#This Row],[Code
(PAP)]],[1]Sheet1!$A:$AO,38,FALSE)</f>
        <v>N/A</v>
      </c>
      <c r="AM448" s="576" t="str">
        <f>VLOOKUP(Complete[[#This Row],[Code
(PAP)]],[1]Sheet1!$A:$AO,38,FALSE)</f>
        <v>N/A</v>
      </c>
      <c r="AN448" s="595" t="s">
        <v>713</v>
      </c>
      <c r="AO448" s="303" t="s">
        <v>139</v>
      </c>
      <c r="AP448" s="389"/>
      <c r="AQ448" s="389"/>
    </row>
    <row r="449" spans="1:43" s="224" customFormat="1" ht="75" customHeight="1" x14ac:dyDescent="0.25">
      <c r="A449" s="385" t="s">
        <v>627</v>
      </c>
      <c r="B449" s="406" t="str">
        <f>VLOOKUP(Complete[[#This Row],[Code
(PAP)]],[1]Sheet1!$A:$AO,2,FALSE)</f>
        <v>SPAREPARTS (LIGHT VEHICLES)</v>
      </c>
      <c r="C449" s="408" t="str">
        <f>VLOOKUP(Complete[[#This Row],[Code
(PAP)]],[1]Sheet1!$A:$AO,3,FALSE)</f>
        <v>PGSO</v>
      </c>
      <c r="D449" s="380" t="s">
        <v>712</v>
      </c>
      <c r="E449" s="409" t="str">
        <f>VLOOKUP(Complete[[#This Row],[Code
(PAP)]],[2]Sheet1!$A:$AO,5,FALSE)</f>
        <v>Shopping 52.1(a) - Unforeseen Contingency</v>
      </c>
      <c r="F449" s="393" t="str">
        <f>VLOOKUP(Complete[[#This Row],[Code
(PAP)]],[1]Sheet1!$A:$AO,6,FALSE)</f>
        <v>N/A</v>
      </c>
      <c r="G449" s="393">
        <f>VLOOKUP(Complete[[#This Row],[Code
(PAP)]],[1]Sheet1!$A:$AO,7,FALSE)</f>
        <v>45397</v>
      </c>
      <c r="H449" s="374"/>
      <c r="I449" s="394" t="str">
        <f>VLOOKUP(Complete[[#This Row],[Code
(PAP)]],[1]Sheet1!$A:$AO,9,FALSE)</f>
        <v>N/A</v>
      </c>
      <c r="J449" s="393">
        <f>VLOOKUP(Complete[[#This Row],[Code
(PAP)]],[1]Sheet1!$A:$AO,10,FALSE)</f>
        <v>45412</v>
      </c>
      <c r="K449" s="393">
        <f>VLOOKUP(Complete[[#This Row],[Code
(PAP)]],[1]Sheet1!$A:$AO,11,FALSE)</f>
        <v>45412</v>
      </c>
      <c r="L449" s="387"/>
      <c r="M449" s="393" t="str">
        <f>VLOOKUP(Complete[[#This Row],[Code
(PAP)]],[1]Sheet1!$A:$AO,13,FALSE)</f>
        <v>N/A</v>
      </c>
      <c r="N449" s="393" t="str">
        <f>VLOOKUP(Complete[[#This Row],[Code
(PAP)]],[1]Sheet1!$A:$AO,14,FALSE)</f>
        <v>N/A</v>
      </c>
      <c r="O449" s="393">
        <v>45415</v>
      </c>
      <c r="P449" s="387"/>
      <c r="Q449" s="387"/>
      <c r="R449" s="387"/>
      <c r="S449" s="576" t="s">
        <v>713</v>
      </c>
      <c r="T449" s="576">
        <f>VLOOKUP(Complete[[#This Row],[Code
(PAP)]],[1]Sheet1!$A:$AO,20,FALSE)</f>
        <v>45425</v>
      </c>
      <c r="U449" s="576">
        <f>VLOOKUP(Complete[[#This Row],[Code
(PAP)]],[1]Sheet1!$A:$AO,21,FALSE)</f>
        <v>45447</v>
      </c>
      <c r="V449" s="387"/>
      <c r="W449" s="387"/>
      <c r="X449" s="392">
        <f>VLOOKUP(Complete[[#This Row],[Code
(PAP)]],[1]Sheet1!$A:$AO,24,FALSE)</f>
        <v>45447</v>
      </c>
      <c r="Y449" s="392">
        <f>Complete[[#This Row],[Delivery/ Completion]]</f>
        <v>45447</v>
      </c>
      <c r="Z449" s="610" t="s">
        <v>1478</v>
      </c>
      <c r="AA449" s="462">
        <f>Complete[[#This Row],[MOOE]]+Complete[[#This Row],[CO]]</f>
        <v>173850</v>
      </c>
      <c r="AB449" s="466">
        <v>173850</v>
      </c>
      <c r="AC449" s="497"/>
      <c r="AD449" s="498">
        <f>IF(Complete[[#This Row],[Procurement Project]]="","",SUM(Complete[[#This Row],[MOOE2]]+Complete[[#This Row],[CO3]]))</f>
        <v>173580</v>
      </c>
      <c r="AE449" s="501">
        <v>173580</v>
      </c>
      <c r="AF449" s="541"/>
      <c r="AG449" s="400"/>
      <c r="AH449" s="380" t="s">
        <v>1205</v>
      </c>
      <c r="AI449" s="576" t="str">
        <f>VLOOKUP(Complete[[#This Row],[Code
(PAP)]],[1]Sheet1!$A:$AO,35,FALSE)</f>
        <v>N/A</v>
      </c>
      <c r="AJ449" s="576" t="str">
        <f>VLOOKUP(Complete[[#This Row],[Code
(PAP)]],[1]Sheet1!$A:$AO,36,FALSE)</f>
        <v>N/A</v>
      </c>
      <c r="AK449" s="576" t="str">
        <f>VLOOKUP(Complete[[#This Row],[Code
(PAP)]],[1]Sheet1!$A:$AO,37,FALSE)</f>
        <v>N/A</v>
      </c>
      <c r="AL449" s="576" t="str">
        <f>VLOOKUP(Complete[[#This Row],[Code
(PAP)]],[1]Sheet1!$A:$AO,38,FALSE)</f>
        <v>N/A</v>
      </c>
      <c r="AM449" s="576" t="str">
        <f>VLOOKUP(Complete[[#This Row],[Code
(PAP)]],[1]Sheet1!$A:$AO,38,FALSE)</f>
        <v>N/A</v>
      </c>
      <c r="AN449" s="595" t="s">
        <v>713</v>
      </c>
      <c r="AO449" s="303" t="s">
        <v>139</v>
      </c>
      <c r="AP449" s="389"/>
      <c r="AQ449" s="389"/>
    </row>
    <row r="450" spans="1:43" s="224" customFormat="1" ht="75" customHeight="1" x14ac:dyDescent="0.25">
      <c r="A450" s="385" t="s">
        <v>628</v>
      </c>
      <c r="B450" s="406" t="str">
        <f>VLOOKUP(Complete[[#This Row],[Code
(PAP)]],[1]Sheet1!$A:$AO,2,FALSE)</f>
        <v>SPAREPARTS (MOTORCYCLE)</v>
      </c>
      <c r="C450" s="408" t="str">
        <f>VLOOKUP(Complete[[#This Row],[Code
(PAP)]],[1]Sheet1!$A:$AO,3,FALSE)</f>
        <v>PGSO</v>
      </c>
      <c r="D450" s="380" t="s">
        <v>712</v>
      </c>
      <c r="E450" s="409" t="str">
        <f>VLOOKUP(Complete[[#This Row],[Code
(PAP)]],[2]Sheet1!$A:$AO,5,FALSE)</f>
        <v>Shopping 52.1(a) - Unforeseen Contingency</v>
      </c>
      <c r="F450" s="393" t="str">
        <f>VLOOKUP(Complete[[#This Row],[Code
(PAP)]],[1]Sheet1!$A:$AO,6,FALSE)</f>
        <v>N/A</v>
      </c>
      <c r="G450" s="393">
        <f>VLOOKUP(Complete[[#This Row],[Code
(PAP)]],[1]Sheet1!$A:$AO,7,FALSE)</f>
        <v>45397</v>
      </c>
      <c r="H450" s="374"/>
      <c r="I450" s="394" t="str">
        <f>VLOOKUP(Complete[[#This Row],[Code
(PAP)]],[1]Sheet1!$A:$AO,9,FALSE)</f>
        <v>N/A</v>
      </c>
      <c r="J450" s="393">
        <f>VLOOKUP(Complete[[#This Row],[Code
(PAP)]],[1]Sheet1!$A:$AO,10,FALSE)</f>
        <v>45412</v>
      </c>
      <c r="K450" s="393">
        <f>VLOOKUP(Complete[[#This Row],[Code
(PAP)]],[1]Sheet1!$A:$AO,11,FALSE)</f>
        <v>45412</v>
      </c>
      <c r="L450" s="387"/>
      <c r="M450" s="393" t="str">
        <f>VLOOKUP(Complete[[#This Row],[Code
(PAP)]],[1]Sheet1!$A:$AO,13,FALSE)</f>
        <v>N/A</v>
      </c>
      <c r="N450" s="393" t="str">
        <f>VLOOKUP(Complete[[#This Row],[Code
(PAP)]],[1]Sheet1!$A:$AO,14,FALSE)</f>
        <v>N/A</v>
      </c>
      <c r="O450" s="393">
        <v>45415</v>
      </c>
      <c r="P450" s="387"/>
      <c r="Q450" s="387"/>
      <c r="R450" s="387"/>
      <c r="S450" s="576" t="s">
        <v>713</v>
      </c>
      <c r="T450" s="576">
        <f>VLOOKUP(Complete[[#This Row],[Code
(PAP)]],[1]Sheet1!$A:$AO,20,FALSE)</f>
        <v>45426</v>
      </c>
      <c r="U450" s="576">
        <f>VLOOKUP(Complete[[#This Row],[Code
(PAP)]],[1]Sheet1!$A:$AO,21,FALSE)</f>
        <v>45448</v>
      </c>
      <c r="V450" s="387"/>
      <c r="W450" s="387"/>
      <c r="X450" s="392">
        <f>VLOOKUP(Complete[[#This Row],[Code
(PAP)]],[1]Sheet1!$A:$AO,24,FALSE)</f>
        <v>45448</v>
      </c>
      <c r="Y450" s="392">
        <f>Complete[[#This Row],[Delivery/ Completion]]</f>
        <v>45448</v>
      </c>
      <c r="Z450" s="610" t="s">
        <v>1478</v>
      </c>
      <c r="AA450" s="462">
        <f>Complete[[#This Row],[MOOE]]+Complete[[#This Row],[CO]]</f>
        <v>17030</v>
      </c>
      <c r="AB450" s="466">
        <v>17030</v>
      </c>
      <c r="AC450" s="497"/>
      <c r="AD450" s="498">
        <f>IF(Complete[[#This Row],[Procurement Project]]="","",SUM(Complete[[#This Row],[MOOE2]]+Complete[[#This Row],[CO3]]))</f>
        <v>17030</v>
      </c>
      <c r="AE450" s="501">
        <v>17030</v>
      </c>
      <c r="AF450" s="541"/>
      <c r="AG450" s="400"/>
      <c r="AH450" s="380" t="s">
        <v>1205</v>
      </c>
      <c r="AI450" s="576" t="str">
        <f>VLOOKUP(Complete[[#This Row],[Code
(PAP)]],[1]Sheet1!$A:$AO,35,FALSE)</f>
        <v>N/A</v>
      </c>
      <c r="AJ450" s="576" t="str">
        <f>VLOOKUP(Complete[[#This Row],[Code
(PAP)]],[1]Sheet1!$A:$AO,36,FALSE)</f>
        <v>N/A</v>
      </c>
      <c r="AK450" s="576" t="str">
        <f>VLOOKUP(Complete[[#This Row],[Code
(PAP)]],[1]Sheet1!$A:$AO,37,FALSE)</f>
        <v>N/A</v>
      </c>
      <c r="AL450" s="576" t="str">
        <f>VLOOKUP(Complete[[#This Row],[Code
(PAP)]],[1]Sheet1!$A:$AO,38,FALSE)</f>
        <v>N/A</v>
      </c>
      <c r="AM450" s="576" t="str">
        <f>VLOOKUP(Complete[[#This Row],[Code
(PAP)]],[1]Sheet1!$A:$AO,38,FALSE)</f>
        <v>N/A</v>
      </c>
      <c r="AN450" s="595" t="s">
        <v>713</v>
      </c>
      <c r="AO450" s="303" t="s">
        <v>139</v>
      </c>
      <c r="AP450" s="389"/>
      <c r="AQ450" s="389"/>
    </row>
    <row r="451" spans="1:43" s="224" customFormat="1" ht="75" customHeight="1" x14ac:dyDescent="0.25">
      <c r="A451" s="385" t="s">
        <v>629</v>
      </c>
      <c r="B451" s="406" t="str">
        <f>VLOOKUP(Complete[[#This Row],[Code
(PAP)]],[1]Sheet1!$A:$AO,2,FALSE)</f>
        <v>OFFICE SUPPLIES</v>
      </c>
      <c r="C451" s="408" t="str">
        <f>VLOOKUP(Complete[[#This Row],[Code
(PAP)]],[1]Sheet1!$A:$AO,3,FALSE)</f>
        <v>PHO</v>
      </c>
      <c r="D451" s="380" t="s">
        <v>712</v>
      </c>
      <c r="E451" s="409" t="str">
        <f>VLOOKUP(Complete[[#This Row],[Code
(PAP)]],[2]Sheet1!$A:$AO,5,FALSE)</f>
        <v>Shopping 52.1(b) - Regular Office Supplies and Equipment no available in PS</v>
      </c>
      <c r="F451" s="393" t="str">
        <f>VLOOKUP(Complete[[#This Row],[Code
(PAP)]],[1]Sheet1!$A:$AO,6,FALSE)</f>
        <v>N/A</v>
      </c>
      <c r="G451" s="393">
        <f>VLOOKUP(Complete[[#This Row],[Code
(PAP)]],[1]Sheet1!$A:$AO,7,FALSE)</f>
        <v>45390</v>
      </c>
      <c r="H451" s="374"/>
      <c r="I451" s="394" t="str">
        <f>VLOOKUP(Complete[[#This Row],[Code
(PAP)]],[1]Sheet1!$A:$AO,9,FALSE)</f>
        <v>N/A</v>
      </c>
      <c r="J451" s="393">
        <f>VLOOKUP(Complete[[#This Row],[Code
(PAP)]],[1]Sheet1!$A:$AO,10,FALSE)</f>
        <v>45412</v>
      </c>
      <c r="K451" s="393">
        <f>VLOOKUP(Complete[[#This Row],[Code
(PAP)]],[1]Sheet1!$A:$AO,11,FALSE)</f>
        <v>45412</v>
      </c>
      <c r="L451" s="387"/>
      <c r="M451" s="393" t="str">
        <f>VLOOKUP(Complete[[#This Row],[Code
(PAP)]],[1]Sheet1!$A:$AO,13,FALSE)</f>
        <v>N/A</v>
      </c>
      <c r="N451" s="393" t="str">
        <f>VLOOKUP(Complete[[#This Row],[Code
(PAP)]],[1]Sheet1!$A:$AO,14,FALSE)</f>
        <v>N/A</v>
      </c>
      <c r="O451" s="393">
        <v>45415</v>
      </c>
      <c r="P451" s="387"/>
      <c r="Q451" s="387"/>
      <c r="R451" s="387"/>
      <c r="S451" s="576">
        <v>45418</v>
      </c>
      <c r="T451" s="576">
        <f>VLOOKUP(Complete[[#This Row],[Code
(PAP)]],[1]Sheet1!$A:$AO,20,FALSE)</f>
        <v>45425</v>
      </c>
      <c r="U451" s="576">
        <f>VLOOKUP(Complete[[#This Row],[Code
(PAP)]],[1]Sheet1!$A:$AO,21,FALSE)</f>
        <v>45433</v>
      </c>
      <c r="V451" s="387"/>
      <c r="W451" s="387"/>
      <c r="X451" s="392">
        <f>VLOOKUP(Complete[[#This Row],[Code
(PAP)]],[1]Sheet1!$A:$AO,24,FALSE)</f>
        <v>45443</v>
      </c>
      <c r="Y451" s="392">
        <f>Complete[[#This Row],[Delivery/ Completion]]</f>
        <v>45443</v>
      </c>
      <c r="Z451" s="610" t="s">
        <v>1478</v>
      </c>
      <c r="AA451" s="462">
        <f>Complete[[#This Row],[MOOE]]+Complete[[#This Row],[CO]]</f>
        <v>298649</v>
      </c>
      <c r="AB451" s="466">
        <v>298649</v>
      </c>
      <c r="AC451" s="497"/>
      <c r="AD451" s="498">
        <f>IF(Complete[[#This Row],[Procurement Project]]="","",SUM(Complete[[#This Row],[MOOE2]]+Complete[[#This Row],[CO3]]))</f>
        <v>295661</v>
      </c>
      <c r="AE451" s="501">
        <v>295661</v>
      </c>
      <c r="AF451" s="541"/>
      <c r="AG451" s="400"/>
      <c r="AH451" s="380" t="s">
        <v>1205</v>
      </c>
      <c r="AI451" s="576" t="str">
        <f>VLOOKUP(Complete[[#This Row],[Code
(PAP)]],[1]Sheet1!$A:$AO,35,FALSE)</f>
        <v>N/A</v>
      </c>
      <c r="AJ451" s="576" t="str">
        <f>VLOOKUP(Complete[[#This Row],[Code
(PAP)]],[1]Sheet1!$A:$AO,36,FALSE)</f>
        <v>N/A</v>
      </c>
      <c r="AK451" s="576" t="str">
        <f>VLOOKUP(Complete[[#This Row],[Code
(PAP)]],[1]Sheet1!$A:$AO,37,FALSE)</f>
        <v>N/A</v>
      </c>
      <c r="AL451" s="576" t="str">
        <f>VLOOKUP(Complete[[#This Row],[Code
(PAP)]],[1]Sheet1!$A:$AO,38,FALSE)</f>
        <v>N/A</v>
      </c>
      <c r="AM451" s="576" t="str">
        <f>VLOOKUP(Complete[[#This Row],[Code
(PAP)]],[1]Sheet1!$A:$AO,38,FALSE)</f>
        <v>N/A</v>
      </c>
      <c r="AN451" s="595" t="s">
        <v>713</v>
      </c>
      <c r="AO451" s="303" t="s">
        <v>139</v>
      </c>
      <c r="AP451" s="389"/>
      <c r="AQ451" s="389"/>
    </row>
    <row r="452" spans="1:43" s="224" customFormat="1" ht="75" customHeight="1" x14ac:dyDescent="0.25">
      <c r="A452" s="419" t="s">
        <v>630</v>
      </c>
      <c r="B452" s="406" t="str">
        <f>VLOOKUP(Complete[[#This Row],[Code
(PAP)]],[1]Sheet1!$A:$AO,2,FALSE)</f>
        <v>CONSTRUCTION SUPPLIES</v>
      </c>
      <c r="C452" s="408" t="str">
        <f>VLOOKUP(Complete[[#This Row],[Code
(PAP)]],[1]Sheet1!$A:$AO,3,FALSE)</f>
        <v>PENRO</v>
      </c>
      <c r="D452" s="380" t="s">
        <v>712</v>
      </c>
      <c r="E452" s="409" t="str">
        <f>VLOOKUP(Complete[[#This Row],[Code
(PAP)]],[2]Sheet1!$A:$AO,5,FALSE)</f>
        <v>NP-53.9 - Small Value Procurement</v>
      </c>
      <c r="F452" s="393">
        <f>VLOOKUP(Complete[[#This Row],[Code
(PAP)]],[1]Sheet1!$A:$AO,6,FALSE)</f>
        <v>45370</v>
      </c>
      <c r="G452" s="393">
        <f>VLOOKUP(Complete[[#This Row],[Code
(PAP)]],[1]Sheet1!$A:$AO,7,FALSE)</f>
        <v>45385</v>
      </c>
      <c r="H452" s="374"/>
      <c r="I452" s="394" t="str">
        <f>VLOOKUP(Complete[[#This Row],[Code
(PAP)]],[1]Sheet1!$A:$AO,9,FALSE)</f>
        <v>N/A</v>
      </c>
      <c r="J452" s="393">
        <f>VLOOKUP(Complete[[#This Row],[Code
(PAP)]],[1]Sheet1!$A:$AO,10,FALSE)</f>
        <v>45412</v>
      </c>
      <c r="K452" s="393">
        <f>VLOOKUP(Complete[[#This Row],[Code
(PAP)]],[1]Sheet1!$A:$AO,11,FALSE)</f>
        <v>45412</v>
      </c>
      <c r="L452" s="387"/>
      <c r="M452" s="393" t="str">
        <f>VLOOKUP(Complete[[#This Row],[Code
(PAP)]],[1]Sheet1!$A:$AO,13,FALSE)</f>
        <v>N/A</v>
      </c>
      <c r="N452" s="393" t="str">
        <f>VLOOKUP(Complete[[#This Row],[Code
(PAP)]],[1]Sheet1!$A:$AO,14,FALSE)</f>
        <v>N/A</v>
      </c>
      <c r="O452" s="393">
        <v>45415</v>
      </c>
      <c r="P452" s="387"/>
      <c r="Q452" s="387"/>
      <c r="R452" s="387"/>
      <c r="S452" s="576">
        <v>45421</v>
      </c>
      <c r="T452" s="576">
        <f>VLOOKUP(Complete[[#This Row],[Code
(PAP)]],[1]Sheet1!$A:$AO,20,FALSE)</f>
        <v>45432</v>
      </c>
      <c r="U452" s="576">
        <f>VLOOKUP(Complete[[#This Row],[Code
(PAP)]],[1]Sheet1!$A:$AO,21,FALSE)</f>
        <v>45435</v>
      </c>
      <c r="V452" s="387"/>
      <c r="W452" s="387"/>
      <c r="X452" s="392">
        <f>VLOOKUP(Complete[[#This Row],[Code
(PAP)]],[1]Sheet1!$A:$AO,24,FALSE)</f>
        <v>45448</v>
      </c>
      <c r="Y452" s="392">
        <f>Complete[[#This Row],[Delivery/ Completion]]</f>
        <v>45448</v>
      </c>
      <c r="Z452" s="610" t="s">
        <v>1478</v>
      </c>
      <c r="AA452" s="462">
        <f>Complete[[#This Row],[MOOE]]+Complete[[#This Row],[CO]]</f>
        <v>63191</v>
      </c>
      <c r="AB452" s="466"/>
      <c r="AC452" s="497">
        <v>63191</v>
      </c>
      <c r="AD452" s="498">
        <f>IF(Complete[[#This Row],[Procurement Project]]="","",SUM(Complete[[#This Row],[MOOE2]]+Complete[[#This Row],[CO3]]))</f>
        <v>63091</v>
      </c>
      <c r="AE452" s="501"/>
      <c r="AF452" s="541">
        <v>63091</v>
      </c>
      <c r="AG452" s="400"/>
      <c r="AH452" s="380" t="s">
        <v>1205</v>
      </c>
      <c r="AI452" s="576" t="str">
        <f>VLOOKUP(Complete[[#This Row],[Code
(PAP)]],[1]Sheet1!$A:$AO,35,FALSE)</f>
        <v>N/A</v>
      </c>
      <c r="AJ452" s="576" t="str">
        <f>VLOOKUP(Complete[[#This Row],[Code
(PAP)]],[1]Sheet1!$A:$AO,36,FALSE)</f>
        <v>N/A</v>
      </c>
      <c r="AK452" s="576" t="str">
        <f>VLOOKUP(Complete[[#This Row],[Code
(PAP)]],[1]Sheet1!$A:$AO,37,FALSE)</f>
        <v>N/A</v>
      </c>
      <c r="AL452" s="576" t="str">
        <f>VLOOKUP(Complete[[#This Row],[Code
(PAP)]],[1]Sheet1!$A:$AO,38,FALSE)</f>
        <v>N/A</v>
      </c>
      <c r="AM452" s="576" t="str">
        <f>VLOOKUP(Complete[[#This Row],[Code
(PAP)]],[1]Sheet1!$A:$AO,38,FALSE)</f>
        <v>N/A</v>
      </c>
      <c r="AN452" s="595" t="s">
        <v>713</v>
      </c>
      <c r="AO452" s="303" t="s">
        <v>139</v>
      </c>
      <c r="AP452" s="389"/>
      <c r="AQ452" s="389"/>
    </row>
    <row r="453" spans="1:43" s="224" customFormat="1" ht="75" customHeight="1" x14ac:dyDescent="0.25">
      <c r="A453" s="385" t="s">
        <v>631</v>
      </c>
      <c r="B453" s="406" t="str">
        <f>VLOOKUP(Complete[[#This Row],[Code
(PAP)]],[1]Sheet1!$A:$AO,2,FALSE)</f>
        <v>CONSTRUCTION SUPPLIES</v>
      </c>
      <c r="C453" s="408" t="str">
        <f>VLOOKUP(Complete[[#This Row],[Code
(PAP)]],[1]Sheet1!$A:$AO,3,FALSE)</f>
        <v>SEF</v>
      </c>
      <c r="D453" s="380" t="s">
        <v>712</v>
      </c>
      <c r="E453" s="409" t="str">
        <f>VLOOKUP(Complete[[#This Row],[Code
(PAP)]],[2]Sheet1!$A:$AO,5,FALSE)</f>
        <v>NP-53.9 - Small Value Procurement</v>
      </c>
      <c r="F453" s="393">
        <f>VLOOKUP(Complete[[#This Row],[Code
(PAP)]],[1]Sheet1!$A:$AO,6,FALSE)</f>
        <v>45384</v>
      </c>
      <c r="G453" s="393">
        <f>VLOOKUP(Complete[[#This Row],[Code
(PAP)]],[1]Sheet1!$A:$AO,7,FALSE)</f>
        <v>45390</v>
      </c>
      <c r="H453" s="374"/>
      <c r="I453" s="394" t="str">
        <f>VLOOKUP(Complete[[#This Row],[Code
(PAP)]],[1]Sheet1!$A:$AO,9,FALSE)</f>
        <v>N/A</v>
      </c>
      <c r="J453" s="393">
        <f>VLOOKUP(Complete[[#This Row],[Code
(PAP)]],[1]Sheet1!$A:$AO,10,FALSE)</f>
        <v>45412</v>
      </c>
      <c r="K453" s="393">
        <f>VLOOKUP(Complete[[#This Row],[Code
(PAP)]],[1]Sheet1!$A:$AO,11,FALSE)</f>
        <v>45412</v>
      </c>
      <c r="L453" s="387"/>
      <c r="M453" s="393" t="str">
        <f>VLOOKUP(Complete[[#This Row],[Code
(PAP)]],[1]Sheet1!$A:$AO,13,FALSE)</f>
        <v>N/A</v>
      </c>
      <c r="N453" s="393" t="str">
        <f>VLOOKUP(Complete[[#This Row],[Code
(PAP)]],[1]Sheet1!$A:$AO,14,FALSE)</f>
        <v>N/A</v>
      </c>
      <c r="O453" s="393">
        <v>45415</v>
      </c>
      <c r="P453" s="387"/>
      <c r="Q453" s="387"/>
      <c r="R453" s="387"/>
      <c r="S453" s="576">
        <v>45421</v>
      </c>
      <c r="T453" s="576">
        <f>VLOOKUP(Complete[[#This Row],[Code
(PAP)]],[1]Sheet1!$A:$AO,20,FALSE)</f>
        <v>45432</v>
      </c>
      <c r="U453" s="576">
        <f>VLOOKUP(Complete[[#This Row],[Code
(PAP)]],[1]Sheet1!$A:$AO,21,FALSE)</f>
        <v>45435</v>
      </c>
      <c r="V453" s="387"/>
      <c r="W453" s="387"/>
      <c r="X453" s="392">
        <f>VLOOKUP(Complete[[#This Row],[Code
(PAP)]],[1]Sheet1!$A:$AO,24,FALSE)</f>
        <v>45448</v>
      </c>
      <c r="Y453" s="392">
        <f>Complete[[#This Row],[Delivery/ Completion]]</f>
        <v>45448</v>
      </c>
      <c r="Z453" s="610" t="s">
        <v>1478</v>
      </c>
      <c r="AA453" s="462">
        <f>Complete[[#This Row],[MOOE]]+Complete[[#This Row],[CO]]</f>
        <v>116752.4</v>
      </c>
      <c r="AB453" s="466"/>
      <c r="AC453" s="497">
        <v>116752.4</v>
      </c>
      <c r="AD453" s="498">
        <f>IF(Complete[[#This Row],[Procurement Project]]="","",SUM(Complete[[#This Row],[MOOE2]]+Complete[[#This Row],[CO3]]))</f>
        <v>116652.4</v>
      </c>
      <c r="AE453" s="501"/>
      <c r="AF453" s="541">
        <v>116652.4</v>
      </c>
      <c r="AG453" s="400"/>
      <c r="AH453" s="380" t="s">
        <v>1205</v>
      </c>
      <c r="AI453" s="576" t="str">
        <f>VLOOKUP(Complete[[#This Row],[Code
(PAP)]],[1]Sheet1!$A:$AO,35,FALSE)</f>
        <v>N/A</v>
      </c>
      <c r="AJ453" s="576" t="str">
        <f>VLOOKUP(Complete[[#This Row],[Code
(PAP)]],[1]Sheet1!$A:$AO,36,FALSE)</f>
        <v>N/A</v>
      </c>
      <c r="AK453" s="576" t="str">
        <f>VLOOKUP(Complete[[#This Row],[Code
(PAP)]],[1]Sheet1!$A:$AO,37,FALSE)</f>
        <v>N/A</v>
      </c>
      <c r="AL453" s="576" t="str">
        <f>VLOOKUP(Complete[[#This Row],[Code
(PAP)]],[1]Sheet1!$A:$AO,38,FALSE)</f>
        <v>N/A</v>
      </c>
      <c r="AM453" s="576" t="str">
        <f>VLOOKUP(Complete[[#This Row],[Code
(PAP)]],[1]Sheet1!$A:$AO,38,FALSE)</f>
        <v>N/A</v>
      </c>
      <c r="AN453" s="595" t="s">
        <v>713</v>
      </c>
      <c r="AO453" s="303" t="s">
        <v>139</v>
      </c>
      <c r="AP453" s="389"/>
      <c r="AQ453" s="389"/>
    </row>
    <row r="454" spans="1:43" s="224" customFormat="1" ht="75" customHeight="1" x14ac:dyDescent="0.25">
      <c r="A454" s="385" t="s">
        <v>632</v>
      </c>
      <c r="B454" s="406" t="str">
        <f>VLOOKUP(Complete[[#This Row],[Code
(PAP)]],[1]Sheet1!$A:$AO,2,FALSE)</f>
        <v>AIRCONDITION</v>
      </c>
      <c r="C454" s="408" t="str">
        <f>VLOOKUP(Complete[[#This Row],[Code
(PAP)]],[1]Sheet1!$A:$AO,3,FALSE)</f>
        <v>PICTO</v>
      </c>
      <c r="D454" s="380" t="s">
        <v>712</v>
      </c>
      <c r="E454" s="409" t="str">
        <f>VLOOKUP(Complete[[#This Row],[Code
(PAP)]],[2]Sheet1!$A:$AO,5,FALSE)</f>
        <v>NP-53.9 - Small Value Procurement</v>
      </c>
      <c r="F454" s="393" t="str">
        <f>VLOOKUP(Complete[[#This Row],[Code
(PAP)]],[1]Sheet1!$A:$AO,6,FALSE)</f>
        <v>N/A</v>
      </c>
      <c r="G454" s="393">
        <f>VLOOKUP(Complete[[#This Row],[Code
(PAP)]],[1]Sheet1!$A:$AO,7,FALSE)</f>
        <v>45390</v>
      </c>
      <c r="H454" s="374"/>
      <c r="I454" s="394" t="str">
        <f>VLOOKUP(Complete[[#This Row],[Code
(PAP)]],[1]Sheet1!$A:$AO,9,FALSE)</f>
        <v>N/A</v>
      </c>
      <c r="J454" s="393">
        <f>VLOOKUP(Complete[[#This Row],[Code
(PAP)]],[1]Sheet1!$A:$AO,10,FALSE)</f>
        <v>45412</v>
      </c>
      <c r="K454" s="393">
        <f>VLOOKUP(Complete[[#This Row],[Code
(PAP)]],[1]Sheet1!$A:$AO,11,FALSE)</f>
        <v>45412</v>
      </c>
      <c r="L454" s="387"/>
      <c r="M454" s="393" t="str">
        <f>VLOOKUP(Complete[[#This Row],[Code
(PAP)]],[1]Sheet1!$A:$AO,13,FALSE)</f>
        <v>N/A</v>
      </c>
      <c r="N454" s="393" t="str">
        <f>VLOOKUP(Complete[[#This Row],[Code
(PAP)]],[1]Sheet1!$A:$AO,14,FALSE)</f>
        <v>N/A</v>
      </c>
      <c r="O454" s="393">
        <v>45415</v>
      </c>
      <c r="P454" s="387"/>
      <c r="Q454" s="387"/>
      <c r="R454" s="387"/>
      <c r="S454" s="576" t="s">
        <v>713</v>
      </c>
      <c r="T454" s="576">
        <f>VLOOKUP(Complete[[#This Row],[Code
(PAP)]],[1]Sheet1!$A:$AO,20,FALSE)</f>
        <v>45425</v>
      </c>
      <c r="U454" s="576">
        <f>VLOOKUP(Complete[[#This Row],[Code
(PAP)]],[1]Sheet1!$A:$AO,21,FALSE)</f>
        <v>45433</v>
      </c>
      <c r="V454" s="387"/>
      <c r="W454" s="387"/>
      <c r="X454" s="392">
        <f>VLOOKUP(Complete[[#This Row],[Code
(PAP)]],[1]Sheet1!$A:$AO,24,FALSE)</f>
        <v>45441</v>
      </c>
      <c r="Y454" s="392">
        <f>Complete[[#This Row],[Delivery/ Completion]]</f>
        <v>45441</v>
      </c>
      <c r="Z454" s="610" t="s">
        <v>1478</v>
      </c>
      <c r="AA454" s="462">
        <f>Complete[[#This Row],[MOOE]]+Complete[[#This Row],[CO]]</f>
        <v>30000</v>
      </c>
      <c r="AB454" s="466"/>
      <c r="AC454" s="497">
        <v>30000</v>
      </c>
      <c r="AD454" s="498">
        <f>IF(Complete[[#This Row],[Procurement Project]]="","",SUM(Complete[[#This Row],[MOOE2]]+Complete[[#This Row],[CO3]]))</f>
        <v>28395</v>
      </c>
      <c r="AE454" s="501"/>
      <c r="AF454" s="541">
        <v>28395</v>
      </c>
      <c r="AG454" s="400"/>
      <c r="AH454" s="380" t="s">
        <v>1205</v>
      </c>
      <c r="AI454" s="576" t="str">
        <f>VLOOKUP(Complete[[#This Row],[Code
(PAP)]],[1]Sheet1!$A:$AO,35,FALSE)</f>
        <v>N/A</v>
      </c>
      <c r="AJ454" s="576" t="str">
        <f>VLOOKUP(Complete[[#This Row],[Code
(PAP)]],[1]Sheet1!$A:$AO,36,FALSE)</f>
        <v>N/A</v>
      </c>
      <c r="AK454" s="576" t="str">
        <f>VLOOKUP(Complete[[#This Row],[Code
(PAP)]],[1]Sheet1!$A:$AO,37,FALSE)</f>
        <v>N/A</v>
      </c>
      <c r="AL454" s="576" t="str">
        <f>VLOOKUP(Complete[[#This Row],[Code
(PAP)]],[1]Sheet1!$A:$AO,38,FALSE)</f>
        <v>N/A</v>
      </c>
      <c r="AM454" s="576" t="str">
        <f>VLOOKUP(Complete[[#This Row],[Code
(PAP)]],[1]Sheet1!$A:$AO,38,FALSE)</f>
        <v>N/A</v>
      </c>
      <c r="AN454" s="595" t="s">
        <v>713</v>
      </c>
      <c r="AO454" s="303" t="s">
        <v>139</v>
      </c>
      <c r="AP454" s="389"/>
      <c r="AQ454" s="389"/>
    </row>
    <row r="455" spans="1:43" s="224" customFormat="1" ht="75" customHeight="1" x14ac:dyDescent="0.25">
      <c r="A455" s="385" t="s">
        <v>633</v>
      </c>
      <c r="B455" s="406" t="str">
        <f>VLOOKUP(Complete[[#This Row],[Code
(PAP)]],[1]Sheet1!$A:$AO,2,FALSE)</f>
        <v>SPAREPARTS (LIGHT VEHICLES)</v>
      </c>
      <c r="C455" s="408" t="str">
        <f>VLOOKUP(Complete[[#This Row],[Code
(PAP)]],[1]Sheet1!$A:$AO,3,FALSE)</f>
        <v>PGSO</v>
      </c>
      <c r="D455" s="380" t="s">
        <v>712</v>
      </c>
      <c r="E455" s="409" t="str">
        <f>VLOOKUP(Complete[[#This Row],[Code
(PAP)]],[2]Sheet1!$A:$AO,5,FALSE)</f>
        <v>NP-53.9 - Small Value Procurement</v>
      </c>
      <c r="F455" s="393">
        <f>VLOOKUP(Complete[[#This Row],[Code
(PAP)]],[1]Sheet1!$A:$AO,6,FALSE)</f>
        <v>45384</v>
      </c>
      <c r="G455" s="393">
        <f>VLOOKUP(Complete[[#This Row],[Code
(PAP)]],[1]Sheet1!$A:$AO,7,FALSE)</f>
        <v>45390</v>
      </c>
      <c r="H455" s="374"/>
      <c r="I455" s="394" t="str">
        <f>VLOOKUP(Complete[[#This Row],[Code
(PAP)]],[1]Sheet1!$A:$AO,9,FALSE)</f>
        <v>N/A</v>
      </c>
      <c r="J455" s="393">
        <f>VLOOKUP(Complete[[#This Row],[Code
(PAP)]],[1]Sheet1!$A:$AO,10,FALSE)</f>
        <v>45412</v>
      </c>
      <c r="K455" s="393">
        <f>VLOOKUP(Complete[[#This Row],[Code
(PAP)]],[1]Sheet1!$A:$AO,11,FALSE)</f>
        <v>45412</v>
      </c>
      <c r="L455" s="387"/>
      <c r="M455" s="393" t="str">
        <f>VLOOKUP(Complete[[#This Row],[Code
(PAP)]],[1]Sheet1!$A:$AO,13,FALSE)</f>
        <v>N/A</v>
      </c>
      <c r="N455" s="393" t="str">
        <f>VLOOKUP(Complete[[#This Row],[Code
(PAP)]],[1]Sheet1!$A:$AO,14,FALSE)</f>
        <v>N/A</v>
      </c>
      <c r="O455" s="393">
        <v>45415</v>
      </c>
      <c r="P455" s="387"/>
      <c r="Q455" s="387"/>
      <c r="R455" s="387"/>
      <c r="S455" s="576" t="s">
        <v>713</v>
      </c>
      <c r="T455" s="576">
        <f>VLOOKUP(Complete[[#This Row],[Code
(PAP)]],[1]Sheet1!$A:$AO,20,FALSE)</f>
        <v>45427</v>
      </c>
      <c r="U455" s="576">
        <f>VLOOKUP(Complete[[#This Row],[Code
(PAP)]],[1]Sheet1!$A:$AO,21,FALSE)</f>
        <v>45448</v>
      </c>
      <c r="V455" s="387"/>
      <c r="W455" s="387"/>
      <c r="X455" s="392">
        <f>VLOOKUP(Complete[[#This Row],[Code
(PAP)]],[1]Sheet1!$A:$AO,24,FALSE)</f>
        <v>45453</v>
      </c>
      <c r="Y455" s="392">
        <f>Complete[[#This Row],[Delivery/ Completion]]</f>
        <v>45453</v>
      </c>
      <c r="Z455" s="610" t="s">
        <v>1478</v>
      </c>
      <c r="AA455" s="462">
        <f>Complete[[#This Row],[MOOE]]+Complete[[#This Row],[CO]]</f>
        <v>14000</v>
      </c>
      <c r="AB455" s="466">
        <v>14000</v>
      </c>
      <c r="AC455" s="497"/>
      <c r="AD455" s="498">
        <f>IF(Complete[[#This Row],[Procurement Project]]="","",SUM(Complete[[#This Row],[MOOE2]]+Complete[[#This Row],[CO3]]))</f>
        <v>14000</v>
      </c>
      <c r="AE455" s="501">
        <v>14000</v>
      </c>
      <c r="AF455" s="541"/>
      <c r="AG455" s="400"/>
      <c r="AH455" s="380" t="s">
        <v>1205</v>
      </c>
      <c r="AI455" s="576" t="str">
        <f>VLOOKUP(Complete[[#This Row],[Code
(PAP)]],[1]Sheet1!$A:$AO,35,FALSE)</f>
        <v>N/A</v>
      </c>
      <c r="AJ455" s="576" t="str">
        <f>VLOOKUP(Complete[[#This Row],[Code
(PAP)]],[1]Sheet1!$A:$AO,36,FALSE)</f>
        <v>N/A</v>
      </c>
      <c r="AK455" s="576" t="str">
        <f>VLOOKUP(Complete[[#This Row],[Code
(PAP)]],[1]Sheet1!$A:$AO,37,FALSE)</f>
        <v>N/A</v>
      </c>
      <c r="AL455" s="576" t="str">
        <f>VLOOKUP(Complete[[#This Row],[Code
(PAP)]],[1]Sheet1!$A:$AO,38,FALSE)</f>
        <v>N/A</v>
      </c>
      <c r="AM455" s="576" t="str">
        <f>VLOOKUP(Complete[[#This Row],[Code
(PAP)]],[1]Sheet1!$A:$AO,38,FALSE)</f>
        <v>N/A</v>
      </c>
      <c r="AN455" s="595" t="s">
        <v>713</v>
      </c>
      <c r="AO455" s="303" t="s">
        <v>139</v>
      </c>
      <c r="AP455" s="389"/>
      <c r="AQ455" s="389"/>
    </row>
    <row r="456" spans="1:43" s="224" customFormat="1" ht="75" customHeight="1" x14ac:dyDescent="0.25">
      <c r="A456" s="385" t="s">
        <v>634</v>
      </c>
      <c r="B456" s="406" t="str">
        <f>VLOOKUP(Complete[[#This Row],[Code
(PAP)]],[1]Sheet1!$A:$AO,2,FALSE)</f>
        <v>ABSORBENT GAUZE SPONGE, OXYGEN MASK, RESUSCITATOR, SURGICAL MASK</v>
      </c>
      <c r="C456" s="408" t="str">
        <f>VLOOKUP(Complete[[#This Row],[Code
(PAP)]],[1]Sheet1!$A:$AO,3,FALSE)</f>
        <v>PDRRMO</v>
      </c>
      <c r="D456" s="380" t="s">
        <v>712</v>
      </c>
      <c r="E456" s="409" t="str">
        <f>VLOOKUP(Complete[[#This Row],[Code
(PAP)]],[2]Sheet1!$A:$AO,5,FALSE)</f>
        <v>NP-53.9 - Small Value Procurement</v>
      </c>
      <c r="F456" s="393" t="str">
        <f>VLOOKUP(Complete[[#This Row],[Code
(PAP)]],[1]Sheet1!$A:$AO,6,FALSE)</f>
        <v>N/A</v>
      </c>
      <c r="G456" s="393">
        <f>VLOOKUP(Complete[[#This Row],[Code
(PAP)]],[1]Sheet1!$A:$AO,7,FALSE)</f>
        <v>45390</v>
      </c>
      <c r="H456" s="374"/>
      <c r="I456" s="394" t="str">
        <f>VLOOKUP(Complete[[#This Row],[Code
(PAP)]],[1]Sheet1!$A:$AO,9,FALSE)</f>
        <v>N/A</v>
      </c>
      <c r="J456" s="393">
        <f>VLOOKUP(Complete[[#This Row],[Code
(PAP)]],[1]Sheet1!$A:$AO,10,FALSE)</f>
        <v>45412</v>
      </c>
      <c r="K456" s="393">
        <f>VLOOKUP(Complete[[#This Row],[Code
(PAP)]],[1]Sheet1!$A:$AO,11,FALSE)</f>
        <v>45412</v>
      </c>
      <c r="L456" s="387"/>
      <c r="M456" s="393" t="str">
        <f>VLOOKUP(Complete[[#This Row],[Code
(PAP)]],[1]Sheet1!$A:$AO,13,FALSE)</f>
        <v>N/A</v>
      </c>
      <c r="N456" s="393" t="str">
        <f>VLOOKUP(Complete[[#This Row],[Code
(PAP)]],[1]Sheet1!$A:$AO,14,FALSE)</f>
        <v>N/A</v>
      </c>
      <c r="O456" s="393">
        <v>45415</v>
      </c>
      <c r="P456" s="387"/>
      <c r="Q456" s="387"/>
      <c r="R456" s="387"/>
      <c r="S456" s="576" t="s">
        <v>713</v>
      </c>
      <c r="T456" s="576">
        <f>VLOOKUP(Complete[[#This Row],[Code
(PAP)]],[1]Sheet1!$A:$AO,20,FALSE)</f>
        <v>45425</v>
      </c>
      <c r="U456" s="576">
        <f>VLOOKUP(Complete[[#This Row],[Code
(PAP)]],[1]Sheet1!$A:$AO,21,FALSE)</f>
        <v>45436</v>
      </c>
      <c r="V456" s="387"/>
      <c r="W456" s="387"/>
      <c r="X456" s="392">
        <f>VLOOKUP(Complete[[#This Row],[Code
(PAP)]],[1]Sheet1!$A:$AO,24,FALSE)</f>
        <v>45464</v>
      </c>
      <c r="Y456" s="392">
        <f>Complete[[#This Row],[Delivery/ Completion]]</f>
        <v>45464</v>
      </c>
      <c r="Z456" s="610" t="s">
        <v>1478</v>
      </c>
      <c r="AA456" s="462">
        <f>Complete[[#This Row],[MOOE]]+Complete[[#This Row],[CO]]</f>
        <v>32420</v>
      </c>
      <c r="AB456" s="466"/>
      <c r="AC456" s="497">
        <v>32420</v>
      </c>
      <c r="AD456" s="498">
        <f>IF(Complete[[#This Row],[Procurement Project]]="","",SUM(Complete[[#This Row],[MOOE2]]+Complete[[#This Row],[CO3]]))</f>
        <v>32338</v>
      </c>
      <c r="AE456" s="501"/>
      <c r="AF456" s="541">
        <v>32338</v>
      </c>
      <c r="AG456" s="400"/>
      <c r="AH456" s="380" t="s">
        <v>1205</v>
      </c>
      <c r="AI456" s="576" t="str">
        <f>VLOOKUP(Complete[[#This Row],[Code
(PAP)]],[1]Sheet1!$A:$AO,35,FALSE)</f>
        <v>N/A</v>
      </c>
      <c r="AJ456" s="576" t="str">
        <f>VLOOKUP(Complete[[#This Row],[Code
(PAP)]],[1]Sheet1!$A:$AO,36,FALSE)</f>
        <v>N/A</v>
      </c>
      <c r="AK456" s="576" t="str">
        <f>VLOOKUP(Complete[[#This Row],[Code
(PAP)]],[1]Sheet1!$A:$AO,37,FALSE)</f>
        <v>N/A</v>
      </c>
      <c r="AL456" s="576" t="str">
        <f>VLOOKUP(Complete[[#This Row],[Code
(PAP)]],[1]Sheet1!$A:$AO,38,FALSE)</f>
        <v>N/A</v>
      </c>
      <c r="AM456" s="576" t="str">
        <f>VLOOKUP(Complete[[#This Row],[Code
(PAP)]],[1]Sheet1!$A:$AO,38,FALSE)</f>
        <v>N/A</v>
      </c>
      <c r="AN456" s="595" t="s">
        <v>713</v>
      </c>
      <c r="AO456" s="303" t="s">
        <v>139</v>
      </c>
      <c r="AP456" s="389"/>
      <c r="AQ456" s="389"/>
    </row>
    <row r="457" spans="1:43" s="224" customFormat="1" ht="75" customHeight="1" x14ac:dyDescent="0.25">
      <c r="A457" s="385" t="s">
        <v>635</v>
      </c>
      <c r="B457" s="406" t="str">
        <f>VLOOKUP(Complete[[#This Row],[Code
(PAP)]],[1]Sheet1!$A:$AO,2,FALSE)</f>
        <v>SPAREPARTS (LIGHT VEHICLES)</v>
      </c>
      <c r="C457" s="408" t="str">
        <f>VLOOKUP(Complete[[#This Row],[Code
(PAP)]],[1]Sheet1!$A:$AO,3,FALSE)</f>
        <v>PGSO</v>
      </c>
      <c r="D457" s="380" t="s">
        <v>712</v>
      </c>
      <c r="E457" s="409" t="str">
        <f>VLOOKUP(Complete[[#This Row],[Code
(PAP)]],[2]Sheet1!$A:$AO,5,FALSE)</f>
        <v>NP-53.9 - Small Value Procurement</v>
      </c>
      <c r="F457" s="393">
        <f>VLOOKUP(Complete[[#This Row],[Code
(PAP)]],[1]Sheet1!$A:$AO,6,FALSE)</f>
        <v>45384</v>
      </c>
      <c r="G457" s="393">
        <f>VLOOKUP(Complete[[#This Row],[Code
(PAP)]],[1]Sheet1!$A:$AO,7,FALSE)</f>
        <v>45390</v>
      </c>
      <c r="H457" s="374"/>
      <c r="I457" s="394" t="str">
        <f>VLOOKUP(Complete[[#This Row],[Code
(PAP)]],[1]Sheet1!$A:$AO,9,FALSE)</f>
        <v>N/A</v>
      </c>
      <c r="J457" s="393">
        <f>VLOOKUP(Complete[[#This Row],[Code
(PAP)]],[1]Sheet1!$A:$AO,10,FALSE)</f>
        <v>45412</v>
      </c>
      <c r="K457" s="393">
        <f>VLOOKUP(Complete[[#This Row],[Code
(PAP)]],[1]Sheet1!$A:$AO,11,FALSE)</f>
        <v>45412</v>
      </c>
      <c r="L457" s="387"/>
      <c r="M457" s="393" t="str">
        <f>VLOOKUP(Complete[[#This Row],[Code
(PAP)]],[1]Sheet1!$A:$AO,13,FALSE)</f>
        <v>N/A</v>
      </c>
      <c r="N457" s="393" t="str">
        <f>VLOOKUP(Complete[[#This Row],[Code
(PAP)]],[1]Sheet1!$A:$AO,14,FALSE)</f>
        <v>N/A</v>
      </c>
      <c r="O457" s="393">
        <v>45415</v>
      </c>
      <c r="P457" s="387"/>
      <c r="Q457" s="387"/>
      <c r="R457" s="387"/>
      <c r="S457" s="576" t="s">
        <v>713</v>
      </c>
      <c r="T457" s="576">
        <f>VLOOKUP(Complete[[#This Row],[Code
(PAP)]],[1]Sheet1!$A:$AO,20,FALSE)</f>
        <v>45426</v>
      </c>
      <c r="U457" s="576">
        <f>VLOOKUP(Complete[[#This Row],[Code
(PAP)]],[1]Sheet1!$A:$AO,21,FALSE)</f>
        <v>45448</v>
      </c>
      <c r="V457" s="387"/>
      <c r="W457" s="387"/>
      <c r="X457" s="392">
        <f>VLOOKUP(Complete[[#This Row],[Code
(PAP)]],[1]Sheet1!$A:$AO,24,FALSE)</f>
        <v>45453</v>
      </c>
      <c r="Y457" s="392">
        <f>Complete[[#This Row],[Delivery/ Completion]]</f>
        <v>45453</v>
      </c>
      <c r="Z457" s="610" t="s">
        <v>1478</v>
      </c>
      <c r="AA457" s="462">
        <f>Complete[[#This Row],[MOOE]]+Complete[[#This Row],[CO]]</f>
        <v>3500</v>
      </c>
      <c r="AB457" s="466">
        <v>3500</v>
      </c>
      <c r="AC457" s="497"/>
      <c r="AD457" s="498">
        <f>IF(Complete[[#This Row],[Procurement Project]]="","",SUM(Complete[[#This Row],[MOOE2]]+Complete[[#This Row],[CO3]]))</f>
        <v>3500</v>
      </c>
      <c r="AE457" s="501">
        <v>3500</v>
      </c>
      <c r="AF457" s="541"/>
      <c r="AG457" s="400"/>
      <c r="AH457" s="380" t="s">
        <v>1205</v>
      </c>
      <c r="AI457" s="576" t="str">
        <f>VLOOKUP(Complete[[#This Row],[Code
(PAP)]],[1]Sheet1!$A:$AO,35,FALSE)</f>
        <v>N/A</v>
      </c>
      <c r="AJ457" s="576" t="str">
        <f>VLOOKUP(Complete[[#This Row],[Code
(PAP)]],[1]Sheet1!$A:$AO,36,FALSE)</f>
        <v>N/A</v>
      </c>
      <c r="AK457" s="576" t="str">
        <f>VLOOKUP(Complete[[#This Row],[Code
(PAP)]],[1]Sheet1!$A:$AO,37,FALSE)</f>
        <v>N/A</v>
      </c>
      <c r="AL457" s="576" t="str">
        <f>VLOOKUP(Complete[[#This Row],[Code
(PAP)]],[1]Sheet1!$A:$AO,38,FALSE)</f>
        <v>N/A</v>
      </c>
      <c r="AM457" s="576" t="str">
        <f>VLOOKUP(Complete[[#This Row],[Code
(PAP)]],[1]Sheet1!$A:$AO,38,FALSE)</f>
        <v>N/A</v>
      </c>
      <c r="AN457" s="595" t="s">
        <v>713</v>
      </c>
      <c r="AO457" s="303" t="s">
        <v>139</v>
      </c>
      <c r="AP457" s="389"/>
      <c r="AQ457" s="389"/>
    </row>
    <row r="458" spans="1:43" s="224" customFormat="1" ht="75" customHeight="1" x14ac:dyDescent="0.25">
      <c r="A458" s="385" t="s">
        <v>636</v>
      </c>
      <c r="B458" s="406" t="str">
        <f>VLOOKUP(Complete[[#This Row],[Code
(PAP)]],[1]Sheet1!$A:$AO,2,FALSE)</f>
        <v>COMPUTER SUPPLIES</v>
      </c>
      <c r="C458" s="408" t="str">
        <f>VLOOKUP(Complete[[#This Row],[Code
(PAP)]],[1]Sheet1!$A:$AO,3,FALSE)</f>
        <v>PHO</v>
      </c>
      <c r="D458" s="380" t="s">
        <v>712</v>
      </c>
      <c r="E458" s="409" t="str">
        <f>VLOOKUP(Complete[[#This Row],[Code
(PAP)]],[2]Sheet1!$A:$AO,5,FALSE)</f>
        <v>NP-53.9 - Small Value Procurement</v>
      </c>
      <c r="F458" s="393" t="str">
        <f>VLOOKUP(Complete[[#This Row],[Code
(PAP)]],[1]Sheet1!$A:$AO,6,FALSE)</f>
        <v>N/A</v>
      </c>
      <c r="G458" s="393">
        <f>VLOOKUP(Complete[[#This Row],[Code
(PAP)]],[1]Sheet1!$A:$AO,7,FALSE)</f>
        <v>45390</v>
      </c>
      <c r="H458" s="374"/>
      <c r="I458" s="394" t="str">
        <f>VLOOKUP(Complete[[#This Row],[Code
(PAP)]],[1]Sheet1!$A:$AO,9,FALSE)</f>
        <v>N/A</v>
      </c>
      <c r="J458" s="393">
        <f>VLOOKUP(Complete[[#This Row],[Code
(PAP)]],[1]Sheet1!$A:$AO,10,FALSE)</f>
        <v>45412</v>
      </c>
      <c r="K458" s="393">
        <f>VLOOKUP(Complete[[#This Row],[Code
(PAP)]],[1]Sheet1!$A:$AO,11,FALSE)</f>
        <v>45412</v>
      </c>
      <c r="L458" s="387"/>
      <c r="M458" s="393" t="str">
        <f>VLOOKUP(Complete[[#This Row],[Code
(PAP)]],[1]Sheet1!$A:$AO,13,FALSE)</f>
        <v>N/A</v>
      </c>
      <c r="N458" s="393" t="str">
        <f>VLOOKUP(Complete[[#This Row],[Code
(PAP)]],[1]Sheet1!$A:$AO,14,FALSE)</f>
        <v>N/A</v>
      </c>
      <c r="O458" s="393">
        <v>45415</v>
      </c>
      <c r="P458" s="387"/>
      <c r="Q458" s="387"/>
      <c r="R458" s="387"/>
      <c r="S458" s="576" t="s">
        <v>713</v>
      </c>
      <c r="T458" s="576">
        <f>VLOOKUP(Complete[[#This Row],[Code
(PAP)]],[1]Sheet1!$A:$AO,20,FALSE)</f>
        <v>45425</v>
      </c>
      <c r="U458" s="576">
        <f>VLOOKUP(Complete[[#This Row],[Code
(PAP)]],[1]Sheet1!$A:$AO,21,FALSE)</f>
        <v>45434</v>
      </c>
      <c r="V458" s="387"/>
      <c r="W458" s="387"/>
      <c r="X458" s="392">
        <f>VLOOKUP(Complete[[#This Row],[Code
(PAP)]],[1]Sheet1!$A:$AO,24,FALSE)</f>
        <v>45443</v>
      </c>
      <c r="Y458" s="392">
        <f>Complete[[#This Row],[Delivery/ Completion]]</f>
        <v>45443</v>
      </c>
      <c r="Z458" s="610" t="s">
        <v>1478</v>
      </c>
      <c r="AA458" s="462">
        <f>Complete[[#This Row],[MOOE]]+Complete[[#This Row],[CO]]</f>
        <v>18424</v>
      </c>
      <c r="AB458" s="466"/>
      <c r="AC458" s="497">
        <v>18424</v>
      </c>
      <c r="AD458" s="498">
        <f>IF(Complete[[#This Row],[Procurement Project]]="","",SUM(Complete[[#This Row],[MOOE2]]+Complete[[#This Row],[CO3]]))</f>
        <v>17970</v>
      </c>
      <c r="AE458" s="501"/>
      <c r="AF458" s="541">
        <v>17970</v>
      </c>
      <c r="AG458" s="400"/>
      <c r="AH458" s="380" t="s">
        <v>1205</v>
      </c>
      <c r="AI458" s="576" t="str">
        <f>VLOOKUP(Complete[[#This Row],[Code
(PAP)]],[1]Sheet1!$A:$AO,35,FALSE)</f>
        <v>N/A</v>
      </c>
      <c r="AJ458" s="576" t="str">
        <f>VLOOKUP(Complete[[#This Row],[Code
(PAP)]],[1]Sheet1!$A:$AO,36,FALSE)</f>
        <v>N/A</v>
      </c>
      <c r="AK458" s="576" t="str">
        <f>VLOOKUP(Complete[[#This Row],[Code
(PAP)]],[1]Sheet1!$A:$AO,37,FALSE)</f>
        <v>N/A</v>
      </c>
      <c r="AL458" s="576" t="str">
        <f>VLOOKUP(Complete[[#This Row],[Code
(PAP)]],[1]Sheet1!$A:$AO,38,FALSE)</f>
        <v>N/A</v>
      </c>
      <c r="AM458" s="576" t="str">
        <f>VLOOKUP(Complete[[#This Row],[Code
(PAP)]],[1]Sheet1!$A:$AO,38,FALSE)</f>
        <v>N/A</v>
      </c>
      <c r="AN458" s="595" t="s">
        <v>713</v>
      </c>
      <c r="AO458" s="303" t="s">
        <v>139</v>
      </c>
      <c r="AP458" s="389"/>
      <c r="AQ458" s="389"/>
    </row>
    <row r="459" spans="1:43" s="224" customFormat="1" ht="75" customHeight="1" x14ac:dyDescent="0.25">
      <c r="A459" s="385" t="s">
        <v>637</v>
      </c>
      <c r="B459" s="406" t="str">
        <f>VLOOKUP(Complete[[#This Row],[Code
(PAP)]],[1]Sheet1!$A:$AO,2,FALSE)</f>
        <v>SPAREPARTS (MOTORCYCLE)</v>
      </c>
      <c r="C459" s="408" t="str">
        <f>VLOOKUP(Complete[[#This Row],[Code
(PAP)]],[1]Sheet1!$A:$AO,3,FALSE)</f>
        <v>PGSO</v>
      </c>
      <c r="D459" s="380" t="s">
        <v>712</v>
      </c>
      <c r="E459" s="409" t="str">
        <f>VLOOKUP(Complete[[#This Row],[Code
(PAP)]],[2]Sheet1!$A:$AO,5,FALSE)</f>
        <v>NP-53.9 - Small Value Procurement</v>
      </c>
      <c r="F459" s="393">
        <f>VLOOKUP(Complete[[#This Row],[Code
(PAP)]],[1]Sheet1!$A:$AO,6,FALSE)</f>
        <v>45384</v>
      </c>
      <c r="G459" s="393">
        <f>VLOOKUP(Complete[[#This Row],[Code
(PAP)]],[1]Sheet1!$A:$AO,7,FALSE)</f>
        <v>45390</v>
      </c>
      <c r="H459" s="374"/>
      <c r="I459" s="394" t="str">
        <f>VLOOKUP(Complete[[#This Row],[Code
(PAP)]],[1]Sheet1!$A:$AO,9,FALSE)</f>
        <v>N/A</v>
      </c>
      <c r="J459" s="393">
        <f>VLOOKUP(Complete[[#This Row],[Code
(PAP)]],[1]Sheet1!$A:$AO,10,FALSE)</f>
        <v>45412</v>
      </c>
      <c r="K459" s="393">
        <f>VLOOKUP(Complete[[#This Row],[Code
(PAP)]],[1]Sheet1!$A:$AO,11,FALSE)</f>
        <v>45412</v>
      </c>
      <c r="L459" s="387"/>
      <c r="M459" s="393" t="str">
        <f>VLOOKUP(Complete[[#This Row],[Code
(PAP)]],[1]Sheet1!$A:$AO,13,FALSE)</f>
        <v>N/A</v>
      </c>
      <c r="N459" s="393" t="str">
        <f>VLOOKUP(Complete[[#This Row],[Code
(PAP)]],[1]Sheet1!$A:$AO,14,FALSE)</f>
        <v>N/A</v>
      </c>
      <c r="O459" s="393">
        <v>45415</v>
      </c>
      <c r="P459" s="387"/>
      <c r="Q459" s="387"/>
      <c r="R459" s="387"/>
      <c r="S459" s="576" t="s">
        <v>713</v>
      </c>
      <c r="T459" s="576">
        <f>VLOOKUP(Complete[[#This Row],[Code
(PAP)]],[1]Sheet1!$A:$AO,20,FALSE)</f>
        <v>45427</v>
      </c>
      <c r="U459" s="576">
        <f>VLOOKUP(Complete[[#This Row],[Code
(PAP)]],[1]Sheet1!$A:$AO,21,FALSE)</f>
        <v>45448</v>
      </c>
      <c r="V459" s="387"/>
      <c r="W459" s="387"/>
      <c r="X459" s="392">
        <f>VLOOKUP(Complete[[#This Row],[Code
(PAP)]],[1]Sheet1!$A:$AO,24,FALSE)</f>
        <v>45453</v>
      </c>
      <c r="Y459" s="392">
        <f>Complete[[#This Row],[Delivery/ Completion]]</f>
        <v>45453</v>
      </c>
      <c r="Z459" s="610" t="s">
        <v>1478</v>
      </c>
      <c r="AA459" s="462">
        <f>Complete[[#This Row],[MOOE]]+Complete[[#This Row],[CO]]</f>
        <v>6850</v>
      </c>
      <c r="AB459" s="466">
        <v>6850</v>
      </c>
      <c r="AC459" s="497"/>
      <c r="AD459" s="498">
        <f>IF(Complete[[#This Row],[Procurement Project]]="","",SUM(Complete[[#This Row],[MOOE2]]+Complete[[#This Row],[CO3]]))</f>
        <v>6850</v>
      </c>
      <c r="AE459" s="501">
        <v>6850</v>
      </c>
      <c r="AF459" s="541"/>
      <c r="AG459" s="400"/>
      <c r="AH459" s="380" t="s">
        <v>1205</v>
      </c>
      <c r="AI459" s="576" t="str">
        <f>VLOOKUP(Complete[[#This Row],[Code
(PAP)]],[1]Sheet1!$A:$AO,35,FALSE)</f>
        <v>N/A</v>
      </c>
      <c r="AJ459" s="576" t="str">
        <f>VLOOKUP(Complete[[#This Row],[Code
(PAP)]],[1]Sheet1!$A:$AO,36,FALSE)</f>
        <v>N/A</v>
      </c>
      <c r="AK459" s="576" t="str">
        <f>VLOOKUP(Complete[[#This Row],[Code
(PAP)]],[1]Sheet1!$A:$AO,37,FALSE)</f>
        <v>N/A</v>
      </c>
      <c r="AL459" s="576" t="str">
        <f>VLOOKUP(Complete[[#This Row],[Code
(PAP)]],[1]Sheet1!$A:$AO,38,FALSE)</f>
        <v>N/A</v>
      </c>
      <c r="AM459" s="576" t="str">
        <f>VLOOKUP(Complete[[#This Row],[Code
(PAP)]],[1]Sheet1!$A:$AO,38,FALSE)</f>
        <v>N/A</v>
      </c>
      <c r="AN459" s="595" t="s">
        <v>713</v>
      </c>
      <c r="AO459" s="303" t="s">
        <v>139</v>
      </c>
      <c r="AP459" s="389"/>
      <c r="AQ459" s="389"/>
    </row>
    <row r="460" spans="1:43" s="224" customFormat="1" ht="75" customHeight="1" x14ac:dyDescent="0.25">
      <c r="A460" s="385" t="s">
        <v>638</v>
      </c>
      <c r="B460" s="406" t="str">
        <f>VLOOKUP(Complete[[#This Row],[Code
(PAP)]],[1]Sheet1!$A:$AO,2,FALSE)</f>
        <v>MEDICAL SUPPLIES</v>
      </c>
      <c r="C460" s="408" t="str">
        <f>VLOOKUP(Complete[[#This Row],[Code
(PAP)]],[1]Sheet1!$A:$AO,3,FALSE)</f>
        <v>PGO</v>
      </c>
      <c r="D460" s="380" t="s">
        <v>712</v>
      </c>
      <c r="E460" s="409" t="str">
        <f>VLOOKUP(Complete[[#This Row],[Code
(PAP)]],[2]Sheet1!$A:$AO,5,FALSE)</f>
        <v>NP-53.9 - Small Value Procurement</v>
      </c>
      <c r="F460" s="393">
        <f>VLOOKUP(Complete[[#This Row],[Code
(PAP)]],[1]Sheet1!$A:$AO,6,FALSE)</f>
        <v>45390</v>
      </c>
      <c r="G460" s="393">
        <f>VLOOKUP(Complete[[#This Row],[Code
(PAP)]],[1]Sheet1!$A:$AO,7,FALSE)</f>
        <v>45397</v>
      </c>
      <c r="H460" s="374"/>
      <c r="I460" s="394" t="str">
        <f>VLOOKUP(Complete[[#This Row],[Code
(PAP)]],[1]Sheet1!$A:$AO,9,FALSE)</f>
        <v>N/A</v>
      </c>
      <c r="J460" s="393">
        <f>VLOOKUP(Complete[[#This Row],[Code
(PAP)]],[1]Sheet1!$A:$AO,10,FALSE)</f>
        <v>45412</v>
      </c>
      <c r="K460" s="393">
        <f>VLOOKUP(Complete[[#This Row],[Code
(PAP)]],[1]Sheet1!$A:$AO,11,FALSE)</f>
        <v>45412</v>
      </c>
      <c r="L460" s="387"/>
      <c r="M460" s="393" t="str">
        <f>VLOOKUP(Complete[[#This Row],[Code
(PAP)]],[1]Sheet1!$A:$AO,13,FALSE)</f>
        <v>N/A</v>
      </c>
      <c r="N460" s="393" t="str">
        <f>VLOOKUP(Complete[[#This Row],[Code
(PAP)]],[1]Sheet1!$A:$AO,14,FALSE)</f>
        <v>N/A</v>
      </c>
      <c r="O460" s="393">
        <v>45415</v>
      </c>
      <c r="P460" s="387"/>
      <c r="Q460" s="387"/>
      <c r="R460" s="387"/>
      <c r="S460" s="576">
        <v>45420</v>
      </c>
      <c r="T460" s="576">
        <f>VLOOKUP(Complete[[#This Row],[Code
(PAP)]],[1]Sheet1!$A:$AO,20,FALSE)</f>
        <v>45425</v>
      </c>
      <c r="U460" s="576">
        <f>VLOOKUP(Complete[[#This Row],[Code
(PAP)]],[1]Sheet1!$A:$AO,21,FALSE)</f>
        <v>45434</v>
      </c>
      <c r="V460" s="387"/>
      <c r="W460" s="387"/>
      <c r="X460" s="392">
        <f>VLOOKUP(Complete[[#This Row],[Code
(PAP)]],[1]Sheet1!$A:$AO,24,FALSE)</f>
        <v>45441</v>
      </c>
      <c r="Y460" s="392">
        <f>Complete[[#This Row],[Delivery/ Completion]]</f>
        <v>45441</v>
      </c>
      <c r="Z460" s="610" t="s">
        <v>1478</v>
      </c>
      <c r="AA460" s="462">
        <f>Complete[[#This Row],[MOOE]]+Complete[[#This Row],[CO]]</f>
        <v>115000</v>
      </c>
      <c r="AB460" s="466"/>
      <c r="AC460" s="497">
        <v>115000</v>
      </c>
      <c r="AD460" s="498">
        <f>IF(Complete[[#This Row],[Procurement Project]]="","",SUM(Complete[[#This Row],[MOOE2]]+Complete[[#This Row],[CO3]]))</f>
        <v>84500</v>
      </c>
      <c r="AE460" s="501"/>
      <c r="AF460" s="541">
        <v>84500</v>
      </c>
      <c r="AG460" s="400"/>
      <c r="AH460" s="380" t="s">
        <v>1205</v>
      </c>
      <c r="AI460" s="576" t="str">
        <f>VLOOKUP(Complete[[#This Row],[Code
(PAP)]],[1]Sheet1!$A:$AO,35,FALSE)</f>
        <v>N/A</v>
      </c>
      <c r="AJ460" s="576" t="str">
        <f>VLOOKUP(Complete[[#This Row],[Code
(PAP)]],[1]Sheet1!$A:$AO,36,FALSE)</f>
        <v>N/A</v>
      </c>
      <c r="AK460" s="576" t="str">
        <f>VLOOKUP(Complete[[#This Row],[Code
(PAP)]],[1]Sheet1!$A:$AO,37,FALSE)</f>
        <v>N/A</v>
      </c>
      <c r="AL460" s="576" t="str">
        <f>VLOOKUP(Complete[[#This Row],[Code
(PAP)]],[1]Sheet1!$A:$AO,38,FALSE)</f>
        <v>N/A</v>
      </c>
      <c r="AM460" s="576" t="str">
        <f>VLOOKUP(Complete[[#This Row],[Code
(PAP)]],[1]Sheet1!$A:$AO,38,FALSE)</f>
        <v>N/A</v>
      </c>
      <c r="AN460" s="595" t="s">
        <v>713</v>
      </c>
      <c r="AO460" s="303" t="s">
        <v>139</v>
      </c>
      <c r="AP460" s="389"/>
      <c r="AQ460" s="389"/>
    </row>
    <row r="461" spans="1:43" s="224" customFormat="1" ht="75" customHeight="1" x14ac:dyDescent="0.25">
      <c r="A461" s="385" t="s">
        <v>639</v>
      </c>
      <c r="B461" s="406" t="str">
        <f>VLOOKUP(Complete[[#This Row],[Code
(PAP)]],[1]Sheet1!$A:$AO,2,FALSE)</f>
        <v>CONSTRUCTION SUPPLIES</v>
      </c>
      <c r="C461" s="408" t="str">
        <f>VLOOKUP(Complete[[#This Row],[Code
(PAP)]],[1]Sheet1!$A:$AO,3,FALSE)</f>
        <v>PDRRMO</v>
      </c>
      <c r="D461" s="380" t="s">
        <v>712</v>
      </c>
      <c r="E461" s="409" t="str">
        <f>VLOOKUP(Complete[[#This Row],[Code
(PAP)]],[2]Sheet1!$A:$AO,5,FALSE)</f>
        <v>NP-53.9 - Small Value Procurement</v>
      </c>
      <c r="F461" s="393">
        <f>VLOOKUP(Complete[[#This Row],[Code
(PAP)]],[1]Sheet1!$A:$AO,6,FALSE)</f>
        <v>45398</v>
      </c>
      <c r="G461" s="393">
        <f>VLOOKUP(Complete[[#This Row],[Code
(PAP)]],[1]Sheet1!$A:$AO,7,FALSE)</f>
        <v>45408</v>
      </c>
      <c r="H461" s="374"/>
      <c r="I461" s="394" t="str">
        <f>VLOOKUP(Complete[[#This Row],[Code
(PAP)]],[1]Sheet1!$A:$AO,9,FALSE)</f>
        <v>N/A</v>
      </c>
      <c r="J461" s="393">
        <f>VLOOKUP(Complete[[#This Row],[Code
(PAP)]],[1]Sheet1!$A:$AO,10,FALSE)</f>
        <v>45412</v>
      </c>
      <c r="K461" s="393">
        <f>VLOOKUP(Complete[[#This Row],[Code
(PAP)]],[1]Sheet1!$A:$AO,11,FALSE)</f>
        <v>45412</v>
      </c>
      <c r="L461" s="387"/>
      <c r="M461" s="393" t="str">
        <f>VLOOKUP(Complete[[#This Row],[Code
(PAP)]],[1]Sheet1!$A:$AO,13,FALSE)</f>
        <v>N/A</v>
      </c>
      <c r="N461" s="393" t="str">
        <f>VLOOKUP(Complete[[#This Row],[Code
(PAP)]],[1]Sheet1!$A:$AO,14,FALSE)</f>
        <v>N/A</v>
      </c>
      <c r="O461" s="393">
        <v>45415</v>
      </c>
      <c r="P461" s="387"/>
      <c r="Q461" s="387"/>
      <c r="R461" s="387"/>
      <c r="S461" s="576">
        <v>45421</v>
      </c>
      <c r="T461" s="576">
        <f>VLOOKUP(Complete[[#This Row],[Code
(PAP)]],[1]Sheet1!$A:$AO,20,FALSE)</f>
        <v>45425</v>
      </c>
      <c r="U461" s="576">
        <f>VLOOKUP(Complete[[#This Row],[Code
(PAP)]],[1]Sheet1!$A:$AO,21,FALSE)</f>
        <v>45433</v>
      </c>
      <c r="V461" s="387"/>
      <c r="W461" s="387"/>
      <c r="X461" s="392">
        <f>VLOOKUP(Complete[[#This Row],[Code
(PAP)]],[1]Sheet1!$A:$AO,24,FALSE)</f>
        <v>45453</v>
      </c>
      <c r="Y461" s="392">
        <f>Complete[[#This Row],[Delivery/ Completion]]</f>
        <v>45453</v>
      </c>
      <c r="Z461" s="610" t="s">
        <v>1478</v>
      </c>
      <c r="AA461" s="462">
        <f>Complete[[#This Row],[MOOE]]+Complete[[#This Row],[CO]]</f>
        <v>86286</v>
      </c>
      <c r="AB461" s="466"/>
      <c r="AC461" s="497">
        <v>86286</v>
      </c>
      <c r="AD461" s="498">
        <f>IF(Complete[[#This Row],[Procurement Project]]="","",SUM(Complete[[#This Row],[MOOE2]]+Complete[[#This Row],[CO3]]))</f>
        <v>86044</v>
      </c>
      <c r="AE461" s="501"/>
      <c r="AF461" s="541">
        <v>86044</v>
      </c>
      <c r="AG461" s="400"/>
      <c r="AH461" s="380" t="s">
        <v>1205</v>
      </c>
      <c r="AI461" s="576" t="str">
        <f>VLOOKUP(Complete[[#This Row],[Code
(PAP)]],[1]Sheet1!$A:$AO,35,FALSE)</f>
        <v>N/A</v>
      </c>
      <c r="AJ461" s="576" t="str">
        <f>VLOOKUP(Complete[[#This Row],[Code
(PAP)]],[1]Sheet1!$A:$AO,36,FALSE)</f>
        <v>N/A</v>
      </c>
      <c r="AK461" s="576" t="str">
        <f>VLOOKUP(Complete[[#This Row],[Code
(PAP)]],[1]Sheet1!$A:$AO,37,FALSE)</f>
        <v>N/A</v>
      </c>
      <c r="AL461" s="576" t="str">
        <f>VLOOKUP(Complete[[#This Row],[Code
(PAP)]],[1]Sheet1!$A:$AO,38,FALSE)</f>
        <v>N/A</v>
      </c>
      <c r="AM461" s="576" t="str">
        <f>VLOOKUP(Complete[[#This Row],[Code
(PAP)]],[1]Sheet1!$A:$AO,38,FALSE)</f>
        <v>N/A</v>
      </c>
      <c r="AN461" s="595" t="s">
        <v>713</v>
      </c>
      <c r="AO461" s="303" t="s">
        <v>139</v>
      </c>
      <c r="AP461" s="389"/>
      <c r="AQ461" s="389"/>
    </row>
    <row r="462" spans="1:43" s="224" customFormat="1" ht="75" customHeight="1" x14ac:dyDescent="0.25">
      <c r="A462" s="385" t="s">
        <v>640</v>
      </c>
      <c r="B462" s="406" t="str">
        <f>VLOOKUP(Complete[[#This Row],[Code
(PAP)]],[1]Sheet1!$A:$AO,2,FALSE)</f>
        <v>CONSTRUCTION SUPPLIES</v>
      </c>
      <c r="C462" s="408" t="str">
        <f>VLOOKUP(Complete[[#This Row],[Code
(PAP)]],[1]Sheet1!$A:$AO,3,FALSE)</f>
        <v>PVGO</v>
      </c>
      <c r="D462" s="380" t="s">
        <v>712</v>
      </c>
      <c r="E462" s="409" t="str">
        <f>VLOOKUP(Complete[[#This Row],[Code
(PAP)]],[2]Sheet1!$A:$AO,5,FALSE)</f>
        <v>NP-53.9 - Small Value Procurement</v>
      </c>
      <c r="F462" s="393">
        <f>VLOOKUP(Complete[[#This Row],[Code
(PAP)]],[1]Sheet1!$A:$AO,6,FALSE)</f>
        <v>45398</v>
      </c>
      <c r="G462" s="393">
        <f>VLOOKUP(Complete[[#This Row],[Code
(PAP)]],[1]Sheet1!$A:$AO,7,FALSE)</f>
        <v>45408</v>
      </c>
      <c r="H462" s="374"/>
      <c r="I462" s="394" t="str">
        <f>VLOOKUP(Complete[[#This Row],[Code
(PAP)]],[1]Sheet1!$A:$AO,9,FALSE)</f>
        <v>N/A</v>
      </c>
      <c r="J462" s="393">
        <f>VLOOKUP(Complete[[#This Row],[Code
(PAP)]],[1]Sheet1!$A:$AO,10,FALSE)</f>
        <v>45412</v>
      </c>
      <c r="K462" s="393">
        <f>VLOOKUP(Complete[[#This Row],[Code
(PAP)]],[1]Sheet1!$A:$AO,11,FALSE)</f>
        <v>45412</v>
      </c>
      <c r="L462" s="387"/>
      <c r="M462" s="393" t="str">
        <f>VLOOKUP(Complete[[#This Row],[Code
(PAP)]],[1]Sheet1!$A:$AO,13,FALSE)</f>
        <v>N/A</v>
      </c>
      <c r="N462" s="393" t="str">
        <f>VLOOKUP(Complete[[#This Row],[Code
(PAP)]],[1]Sheet1!$A:$AO,14,FALSE)</f>
        <v>N/A</v>
      </c>
      <c r="O462" s="393">
        <v>45415</v>
      </c>
      <c r="P462" s="387"/>
      <c r="Q462" s="387"/>
      <c r="R462" s="387"/>
      <c r="S462" s="576">
        <v>45421</v>
      </c>
      <c r="T462" s="576">
        <f>VLOOKUP(Complete[[#This Row],[Code
(PAP)]],[1]Sheet1!$A:$AO,20,FALSE)</f>
        <v>45443</v>
      </c>
      <c r="U462" s="576">
        <f>VLOOKUP(Complete[[#This Row],[Code
(PAP)]],[1]Sheet1!$A:$AO,21,FALSE)</f>
        <v>45450</v>
      </c>
      <c r="V462" s="387"/>
      <c r="W462" s="387"/>
      <c r="X462" s="392">
        <f>VLOOKUP(Complete[[#This Row],[Code
(PAP)]],[1]Sheet1!$A:$AO,24,FALSE)</f>
        <v>45468</v>
      </c>
      <c r="Y462" s="392">
        <f>Complete[[#This Row],[Delivery/ Completion]]</f>
        <v>45468</v>
      </c>
      <c r="Z462" s="610" t="s">
        <v>1478</v>
      </c>
      <c r="AA462" s="462">
        <f>Complete[[#This Row],[MOOE]]+Complete[[#This Row],[CO]]</f>
        <v>64762</v>
      </c>
      <c r="AB462" s="466">
        <v>64762</v>
      </c>
      <c r="AC462" s="497"/>
      <c r="AD462" s="498">
        <f>IF(Complete[[#This Row],[Procurement Project]]="","",SUM(Complete[[#This Row],[MOOE2]]+Complete[[#This Row],[CO3]]))</f>
        <v>63725</v>
      </c>
      <c r="AE462" s="501">
        <v>63725</v>
      </c>
      <c r="AF462" s="541"/>
      <c r="AG462" s="400"/>
      <c r="AH462" s="380" t="s">
        <v>1205</v>
      </c>
      <c r="AI462" s="576" t="str">
        <f>VLOOKUP(Complete[[#This Row],[Code
(PAP)]],[1]Sheet1!$A:$AO,35,FALSE)</f>
        <v>N/A</v>
      </c>
      <c r="AJ462" s="576" t="str">
        <f>VLOOKUP(Complete[[#This Row],[Code
(PAP)]],[1]Sheet1!$A:$AO,36,FALSE)</f>
        <v>N/A</v>
      </c>
      <c r="AK462" s="576" t="str">
        <f>VLOOKUP(Complete[[#This Row],[Code
(PAP)]],[1]Sheet1!$A:$AO,37,FALSE)</f>
        <v>N/A</v>
      </c>
      <c r="AL462" s="576" t="str">
        <f>VLOOKUP(Complete[[#This Row],[Code
(PAP)]],[1]Sheet1!$A:$AO,38,FALSE)</f>
        <v>N/A</v>
      </c>
      <c r="AM462" s="576" t="str">
        <f>VLOOKUP(Complete[[#This Row],[Code
(PAP)]],[1]Sheet1!$A:$AO,38,FALSE)</f>
        <v>N/A</v>
      </c>
      <c r="AN462" s="595" t="s">
        <v>713</v>
      </c>
      <c r="AO462" s="303" t="s">
        <v>139</v>
      </c>
      <c r="AP462" s="389"/>
      <c r="AQ462" s="389"/>
    </row>
    <row r="463" spans="1:43" s="224" customFormat="1" ht="75" customHeight="1" x14ac:dyDescent="0.25">
      <c r="A463" s="385" t="s">
        <v>641</v>
      </c>
      <c r="B463" s="406" t="str">
        <f>VLOOKUP(Complete[[#This Row],[Code
(PAP)]],[1]Sheet1!$A:$AO,2,FALSE)</f>
        <v>FEED INGREDIENTS</v>
      </c>
      <c r="C463" s="408" t="str">
        <f>VLOOKUP(Complete[[#This Row],[Code
(PAP)]],[1]Sheet1!$A:$AO,3,FALSE)</f>
        <v>PAGRO</v>
      </c>
      <c r="D463" s="380" t="s">
        <v>712</v>
      </c>
      <c r="E463" s="409" t="str">
        <f>VLOOKUP(Complete[[#This Row],[Code
(PAP)]],[2]Sheet1!$A:$AO,5,FALSE)</f>
        <v>NP-53.9 - Small Value Procurement</v>
      </c>
      <c r="F463" s="393" t="str">
        <f>VLOOKUP(Complete[[#This Row],[Code
(PAP)]],[1]Sheet1!$A:$AO,6,FALSE)</f>
        <v>N/A</v>
      </c>
      <c r="G463" s="393">
        <f>VLOOKUP(Complete[[#This Row],[Code
(PAP)]],[1]Sheet1!$A:$AO,7,FALSE)</f>
        <v>45371</v>
      </c>
      <c r="H463" s="374"/>
      <c r="I463" s="394" t="str">
        <f>VLOOKUP(Complete[[#This Row],[Code
(PAP)]],[1]Sheet1!$A:$AO,9,FALSE)</f>
        <v>N/A</v>
      </c>
      <c r="J463" s="393">
        <f>VLOOKUP(Complete[[#This Row],[Code
(PAP)]],[1]Sheet1!$A:$AO,10,FALSE)</f>
        <v>45412</v>
      </c>
      <c r="K463" s="393">
        <f>VLOOKUP(Complete[[#This Row],[Code
(PAP)]],[1]Sheet1!$A:$AO,11,FALSE)</f>
        <v>45412</v>
      </c>
      <c r="L463" s="387"/>
      <c r="M463" s="393" t="str">
        <f>VLOOKUP(Complete[[#This Row],[Code
(PAP)]],[1]Sheet1!$A:$AO,13,FALSE)</f>
        <v>N/A</v>
      </c>
      <c r="N463" s="393" t="str">
        <f>VLOOKUP(Complete[[#This Row],[Code
(PAP)]],[1]Sheet1!$A:$AO,14,FALSE)</f>
        <v>N/A</v>
      </c>
      <c r="O463" s="393">
        <v>45415</v>
      </c>
      <c r="P463" s="387"/>
      <c r="Q463" s="387"/>
      <c r="R463" s="387"/>
      <c r="S463" s="576">
        <v>45421</v>
      </c>
      <c r="T463" s="576">
        <f>VLOOKUP(Complete[[#This Row],[Code
(PAP)]],[1]Sheet1!$A:$AO,20,FALSE)</f>
        <v>45425</v>
      </c>
      <c r="U463" s="576">
        <f>VLOOKUP(Complete[[#This Row],[Code
(PAP)]],[1]Sheet1!$A:$AO,21,FALSE)</f>
        <v>45436</v>
      </c>
      <c r="V463" s="387"/>
      <c r="W463" s="387"/>
      <c r="X463" s="392">
        <f>VLOOKUP(Complete[[#This Row],[Code
(PAP)]],[1]Sheet1!$A:$AO,24,FALSE)</f>
        <v>45442</v>
      </c>
      <c r="Y463" s="392">
        <f>Complete[[#This Row],[Delivery/ Completion]]</f>
        <v>45442</v>
      </c>
      <c r="Z463" s="610" t="s">
        <v>1478</v>
      </c>
      <c r="AA463" s="462">
        <f>Complete[[#This Row],[MOOE]]+Complete[[#This Row],[CO]]</f>
        <v>96470</v>
      </c>
      <c r="AB463" s="466"/>
      <c r="AC463" s="497">
        <v>96470</v>
      </c>
      <c r="AD463" s="498">
        <f>IF(Complete[[#This Row],[Procurement Project]]="","",SUM(Complete[[#This Row],[MOOE2]]+Complete[[#This Row],[CO3]]))</f>
        <v>96045</v>
      </c>
      <c r="AE463" s="501"/>
      <c r="AF463" s="541">
        <v>96045</v>
      </c>
      <c r="AG463" s="400"/>
      <c r="AH463" s="380" t="s">
        <v>1205</v>
      </c>
      <c r="AI463" s="576" t="str">
        <f>VLOOKUP(Complete[[#This Row],[Code
(PAP)]],[1]Sheet1!$A:$AO,35,FALSE)</f>
        <v>N/A</v>
      </c>
      <c r="AJ463" s="576" t="str">
        <f>VLOOKUP(Complete[[#This Row],[Code
(PAP)]],[1]Sheet1!$A:$AO,36,FALSE)</f>
        <v>N/A</v>
      </c>
      <c r="AK463" s="576" t="str">
        <f>VLOOKUP(Complete[[#This Row],[Code
(PAP)]],[1]Sheet1!$A:$AO,37,FALSE)</f>
        <v>N/A</v>
      </c>
      <c r="AL463" s="576" t="str">
        <f>VLOOKUP(Complete[[#This Row],[Code
(PAP)]],[1]Sheet1!$A:$AO,38,FALSE)</f>
        <v>N/A</v>
      </c>
      <c r="AM463" s="576" t="str">
        <f>VLOOKUP(Complete[[#This Row],[Code
(PAP)]],[1]Sheet1!$A:$AO,38,FALSE)</f>
        <v>N/A</v>
      </c>
      <c r="AN463" s="595" t="s">
        <v>713</v>
      </c>
      <c r="AO463" s="303" t="s">
        <v>139</v>
      </c>
      <c r="AP463" s="389"/>
      <c r="AQ463" s="389"/>
    </row>
    <row r="464" spans="1:43" s="224" customFormat="1" ht="75" customHeight="1" x14ac:dyDescent="0.25">
      <c r="A464" s="385" t="s">
        <v>642</v>
      </c>
      <c r="B464" s="406" t="str">
        <f>VLOOKUP(Complete[[#This Row],[Code
(PAP)]],[1]Sheet1!$A:$AO,2,FALSE)</f>
        <v>FOOD/CATERING SERVICES</v>
      </c>
      <c r="C464" s="408" t="str">
        <f>VLOOKUP(Complete[[#This Row],[Code
(PAP)]],[1]Sheet1!$A:$AO,3,FALSE)</f>
        <v>PGO</v>
      </c>
      <c r="D464" s="380" t="s">
        <v>712</v>
      </c>
      <c r="E464" s="409" t="str">
        <f>VLOOKUP(Complete[[#This Row],[Code
(PAP)]],[2]Sheet1!$A:$AO,5,FALSE)</f>
        <v>NP-53.9 - Small Value Procurement</v>
      </c>
      <c r="F464" s="393" t="str">
        <f>VLOOKUP(Complete[[#This Row],[Code
(PAP)]],[1]Sheet1!$A:$AO,6,FALSE)</f>
        <v>N/A</v>
      </c>
      <c r="G464" s="393">
        <f>VLOOKUP(Complete[[#This Row],[Code
(PAP)]],[1]Sheet1!$A:$AO,7,FALSE)</f>
        <v>45404</v>
      </c>
      <c r="H464" s="374"/>
      <c r="I464" s="394" t="str">
        <f>VLOOKUP(Complete[[#This Row],[Code
(PAP)]],[1]Sheet1!$A:$AO,9,FALSE)</f>
        <v>N/A</v>
      </c>
      <c r="J464" s="393">
        <f>VLOOKUP(Complete[[#This Row],[Code
(PAP)]],[1]Sheet1!$A:$AO,10,FALSE)</f>
        <v>45412</v>
      </c>
      <c r="K464" s="393">
        <f>VLOOKUP(Complete[[#This Row],[Code
(PAP)]],[1]Sheet1!$A:$AO,11,FALSE)</f>
        <v>45412</v>
      </c>
      <c r="L464" s="387"/>
      <c r="M464" s="393" t="str">
        <f>VLOOKUP(Complete[[#This Row],[Code
(PAP)]],[1]Sheet1!$A:$AO,13,FALSE)</f>
        <v>N/A</v>
      </c>
      <c r="N464" s="393" t="str">
        <f>VLOOKUP(Complete[[#This Row],[Code
(PAP)]],[1]Sheet1!$A:$AO,14,FALSE)</f>
        <v>N/A</v>
      </c>
      <c r="O464" s="393">
        <v>45415</v>
      </c>
      <c r="P464" s="387"/>
      <c r="Q464" s="387"/>
      <c r="R464" s="387"/>
      <c r="S464" s="576">
        <v>45418</v>
      </c>
      <c r="T464" s="576">
        <f>VLOOKUP(Complete[[#This Row],[Code
(PAP)]],[1]Sheet1!$A:$AO,20,FALSE)</f>
        <v>45425</v>
      </c>
      <c r="U464" s="576">
        <f>VLOOKUP(Complete[[#This Row],[Code
(PAP)]],[1]Sheet1!$A:$AO,21,FALSE)</f>
        <v>45433</v>
      </c>
      <c r="V464" s="387"/>
      <c r="W464" s="387"/>
      <c r="X464" s="392">
        <f>VLOOKUP(Complete[[#This Row],[Code
(PAP)]],[1]Sheet1!$A:$AO,24,FALSE)</f>
        <v>45440</v>
      </c>
      <c r="Y464" s="392">
        <f>Complete[[#This Row],[Delivery/ Completion]]</f>
        <v>45440</v>
      </c>
      <c r="Z464" s="610" t="s">
        <v>1478</v>
      </c>
      <c r="AA464" s="462">
        <f>Complete[[#This Row],[MOOE]]+Complete[[#This Row],[CO]]</f>
        <v>375000</v>
      </c>
      <c r="AB464" s="466"/>
      <c r="AC464" s="497">
        <v>375000</v>
      </c>
      <c r="AD464" s="498">
        <f>IF(Complete[[#This Row],[Procurement Project]]="","",SUM(Complete[[#This Row],[MOOE2]]+Complete[[#This Row],[CO3]]))</f>
        <v>375000</v>
      </c>
      <c r="AE464" s="501"/>
      <c r="AF464" s="541">
        <v>375000</v>
      </c>
      <c r="AG464" s="400"/>
      <c r="AH464" s="380" t="s">
        <v>1205</v>
      </c>
      <c r="AI464" s="576" t="str">
        <f>VLOOKUP(Complete[[#This Row],[Code
(PAP)]],[1]Sheet1!$A:$AO,35,FALSE)</f>
        <v>N/A</v>
      </c>
      <c r="AJ464" s="576" t="str">
        <f>VLOOKUP(Complete[[#This Row],[Code
(PAP)]],[1]Sheet1!$A:$AO,36,FALSE)</f>
        <v>N/A</v>
      </c>
      <c r="AK464" s="576" t="str">
        <f>VLOOKUP(Complete[[#This Row],[Code
(PAP)]],[1]Sheet1!$A:$AO,37,FALSE)</f>
        <v>N/A</v>
      </c>
      <c r="AL464" s="576" t="str">
        <f>VLOOKUP(Complete[[#This Row],[Code
(PAP)]],[1]Sheet1!$A:$AO,38,FALSE)</f>
        <v>N/A</v>
      </c>
      <c r="AM464" s="576" t="str">
        <f>VLOOKUP(Complete[[#This Row],[Code
(PAP)]],[1]Sheet1!$A:$AO,38,FALSE)</f>
        <v>N/A</v>
      </c>
      <c r="AN464" s="595" t="s">
        <v>713</v>
      </c>
      <c r="AO464" s="303" t="s">
        <v>139</v>
      </c>
      <c r="AP464" s="389"/>
      <c r="AQ464" s="389"/>
    </row>
    <row r="465" spans="1:43" s="224" customFormat="1" ht="75" customHeight="1" x14ac:dyDescent="0.25">
      <c r="A465" s="385" t="s">
        <v>643</v>
      </c>
      <c r="B465" s="406" t="str">
        <f>VLOOKUP(Complete[[#This Row],[Code
(PAP)]],[1]Sheet1!$A:$AO,2,FALSE)</f>
        <v>OIL &amp; LUBRICANTS</v>
      </c>
      <c r="C465" s="408" t="str">
        <f>VLOOKUP(Complete[[#This Row],[Code
(PAP)]],[1]Sheet1!$A:$AO,3,FALSE)</f>
        <v>PEEMO</v>
      </c>
      <c r="D465" s="380" t="s">
        <v>712</v>
      </c>
      <c r="E465" s="409" t="str">
        <f>VLOOKUP(Complete[[#This Row],[Code
(PAP)]],[2]Sheet1!$A:$AO,5,FALSE)</f>
        <v>NP-53.9 - Small Value Procurement</v>
      </c>
      <c r="F465" s="393">
        <f>VLOOKUP(Complete[[#This Row],[Code
(PAP)]],[1]Sheet1!$A:$AO,6,FALSE)</f>
        <v>45384</v>
      </c>
      <c r="G465" s="393">
        <f>VLOOKUP(Complete[[#This Row],[Code
(PAP)]],[1]Sheet1!$A:$AO,7,FALSE)</f>
        <v>45390</v>
      </c>
      <c r="H465" s="374"/>
      <c r="I465" s="394" t="str">
        <f>VLOOKUP(Complete[[#This Row],[Code
(PAP)]],[1]Sheet1!$A:$AO,9,FALSE)</f>
        <v>N/A</v>
      </c>
      <c r="J465" s="393">
        <f>VLOOKUP(Complete[[#This Row],[Code
(PAP)]],[1]Sheet1!$A:$AO,10,FALSE)</f>
        <v>45412</v>
      </c>
      <c r="K465" s="393">
        <f>VLOOKUP(Complete[[#This Row],[Code
(PAP)]],[1]Sheet1!$A:$AO,11,FALSE)</f>
        <v>45412</v>
      </c>
      <c r="L465" s="387"/>
      <c r="M465" s="393" t="str">
        <f>VLOOKUP(Complete[[#This Row],[Code
(PAP)]],[1]Sheet1!$A:$AO,13,FALSE)</f>
        <v>N/A</v>
      </c>
      <c r="N465" s="393" t="str">
        <f>VLOOKUP(Complete[[#This Row],[Code
(PAP)]],[1]Sheet1!$A:$AO,14,FALSE)</f>
        <v>N/A</v>
      </c>
      <c r="O465" s="393">
        <v>45415</v>
      </c>
      <c r="P465" s="387"/>
      <c r="Q465" s="387"/>
      <c r="R465" s="387"/>
      <c r="S465" s="576">
        <v>45419</v>
      </c>
      <c r="T465" s="576">
        <f>VLOOKUP(Complete[[#This Row],[Code
(PAP)]],[1]Sheet1!$A:$AO,20,FALSE)</f>
        <v>45425</v>
      </c>
      <c r="U465" s="576">
        <f>VLOOKUP(Complete[[#This Row],[Code
(PAP)]],[1]Sheet1!$A:$AO,21,FALSE)</f>
        <v>45436</v>
      </c>
      <c r="V465" s="387"/>
      <c r="W465" s="387"/>
      <c r="X465" s="392">
        <f>VLOOKUP(Complete[[#This Row],[Code
(PAP)]],[1]Sheet1!$A:$AO,24,FALSE)</f>
        <v>45448</v>
      </c>
      <c r="Y465" s="392">
        <f>Complete[[#This Row],[Delivery/ Completion]]</f>
        <v>45448</v>
      </c>
      <c r="Z465" s="610" t="s">
        <v>1478</v>
      </c>
      <c r="AA465" s="462">
        <f>Complete[[#This Row],[MOOE]]+Complete[[#This Row],[CO]]</f>
        <v>155851.79999999999</v>
      </c>
      <c r="AB465" s="466">
        <v>155851.79999999999</v>
      </c>
      <c r="AC465" s="497"/>
      <c r="AD465" s="498">
        <f>IF(Complete[[#This Row],[Procurement Project]]="","",SUM(Complete[[#This Row],[MOOE2]]+Complete[[#This Row],[CO3]]))</f>
        <v>155269</v>
      </c>
      <c r="AE465" s="501">
        <v>155269</v>
      </c>
      <c r="AF465" s="541"/>
      <c r="AG465" s="400"/>
      <c r="AH465" s="380" t="s">
        <v>1205</v>
      </c>
      <c r="AI465" s="576" t="str">
        <f>VLOOKUP(Complete[[#This Row],[Code
(PAP)]],[1]Sheet1!$A:$AO,35,FALSE)</f>
        <v>N/A</v>
      </c>
      <c r="AJ465" s="576" t="str">
        <f>VLOOKUP(Complete[[#This Row],[Code
(PAP)]],[1]Sheet1!$A:$AO,36,FALSE)</f>
        <v>N/A</v>
      </c>
      <c r="AK465" s="576" t="str">
        <f>VLOOKUP(Complete[[#This Row],[Code
(PAP)]],[1]Sheet1!$A:$AO,37,FALSE)</f>
        <v>N/A</v>
      </c>
      <c r="AL465" s="576" t="str">
        <f>VLOOKUP(Complete[[#This Row],[Code
(PAP)]],[1]Sheet1!$A:$AO,38,FALSE)</f>
        <v>N/A</v>
      </c>
      <c r="AM465" s="576" t="str">
        <f>VLOOKUP(Complete[[#This Row],[Code
(PAP)]],[1]Sheet1!$A:$AO,38,FALSE)</f>
        <v>N/A</v>
      </c>
      <c r="AN465" s="595" t="s">
        <v>713</v>
      </c>
      <c r="AO465" s="303" t="s">
        <v>139</v>
      </c>
      <c r="AP465" s="389"/>
      <c r="AQ465" s="389"/>
    </row>
    <row r="466" spans="1:43" s="224" customFormat="1" ht="75" customHeight="1" x14ac:dyDescent="0.25">
      <c r="A466" s="385" t="s">
        <v>644</v>
      </c>
      <c r="B466" s="406" t="str">
        <f>VLOOKUP(Complete[[#This Row],[Code
(PAP)]],[1]Sheet1!$A:$AO,2,FALSE)</f>
        <v>FEED INGREDIENTS</v>
      </c>
      <c r="C466" s="408" t="str">
        <f>VLOOKUP(Complete[[#This Row],[Code
(PAP)]],[1]Sheet1!$A:$AO,3,FALSE)</f>
        <v>PAGRO</v>
      </c>
      <c r="D466" s="380" t="s">
        <v>712</v>
      </c>
      <c r="E466" s="409" t="str">
        <f>VLOOKUP(Complete[[#This Row],[Code
(PAP)]],[2]Sheet1!$A:$AO,5,FALSE)</f>
        <v>NP-53.9 - Small Value Procurement</v>
      </c>
      <c r="F466" s="393" t="str">
        <f>VLOOKUP(Complete[[#This Row],[Code
(PAP)]],[1]Sheet1!$A:$AO,6,FALSE)</f>
        <v>N/A</v>
      </c>
      <c r="G466" s="393">
        <f>VLOOKUP(Complete[[#This Row],[Code
(PAP)]],[1]Sheet1!$A:$AO,7,FALSE)</f>
        <v>45385</v>
      </c>
      <c r="H466" s="374"/>
      <c r="I466" s="394" t="str">
        <f>VLOOKUP(Complete[[#This Row],[Code
(PAP)]],[1]Sheet1!$A:$AO,9,FALSE)</f>
        <v>N/A</v>
      </c>
      <c r="J466" s="393">
        <f>VLOOKUP(Complete[[#This Row],[Code
(PAP)]],[1]Sheet1!$A:$AO,10,FALSE)</f>
        <v>45412</v>
      </c>
      <c r="K466" s="393">
        <f>VLOOKUP(Complete[[#This Row],[Code
(PAP)]],[1]Sheet1!$A:$AO,11,FALSE)</f>
        <v>45412</v>
      </c>
      <c r="L466" s="387"/>
      <c r="M466" s="393" t="str">
        <f>VLOOKUP(Complete[[#This Row],[Code
(PAP)]],[1]Sheet1!$A:$AO,13,FALSE)</f>
        <v>N/A</v>
      </c>
      <c r="N466" s="393" t="str">
        <f>VLOOKUP(Complete[[#This Row],[Code
(PAP)]],[1]Sheet1!$A:$AO,14,FALSE)</f>
        <v>N/A</v>
      </c>
      <c r="O466" s="393">
        <v>45415</v>
      </c>
      <c r="P466" s="387"/>
      <c r="Q466" s="387"/>
      <c r="R466" s="387"/>
      <c r="S466" s="576">
        <v>45421</v>
      </c>
      <c r="T466" s="576">
        <f>VLOOKUP(Complete[[#This Row],[Code
(PAP)]],[1]Sheet1!$A:$AO,20,FALSE)</f>
        <v>45425</v>
      </c>
      <c r="U466" s="576">
        <f>VLOOKUP(Complete[[#This Row],[Code
(PAP)]],[1]Sheet1!$A:$AO,21,FALSE)</f>
        <v>45436</v>
      </c>
      <c r="V466" s="387"/>
      <c r="W466" s="387"/>
      <c r="X466" s="392">
        <f>VLOOKUP(Complete[[#This Row],[Code
(PAP)]],[1]Sheet1!$A:$AO,24,FALSE)</f>
        <v>45442</v>
      </c>
      <c r="Y466" s="392">
        <f>Complete[[#This Row],[Delivery/ Completion]]</f>
        <v>45442</v>
      </c>
      <c r="Z466" s="610" t="s">
        <v>1478</v>
      </c>
      <c r="AA466" s="462">
        <f>Complete[[#This Row],[MOOE]]+Complete[[#This Row],[CO]]</f>
        <v>82110</v>
      </c>
      <c r="AB466" s="466"/>
      <c r="AC466" s="497">
        <v>82110</v>
      </c>
      <c r="AD466" s="498">
        <f>IF(Complete[[#This Row],[Procurement Project]]="","",SUM(Complete[[#This Row],[MOOE2]]+Complete[[#This Row],[CO3]]))</f>
        <v>81756</v>
      </c>
      <c r="AE466" s="501"/>
      <c r="AF466" s="541">
        <v>81756</v>
      </c>
      <c r="AG466" s="400"/>
      <c r="AH466" s="380" t="s">
        <v>1205</v>
      </c>
      <c r="AI466" s="576" t="str">
        <f>VLOOKUP(Complete[[#This Row],[Code
(PAP)]],[1]Sheet1!$A:$AO,35,FALSE)</f>
        <v>N/A</v>
      </c>
      <c r="AJ466" s="576" t="str">
        <f>VLOOKUP(Complete[[#This Row],[Code
(PAP)]],[1]Sheet1!$A:$AO,36,FALSE)</f>
        <v>N/A</v>
      </c>
      <c r="AK466" s="576" t="str">
        <f>VLOOKUP(Complete[[#This Row],[Code
(PAP)]],[1]Sheet1!$A:$AO,37,FALSE)</f>
        <v>N/A</v>
      </c>
      <c r="AL466" s="576" t="str">
        <f>VLOOKUP(Complete[[#This Row],[Code
(PAP)]],[1]Sheet1!$A:$AO,38,FALSE)</f>
        <v>N/A</v>
      </c>
      <c r="AM466" s="576" t="str">
        <f>VLOOKUP(Complete[[#This Row],[Code
(PAP)]],[1]Sheet1!$A:$AO,38,FALSE)</f>
        <v>N/A</v>
      </c>
      <c r="AN466" s="595" t="s">
        <v>713</v>
      </c>
      <c r="AO466" s="303" t="s">
        <v>139</v>
      </c>
      <c r="AP466" s="389"/>
      <c r="AQ466" s="389"/>
    </row>
    <row r="467" spans="1:43" s="224" customFormat="1" ht="75" customHeight="1" x14ac:dyDescent="0.25">
      <c r="A467" s="385" t="s">
        <v>645</v>
      </c>
      <c r="B467" s="406" t="str">
        <f>VLOOKUP(Complete[[#This Row],[Code
(PAP)]],[1]Sheet1!$A:$AO,2,FALSE)</f>
        <v>OFFICE SUPPLIES</v>
      </c>
      <c r="C467" s="408" t="str">
        <f>VLOOKUP(Complete[[#This Row],[Code
(PAP)]],[1]Sheet1!$A:$AO,3,FALSE)</f>
        <v>PEEMO</v>
      </c>
      <c r="D467" s="380" t="s">
        <v>712</v>
      </c>
      <c r="E467" s="409" t="str">
        <f>VLOOKUP(Complete[[#This Row],[Code
(PAP)]],[2]Sheet1!$A:$AO,5,FALSE)</f>
        <v>Shopping 52.1(b) - Regular Office Supplies and Equipment no available in PS</v>
      </c>
      <c r="F467" s="393">
        <f>VLOOKUP(Complete[[#This Row],[Code
(PAP)]],[1]Sheet1!$A:$AO,6,FALSE)</f>
        <v>45398</v>
      </c>
      <c r="G467" s="393">
        <f>VLOOKUP(Complete[[#This Row],[Code
(PAP)]],[1]Sheet1!$A:$AO,7,FALSE)</f>
        <v>45404</v>
      </c>
      <c r="H467" s="374"/>
      <c r="I467" s="394" t="str">
        <f>VLOOKUP(Complete[[#This Row],[Code
(PAP)]],[1]Sheet1!$A:$AO,9,FALSE)</f>
        <v>N/A</v>
      </c>
      <c r="J467" s="393">
        <f>VLOOKUP(Complete[[#This Row],[Code
(PAP)]],[1]Sheet1!$A:$AO,10,FALSE)</f>
        <v>45421</v>
      </c>
      <c r="K467" s="393">
        <f>VLOOKUP(Complete[[#This Row],[Code
(PAP)]],[1]Sheet1!$A:$AO,11,FALSE)</f>
        <v>45421</v>
      </c>
      <c r="L467" s="387"/>
      <c r="M467" s="393" t="str">
        <f>VLOOKUP(Complete[[#This Row],[Code
(PAP)]],[1]Sheet1!$A:$AO,13,FALSE)</f>
        <v>N/A</v>
      </c>
      <c r="N467" s="393" t="str">
        <f>VLOOKUP(Complete[[#This Row],[Code
(PAP)]],[1]Sheet1!$A:$AO,14,FALSE)</f>
        <v>N/A</v>
      </c>
      <c r="O467" s="393">
        <f>VLOOKUP(Complete[[#This Row],[Code
(PAP)]],[1]Sheet1!$A:$AO,15,FALSE)</f>
        <v>45425</v>
      </c>
      <c r="P467" s="387"/>
      <c r="Q467" s="387"/>
      <c r="R467" s="387"/>
      <c r="S467" s="576" t="s">
        <v>713</v>
      </c>
      <c r="T467" s="576">
        <f>VLOOKUP(Complete[[#This Row],[Code
(PAP)]],[1]Sheet1!$A:$AO,20,FALSE)</f>
        <v>45435</v>
      </c>
      <c r="U467" s="576">
        <f>VLOOKUP(Complete[[#This Row],[Code
(PAP)]],[1]Sheet1!$A:$AO,21,FALSE)</f>
        <v>45441</v>
      </c>
      <c r="V467" s="387"/>
      <c r="W467" s="387"/>
      <c r="X467" s="392">
        <f>VLOOKUP(Complete[[#This Row],[Code
(PAP)]],[1]Sheet1!$A:$AO,24,FALSE)</f>
        <v>45454</v>
      </c>
      <c r="Y467" s="392">
        <f>Complete[[#This Row],[Delivery/ Completion]]</f>
        <v>45454</v>
      </c>
      <c r="Z467" s="610" t="s">
        <v>1478</v>
      </c>
      <c r="AA467" s="462">
        <f>Complete[[#This Row],[MOOE]]+Complete[[#This Row],[CO]]</f>
        <v>49971</v>
      </c>
      <c r="AB467" s="466">
        <v>49971</v>
      </c>
      <c r="AC467" s="497"/>
      <c r="AD467" s="498">
        <f>IF(Complete[[#This Row],[Procurement Project]]="","",SUM(Complete[[#This Row],[MOOE2]]+Complete[[#This Row],[CO3]]))</f>
        <v>49910</v>
      </c>
      <c r="AE467" s="501">
        <v>49910</v>
      </c>
      <c r="AF467" s="541"/>
      <c r="AG467" s="400"/>
      <c r="AH467" s="380" t="s">
        <v>1205</v>
      </c>
      <c r="AI467" s="576" t="str">
        <f>VLOOKUP(Complete[[#This Row],[Code
(PAP)]],[1]Sheet1!$A:$AO,35,FALSE)</f>
        <v>N/A</v>
      </c>
      <c r="AJ467" s="576" t="str">
        <f>VLOOKUP(Complete[[#This Row],[Code
(PAP)]],[1]Sheet1!$A:$AO,36,FALSE)</f>
        <v>N/A</v>
      </c>
      <c r="AK467" s="576" t="str">
        <f>VLOOKUP(Complete[[#This Row],[Code
(PAP)]],[1]Sheet1!$A:$AO,37,FALSE)</f>
        <v>N/A</v>
      </c>
      <c r="AL467" s="576" t="str">
        <f>VLOOKUP(Complete[[#This Row],[Code
(PAP)]],[1]Sheet1!$A:$AO,38,FALSE)</f>
        <v>N/A</v>
      </c>
      <c r="AM467" s="576" t="str">
        <f>VLOOKUP(Complete[[#This Row],[Code
(PAP)]],[1]Sheet1!$A:$AO,38,FALSE)</f>
        <v>N/A</v>
      </c>
      <c r="AN467" s="595" t="s">
        <v>713</v>
      </c>
      <c r="AO467" s="303" t="s">
        <v>139</v>
      </c>
      <c r="AP467" s="389"/>
      <c r="AQ467" s="389"/>
    </row>
    <row r="468" spans="1:43" s="224" customFormat="1" ht="75" customHeight="1" x14ac:dyDescent="0.25">
      <c r="A468" s="385" t="s">
        <v>646</v>
      </c>
      <c r="B468" s="406" t="str">
        <f>VLOOKUP(Complete[[#This Row],[Code
(PAP)]],[1]Sheet1!$A:$AO,2,FALSE)</f>
        <v>SPAREPARTS (MOTORCYCLE)</v>
      </c>
      <c r="C468" s="408" t="str">
        <f>VLOOKUP(Complete[[#This Row],[Code
(PAP)]],[1]Sheet1!$A:$AO,3,FALSE)</f>
        <v>PGSO</v>
      </c>
      <c r="D468" s="380" t="s">
        <v>712</v>
      </c>
      <c r="E468" s="409" t="str">
        <f>VLOOKUP(Complete[[#This Row],[Code
(PAP)]],[2]Sheet1!$A:$AO,5,FALSE)</f>
        <v>NP-53.9 - Small Value Procurement</v>
      </c>
      <c r="F468" s="393">
        <f>VLOOKUP(Complete[[#This Row],[Code
(PAP)]],[1]Sheet1!$A:$AO,6,FALSE)</f>
        <v>45384</v>
      </c>
      <c r="G468" s="393">
        <f>VLOOKUP(Complete[[#This Row],[Code
(PAP)]],[1]Sheet1!$A:$AO,7,FALSE)</f>
        <v>45390</v>
      </c>
      <c r="H468" s="374"/>
      <c r="I468" s="394" t="str">
        <f>VLOOKUP(Complete[[#This Row],[Code
(PAP)]],[1]Sheet1!$A:$AO,9,FALSE)</f>
        <v>N/A</v>
      </c>
      <c r="J468" s="393">
        <f>VLOOKUP(Complete[[#This Row],[Code
(PAP)]],[1]Sheet1!$A:$AO,10,FALSE)</f>
        <v>45421</v>
      </c>
      <c r="K468" s="393">
        <f>VLOOKUP(Complete[[#This Row],[Code
(PAP)]],[1]Sheet1!$A:$AO,11,FALSE)</f>
        <v>45421</v>
      </c>
      <c r="L468" s="387"/>
      <c r="M468" s="393" t="str">
        <f>VLOOKUP(Complete[[#This Row],[Code
(PAP)]],[1]Sheet1!$A:$AO,13,FALSE)</f>
        <v>N/A</v>
      </c>
      <c r="N468" s="393" t="str">
        <f>VLOOKUP(Complete[[#This Row],[Code
(PAP)]],[1]Sheet1!$A:$AO,14,FALSE)</f>
        <v>N/A</v>
      </c>
      <c r="O468" s="393">
        <f>VLOOKUP(Complete[[#This Row],[Code
(PAP)]],[1]Sheet1!$A:$AO,15,FALSE)</f>
        <v>45425</v>
      </c>
      <c r="P468" s="387"/>
      <c r="Q468" s="387"/>
      <c r="R468" s="387"/>
      <c r="S468" s="576" t="s">
        <v>713</v>
      </c>
      <c r="T468" s="576">
        <f>VLOOKUP(Complete[[#This Row],[Code
(PAP)]],[1]Sheet1!$A:$AO,20,FALSE)</f>
        <v>45434</v>
      </c>
      <c r="U468" s="576">
        <f>VLOOKUP(Complete[[#This Row],[Code
(PAP)]],[1]Sheet1!$A:$AO,21,FALSE)</f>
        <v>45454</v>
      </c>
      <c r="V468" s="387"/>
      <c r="W468" s="387"/>
      <c r="X468" s="392">
        <f>VLOOKUP(Complete[[#This Row],[Code
(PAP)]],[1]Sheet1!$A:$AO,24,FALSE)</f>
        <v>45462</v>
      </c>
      <c r="Y468" s="392">
        <f>Complete[[#This Row],[Delivery/ Completion]]</f>
        <v>45462</v>
      </c>
      <c r="Z468" s="610" t="s">
        <v>1478</v>
      </c>
      <c r="AA468" s="462">
        <f>Complete[[#This Row],[MOOE]]+Complete[[#This Row],[CO]]</f>
        <v>6370</v>
      </c>
      <c r="AB468" s="466">
        <v>6370</v>
      </c>
      <c r="AC468" s="497"/>
      <c r="AD468" s="498">
        <f>IF(Complete[[#This Row],[Procurement Project]]="","",SUM(Complete[[#This Row],[MOOE2]]+Complete[[#This Row],[CO3]]))</f>
        <v>6370</v>
      </c>
      <c r="AE468" s="501">
        <v>6370</v>
      </c>
      <c r="AF468" s="541"/>
      <c r="AG468" s="400"/>
      <c r="AH468" s="380" t="s">
        <v>1205</v>
      </c>
      <c r="AI468" s="576" t="str">
        <f>VLOOKUP(Complete[[#This Row],[Code
(PAP)]],[1]Sheet1!$A:$AO,35,FALSE)</f>
        <v>N/A</v>
      </c>
      <c r="AJ468" s="576" t="str">
        <f>VLOOKUP(Complete[[#This Row],[Code
(PAP)]],[1]Sheet1!$A:$AO,36,FALSE)</f>
        <v>N/A</v>
      </c>
      <c r="AK468" s="576" t="str">
        <f>VLOOKUP(Complete[[#This Row],[Code
(PAP)]],[1]Sheet1!$A:$AO,37,FALSE)</f>
        <v>N/A</v>
      </c>
      <c r="AL468" s="576" t="str">
        <f>VLOOKUP(Complete[[#This Row],[Code
(PAP)]],[1]Sheet1!$A:$AO,38,FALSE)</f>
        <v>N/A</v>
      </c>
      <c r="AM468" s="576" t="str">
        <f>VLOOKUP(Complete[[#This Row],[Code
(PAP)]],[1]Sheet1!$A:$AO,38,FALSE)</f>
        <v>N/A</v>
      </c>
      <c r="AN468" s="595" t="s">
        <v>713</v>
      </c>
      <c r="AO468" s="303" t="s">
        <v>139</v>
      </c>
      <c r="AP468" s="389"/>
      <c r="AQ468" s="389"/>
    </row>
    <row r="469" spans="1:43" s="224" customFormat="1" ht="75" customHeight="1" x14ac:dyDescent="0.25">
      <c r="A469" s="385" t="s">
        <v>647</v>
      </c>
      <c r="B469" s="406" t="str">
        <f>VLOOKUP(Complete[[#This Row],[Code
(PAP)]],[1]Sheet1!$A:$AO,2,FALSE)</f>
        <v>DRY SEAL</v>
      </c>
      <c r="C469" s="408" t="str">
        <f>VLOOKUP(Complete[[#This Row],[Code
(PAP)]],[1]Sheet1!$A:$AO,3,FALSE)</f>
        <v>PHO</v>
      </c>
      <c r="D469" s="380" t="s">
        <v>712</v>
      </c>
      <c r="E469" s="409" t="str">
        <f>VLOOKUP(Complete[[#This Row],[Code
(PAP)]],[2]Sheet1!$A:$AO,5,FALSE)</f>
        <v>NP-53.9 - Small Value Procurement</v>
      </c>
      <c r="F469" s="393" t="str">
        <f>VLOOKUP(Complete[[#This Row],[Code
(PAP)]],[1]Sheet1!$A:$AO,6,FALSE)</f>
        <v>N/A</v>
      </c>
      <c r="G469" s="393">
        <f>VLOOKUP(Complete[[#This Row],[Code
(PAP)]],[1]Sheet1!$A:$AO,7,FALSE)</f>
        <v>45363</v>
      </c>
      <c r="H469" s="374"/>
      <c r="I469" s="394" t="str">
        <f>VLOOKUP(Complete[[#This Row],[Code
(PAP)]],[1]Sheet1!$A:$AO,9,FALSE)</f>
        <v>N/A</v>
      </c>
      <c r="J469" s="393">
        <f>VLOOKUP(Complete[[#This Row],[Code
(PAP)]],[1]Sheet1!$A:$AO,10,FALSE)</f>
        <v>45421</v>
      </c>
      <c r="K469" s="393">
        <f>VLOOKUP(Complete[[#This Row],[Code
(PAP)]],[1]Sheet1!$A:$AO,11,FALSE)</f>
        <v>45421</v>
      </c>
      <c r="L469" s="387"/>
      <c r="M469" s="393" t="str">
        <f>VLOOKUP(Complete[[#This Row],[Code
(PAP)]],[1]Sheet1!$A:$AO,13,FALSE)</f>
        <v>N/A</v>
      </c>
      <c r="N469" s="393" t="str">
        <f>VLOOKUP(Complete[[#This Row],[Code
(PAP)]],[1]Sheet1!$A:$AO,14,FALSE)</f>
        <v>N/A</v>
      </c>
      <c r="O469" s="393">
        <f>VLOOKUP(Complete[[#This Row],[Code
(PAP)]],[1]Sheet1!$A:$AO,15,FALSE)</f>
        <v>45425</v>
      </c>
      <c r="P469" s="387"/>
      <c r="Q469" s="387"/>
      <c r="R469" s="387"/>
      <c r="S469" s="576" t="s">
        <v>713</v>
      </c>
      <c r="T469" s="576">
        <f>VLOOKUP(Complete[[#This Row],[Code
(PAP)]],[1]Sheet1!$A:$AO,20,FALSE)</f>
        <v>45434</v>
      </c>
      <c r="U469" s="576">
        <f>VLOOKUP(Complete[[#This Row],[Code
(PAP)]],[1]Sheet1!$A:$AO,21,FALSE)</f>
        <v>45446</v>
      </c>
      <c r="V469" s="387"/>
      <c r="W469" s="387"/>
      <c r="X469" s="392">
        <f>VLOOKUP(Complete[[#This Row],[Code
(PAP)]],[1]Sheet1!$A:$AO,24,FALSE)</f>
        <v>45456</v>
      </c>
      <c r="Y469" s="392">
        <f>Complete[[#This Row],[Delivery/ Completion]]</f>
        <v>45456</v>
      </c>
      <c r="Z469" s="610" t="s">
        <v>1478</v>
      </c>
      <c r="AA469" s="462">
        <f>Complete[[#This Row],[MOOE]]+Complete[[#This Row],[CO]]</f>
        <v>5500</v>
      </c>
      <c r="AB469" s="466">
        <v>5500</v>
      </c>
      <c r="AC469" s="497"/>
      <c r="AD469" s="498">
        <f>IF(Complete[[#This Row],[Procurement Project]]="","",SUM(Complete[[#This Row],[MOOE2]]+Complete[[#This Row],[CO3]]))</f>
        <v>5500</v>
      </c>
      <c r="AE469" s="501">
        <v>5500</v>
      </c>
      <c r="AF469" s="541"/>
      <c r="AG469" s="400"/>
      <c r="AH469" s="380" t="s">
        <v>1205</v>
      </c>
      <c r="AI469" s="576" t="str">
        <f>VLOOKUP(Complete[[#This Row],[Code
(PAP)]],[1]Sheet1!$A:$AO,35,FALSE)</f>
        <v>N/A</v>
      </c>
      <c r="AJ469" s="576" t="str">
        <f>VLOOKUP(Complete[[#This Row],[Code
(PAP)]],[1]Sheet1!$A:$AO,36,FALSE)</f>
        <v>N/A</v>
      </c>
      <c r="AK469" s="576" t="str">
        <f>VLOOKUP(Complete[[#This Row],[Code
(PAP)]],[1]Sheet1!$A:$AO,37,FALSE)</f>
        <v>N/A</v>
      </c>
      <c r="AL469" s="576" t="str">
        <f>VLOOKUP(Complete[[#This Row],[Code
(PAP)]],[1]Sheet1!$A:$AO,38,FALSE)</f>
        <v>N/A</v>
      </c>
      <c r="AM469" s="576" t="str">
        <f>VLOOKUP(Complete[[#This Row],[Code
(PAP)]],[1]Sheet1!$A:$AO,38,FALSE)</f>
        <v>N/A</v>
      </c>
      <c r="AN469" s="595" t="s">
        <v>713</v>
      </c>
      <c r="AO469" s="303" t="s">
        <v>139</v>
      </c>
      <c r="AP469" s="389"/>
      <c r="AQ469" s="389"/>
    </row>
    <row r="470" spans="1:43" s="224" customFormat="1" ht="75" customHeight="1" x14ac:dyDescent="0.25">
      <c r="A470" s="385" t="s">
        <v>648</v>
      </c>
      <c r="B470" s="406" t="str">
        <f>VLOOKUP(Complete[[#This Row],[Code
(PAP)]],[1]Sheet1!$A:$AO,2,FALSE)</f>
        <v>DAVAO DE ORO TOKEN</v>
      </c>
      <c r="C470" s="408" t="str">
        <f>VLOOKUP(Complete[[#This Row],[Code
(PAP)]],[1]Sheet1!$A:$AO,3,FALSE)</f>
        <v>PHRMDO</v>
      </c>
      <c r="D470" s="380" t="s">
        <v>712</v>
      </c>
      <c r="E470" s="409" t="str">
        <f>VLOOKUP(Complete[[#This Row],[Code
(PAP)]],[2]Sheet1!$A:$AO,5,FALSE)</f>
        <v>NP-53.9 - Small Value Procurement</v>
      </c>
      <c r="F470" s="393">
        <f>VLOOKUP(Complete[[#This Row],[Code
(PAP)]],[1]Sheet1!$A:$AO,6,FALSE)</f>
        <v>45407</v>
      </c>
      <c r="G470" s="393">
        <f>VLOOKUP(Complete[[#This Row],[Code
(PAP)]],[1]Sheet1!$A:$AO,7,FALSE)</f>
        <v>45412</v>
      </c>
      <c r="H470" s="374"/>
      <c r="I470" s="394" t="str">
        <f>VLOOKUP(Complete[[#This Row],[Code
(PAP)]],[1]Sheet1!$A:$AO,9,FALSE)</f>
        <v>N/A</v>
      </c>
      <c r="J470" s="393">
        <f>VLOOKUP(Complete[[#This Row],[Code
(PAP)]],[1]Sheet1!$A:$AO,10,FALSE)</f>
        <v>45421</v>
      </c>
      <c r="K470" s="393">
        <f>VLOOKUP(Complete[[#This Row],[Code
(PAP)]],[1]Sheet1!$A:$AO,11,FALSE)</f>
        <v>45421</v>
      </c>
      <c r="L470" s="387"/>
      <c r="M470" s="393" t="str">
        <f>VLOOKUP(Complete[[#This Row],[Code
(PAP)]],[1]Sheet1!$A:$AO,13,FALSE)</f>
        <v>N/A</v>
      </c>
      <c r="N470" s="393" t="str">
        <f>VLOOKUP(Complete[[#This Row],[Code
(PAP)]],[1]Sheet1!$A:$AO,14,FALSE)</f>
        <v>N/A</v>
      </c>
      <c r="O470" s="393">
        <f>VLOOKUP(Complete[[#This Row],[Code
(PAP)]],[1]Sheet1!$A:$AO,15,FALSE)</f>
        <v>45425</v>
      </c>
      <c r="P470" s="387"/>
      <c r="Q470" s="387"/>
      <c r="R470" s="387"/>
      <c r="S470" s="576">
        <v>45427</v>
      </c>
      <c r="T470" s="576">
        <f>VLOOKUP(Complete[[#This Row],[Code
(PAP)]],[1]Sheet1!$A:$AO,20,FALSE)</f>
        <v>45434</v>
      </c>
      <c r="U470" s="576">
        <f>VLOOKUP(Complete[[#This Row],[Code
(PAP)]],[1]Sheet1!$A:$AO,21,FALSE)</f>
        <v>45446</v>
      </c>
      <c r="V470" s="387"/>
      <c r="W470" s="387"/>
      <c r="X470" s="392">
        <f>VLOOKUP(Complete[[#This Row],[Code
(PAP)]],[1]Sheet1!$A:$AO,24,FALSE)</f>
        <v>45457</v>
      </c>
      <c r="Y470" s="392">
        <f>Complete[[#This Row],[Delivery/ Completion]]</f>
        <v>45457</v>
      </c>
      <c r="Z470" s="610" t="s">
        <v>1478</v>
      </c>
      <c r="AA470" s="462">
        <f>Complete[[#This Row],[MOOE]]+Complete[[#This Row],[CO]]</f>
        <v>148500</v>
      </c>
      <c r="AB470" s="466"/>
      <c r="AC470" s="497">
        <v>148500</v>
      </c>
      <c r="AD470" s="498">
        <f>IF(Complete[[#This Row],[Procurement Project]]="","",SUM(Complete[[#This Row],[MOOE2]]+Complete[[#This Row],[CO3]]))</f>
        <v>123750</v>
      </c>
      <c r="AE470" s="501"/>
      <c r="AF470" s="541">
        <v>123750</v>
      </c>
      <c r="AG470" s="400"/>
      <c r="AH470" s="380" t="s">
        <v>1205</v>
      </c>
      <c r="AI470" s="576" t="str">
        <f>VLOOKUP(Complete[[#This Row],[Code
(PAP)]],[1]Sheet1!$A:$AO,35,FALSE)</f>
        <v>N/A</v>
      </c>
      <c r="AJ470" s="576" t="str">
        <f>VLOOKUP(Complete[[#This Row],[Code
(PAP)]],[1]Sheet1!$A:$AO,36,FALSE)</f>
        <v>N/A</v>
      </c>
      <c r="AK470" s="576" t="str">
        <f>VLOOKUP(Complete[[#This Row],[Code
(PAP)]],[1]Sheet1!$A:$AO,37,FALSE)</f>
        <v>N/A</v>
      </c>
      <c r="AL470" s="576" t="str">
        <f>VLOOKUP(Complete[[#This Row],[Code
(PAP)]],[1]Sheet1!$A:$AO,38,FALSE)</f>
        <v>N/A</v>
      </c>
      <c r="AM470" s="576" t="str">
        <f>VLOOKUP(Complete[[#This Row],[Code
(PAP)]],[1]Sheet1!$A:$AO,38,FALSE)</f>
        <v>N/A</v>
      </c>
      <c r="AN470" s="595" t="s">
        <v>713</v>
      </c>
      <c r="AO470" s="303" t="s">
        <v>139</v>
      </c>
      <c r="AP470" s="389"/>
      <c r="AQ470" s="389"/>
    </row>
    <row r="471" spans="1:43" s="224" customFormat="1" ht="75" customHeight="1" x14ac:dyDescent="0.25">
      <c r="A471" s="385" t="s">
        <v>649</v>
      </c>
      <c r="B471" s="406" t="str">
        <f>VLOOKUP(Complete[[#This Row],[Code
(PAP)]],[1]Sheet1!$A:$AO,2,FALSE)</f>
        <v>SPAREPARTS (MOTORCYCLE)</v>
      </c>
      <c r="C471" s="408" t="str">
        <f>VLOOKUP(Complete[[#This Row],[Code
(PAP)]],[1]Sheet1!$A:$AO,3,FALSE)</f>
        <v>PGSO</v>
      </c>
      <c r="D471" s="380" t="s">
        <v>712</v>
      </c>
      <c r="E471" s="409" t="str">
        <f>VLOOKUP(Complete[[#This Row],[Code
(PAP)]],[2]Sheet1!$A:$AO,5,FALSE)</f>
        <v>NP-53.9 - Small Value Procurement</v>
      </c>
      <c r="F471" s="393">
        <f>VLOOKUP(Complete[[#This Row],[Code
(PAP)]],[1]Sheet1!$A:$AO,6,FALSE)</f>
        <v>45398</v>
      </c>
      <c r="G471" s="393">
        <f>VLOOKUP(Complete[[#This Row],[Code
(PAP)]],[1]Sheet1!$A:$AO,7,FALSE)</f>
        <v>45404</v>
      </c>
      <c r="H471" s="374"/>
      <c r="I471" s="394" t="str">
        <f>VLOOKUP(Complete[[#This Row],[Code
(PAP)]],[1]Sheet1!$A:$AO,9,FALSE)</f>
        <v>N/A</v>
      </c>
      <c r="J471" s="393">
        <f>VLOOKUP(Complete[[#This Row],[Code
(PAP)]],[1]Sheet1!$A:$AO,10,FALSE)</f>
        <v>45421</v>
      </c>
      <c r="K471" s="393">
        <f>VLOOKUP(Complete[[#This Row],[Code
(PAP)]],[1]Sheet1!$A:$AO,11,FALSE)</f>
        <v>45421</v>
      </c>
      <c r="L471" s="387"/>
      <c r="M471" s="393" t="str">
        <f>VLOOKUP(Complete[[#This Row],[Code
(PAP)]],[1]Sheet1!$A:$AO,13,FALSE)</f>
        <v>N/A</v>
      </c>
      <c r="N471" s="393" t="str">
        <f>VLOOKUP(Complete[[#This Row],[Code
(PAP)]],[1]Sheet1!$A:$AO,14,FALSE)</f>
        <v>N/A</v>
      </c>
      <c r="O471" s="393">
        <f>VLOOKUP(Complete[[#This Row],[Code
(PAP)]],[1]Sheet1!$A:$AO,15,FALSE)</f>
        <v>45425</v>
      </c>
      <c r="P471" s="387"/>
      <c r="Q471" s="387"/>
      <c r="R471" s="387"/>
      <c r="S471" s="576" t="s">
        <v>713</v>
      </c>
      <c r="T471" s="576">
        <f>VLOOKUP(Complete[[#This Row],[Code
(PAP)]],[1]Sheet1!$A:$AO,20,FALSE)</f>
        <v>45434</v>
      </c>
      <c r="U471" s="576">
        <f>VLOOKUP(Complete[[#This Row],[Code
(PAP)]],[1]Sheet1!$A:$AO,21,FALSE)</f>
        <v>45449</v>
      </c>
      <c r="V471" s="387"/>
      <c r="W471" s="387"/>
      <c r="X471" s="392">
        <f>VLOOKUP(Complete[[#This Row],[Code
(PAP)]],[1]Sheet1!$A:$AO,24,FALSE)</f>
        <v>45453</v>
      </c>
      <c r="Y471" s="392">
        <f>Complete[[#This Row],[Delivery/ Completion]]</f>
        <v>45453</v>
      </c>
      <c r="Z471" s="610" t="s">
        <v>1478</v>
      </c>
      <c r="AA471" s="462">
        <f>Complete[[#This Row],[MOOE]]+Complete[[#This Row],[CO]]</f>
        <v>2400</v>
      </c>
      <c r="AB471" s="466">
        <v>2400</v>
      </c>
      <c r="AC471" s="497"/>
      <c r="AD471" s="498">
        <f>IF(Complete[[#This Row],[Procurement Project]]="","",SUM(Complete[[#This Row],[MOOE2]]+Complete[[#This Row],[CO3]]))</f>
        <v>2370</v>
      </c>
      <c r="AE471" s="501">
        <v>2370</v>
      </c>
      <c r="AF471" s="541"/>
      <c r="AG471" s="400"/>
      <c r="AH471" s="380" t="s">
        <v>1205</v>
      </c>
      <c r="AI471" s="576" t="str">
        <f>VLOOKUP(Complete[[#This Row],[Code
(PAP)]],[1]Sheet1!$A:$AO,35,FALSE)</f>
        <v>N/A</v>
      </c>
      <c r="AJ471" s="576" t="str">
        <f>VLOOKUP(Complete[[#This Row],[Code
(PAP)]],[1]Sheet1!$A:$AO,36,FALSE)</f>
        <v>N/A</v>
      </c>
      <c r="AK471" s="576" t="str">
        <f>VLOOKUP(Complete[[#This Row],[Code
(PAP)]],[1]Sheet1!$A:$AO,37,FALSE)</f>
        <v>N/A</v>
      </c>
      <c r="AL471" s="576" t="str">
        <f>VLOOKUP(Complete[[#This Row],[Code
(PAP)]],[1]Sheet1!$A:$AO,38,FALSE)</f>
        <v>N/A</v>
      </c>
      <c r="AM471" s="576" t="str">
        <f>VLOOKUP(Complete[[#This Row],[Code
(PAP)]],[1]Sheet1!$A:$AO,38,FALSE)</f>
        <v>N/A</v>
      </c>
      <c r="AN471" s="595" t="s">
        <v>713</v>
      </c>
      <c r="AO471" s="303" t="s">
        <v>139</v>
      </c>
      <c r="AP471" s="389"/>
      <c r="AQ471" s="389"/>
    </row>
    <row r="472" spans="1:43" s="224" customFormat="1" ht="75" customHeight="1" x14ac:dyDescent="0.25">
      <c r="A472" s="385" t="s">
        <v>650</v>
      </c>
      <c r="B472" s="406" t="str">
        <f>VLOOKUP(Complete[[#This Row],[Code
(PAP)]],[1]Sheet1!$A:$AO,2,FALSE)</f>
        <v>FOOD/CATERING SERVICES</v>
      </c>
      <c r="C472" s="408" t="str">
        <f>VLOOKUP(Complete[[#This Row],[Code
(PAP)]],[1]Sheet1!$A:$AO,3,FALSE)</f>
        <v>PGO</v>
      </c>
      <c r="D472" s="380" t="s">
        <v>712</v>
      </c>
      <c r="E472" s="409" t="str">
        <f>VLOOKUP(Complete[[#This Row],[Code
(PAP)]],[2]Sheet1!$A:$AO,5,FALSE)</f>
        <v>NP-53.9 - Small Value Procurement</v>
      </c>
      <c r="F472" s="393" t="str">
        <f>VLOOKUP(Complete[[#This Row],[Code
(PAP)]],[1]Sheet1!$A:$AO,6,FALSE)</f>
        <v>N/A</v>
      </c>
      <c r="G472" s="393">
        <f>VLOOKUP(Complete[[#This Row],[Code
(PAP)]],[1]Sheet1!$A:$AO,7,FALSE)</f>
        <v>45404</v>
      </c>
      <c r="H472" s="374"/>
      <c r="I472" s="394" t="str">
        <f>VLOOKUP(Complete[[#This Row],[Code
(PAP)]],[1]Sheet1!$A:$AO,9,FALSE)</f>
        <v>N/A</v>
      </c>
      <c r="J472" s="393">
        <f>VLOOKUP(Complete[[#This Row],[Code
(PAP)]],[1]Sheet1!$A:$AO,10,FALSE)</f>
        <v>45421</v>
      </c>
      <c r="K472" s="393">
        <f>VLOOKUP(Complete[[#This Row],[Code
(PAP)]],[1]Sheet1!$A:$AO,11,FALSE)</f>
        <v>45421</v>
      </c>
      <c r="L472" s="387"/>
      <c r="M472" s="393" t="str">
        <f>VLOOKUP(Complete[[#This Row],[Code
(PAP)]],[1]Sheet1!$A:$AO,13,FALSE)</f>
        <v>N/A</v>
      </c>
      <c r="N472" s="393" t="str">
        <f>VLOOKUP(Complete[[#This Row],[Code
(PAP)]],[1]Sheet1!$A:$AO,14,FALSE)</f>
        <v>N/A</v>
      </c>
      <c r="O472" s="393">
        <f>VLOOKUP(Complete[[#This Row],[Code
(PAP)]],[1]Sheet1!$A:$AO,15,FALSE)</f>
        <v>45425</v>
      </c>
      <c r="P472" s="387"/>
      <c r="Q472" s="387"/>
      <c r="R472" s="387"/>
      <c r="S472" s="576">
        <v>45425</v>
      </c>
      <c r="T472" s="576">
        <f>VLOOKUP(Complete[[#This Row],[Code
(PAP)]],[1]Sheet1!$A:$AO,20,FALSE)</f>
        <v>45434</v>
      </c>
      <c r="U472" s="576">
        <f>VLOOKUP(Complete[[#This Row],[Code
(PAP)]],[1]Sheet1!$A:$AO,21,FALSE)</f>
        <v>45447</v>
      </c>
      <c r="V472" s="387"/>
      <c r="W472" s="387"/>
      <c r="X472" s="392">
        <f>VLOOKUP(Complete[[#This Row],[Code
(PAP)]],[1]Sheet1!$A:$AO,24,FALSE)</f>
        <v>45461</v>
      </c>
      <c r="Y472" s="392">
        <f>Complete[[#This Row],[Delivery/ Completion]]</f>
        <v>45461</v>
      </c>
      <c r="Z472" s="610" t="s">
        <v>1478</v>
      </c>
      <c r="AA472" s="462">
        <f>Complete[[#This Row],[MOOE]]+Complete[[#This Row],[CO]]</f>
        <v>66300</v>
      </c>
      <c r="AB472" s="466"/>
      <c r="AC472" s="497">
        <v>66300</v>
      </c>
      <c r="AD472" s="498">
        <f>IF(Complete[[#This Row],[Procurement Project]]="","",SUM(Complete[[#This Row],[MOOE2]]+Complete[[#This Row],[CO3]]))</f>
        <v>66202.5</v>
      </c>
      <c r="AE472" s="501">
        <f>VLOOKUP(Complete[[#This Row],[Code
(PAP)]],[1]Sheet1!$A:$AO,31,FALSE)</f>
        <v>0</v>
      </c>
      <c r="AF472" s="541">
        <v>66202.5</v>
      </c>
      <c r="AG472" s="400"/>
      <c r="AH472" s="380" t="s">
        <v>1205</v>
      </c>
      <c r="AI472" s="576" t="str">
        <f>VLOOKUP(Complete[[#This Row],[Code
(PAP)]],[1]Sheet1!$A:$AO,35,FALSE)</f>
        <v>N/A</v>
      </c>
      <c r="AJ472" s="576" t="str">
        <f>VLOOKUP(Complete[[#This Row],[Code
(PAP)]],[1]Sheet1!$A:$AO,36,FALSE)</f>
        <v>N/A</v>
      </c>
      <c r="AK472" s="576" t="str">
        <f>VLOOKUP(Complete[[#This Row],[Code
(PAP)]],[1]Sheet1!$A:$AO,37,FALSE)</f>
        <v>N/A</v>
      </c>
      <c r="AL472" s="576" t="str">
        <f>VLOOKUP(Complete[[#This Row],[Code
(PAP)]],[1]Sheet1!$A:$AO,38,FALSE)</f>
        <v>N/A</v>
      </c>
      <c r="AM472" s="576" t="str">
        <f>VLOOKUP(Complete[[#This Row],[Code
(PAP)]],[1]Sheet1!$A:$AO,38,FALSE)</f>
        <v>N/A</v>
      </c>
      <c r="AN472" s="595" t="s">
        <v>713</v>
      </c>
      <c r="AO472" s="303" t="s">
        <v>139</v>
      </c>
      <c r="AP472" s="389"/>
      <c r="AQ472" s="389"/>
    </row>
    <row r="473" spans="1:43" s="224" customFormat="1" ht="75" customHeight="1" x14ac:dyDescent="0.25">
      <c r="A473" s="385" t="s">
        <v>651</v>
      </c>
      <c r="B473" s="406" t="str">
        <f>VLOOKUP(Complete[[#This Row],[Code
(PAP)]],[1]Sheet1!$A:$AO,2,FALSE)</f>
        <v>SPAREPARTS (MOTORCYCLE)</v>
      </c>
      <c r="C473" s="408" t="str">
        <f>VLOOKUP(Complete[[#This Row],[Code
(PAP)]],[1]Sheet1!$A:$AO,3,FALSE)</f>
        <v>PGSO</v>
      </c>
      <c r="D473" s="380" t="s">
        <v>712</v>
      </c>
      <c r="E473" s="409" t="str">
        <f>VLOOKUP(Complete[[#This Row],[Code
(PAP)]],[2]Sheet1!$A:$AO,5,FALSE)</f>
        <v>NP-53.9 - Small Value Procurement</v>
      </c>
      <c r="F473" s="393">
        <f>VLOOKUP(Complete[[#This Row],[Code
(PAP)]],[1]Sheet1!$A:$AO,6,FALSE)</f>
        <v>45398</v>
      </c>
      <c r="G473" s="393">
        <f>VLOOKUP(Complete[[#This Row],[Code
(PAP)]],[1]Sheet1!$A:$AO,7,FALSE)</f>
        <v>45404</v>
      </c>
      <c r="H473" s="374"/>
      <c r="I473" s="394" t="str">
        <f>VLOOKUP(Complete[[#This Row],[Code
(PAP)]],[1]Sheet1!$A:$AO,9,FALSE)</f>
        <v>N/A</v>
      </c>
      <c r="J473" s="393">
        <f>VLOOKUP(Complete[[#This Row],[Code
(PAP)]],[1]Sheet1!$A:$AO,10,FALSE)</f>
        <v>45421</v>
      </c>
      <c r="K473" s="393">
        <f>VLOOKUP(Complete[[#This Row],[Code
(PAP)]],[1]Sheet1!$A:$AO,11,FALSE)</f>
        <v>45421</v>
      </c>
      <c r="L473" s="387"/>
      <c r="M473" s="393" t="str">
        <f>VLOOKUP(Complete[[#This Row],[Code
(PAP)]],[1]Sheet1!$A:$AO,13,FALSE)</f>
        <v>N/A</v>
      </c>
      <c r="N473" s="393" t="str">
        <f>VLOOKUP(Complete[[#This Row],[Code
(PAP)]],[1]Sheet1!$A:$AO,14,FALSE)</f>
        <v>N/A</v>
      </c>
      <c r="O473" s="393">
        <f>VLOOKUP(Complete[[#This Row],[Code
(PAP)]],[1]Sheet1!$A:$AO,15,FALSE)</f>
        <v>45425</v>
      </c>
      <c r="P473" s="387"/>
      <c r="Q473" s="387"/>
      <c r="R473" s="387"/>
      <c r="S473" s="576" t="s">
        <v>713</v>
      </c>
      <c r="T473" s="576">
        <f>VLOOKUP(Complete[[#This Row],[Code
(PAP)]],[1]Sheet1!$A:$AO,20,FALSE)</f>
        <v>45434</v>
      </c>
      <c r="U473" s="576">
        <f>VLOOKUP(Complete[[#This Row],[Code
(PAP)]],[1]Sheet1!$A:$AO,21,FALSE)</f>
        <v>45449</v>
      </c>
      <c r="V473" s="387"/>
      <c r="W473" s="387"/>
      <c r="X473" s="392">
        <f>VLOOKUP(Complete[[#This Row],[Code
(PAP)]],[1]Sheet1!$A:$AO,24,FALSE)</f>
        <v>45454</v>
      </c>
      <c r="Y473" s="392">
        <f>Complete[[#This Row],[Delivery/ Completion]]</f>
        <v>45454</v>
      </c>
      <c r="Z473" s="610" t="s">
        <v>1478</v>
      </c>
      <c r="AA473" s="462">
        <f>Complete[[#This Row],[MOOE]]+Complete[[#This Row],[CO]]</f>
        <v>17911</v>
      </c>
      <c r="AB473" s="466">
        <v>17911</v>
      </c>
      <c r="AC473" s="497"/>
      <c r="AD473" s="498">
        <f>IF(Complete[[#This Row],[Procurement Project]]="","",SUM(Complete[[#This Row],[MOOE2]]+Complete[[#This Row],[CO3]]))</f>
        <v>17595</v>
      </c>
      <c r="AE473" s="501">
        <v>17595</v>
      </c>
      <c r="AF473" s="541"/>
      <c r="AG473" s="400"/>
      <c r="AH473" s="380" t="s">
        <v>1205</v>
      </c>
      <c r="AI473" s="576" t="str">
        <f>VLOOKUP(Complete[[#This Row],[Code
(PAP)]],[1]Sheet1!$A:$AO,35,FALSE)</f>
        <v>N/A</v>
      </c>
      <c r="AJ473" s="576" t="str">
        <f>VLOOKUP(Complete[[#This Row],[Code
(PAP)]],[1]Sheet1!$A:$AO,36,FALSE)</f>
        <v>N/A</v>
      </c>
      <c r="AK473" s="576" t="str">
        <f>VLOOKUP(Complete[[#This Row],[Code
(PAP)]],[1]Sheet1!$A:$AO,37,FALSE)</f>
        <v>N/A</v>
      </c>
      <c r="AL473" s="576" t="str">
        <f>VLOOKUP(Complete[[#This Row],[Code
(PAP)]],[1]Sheet1!$A:$AO,38,FALSE)</f>
        <v>N/A</v>
      </c>
      <c r="AM473" s="576" t="str">
        <f>VLOOKUP(Complete[[#This Row],[Code
(PAP)]],[1]Sheet1!$A:$AO,38,FALSE)</f>
        <v>N/A</v>
      </c>
      <c r="AN473" s="595" t="s">
        <v>713</v>
      </c>
      <c r="AO473" s="303" t="s">
        <v>139</v>
      </c>
      <c r="AP473" s="389"/>
      <c r="AQ473" s="389"/>
    </row>
    <row r="474" spans="1:43" s="224" customFormat="1" ht="75" customHeight="1" x14ac:dyDescent="0.25">
      <c r="A474" s="385" t="s">
        <v>652</v>
      </c>
      <c r="B474" s="406" t="str">
        <f>VLOOKUP(Complete[[#This Row],[Code
(PAP)]],[1]Sheet1!$A:$AO,2,FALSE)</f>
        <v>DRONE</v>
      </c>
      <c r="C474" s="408" t="str">
        <f>VLOOKUP(Complete[[#This Row],[Code
(PAP)]],[1]Sheet1!$A:$AO,3,FALSE)</f>
        <v>PGO</v>
      </c>
      <c r="D474" s="380" t="s">
        <v>712</v>
      </c>
      <c r="E474" s="409" t="str">
        <f>VLOOKUP(Complete[[#This Row],[Code
(PAP)]],[2]Sheet1!$A:$AO,5,FALSE)</f>
        <v>NP-53.9 - Small Value Procurement</v>
      </c>
      <c r="F474" s="393">
        <f>VLOOKUP(Complete[[#This Row],[Code
(PAP)]],[1]Sheet1!$A:$AO,6,FALSE)</f>
        <v>45390</v>
      </c>
      <c r="G474" s="393">
        <f>VLOOKUP(Complete[[#This Row],[Code
(PAP)]],[1]Sheet1!$A:$AO,7,FALSE)</f>
        <v>45397</v>
      </c>
      <c r="H474" s="374"/>
      <c r="I474" s="394" t="str">
        <f>VLOOKUP(Complete[[#This Row],[Code
(PAP)]],[1]Sheet1!$A:$AO,9,FALSE)</f>
        <v>N/A</v>
      </c>
      <c r="J474" s="393">
        <f>VLOOKUP(Complete[[#This Row],[Code
(PAP)]],[1]Sheet1!$A:$AO,10,FALSE)</f>
        <v>45421</v>
      </c>
      <c r="K474" s="393">
        <f>VLOOKUP(Complete[[#This Row],[Code
(PAP)]],[1]Sheet1!$A:$AO,11,FALSE)</f>
        <v>45421</v>
      </c>
      <c r="L474" s="387"/>
      <c r="M474" s="393" t="str">
        <f>VLOOKUP(Complete[[#This Row],[Code
(PAP)]],[1]Sheet1!$A:$AO,13,FALSE)</f>
        <v>N/A</v>
      </c>
      <c r="N474" s="393" t="str">
        <f>VLOOKUP(Complete[[#This Row],[Code
(PAP)]],[1]Sheet1!$A:$AO,14,FALSE)</f>
        <v>N/A</v>
      </c>
      <c r="O474" s="393">
        <f>VLOOKUP(Complete[[#This Row],[Code
(PAP)]],[1]Sheet1!$A:$AO,15,FALSE)</f>
        <v>45425</v>
      </c>
      <c r="P474" s="387"/>
      <c r="Q474" s="387"/>
      <c r="R474" s="387"/>
      <c r="S474" s="576">
        <v>45425</v>
      </c>
      <c r="T474" s="576">
        <f>VLOOKUP(Complete[[#This Row],[Code
(PAP)]],[1]Sheet1!$A:$AO,20,FALSE)</f>
        <v>45435</v>
      </c>
      <c r="U474" s="576">
        <f>VLOOKUP(Complete[[#This Row],[Code
(PAP)]],[1]Sheet1!$A:$AO,21,FALSE)</f>
        <v>45441</v>
      </c>
      <c r="V474" s="387"/>
      <c r="W474" s="387"/>
      <c r="X474" s="392">
        <f>VLOOKUP(Complete[[#This Row],[Code
(PAP)]],[1]Sheet1!$A:$AO,24,FALSE)</f>
        <v>45443</v>
      </c>
      <c r="Y474" s="392">
        <f>Complete[[#This Row],[Delivery/ Completion]]</f>
        <v>45443</v>
      </c>
      <c r="Z474" s="610" t="s">
        <v>1478</v>
      </c>
      <c r="AA474" s="462">
        <f>Complete[[#This Row],[MOOE]]+Complete[[#This Row],[CO]]</f>
        <v>50000</v>
      </c>
      <c r="AB474" s="466"/>
      <c r="AC474" s="497">
        <v>50000</v>
      </c>
      <c r="AD474" s="498">
        <f>IF(Complete[[#This Row],[Procurement Project]]="","",SUM(Complete[[#This Row],[MOOE2]]+Complete[[#This Row],[CO3]]))</f>
        <v>49900</v>
      </c>
      <c r="AE474" s="501"/>
      <c r="AF474" s="541">
        <v>49900</v>
      </c>
      <c r="AG474" s="400"/>
      <c r="AH474" s="380" t="s">
        <v>1205</v>
      </c>
      <c r="AI474" s="576" t="str">
        <f>VLOOKUP(Complete[[#This Row],[Code
(PAP)]],[1]Sheet1!$A:$AO,35,FALSE)</f>
        <v>N/A</v>
      </c>
      <c r="AJ474" s="576" t="str">
        <f>VLOOKUP(Complete[[#This Row],[Code
(PAP)]],[1]Sheet1!$A:$AO,36,FALSE)</f>
        <v>N/A</v>
      </c>
      <c r="AK474" s="576" t="str">
        <f>VLOOKUP(Complete[[#This Row],[Code
(PAP)]],[1]Sheet1!$A:$AO,37,FALSE)</f>
        <v>N/A</v>
      </c>
      <c r="AL474" s="576" t="str">
        <f>VLOOKUP(Complete[[#This Row],[Code
(PAP)]],[1]Sheet1!$A:$AO,38,FALSE)</f>
        <v>N/A</v>
      </c>
      <c r="AM474" s="576" t="str">
        <f>VLOOKUP(Complete[[#This Row],[Code
(PAP)]],[1]Sheet1!$A:$AO,38,FALSE)</f>
        <v>N/A</v>
      </c>
      <c r="AN474" s="595" t="s">
        <v>713</v>
      </c>
      <c r="AO474" s="303" t="s">
        <v>139</v>
      </c>
      <c r="AP474" s="389"/>
      <c r="AQ474" s="389"/>
    </row>
    <row r="475" spans="1:43" s="224" customFormat="1" ht="75" customHeight="1" x14ac:dyDescent="0.25">
      <c r="A475" s="385" t="s">
        <v>653</v>
      </c>
      <c r="B475" s="406" t="str">
        <f>VLOOKUP(Complete[[#This Row],[Code
(PAP)]],[1]Sheet1!$A:$AO,2,FALSE)</f>
        <v>SPAREPARTS (MOTORCYCLE)</v>
      </c>
      <c r="C475" s="408" t="str">
        <f>VLOOKUP(Complete[[#This Row],[Code
(PAP)]],[1]Sheet1!$A:$AO,3,FALSE)</f>
        <v>PGSO</v>
      </c>
      <c r="D475" s="380" t="s">
        <v>712</v>
      </c>
      <c r="E475" s="409" t="str">
        <f>VLOOKUP(Complete[[#This Row],[Code
(PAP)]],[2]Sheet1!$A:$AO,5,FALSE)</f>
        <v>NP-53.9 - Small Value Procurement</v>
      </c>
      <c r="F475" s="393">
        <f>VLOOKUP(Complete[[#This Row],[Code
(PAP)]],[1]Sheet1!$A:$AO,6,FALSE)</f>
        <v>45398</v>
      </c>
      <c r="G475" s="393">
        <f>VLOOKUP(Complete[[#This Row],[Code
(PAP)]],[1]Sheet1!$A:$AO,7,FALSE)</f>
        <v>45404</v>
      </c>
      <c r="H475" s="374"/>
      <c r="I475" s="394" t="str">
        <f>VLOOKUP(Complete[[#This Row],[Code
(PAP)]],[1]Sheet1!$A:$AO,9,FALSE)</f>
        <v>N/A</v>
      </c>
      <c r="J475" s="393">
        <f>VLOOKUP(Complete[[#This Row],[Code
(PAP)]],[1]Sheet1!$A:$AO,10,FALSE)</f>
        <v>45421</v>
      </c>
      <c r="K475" s="393">
        <f>VLOOKUP(Complete[[#This Row],[Code
(PAP)]],[1]Sheet1!$A:$AO,11,FALSE)</f>
        <v>45421</v>
      </c>
      <c r="L475" s="387"/>
      <c r="M475" s="393" t="str">
        <f>VLOOKUP(Complete[[#This Row],[Code
(PAP)]],[1]Sheet1!$A:$AO,13,FALSE)</f>
        <v>N/A</v>
      </c>
      <c r="N475" s="393" t="str">
        <f>VLOOKUP(Complete[[#This Row],[Code
(PAP)]],[1]Sheet1!$A:$AO,14,FALSE)</f>
        <v>N/A</v>
      </c>
      <c r="O475" s="393">
        <f>VLOOKUP(Complete[[#This Row],[Code
(PAP)]],[1]Sheet1!$A:$AO,15,FALSE)</f>
        <v>45425</v>
      </c>
      <c r="P475" s="387"/>
      <c r="Q475" s="387"/>
      <c r="R475" s="387"/>
      <c r="S475" s="576" t="s">
        <v>713</v>
      </c>
      <c r="T475" s="576">
        <f>VLOOKUP(Complete[[#This Row],[Code
(PAP)]],[1]Sheet1!$A:$AO,20,FALSE)</f>
        <v>45434</v>
      </c>
      <c r="U475" s="576">
        <f>VLOOKUP(Complete[[#This Row],[Code
(PAP)]],[1]Sheet1!$A:$AO,21,FALSE)</f>
        <v>45449</v>
      </c>
      <c r="V475" s="387"/>
      <c r="W475" s="387"/>
      <c r="X475" s="392">
        <f>VLOOKUP(Complete[[#This Row],[Code
(PAP)]],[1]Sheet1!$A:$AO,24,FALSE)</f>
        <v>45463</v>
      </c>
      <c r="Y475" s="392">
        <f>Complete[[#This Row],[Delivery/ Completion]]</f>
        <v>45463</v>
      </c>
      <c r="Z475" s="610" t="s">
        <v>1478</v>
      </c>
      <c r="AA475" s="462">
        <f>Complete[[#This Row],[MOOE]]+Complete[[#This Row],[CO]]</f>
        <v>28352</v>
      </c>
      <c r="AB475" s="466">
        <v>12102</v>
      </c>
      <c r="AC475" s="497">
        <f>VLOOKUP(Complete[[#This Row],[Code
(PAP)]],[1]Sheet1!$A:$AO,29,FALSE)</f>
        <v>16250</v>
      </c>
      <c r="AD475" s="498">
        <f>IF(Complete[[#This Row],[Procurement Project]]="","",SUM(Complete[[#This Row],[MOOE2]]+Complete[[#This Row],[CO3]]))</f>
        <v>12039</v>
      </c>
      <c r="AE475" s="501">
        <v>12039</v>
      </c>
      <c r="AF475" s="541"/>
      <c r="AG475" s="400"/>
      <c r="AH475" s="380" t="s">
        <v>1205</v>
      </c>
      <c r="AI475" s="576" t="str">
        <f>VLOOKUP(Complete[[#This Row],[Code
(PAP)]],[1]Sheet1!$A:$AO,35,FALSE)</f>
        <v>N/A</v>
      </c>
      <c r="AJ475" s="576" t="str">
        <f>VLOOKUP(Complete[[#This Row],[Code
(PAP)]],[1]Sheet1!$A:$AO,36,FALSE)</f>
        <v>N/A</v>
      </c>
      <c r="AK475" s="576" t="str">
        <f>VLOOKUP(Complete[[#This Row],[Code
(PAP)]],[1]Sheet1!$A:$AO,37,FALSE)</f>
        <v>N/A</v>
      </c>
      <c r="AL475" s="576" t="str">
        <f>VLOOKUP(Complete[[#This Row],[Code
(PAP)]],[1]Sheet1!$A:$AO,38,FALSE)</f>
        <v>N/A</v>
      </c>
      <c r="AM475" s="576" t="str">
        <f>VLOOKUP(Complete[[#This Row],[Code
(PAP)]],[1]Sheet1!$A:$AO,38,FALSE)</f>
        <v>N/A</v>
      </c>
      <c r="AN475" s="595" t="s">
        <v>713</v>
      </c>
      <c r="AO475" s="303" t="s">
        <v>139</v>
      </c>
      <c r="AP475" s="389"/>
      <c r="AQ475" s="389"/>
    </row>
    <row r="476" spans="1:43" s="224" customFormat="1" ht="75" customHeight="1" x14ac:dyDescent="0.25">
      <c r="A476" s="385" t="s">
        <v>654</v>
      </c>
      <c r="B476" s="406" t="str">
        <f>VLOOKUP(Complete[[#This Row],[Code
(PAP)]],[1]Sheet1!$A:$AO,2,FALSE)</f>
        <v>SPAREPARTS (LIGHT VEHICLES)</v>
      </c>
      <c r="C476" s="408" t="str">
        <f>VLOOKUP(Complete[[#This Row],[Code
(PAP)]],[1]Sheet1!$A:$AO,3,FALSE)</f>
        <v>PGSO</v>
      </c>
      <c r="D476" s="380" t="s">
        <v>712</v>
      </c>
      <c r="E476" s="409" t="str">
        <f>VLOOKUP(Complete[[#This Row],[Code
(PAP)]],[2]Sheet1!$A:$AO,5,FALSE)</f>
        <v>NP-53.9 - Small Value Procurement</v>
      </c>
      <c r="F476" s="393">
        <f>VLOOKUP(Complete[[#This Row],[Code
(PAP)]],[1]Sheet1!$A:$AO,6,FALSE)</f>
        <v>45398</v>
      </c>
      <c r="G476" s="393">
        <f>VLOOKUP(Complete[[#This Row],[Code
(PAP)]],[1]Sheet1!$A:$AO,7,FALSE)</f>
        <v>45404</v>
      </c>
      <c r="H476" s="374"/>
      <c r="I476" s="394" t="str">
        <f>VLOOKUP(Complete[[#This Row],[Code
(PAP)]],[1]Sheet1!$A:$AO,9,FALSE)</f>
        <v>N/A</v>
      </c>
      <c r="J476" s="393">
        <f>VLOOKUP(Complete[[#This Row],[Code
(PAP)]],[1]Sheet1!$A:$AO,10,FALSE)</f>
        <v>45421</v>
      </c>
      <c r="K476" s="393">
        <f>VLOOKUP(Complete[[#This Row],[Code
(PAP)]],[1]Sheet1!$A:$AO,11,FALSE)</f>
        <v>45421</v>
      </c>
      <c r="L476" s="387"/>
      <c r="M476" s="393" t="str">
        <f>VLOOKUP(Complete[[#This Row],[Code
(PAP)]],[1]Sheet1!$A:$AO,13,FALSE)</f>
        <v>N/A</v>
      </c>
      <c r="N476" s="393" t="str">
        <f>VLOOKUP(Complete[[#This Row],[Code
(PAP)]],[1]Sheet1!$A:$AO,14,FALSE)</f>
        <v>N/A</v>
      </c>
      <c r="O476" s="393">
        <f>VLOOKUP(Complete[[#This Row],[Code
(PAP)]],[1]Sheet1!$A:$AO,15,FALSE)</f>
        <v>45425</v>
      </c>
      <c r="P476" s="387"/>
      <c r="Q476" s="387"/>
      <c r="R476" s="387"/>
      <c r="S476" s="576" t="s">
        <v>713</v>
      </c>
      <c r="T476" s="576">
        <f>VLOOKUP(Complete[[#This Row],[Code
(PAP)]],[1]Sheet1!$A:$AO,20,FALSE)</f>
        <v>45434</v>
      </c>
      <c r="U476" s="576">
        <f>VLOOKUP(Complete[[#This Row],[Code
(PAP)]],[1]Sheet1!$A:$AO,21,FALSE)</f>
        <v>45450</v>
      </c>
      <c r="V476" s="387"/>
      <c r="W476" s="387"/>
      <c r="X476" s="392">
        <f>VLOOKUP(Complete[[#This Row],[Code
(PAP)]],[1]Sheet1!$A:$AO,24,FALSE)</f>
        <v>45457</v>
      </c>
      <c r="Y476" s="392">
        <f>Complete[[#This Row],[Delivery/ Completion]]</f>
        <v>45457</v>
      </c>
      <c r="Z476" s="610" t="s">
        <v>1478</v>
      </c>
      <c r="AA476" s="462">
        <f>Complete[[#This Row],[MOOE]]+Complete[[#This Row],[CO]]</f>
        <v>4730</v>
      </c>
      <c r="AB476" s="466">
        <v>4730</v>
      </c>
      <c r="AC476" s="497"/>
      <c r="AD476" s="498">
        <f>IF(Complete[[#This Row],[Procurement Project]]="","",SUM(Complete[[#This Row],[MOOE2]]+Complete[[#This Row],[CO3]]))</f>
        <v>4300</v>
      </c>
      <c r="AE476" s="501">
        <v>4300</v>
      </c>
      <c r="AF476" s="541"/>
      <c r="AG476" s="400"/>
      <c r="AH476" s="380" t="s">
        <v>1205</v>
      </c>
      <c r="AI476" s="576" t="str">
        <f>VLOOKUP(Complete[[#This Row],[Code
(PAP)]],[1]Sheet1!$A:$AO,35,FALSE)</f>
        <v>N/A</v>
      </c>
      <c r="AJ476" s="576" t="str">
        <f>VLOOKUP(Complete[[#This Row],[Code
(PAP)]],[1]Sheet1!$A:$AO,36,FALSE)</f>
        <v>N/A</v>
      </c>
      <c r="AK476" s="576" t="str">
        <f>VLOOKUP(Complete[[#This Row],[Code
(PAP)]],[1]Sheet1!$A:$AO,37,FALSE)</f>
        <v>N/A</v>
      </c>
      <c r="AL476" s="576" t="str">
        <f>VLOOKUP(Complete[[#This Row],[Code
(PAP)]],[1]Sheet1!$A:$AO,38,FALSE)</f>
        <v>N/A</v>
      </c>
      <c r="AM476" s="576" t="str">
        <f>VLOOKUP(Complete[[#This Row],[Code
(PAP)]],[1]Sheet1!$A:$AO,38,FALSE)</f>
        <v>N/A</v>
      </c>
      <c r="AN476" s="595" t="s">
        <v>713</v>
      </c>
      <c r="AO476" s="303" t="s">
        <v>139</v>
      </c>
      <c r="AP476" s="389"/>
      <c r="AQ476" s="389"/>
    </row>
    <row r="477" spans="1:43" s="224" customFormat="1" ht="75" customHeight="1" x14ac:dyDescent="0.25">
      <c r="A477" s="385" t="s">
        <v>655</v>
      </c>
      <c r="B477" s="406" t="str">
        <f>VLOOKUP(Complete[[#This Row],[Code
(PAP)]],[1]Sheet1!$A:$AO,2,FALSE)</f>
        <v>SPAREPARTS (LIGHT VEHICLES)</v>
      </c>
      <c r="C477" s="408" t="str">
        <f>VLOOKUP(Complete[[#This Row],[Code
(PAP)]],[1]Sheet1!$A:$AO,3,FALSE)</f>
        <v>PGSO</v>
      </c>
      <c r="D477" s="380" t="s">
        <v>712</v>
      </c>
      <c r="E477" s="409" t="str">
        <f>VLOOKUP(Complete[[#This Row],[Code
(PAP)]],[2]Sheet1!$A:$AO,5,FALSE)</f>
        <v>NP-53.9 - Small Value Procurement</v>
      </c>
      <c r="F477" s="393">
        <f>VLOOKUP(Complete[[#This Row],[Code
(PAP)]],[1]Sheet1!$A:$AO,6,FALSE)</f>
        <v>45398</v>
      </c>
      <c r="G477" s="393">
        <f>VLOOKUP(Complete[[#This Row],[Code
(PAP)]],[1]Sheet1!$A:$AO,7,FALSE)</f>
        <v>45404</v>
      </c>
      <c r="H477" s="374"/>
      <c r="I477" s="394" t="str">
        <f>VLOOKUP(Complete[[#This Row],[Code
(PAP)]],[1]Sheet1!$A:$AO,9,FALSE)</f>
        <v>N/A</v>
      </c>
      <c r="J477" s="393">
        <f>VLOOKUP(Complete[[#This Row],[Code
(PAP)]],[1]Sheet1!$A:$AO,10,FALSE)</f>
        <v>45421</v>
      </c>
      <c r="K477" s="393">
        <f>VLOOKUP(Complete[[#This Row],[Code
(PAP)]],[1]Sheet1!$A:$AO,11,FALSE)</f>
        <v>45421</v>
      </c>
      <c r="L477" s="387"/>
      <c r="M477" s="393" t="str">
        <f>VLOOKUP(Complete[[#This Row],[Code
(PAP)]],[1]Sheet1!$A:$AO,13,FALSE)</f>
        <v>N/A</v>
      </c>
      <c r="N477" s="393" t="str">
        <f>VLOOKUP(Complete[[#This Row],[Code
(PAP)]],[1]Sheet1!$A:$AO,14,FALSE)</f>
        <v>N/A</v>
      </c>
      <c r="O477" s="393">
        <f>VLOOKUP(Complete[[#This Row],[Code
(PAP)]],[1]Sheet1!$A:$AO,15,FALSE)</f>
        <v>45425</v>
      </c>
      <c r="P477" s="387"/>
      <c r="Q477" s="387"/>
      <c r="R477" s="387"/>
      <c r="S477" s="576" t="s">
        <v>713</v>
      </c>
      <c r="T477" s="576">
        <f>VLOOKUP(Complete[[#This Row],[Code
(PAP)]],[1]Sheet1!$A:$AO,20,FALSE)</f>
        <v>45434</v>
      </c>
      <c r="U477" s="576">
        <f>VLOOKUP(Complete[[#This Row],[Code
(PAP)]],[1]Sheet1!$A:$AO,21,FALSE)</f>
        <v>45450</v>
      </c>
      <c r="V477" s="387"/>
      <c r="W477" s="387"/>
      <c r="X477" s="392">
        <f>VLOOKUP(Complete[[#This Row],[Code
(PAP)]],[1]Sheet1!$A:$AO,24,FALSE)</f>
        <v>45461</v>
      </c>
      <c r="Y477" s="392">
        <f>Complete[[#This Row],[Delivery/ Completion]]</f>
        <v>45461</v>
      </c>
      <c r="Z477" s="610" t="s">
        <v>1478</v>
      </c>
      <c r="AA477" s="462">
        <f>Complete[[#This Row],[MOOE]]+Complete[[#This Row],[CO]]</f>
        <v>14085</v>
      </c>
      <c r="AB477" s="466">
        <v>14085</v>
      </c>
      <c r="AC477" s="497"/>
      <c r="AD477" s="498">
        <f>IF(Complete[[#This Row],[Procurement Project]]="","",SUM(Complete[[#This Row],[MOOE2]]+Complete[[#This Row],[CO3]]))</f>
        <v>12600</v>
      </c>
      <c r="AE477" s="501">
        <v>12600</v>
      </c>
      <c r="AF477" s="541"/>
      <c r="AG477" s="400"/>
      <c r="AH477" s="380" t="s">
        <v>1205</v>
      </c>
      <c r="AI477" s="576" t="str">
        <f>VLOOKUP(Complete[[#This Row],[Code
(PAP)]],[1]Sheet1!$A:$AO,35,FALSE)</f>
        <v>N/A</v>
      </c>
      <c r="AJ477" s="576" t="str">
        <f>VLOOKUP(Complete[[#This Row],[Code
(PAP)]],[1]Sheet1!$A:$AO,36,FALSE)</f>
        <v>N/A</v>
      </c>
      <c r="AK477" s="576" t="str">
        <f>VLOOKUP(Complete[[#This Row],[Code
(PAP)]],[1]Sheet1!$A:$AO,37,FALSE)</f>
        <v>N/A</v>
      </c>
      <c r="AL477" s="576" t="str">
        <f>VLOOKUP(Complete[[#This Row],[Code
(PAP)]],[1]Sheet1!$A:$AO,38,FALSE)</f>
        <v>N/A</v>
      </c>
      <c r="AM477" s="576" t="str">
        <f>VLOOKUP(Complete[[#This Row],[Code
(PAP)]],[1]Sheet1!$A:$AO,38,FALSE)</f>
        <v>N/A</v>
      </c>
      <c r="AN477" s="595" t="s">
        <v>713</v>
      </c>
      <c r="AO477" s="303" t="s">
        <v>139</v>
      </c>
      <c r="AP477" s="389"/>
      <c r="AQ477" s="389"/>
    </row>
    <row r="478" spans="1:43" s="224" customFormat="1" ht="75" customHeight="1" x14ac:dyDescent="0.25">
      <c r="A478" s="385" t="s">
        <v>656</v>
      </c>
      <c r="B478" s="406" t="str">
        <f>VLOOKUP(Complete[[#This Row],[Code
(PAP)]],[1]Sheet1!$A:$AO,2,FALSE)</f>
        <v>SPAREPARTS (MOTORCYCLE)</v>
      </c>
      <c r="C478" s="408" t="str">
        <f>VLOOKUP(Complete[[#This Row],[Code
(PAP)]],[1]Sheet1!$A:$AO,3,FALSE)</f>
        <v>PGSO</v>
      </c>
      <c r="D478" s="380" t="s">
        <v>712</v>
      </c>
      <c r="E478" s="409" t="str">
        <f>VLOOKUP(Complete[[#This Row],[Code
(PAP)]],[2]Sheet1!$A:$AO,5,FALSE)</f>
        <v>NP-53.9 - Small Value Procurement</v>
      </c>
      <c r="F478" s="393">
        <f>VLOOKUP(Complete[[#This Row],[Code
(PAP)]],[1]Sheet1!$A:$AO,6,FALSE)</f>
        <v>45398</v>
      </c>
      <c r="G478" s="393">
        <f>VLOOKUP(Complete[[#This Row],[Code
(PAP)]],[1]Sheet1!$A:$AO,7,FALSE)</f>
        <v>45404</v>
      </c>
      <c r="H478" s="374"/>
      <c r="I478" s="394" t="str">
        <f>VLOOKUP(Complete[[#This Row],[Code
(PAP)]],[1]Sheet1!$A:$AO,9,FALSE)</f>
        <v>N/A</v>
      </c>
      <c r="J478" s="393">
        <f>VLOOKUP(Complete[[#This Row],[Code
(PAP)]],[1]Sheet1!$A:$AO,10,FALSE)</f>
        <v>45421</v>
      </c>
      <c r="K478" s="393">
        <f>VLOOKUP(Complete[[#This Row],[Code
(PAP)]],[1]Sheet1!$A:$AO,11,FALSE)</f>
        <v>45421</v>
      </c>
      <c r="L478" s="387"/>
      <c r="M478" s="393" t="str">
        <f>VLOOKUP(Complete[[#This Row],[Code
(PAP)]],[1]Sheet1!$A:$AO,13,FALSE)</f>
        <v>N/A</v>
      </c>
      <c r="N478" s="393" t="str">
        <f>VLOOKUP(Complete[[#This Row],[Code
(PAP)]],[1]Sheet1!$A:$AO,14,FALSE)</f>
        <v>N/A</v>
      </c>
      <c r="O478" s="393">
        <f>VLOOKUP(Complete[[#This Row],[Code
(PAP)]],[1]Sheet1!$A:$AO,15,FALSE)</f>
        <v>45425</v>
      </c>
      <c r="P478" s="387"/>
      <c r="Q478" s="387"/>
      <c r="R478" s="387"/>
      <c r="S478" s="576" t="s">
        <v>713</v>
      </c>
      <c r="T478" s="576">
        <f>VLOOKUP(Complete[[#This Row],[Code
(PAP)]],[1]Sheet1!$A:$AO,20,FALSE)</f>
        <v>45434</v>
      </c>
      <c r="U478" s="576">
        <f>VLOOKUP(Complete[[#This Row],[Code
(PAP)]],[1]Sheet1!$A:$AO,21,FALSE)</f>
        <v>45449</v>
      </c>
      <c r="V478" s="387"/>
      <c r="W478" s="387"/>
      <c r="X478" s="392">
        <f>VLOOKUP(Complete[[#This Row],[Code
(PAP)]],[1]Sheet1!$A:$AO,24,FALSE)</f>
        <v>45461</v>
      </c>
      <c r="Y478" s="392">
        <f>Complete[[#This Row],[Delivery/ Completion]]</f>
        <v>45461</v>
      </c>
      <c r="Z478" s="610" t="s">
        <v>1478</v>
      </c>
      <c r="AA478" s="462">
        <f>Complete[[#This Row],[MOOE]]+Complete[[#This Row],[CO]]</f>
        <v>16250</v>
      </c>
      <c r="AB478" s="466">
        <v>16250</v>
      </c>
      <c r="AC478" s="497"/>
      <c r="AD478" s="498">
        <f>IF(Complete[[#This Row],[Procurement Project]]="","",SUM(Complete[[#This Row],[MOOE2]]+Complete[[#This Row],[CO3]]))</f>
        <v>16086</v>
      </c>
      <c r="AE478" s="501">
        <v>16086</v>
      </c>
      <c r="AF478" s="541"/>
      <c r="AG478" s="400"/>
      <c r="AH478" s="380" t="s">
        <v>1205</v>
      </c>
      <c r="AI478" s="576" t="str">
        <f>VLOOKUP(Complete[[#This Row],[Code
(PAP)]],[1]Sheet1!$A:$AO,35,FALSE)</f>
        <v>N/A</v>
      </c>
      <c r="AJ478" s="576" t="str">
        <f>VLOOKUP(Complete[[#This Row],[Code
(PAP)]],[1]Sheet1!$A:$AO,36,FALSE)</f>
        <v>N/A</v>
      </c>
      <c r="AK478" s="576" t="str">
        <f>VLOOKUP(Complete[[#This Row],[Code
(PAP)]],[1]Sheet1!$A:$AO,37,FALSE)</f>
        <v>N/A</v>
      </c>
      <c r="AL478" s="576" t="str">
        <f>VLOOKUP(Complete[[#This Row],[Code
(PAP)]],[1]Sheet1!$A:$AO,38,FALSE)</f>
        <v>N/A</v>
      </c>
      <c r="AM478" s="576" t="str">
        <f>VLOOKUP(Complete[[#This Row],[Code
(PAP)]],[1]Sheet1!$A:$AO,38,FALSE)</f>
        <v>N/A</v>
      </c>
      <c r="AN478" s="595" t="s">
        <v>713</v>
      </c>
      <c r="AO478" s="303" t="s">
        <v>139</v>
      </c>
      <c r="AP478" s="389"/>
      <c r="AQ478" s="389"/>
    </row>
    <row r="479" spans="1:43" s="224" customFormat="1" ht="75" customHeight="1" x14ac:dyDescent="0.25">
      <c r="A479" s="385" t="s">
        <v>657</v>
      </c>
      <c r="B479" s="406" t="str">
        <f>VLOOKUP(Complete[[#This Row],[Code
(PAP)]],[1]Sheet1!$A:$AO,2,FALSE)</f>
        <v>SPAREPARTS (LIGHT VEHICLES)</v>
      </c>
      <c r="C479" s="408" t="str">
        <f>VLOOKUP(Complete[[#This Row],[Code
(PAP)]],[1]Sheet1!$A:$AO,3,FALSE)</f>
        <v>PGSO</v>
      </c>
      <c r="D479" s="380" t="s">
        <v>712</v>
      </c>
      <c r="E479" s="409" t="str">
        <f>VLOOKUP(Complete[[#This Row],[Code
(PAP)]],[2]Sheet1!$A:$AO,5,FALSE)</f>
        <v>NP-53.9 - Small Value Procurement</v>
      </c>
      <c r="F479" s="393">
        <f>VLOOKUP(Complete[[#This Row],[Code
(PAP)]],[1]Sheet1!$A:$AO,6,FALSE)</f>
        <v>45398</v>
      </c>
      <c r="G479" s="393">
        <f>VLOOKUP(Complete[[#This Row],[Code
(PAP)]],[1]Sheet1!$A:$AO,7,FALSE)</f>
        <v>45404</v>
      </c>
      <c r="H479" s="374"/>
      <c r="I479" s="394" t="str">
        <f>VLOOKUP(Complete[[#This Row],[Code
(PAP)]],[1]Sheet1!$A:$AO,9,FALSE)</f>
        <v>N/A</v>
      </c>
      <c r="J479" s="393">
        <f>VLOOKUP(Complete[[#This Row],[Code
(PAP)]],[1]Sheet1!$A:$AO,10,FALSE)</f>
        <v>45421</v>
      </c>
      <c r="K479" s="393">
        <f>VLOOKUP(Complete[[#This Row],[Code
(PAP)]],[1]Sheet1!$A:$AO,11,FALSE)</f>
        <v>45421</v>
      </c>
      <c r="L479" s="387"/>
      <c r="M479" s="393" t="str">
        <f>VLOOKUP(Complete[[#This Row],[Code
(PAP)]],[1]Sheet1!$A:$AO,13,FALSE)</f>
        <v>N/A</v>
      </c>
      <c r="N479" s="393" t="str">
        <f>VLOOKUP(Complete[[#This Row],[Code
(PAP)]],[1]Sheet1!$A:$AO,14,FALSE)</f>
        <v>N/A</v>
      </c>
      <c r="O479" s="393">
        <f>VLOOKUP(Complete[[#This Row],[Code
(PAP)]],[1]Sheet1!$A:$AO,15,FALSE)</f>
        <v>45425</v>
      </c>
      <c r="P479" s="387"/>
      <c r="Q479" s="387"/>
      <c r="R479" s="387"/>
      <c r="S479" s="576" t="s">
        <v>713</v>
      </c>
      <c r="T479" s="576">
        <f>VLOOKUP(Complete[[#This Row],[Code
(PAP)]],[1]Sheet1!$A:$AO,20,FALSE)</f>
        <v>45434</v>
      </c>
      <c r="U479" s="576">
        <f>VLOOKUP(Complete[[#This Row],[Code
(PAP)]],[1]Sheet1!$A:$AO,21,FALSE)</f>
        <v>45450</v>
      </c>
      <c r="V479" s="387"/>
      <c r="W479" s="387"/>
      <c r="X479" s="392">
        <f>VLOOKUP(Complete[[#This Row],[Code
(PAP)]],[1]Sheet1!$A:$AO,24,FALSE)</f>
        <v>45461</v>
      </c>
      <c r="Y479" s="392">
        <f>Complete[[#This Row],[Delivery/ Completion]]</f>
        <v>45461</v>
      </c>
      <c r="Z479" s="610" t="s">
        <v>1478</v>
      </c>
      <c r="AA479" s="462">
        <f>Complete[[#This Row],[MOOE]]+Complete[[#This Row],[CO]]</f>
        <v>49830</v>
      </c>
      <c r="AB479" s="466">
        <v>49830</v>
      </c>
      <c r="AC479" s="497"/>
      <c r="AD479" s="498">
        <f>IF(Complete[[#This Row],[Procurement Project]]="","",SUM(Complete[[#This Row],[MOOE2]]+Complete[[#This Row],[CO3]]))</f>
        <v>42800</v>
      </c>
      <c r="AE479" s="501">
        <v>42800</v>
      </c>
      <c r="AF479" s="541"/>
      <c r="AG479" s="400"/>
      <c r="AH479" s="380" t="s">
        <v>1205</v>
      </c>
      <c r="AI479" s="576" t="str">
        <f>VLOOKUP(Complete[[#This Row],[Code
(PAP)]],[1]Sheet1!$A:$AO,35,FALSE)</f>
        <v>N/A</v>
      </c>
      <c r="AJ479" s="576" t="str">
        <f>VLOOKUP(Complete[[#This Row],[Code
(PAP)]],[1]Sheet1!$A:$AO,36,FALSE)</f>
        <v>N/A</v>
      </c>
      <c r="AK479" s="576" t="str">
        <f>VLOOKUP(Complete[[#This Row],[Code
(PAP)]],[1]Sheet1!$A:$AO,37,FALSE)</f>
        <v>N/A</v>
      </c>
      <c r="AL479" s="576" t="str">
        <f>VLOOKUP(Complete[[#This Row],[Code
(PAP)]],[1]Sheet1!$A:$AO,38,FALSE)</f>
        <v>N/A</v>
      </c>
      <c r="AM479" s="576" t="str">
        <f>VLOOKUP(Complete[[#This Row],[Code
(PAP)]],[1]Sheet1!$A:$AO,38,FALSE)</f>
        <v>N/A</v>
      </c>
      <c r="AN479" s="595" t="s">
        <v>713</v>
      </c>
      <c r="AO479" s="303" t="s">
        <v>139</v>
      </c>
      <c r="AP479" s="389"/>
      <c r="AQ479" s="389"/>
    </row>
    <row r="480" spans="1:43" s="224" customFormat="1" ht="75" customHeight="1" x14ac:dyDescent="0.25">
      <c r="A480" s="385" t="s">
        <v>658</v>
      </c>
      <c r="B480" s="406" t="str">
        <f>VLOOKUP(Complete[[#This Row],[Code
(PAP)]],[1]Sheet1!$A:$AO,2,FALSE)</f>
        <v>COMPUTER SUPPLIES/SPAREPARTS</v>
      </c>
      <c r="C480" s="408" t="str">
        <f>VLOOKUP(Complete[[#This Row],[Code
(PAP)]],[1]Sheet1!$A:$AO,3,FALSE)</f>
        <v>PTO</v>
      </c>
      <c r="D480" s="380" t="s">
        <v>712</v>
      </c>
      <c r="E480" s="409" t="str">
        <f>VLOOKUP(Complete[[#This Row],[Code
(PAP)]],[2]Sheet1!$A:$AO,5,FALSE)</f>
        <v>NP-53.9 - Small Value Procurement</v>
      </c>
      <c r="F480" s="393" t="str">
        <f>VLOOKUP(Complete[[#This Row],[Code
(PAP)]],[1]Sheet1!$A:$AO,6,FALSE)</f>
        <v>N/A</v>
      </c>
      <c r="G480" s="393">
        <f>VLOOKUP(Complete[[#This Row],[Code
(PAP)]],[1]Sheet1!$A:$AO,7,FALSE)</f>
        <v>45404</v>
      </c>
      <c r="H480" s="374"/>
      <c r="I480" s="394" t="str">
        <f>VLOOKUP(Complete[[#This Row],[Code
(PAP)]],[1]Sheet1!$A:$AO,9,FALSE)</f>
        <v>N/A</v>
      </c>
      <c r="J480" s="393">
        <f>VLOOKUP(Complete[[#This Row],[Code
(PAP)]],[1]Sheet1!$A:$AO,10,FALSE)</f>
        <v>45421</v>
      </c>
      <c r="K480" s="393">
        <f>VLOOKUP(Complete[[#This Row],[Code
(PAP)]],[1]Sheet1!$A:$AO,11,FALSE)</f>
        <v>45421</v>
      </c>
      <c r="L480" s="387"/>
      <c r="M480" s="393" t="str">
        <f>VLOOKUP(Complete[[#This Row],[Code
(PAP)]],[1]Sheet1!$A:$AO,13,FALSE)</f>
        <v>N/A</v>
      </c>
      <c r="N480" s="393" t="str">
        <f>VLOOKUP(Complete[[#This Row],[Code
(PAP)]],[1]Sheet1!$A:$AO,14,FALSE)</f>
        <v>N/A</v>
      </c>
      <c r="O480" s="393">
        <f>VLOOKUP(Complete[[#This Row],[Code
(PAP)]],[1]Sheet1!$A:$AO,15,FALSE)</f>
        <v>45425</v>
      </c>
      <c r="P480" s="387"/>
      <c r="Q480" s="387"/>
      <c r="R480" s="387"/>
      <c r="S480" s="576" t="s">
        <v>713</v>
      </c>
      <c r="T480" s="576">
        <f>VLOOKUP(Complete[[#This Row],[Code
(PAP)]],[1]Sheet1!$A:$AO,20,FALSE)</f>
        <v>45439</v>
      </c>
      <c r="U480" s="576">
        <f>VLOOKUP(Complete[[#This Row],[Code
(PAP)]],[1]Sheet1!$A:$AO,21,FALSE)</f>
        <v>45441</v>
      </c>
      <c r="V480" s="387"/>
      <c r="W480" s="387"/>
      <c r="X480" s="392">
        <f>VLOOKUP(Complete[[#This Row],[Code
(PAP)]],[1]Sheet1!$A:$AO,24,FALSE)</f>
        <v>45443</v>
      </c>
      <c r="Y480" s="392">
        <f>Complete[[#This Row],[Delivery/ Completion]]</f>
        <v>45443</v>
      </c>
      <c r="Z480" s="610" t="s">
        <v>1478</v>
      </c>
      <c r="AA480" s="462">
        <f>Complete[[#This Row],[MOOE]]+Complete[[#This Row],[CO]]</f>
        <v>11379</v>
      </c>
      <c r="AB480" s="466">
        <v>11379</v>
      </c>
      <c r="AC480" s="497"/>
      <c r="AD480" s="498">
        <f>IF(Complete[[#This Row],[Procurement Project]]="","",SUM(Complete[[#This Row],[MOOE2]]+Complete[[#This Row],[CO3]]))</f>
        <v>11100</v>
      </c>
      <c r="AE480" s="501">
        <v>11100</v>
      </c>
      <c r="AF480" s="541"/>
      <c r="AG480" s="400"/>
      <c r="AH480" s="380" t="s">
        <v>1205</v>
      </c>
      <c r="AI480" s="576" t="str">
        <f>VLOOKUP(Complete[[#This Row],[Code
(PAP)]],[1]Sheet1!$A:$AO,35,FALSE)</f>
        <v>N/A</v>
      </c>
      <c r="AJ480" s="576" t="str">
        <f>VLOOKUP(Complete[[#This Row],[Code
(PAP)]],[1]Sheet1!$A:$AO,36,FALSE)</f>
        <v>N/A</v>
      </c>
      <c r="AK480" s="576" t="str">
        <f>VLOOKUP(Complete[[#This Row],[Code
(PAP)]],[1]Sheet1!$A:$AO,37,FALSE)</f>
        <v>N/A</v>
      </c>
      <c r="AL480" s="576" t="str">
        <f>VLOOKUP(Complete[[#This Row],[Code
(PAP)]],[1]Sheet1!$A:$AO,38,FALSE)</f>
        <v>N/A</v>
      </c>
      <c r="AM480" s="576" t="str">
        <f>VLOOKUP(Complete[[#This Row],[Code
(PAP)]],[1]Sheet1!$A:$AO,38,FALSE)</f>
        <v>N/A</v>
      </c>
      <c r="AN480" s="595" t="s">
        <v>713</v>
      </c>
      <c r="AO480" s="303" t="s">
        <v>139</v>
      </c>
      <c r="AP480" s="389"/>
      <c r="AQ480" s="389"/>
    </row>
    <row r="481" spans="1:43" s="224" customFormat="1" ht="75" customHeight="1" x14ac:dyDescent="0.25">
      <c r="A481" s="385" t="s">
        <v>659</v>
      </c>
      <c r="B481" s="406" t="str">
        <f>VLOOKUP(Complete[[#This Row],[Code
(PAP)]],[1]Sheet1!$A:$AO,2,FALSE)</f>
        <v>SPAREPARTS (MOTORCYCLE)</v>
      </c>
      <c r="C481" s="408" t="str">
        <f>VLOOKUP(Complete[[#This Row],[Code
(PAP)]],[1]Sheet1!$A:$AO,3,FALSE)</f>
        <v>PGSO</v>
      </c>
      <c r="D481" s="380" t="s">
        <v>712</v>
      </c>
      <c r="E481" s="409" t="str">
        <f>VLOOKUP(Complete[[#This Row],[Code
(PAP)]],[2]Sheet1!$A:$AO,5,FALSE)</f>
        <v>NP-53.9 - Small Value Procurement</v>
      </c>
      <c r="F481" s="393">
        <f>VLOOKUP(Complete[[#This Row],[Code
(PAP)]],[1]Sheet1!$A:$AO,6,FALSE)</f>
        <v>45407</v>
      </c>
      <c r="G481" s="393">
        <f>VLOOKUP(Complete[[#This Row],[Code
(PAP)]],[1]Sheet1!$A:$AO,7,FALSE)</f>
        <v>45412</v>
      </c>
      <c r="H481" s="374"/>
      <c r="I481" s="394" t="str">
        <f>VLOOKUP(Complete[[#This Row],[Code
(PAP)]],[1]Sheet1!$A:$AO,9,FALSE)</f>
        <v>N/A</v>
      </c>
      <c r="J481" s="393">
        <f>VLOOKUP(Complete[[#This Row],[Code
(PAP)]],[1]Sheet1!$A:$AO,10,FALSE)</f>
        <v>45421</v>
      </c>
      <c r="K481" s="393">
        <f>VLOOKUP(Complete[[#This Row],[Code
(PAP)]],[1]Sheet1!$A:$AO,11,FALSE)</f>
        <v>45421</v>
      </c>
      <c r="L481" s="387"/>
      <c r="M481" s="393" t="str">
        <f>VLOOKUP(Complete[[#This Row],[Code
(PAP)]],[1]Sheet1!$A:$AO,13,FALSE)</f>
        <v>N/A</v>
      </c>
      <c r="N481" s="393" t="str">
        <f>VLOOKUP(Complete[[#This Row],[Code
(PAP)]],[1]Sheet1!$A:$AO,14,FALSE)</f>
        <v>N/A</v>
      </c>
      <c r="O481" s="393">
        <f>VLOOKUP(Complete[[#This Row],[Code
(PAP)]],[1]Sheet1!$A:$AO,15,FALSE)</f>
        <v>45425</v>
      </c>
      <c r="P481" s="387"/>
      <c r="Q481" s="387"/>
      <c r="R481" s="387"/>
      <c r="S481" s="576" t="s">
        <v>713</v>
      </c>
      <c r="T481" s="576">
        <f>VLOOKUP(Complete[[#This Row],[Code
(PAP)]],[1]Sheet1!$A:$AO,20,FALSE)</f>
        <v>45434</v>
      </c>
      <c r="U481" s="576">
        <f>VLOOKUP(Complete[[#This Row],[Code
(PAP)]],[1]Sheet1!$A:$AO,21,FALSE)</f>
        <v>45454</v>
      </c>
      <c r="V481" s="387"/>
      <c r="W481" s="387"/>
      <c r="X481" s="392">
        <f>VLOOKUP(Complete[[#This Row],[Code
(PAP)]],[1]Sheet1!$A:$AO,24,FALSE)</f>
        <v>45462</v>
      </c>
      <c r="Y481" s="392">
        <f>Complete[[#This Row],[Delivery/ Completion]]</f>
        <v>45462</v>
      </c>
      <c r="Z481" s="610" t="s">
        <v>1478</v>
      </c>
      <c r="AA481" s="462">
        <f>Complete[[#This Row],[MOOE]]+Complete[[#This Row],[CO]]</f>
        <v>9200</v>
      </c>
      <c r="AB481" s="466">
        <v>9200</v>
      </c>
      <c r="AC481" s="497"/>
      <c r="AD481" s="498">
        <f>IF(Complete[[#This Row],[Procurement Project]]="","",SUM(Complete[[#This Row],[MOOE2]]+Complete[[#This Row],[CO3]]))</f>
        <v>9200</v>
      </c>
      <c r="AE481" s="501">
        <v>9200</v>
      </c>
      <c r="AF481" s="541"/>
      <c r="AG481" s="400"/>
      <c r="AH481" s="380" t="s">
        <v>1205</v>
      </c>
      <c r="AI481" s="576" t="str">
        <f>VLOOKUP(Complete[[#This Row],[Code
(PAP)]],[1]Sheet1!$A:$AO,35,FALSE)</f>
        <v>N/A</v>
      </c>
      <c r="AJ481" s="576" t="str">
        <f>VLOOKUP(Complete[[#This Row],[Code
(PAP)]],[1]Sheet1!$A:$AO,36,FALSE)</f>
        <v>N/A</v>
      </c>
      <c r="AK481" s="576" t="str">
        <f>VLOOKUP(Complete[[#This Row],[Code
(PAP)]],[1]Sheet1!$A:$AO,37,FALSE)</f>
        <v>N/A</v>
      </c>
      <c r="AL481" s="576" t="str">
        <f>VLOOKUP(Complete[[#This Row],[Code
(PAP)]],[1]Sheet1!$A:$AO,38,FALSE)</f>
        <v>N/A</v>
      </c>
      <c r="AM481" s="576" t="str">
        <f>VLOOKUP(Complete[[#This Row],[Code
(PAP)]],[1]Sheet1!$A:$AO,38,FALSE)</f>
        <v>N/A</v>
      </c>
      <c r="AN481" s="595" t="s">
        <v>713</v>
      </c>
      <c r="AO481" s="303" t="s">
        <v>139</v>
      </c>
      <c r="AP481" s="389"/>
      <c r="AQ481" s="389"/>
    </row>
    <row r="482" spans="1:43" s="224" customFormat="1" ht="75" customHeight="1" x14ac:dyDescent="0.25">
      <c r="A482" s="385" t="s">
        <v>660</v>
      </c>
      <c r="B482" s="406" t="str">
        <f>VLOOKUP(Complete[[#This Row],[Code
(PAP)]],[1]Sheet1!$A:$AO,2,FALSE)</f>
        <v>SPAREPARTS (MOTORCYCLE)</v>
      </c>
      <c r="C482" s="408" t="str">
        <f>VLOOKUP(Complete[[#This Row],[Code
(PAP)]],[1]Sheet1!$A:$AO,3,FALSE)</f>
        <v>PGSO</v>
      </c>
      <c r="D482" s="380" t="s">
        <v>712</v>
      </c>
      <c r="E482" s="409" t="str">
        <f>VLOOKUP(Complete[[#This Row],[Code
(PAP)]],[2]Sheet1!$A:$AO,5,FALSE)</f>
        <v>NP-53.9 - Small Value Procurement</v>
      </c>
      <c r="F482" s="393">
        <f>VLOOKUP(Complete[[#This Row],[Code
(PAP)]],[1]Sheet1!$A:$AO,6,FALSE)</f>
        <v>45398</v>
      </c>
      <c r="G482" s="393">
        <f>VLOOKUP(Complete[[#This Row],[Code
(PAP)]],[1]Sheet1!$A:$AO,7,FALSE)</f>
        <v>45404</v>
      </c>
      <c r="H482" s="374"/>
      <c r="I482" s="394" t="str">
        <f>VLOOKUP(Complete[[#This Row],[Code
(PAP)]],[1]Sheet1!$A:$AO,9,FALSE)</f>
        <v>N/A</v>
      </c>
      <c r="J482" s="393">
        <f>VLOOKUP(Complete[[#This Row],[Code
(PAP)]],[1]Sheet1!$A:$AO,10,FALSE)</f>
        <v>45421</v>
      </c>
      <c r="K482" s="393">
        <f>VLOOKUP(Complete[[#This Row],[Code
(PAP)]],[1]Sheet1!$A:$AO,11,FALSE)</f>
        <v>45421</v>
      </c>
      <c r="L482" s="387"/>
      <c r="M482" s="393" t="str">
        <f>VLOOKUP(Complete[[#This Row],[Code
(PAP)]],[1]Sheet1!$A:$AO,13,FALSE)</f>
        <v>N/A</v>
      </c>
      <c r="N482" s="393" t="str">
        <f>VLOOKUP(Complete[[#This Row],[Code
(PAP)]],[1]Sheet1!$A:$AO,14,FALSE)</f>
        <v>N/A</v>
      </c>
      <c r="O482" s="393">
        <f>VLOOKUP(Complete[[#This Row],[Code
(PAP)]],[1]Sheet1!$A:$AO,15,FALSE)</f>
        <v>45425</v>
      </c>
      <c r="P482" s="387"/>
      <c r="Q482" s="387"/>
      <c r="R482" s="387"/>
      <c r="S482" s="576" t="s">
        <v>713</v>
      </c>
      <c r="T482" s="576">
        <f>VLOOKUP(Complete[[#This Row],[Code
(PAP)]],[1]Sheet1!$A:$AO,20,FALSE)</f>
        <v>45434</v>
      </c>
      <c r="U482" s="576">
        <f>VLOOKUP(Complete[[#This Row],[Code
(PAP)]],[1]Sheet1!$A:$AO,21,FALSE)</f>
        <v>45449</v>
      </c>
      <c r="V482" s="387"/>
      <c r="W482" s="387"/>
      <c r="X482" s="392">
        <f>VLOOKUP(Complete[[#This Row],[Code
(PAP)]],[1]Sheet1!$A:$AO,24,FALSE)</f>
        <v>45461</v>
      </c>
      <c r="Y482" s="392">
        <f>Complete[[#This Row],[Delivery/ Completion]]</f>
        <v>45461</v>
      </c>
      <c r="Z482" s="610" t="s">
        <v>1478</v>
      </c>
      <c r="AA482" s="462">
        <f>Complete[[#This Row],[MOOE]]+Complete[[#This Row],[CO]]</f>
        <v>1560</v>
      </c>
      <c r="AB482" s="466">
        <v>1560</v>
      </c>
      <c r="AC482" s="497"/>
      <c r="AD482" s="498">
        <f>IF(Complete[[#This Row],[Procurement Project]]="","",SUM(Complete[[#This Row],[MOOE2]]+Complete[[#This Row],[CO3]]))</f>
        <v>1540</v>
      </c>
      <c r="AE482" s="501">
        <v>1540</v>
      </c>
      <c r="AF482" s="541"/>
      <c r="AG482" s="400"/>
      <c r="AH482" s="380" t="s">
        <v>1205</v>
      </c>
      <c r="AI482" s="576" t="str">
        <f>VLOOKUP(Complete[[#This Row],[Code
(PAP)]],[1]Sheet1!$A:$AO,35,FALSE)</f>
        <v>N/A</v>
      </c>
      <c r="AJ482" s="576" t="str">
        <f>VLOOKUP(Complete[[#This Row],[Code
(PAP)]],[1]Sheet1!$A:$AO,36,FALSE)</f>
        <v>N/A</v>
      </c>
      <c r="AK482" s="576" t="str">
        <f>VLOOKUP(Complete[[#This Row],[Code
(PAP)]],[1]Sheet1!$A:$AO,37,FALSE)</f>
        <v>N/A</v>
      </c>
      <c r="AL482" s="576" t="str">
        <f>VLOOKUP(Complete[[#This Row],[Code
(PAP)]],[1]Sheet1!$A:$AO,38,FALSE)</f>
        <v>N/A</v>
      </c>
      <c r="AM482" s="576" t="str">
        <f>VLOOKUP(Complete[[#This Row],[Code
(PAP)]],[1]Sheet1!$A:$AO,38,FALSE)</f>
        <v>N/A</v>
      </c>
      <c r="AN482" s="595" t="s">
        <v>713</v>
      </c>
      <c r="AO482" s="303" t="s">
        <v>139</v>
      </c>
      <c r="AP482" s="389"/>
      <c r="AQ482" s="389"/>
    </row>
    <row r="483" spans="1:43" s="224" customFormat="1" ht="75" customHeight="1" x14ac:dyDescent="0.25">
      <c r="A483" s="385" t="s">
        <v>661</v>
      </c>
      <c r="B483" s="406" t="str">
        <f>VLOOKUP(Complete[[#This Row],[Code
(PAP)]],[1]Sheet1!$A:$AO,2,FALSE)</f>
        <v>DOGFOOD</v>
      </c>
      <c r="C483" s="408" t="str">
        <f>VLOOKUP(Complete[[#This Row],[Code
(PAP)]],[1]Sheet1!$A:$AO,3,FALSE)</f>
        <v>PGO</v>
      </c>
      <c r="D483" s="380" t="s">
        <v>712</v>
      </c>
      <c r="E483" s="409" t="str">
        <f>VLOOKUP(Complete[[#This Row],[Code
(PAP)]],[2]Sheet1!$A:$AO,5,FALSE)</f>
        <v>NP-53.9 - Small Value Procurement</v>
      </c>
      <c r="F483" s="393">
        <f>VLOOKUP(Complete[[#This Row],[Code
(PAP)]],[1]Sheet1!$A:$AO,6,FALSE)</f>
        <v>45384</v>
      </c>
      <c r="G483" s="393">
        <f>VLOOKUP(Complete[[#This Row],[Code
(PAP)]],[1]Sheet1!$A:$AO,7,FALSE)</f>
        <v>45390</v>
      </c>
      <c r="H483" s="374"/>
      <c r="I483" s="394" t="str">
        <f>VLOOKUP(Complete[[#This Row],[Code
(PAP)]],[1]Sheet1!$A:$AO,9,FALSE)</f>
        <v>N/A</v>
      </c>
      <c r="J483" s="393">
        <f>VLOOKUP(Complete[[#This Row],[Code
(PAP)]],[1]Sheet1!$A:$AO,10,FALSE)</f>
        <v>45421</v>
      </c>
      <c r="K483" s="393">
        <f>VLOOKUP(Complete[[#This Row],[Code
(PAP)]],[1]Sheet1!$A:$AO,11,FALSE)</f>
        <v>45421</v>
      </c>
      <c r="L483" s="387"/>
      <c r="M483" s="393" t="str">
        <f>VLOOKUP(Complete[[#This Row],[Code
(PAP)]],[1]Sheet1!$A:$AO,13,FALSE)</f>
        <v>N/A</v>
      </c>
      <c r="N483" s="393" t="str">
        <f>VLOOKUP(Complete[[#This Row],[Code
(PAP)]],[1]Sheet1!$A:$AO,14,FALSE)</f>
        <v>N/A</v>
      </c>
      <c r="O483" s="393">
        <f>VLOOKUP(Complete[[#This Row],[Code
(PAP)]],[1]Sheet1!$A:$AO,15,FALSE)</f>
        <v>45425</v>
      </c>
      <c r="P483" s="387"/>
      <c r="Q483" s="387"/>
      <c r="R483" s="387"/>
      <c r="S483" s="576" t="s">
        <v>713</v>
      </c>
      <c r="T483" s="576">
        <f>VLOOKUP(Complete[[#This Row],[Code
(PAP)]],[1]Sheet1!$A:$AO,20,FALSE)</f>
        <v>45434</v>
      </c>
      <c r="U483" s="576">
        <f>VLOOKUP(Complete[[#This Row],[Code
(PAP)]],[1]Sheet1!$A:$AO,21,FALSE)</f>
        <v>45446</v>
      </c>
      <c r="V483" s="387"/>
      <c r="W483" s="387"/>
      <c r="X483" s="392">
        <f>VLOOKUP(Complete[[#This Row],[Code
(PAP)]],[1]Sheet1!$A:$AO,24,FALSE)</f>
        <v>45457</v>
      </c>
      <c r="Y483" s="392">
        <f>Complete[[#This Row],[Delivery/ Completion]]</f>
        <v>45457</v>
      </c>
      <c r="Z483" s="610" t="s">
        <v>1478</v>
      </c>
      <c r="AA483" s="462">
        <f>Complete[[#This Row],[MOOE]]+Complete[[#This Row],[CO]]</f>
        <v>48840</v>
      </c>
      <c r="AB483" s="466"/>
      <c r="AC483" s="497">
        <v>48840</v>
      </c>
      <c r="AD483" s="498">
        <f>IF(Complete[[#This Row],[Procurement Project]]="","",SUM(Complete[[#This Row],[MOOE2]]+Complete[[#This Row],[CO3]]))</f>
        <v>44400</v>
      </c>
      <c r="AE483" s="501"/>
      <c r="AF483" s="541">
        <v>44400</v>
      </c>
      <c r="AG483" s="400"/>
      <c r="AH483" s="380" t="s">
        <v>1205</v>
      </c>
      <c r="AI483" s="576" t="str">
        <f>VLOOKUP(Complete[[#This Row],[Code
(PAP)]],[1]Sheet1!$A:$AO,35,FALSE)</f>
        <v>N/A</v>
      </c>
      <c r="AJ483" s="576" t="str">
        <f>VLOOKUP(Complete[[#This Row],[Code
(PAP)]],[1]Sheet1!$A:$AO,36,FALSE)</f>
        <v>N/A</v>
      </c>
      <c r="AK483" s="576" t="str">
        <f>VLOOKUP(Complete[[#This Row],[Code
(PAP)]],[1]Sheet1!$A:$AO,37,FALSE)</f>
        <v>N/A</v>
      </c>
      <c r="AL483" s="576" t="str">
        <f>VLOOKUP(Complete[[#This Row],[Code
(PAP)]],[1]Sheet1!$A:$AO,38,FALSE)</f>
        <v>N/A</v>
      </c>
      <c r="AM483" s="576" t="str">
        <f>VLOOKUP(Complete[[#This Row],[Code
(PAP)]],[1]Sheet1!$A:$AO,38,FALSE)</f>
        <v>N/A</v>
      </c>
      <c r="AN483" s="595" t="s">
        <v>713</v>
      </c>
      <c r="AO483" s="303" t="s">
        <v>139</v>
      </c>
      <c r="AP483" s="389"/>
      <c r="AQ483" s="389"/>
    </row>
    <row r="484" spans="1:43" s="224" customFormat="1" ht="75" customHeight="1" x14ac:dyDescent="0.25">
      <c r="A484" s="385" t="s">
        <v>662</v>
      </c>
      <c r="B484" s="406" t="str">
        <f>VLOOKUP(Complete[[#This Row],[Code
(PAP)]],[1]Sheet1!$A:$AO,2,FALSE)</f>
        <v>DRUGS AND MEDICINES</v>
      </c>
      <c r="C484" s="408" t="str">
        <f>VLOOKUP(Complete[[#This Row],[Code
(PAP)]],[1]Sheet1!$A:$AO,3,FALSE)</f>
        <v>PEEMO</v>
      </c>
      <c r="D484" s="380" t="s">
        <v>712</v>
      </c>
      <c r="E484" s="409" t="str">
        <f>VLOOKUP(Complete[[#This Row],[Code
(PAP)]],[2]Sheet1!$A:$AO,5,FALSE)</f>
        <v>NP-53.9 - Small Value Procurement</v>
      </c>
      <c r="F484" s="393">
        <f>VLOOKUP(Complete[[#This Row],[Code
(PAP)]],[1]Sheet1!$A:$AO,6,FALSE)</f>
        <v>45398</v>
      </c>
      <c r="G484" s="393">
        <f>VLOOKUP(Complete[[#This Row],[Code
(PAP)]],[1]Sheet1!$A:$AO,7,FALSE)</f>
        <v>45404</v>
      </c>
      <c r="H484" s="374"/>
      <c r="I484" s="394" t="str">
        <f>VLOOKUP(Complete[[#This Row],[Code
(PAP)]],[1]Sheet1!$A:$AO,9,FALSE)</f>
        <v>N/A</v>
      </c>
      <c r="J484" s="393">
        <f>VLOOKUP(Complete[[#This Row],[Code
(PAP)]],[1]Sheet1!$A:$AO,10,FALSE)</f>
        <v>45421</v>
      </c>
      <c r="K484" s="393">
        <f>VLOOKUP(Complete[[#This Row],[Code
(PAP)]],[1]Sheet1!$A:$AO,11,FALSE)</f>
        <v>45421</v>
      </c>
      <c r="L484" s="387"/>
      <c r="M484" s="393" t="str">
        <f>VLOOKUP(Complete[[#This Row],[Code
(PAP)]],[1]Sheet1!$A:$AO,13,FALSE)</f>
        <v>N/A</v>
      </c>
      <c r="N484" s="393" t="str">
        <f>VLOOKUP(Complete[[#This Row],[Code
(PAP)]],[1]Sheet1!$A:$AO,14,FALSE)</f>
        <v>N/A</v>
      </c>
      <c r="O484" s="393">
        <f>VLOOKUP(Complete[[#This Row],[Code
(PAP)]],[1]Sheet1!$A:$AO,15,FALSE)</f>
        <v>45425</v>
      </c>
      <c r="P484" s="387"/>
      <c r="Q484" s="387"/>
      <c r="R484" s="387"/>
      <c r="S484" s="576">
        <v>45426</v>
      </c>
      <c r="T484" s="576">
        <f>VLOOKUP(Complete[[#This Row],[Code
(PAP)]],[1]Sheet1!$A:$AO,20,FALSE)</f>
        <v>45436</v>
      </c>
      <c r="U484" s="576">
        <f>VLOOKUP(Complete[[#This Row],[Code
(PAP)]],[1]Sheet1!$A:$AO,21,FALSE)</f>
        <v>45441</v>
      </c>
      <c r="V484" s="387"/>
      <c r="W484" s="387"/>
      <c r="X484" s="392">
        <f>VLOOKUP(Complete[[#This Row],[Code
(PAP)]],[1]Sheet1!$A:$AO,24,FALSE)</f>
        <v>45448</v>
      </c>
      <c r="Y484" s="392">
        <f>Complete[[#This Row],[Delivery/ Completion]]</f>
        <v>45448</v>
      </c>
      <c r="Z484" s="610" t="s">
        <v>1478</v>
      </c>
      <c r="AA484" s="462">
        <f>Complete[[#This Row],[MOOE]]+Complete[[#This Row],[CO]]</f>
        <v>72000</v>
      </c>
      <c r="AB484" s="466">
        <v>72000</v>
      </c>
      <c r="AC484" s="497"/>
      <c r="AD484" s="498">
        <f>IF(Complete[[#This Row],[Procurement Project]]="","",SUM(Complete[[#This Row],[MOOE2]]+Complete[[#This Row],[CO3]]))</f>
        <v>59937</v>
      </c>
      <c r="AE484" s="501">
        <v>59937</v>
      </c>
      <c r="AF484" s="541"/>
      <c r="AG484" s="400"/>
      <c r="AH484" s="380" t="s">
        <v>1205</v>
      </c>
      <c r="AI484" s="576" t="str">
        <f>VLOOKUP(Complete[[#This Row],[Code
(PAP)]],[1]Sheet1!$A:$AO,35,FALSE)</f>
        <v>N/A</v>
      </c>
      <c r="AJ484" s="576" t="str">
        <f>VLOOKUP(Complete[[#This Row],[Code
(PAP)]],[1]Sheet1!$A:$AO,36,FALSE)</f>
        <v>N/A</v>
      </c>
      <c r="AK484" s="576" t="str">
        <f>VLOOKUP(Complete[[#This Row],[Code
(PAP)]],[1]Sheet1!$A:$AO,37,FALSE)</f>
        <v>N/A</v>
      </c>
      <c r="AL484" s="576" t="str">
        <f>VLOOKUP(Complete[[#This Row],[Code
(PAP)]],[1]Sheet1!$A:$AO,38,FALSE)</f>
        <v>N/A</v>
      </c>
      <c r="AM484" s="576" t="str">
        <f>VLOOKUP(Complete[[#This Row],[Code
(PAP)]],[1]Sheet1!$A:$AO,38,FALSE)</f>
        <v>N/A</v>
      </c>
      <c r="AN484" s="595" t="s">
        <v>713</v>
      </c>
      <c r="AO484" s="303" t="s">
        <v>139</v>
      </c>
      <c r="AP484" s="389"/>
      <c r="AQ484" s="389"/>
    </row>
    <row r="485" spans="1:43" s="224" customFormat="1" ht="75" customHeight="1" x14ac:dyDescent="0.25">
      <c r="A485" s="385" t="s">
        <v>663</v>
      </c>
      <c r="B485" s="406" t="str">
        <f>VLOOKUP(Complete[[#This Row],[Code
(PAP)]],[1]Sheet1!$A:$AO,2,FALSE)</f>
        <v>SPAREPARTS (MOTORCYCLE)</v>
      </c>
      <c r="C485" s="408" t="str">
        <f>VLOOKUP(Complete[[#This Row],[Code
(PAP)]],[1]Sheet1!$A:$AO,3,FALSE)</f>
        <v>PGSO</v>
      </c>
      <c r="D485" s="380" t="s">
        <v>712</v>
      </c>
      <c r="E485" s="409" t="str">
        <f>VLOOKUP(Complete[[#This Row],[Code
(PAP)]],[2]Sheet1!$A:$AO,5,FALSE)</f>
        <v>NP-53.9 - Small Value Procurement</v>
      </c>
      <c r="F485" s="393">
        <f>VLOOKUP(Complete[[#This Row],[Code
(PAP)]],[1]Sheet1!$A:$AO,6,FALSE)</f>
        <v>45407</v>
      </c>
      <c r="G485" s="393">
        <f>VLOOKUP(Complete[[#This Row],[Code
(PAP)]],[1]Sheet1!$A:$AO,7,FALSE)</f>
        <v>45412</v>
      </c>
      <c r="H485" s="374"/>
      <c r="I485" s="394" t="str">
        <f>VLOOKUP(Complete[[#This Row],[Code
(PAP)]],[1]Sheet1!$A:$AO,9,FALSE)</f>
        <v>N/A</v>
      </c>
      <c r="J485" s="393">
        <f>VLOOKUP(Complete[[#This Row],[Code
(PAP)]],[1]Sheet1!$A:$AO,10,FALSE)</f>
        <v>45421</v>
      </c>
      <c r="K485" s="393">
        <f>VLOOKUP(Complete[[#This Row],[Code
(PAP)]],[1]Sheet1!$A:$AO,11,FALSE)</f>
        <v>45421</v>
      </c>
      <c r="L485" s="387"/>
      <c r="M485" s="393" t="str">
        <f>VLOOKUP(Complete[[#This Row],[Code
(PAP)]],[1]Sheet1!$A:$AO,13,FALSE)</f>
        <v>N/A</v>
      </c>
      <c r="N485" s="393" t="str">
        <f>VLOOKUP(Complete[[#This Row],[Code
(PAP)]],[1]Sheet1!$A:$AO,14,FALSE)</f>
        <v>N/A</v>
      </c>
      <c r="O485" s="393">
        <f>VLOOKUP(Complete[[#This Row],[Code
(PAP)]],[1]Sheet1!$A:$AO,15,FALSE)</f>
        <v>45425</v>
      </c>
      <c r="P485" s="387"/>
      <c r="Q485" s="387"/>
      <c r="R485" s="387"/>
      <c r="S485" s="576" t="s">
        <v>713</v>
      </c>
      <c r="T485" s="576">
        <f>VLOOKUP(Complete[[#This Row],[Code
(PAP)]],[1]Sheet1!$A:$AO,20,FALSE)</f>
        <v>45434</v>
      </c>
      <c r="U485" s="576">
        <f>VLOOKUP(Complete[[#This Row],[Code
(PAP)]],[1]Sheet1!$A:$AO,21,FALSE)</f>
        <v>45454</v>
      </c>
      <c r="V485" s="387"/>
      <c r="W485" s="387"/>
      <c r="X485" s="392">
        <f>VLOOKUP(Complete[[#This Row],[Code
(PAP)]],[1]Sheet1!$A:$AO,24,FALSE)</f>
        <v>45462</v>
      </c>
      <c r="Y485" s="392">
        <f>Complete[[#This Row],[Delivery/ Completion]]</f>
        <v>45462</v>
      </c>
      <c r="Z485" s="610" t="s">
        <v>1478</v>
      </c>
      <c r="AA485" s="462">
        <f>Complete[[#This Row],[MOOE]]+Complete[[#This Row],[CO]]</f>
        <v>8800</v>
      </c>
      <c r="AB485" s="466">
        <v>8800</v>
      </c>
      <c r="AC485" s="497"/>
      <c r="AD485" s="498">
        <f>IF(Complete[[#This Row],[Procurement Project]]="","",SUM(Complete[[#This Row],[MOOE2]]+Complete[[#This Row],[CO3]]))</f>
        <v>8800</v>
      </c>
      <c r="AE485" s="501">
        <v>8800</v>
      </c>
      <c r="AF485" s="541"/>
      <c r="AG485" s="400"/>
      <c r="AH485" s="380" t="s">
        <v>1205</v>
      </c>
      <c r="AI485" s="576" t="str">
        <f>VLOOKUP(Complete[[#This Row],[Code
(PAP)]],[1]Sheet1!$A:$AO,35,FALSE)</f>
        <v>N/A</v>
      </c>
      <c r="AJ485" s="576" t="str">
        <f>VLOOKUP(Complete[[#This Row],[Code
(PAP)]],[1]Sheet1!$A:$AO,36,FALSE)</f>
        <v>N/A</v>
      </c>
      <c r="AK485" s="576" t="str">
        <f>VLOOKUP(Complete[[#This Row],[Code
(PAP)]],[1]Sheet1!$A:$AO,37,FALSE)</f>
        <v>N/A</v>
      </c>
      <c r="AL485" s="576" t="str">
        <f>VLOOKUP(Complete[[#This Row],[Code
(PAP)]],[1]Sheet1!$A:$AO,38,FALSE)</f>
        <v>N/A</v>
      </c>
      <c r="AM485" s="576" t="str">
        <f>VLOOKUP(Complete[[#This Row],[Code
(PAP)]],[1]Sheet1!$A:$AO,38,FALSE)</f>
        <v>N/A</v>
      </c>
      <c r="AN485" s="595" t="s">
        <v>713</v>
      </c>
      <c r="AO485" s="303" t="s">
        <v>139</v>
      </c>
      <c r="AP485" s="389"/>
      <c r="AQ485" s="389"/>
    </row>
    <row r="486" spans="1:43" s="224" customFormat="1" ht="75" customHeight="1" x14ac:dyDescent="0.25">
      <c r="A486" s="385" t="s">
        <v>664</v>
      </c>
      <c r="B486" s="406" t="str">
        <f>VLOOKUP(Complete[[#This Row],[Code
(PAP)]],[1]Sheet1!$A:$AO,2,FALSE)</f>
        <v>MEDALS</v>
      </c>
      <c r="C486" s="408" t="str">
        <f>VLOOKUP(Complete[[#This Row],[Code
(PAP)]],[1]Sheet1!$A:$AO,3,FALSE)</f>
        <v>PGO</v>
      </c>
      <c r="D486" s="380" t="s">
        <v>712</v>
      </c>
      <c r="E486" s="409" t="str">
        <f>VLOOKUP(Complete[[#This Row],[Code
(PAP)]],[2]Sheet1!$A:$AO,5,FALSE)</f>
        <v>NP-53.9 - Small Value Procurement</v>
      </c>
      <c r="F486" s="393">
        <f>VLOOKUP(Complete[[#This Row],[Code
(PAP)]],[1]Sheet1!$A:$AO,6,FALSE)</f>
        <v>45385</v>
      </c>
      <c r="G486" s="393">
        <f>VLOOKUP(Complete[[#This Row],[Code
(PAP)]],[1]Sheet1!$A:$AO,7,FALSE)</f>
        <v>45386</v>
      </c>
      <c r="H486" s="374"/>
      <c r="I486" s="394" t="str">
        <f>VLOOKUP(Complete[[#This Row],[Code
(PAP)]],[1]Sheet1!$A:$AO,9,FALSE)</f>
        <v>N/A</v>
      </c>
      <c r="J486" s="393">
        <f>VLOOKUP(Complete[[#This Row],[Code
(PAP)]],[1]Sheet1!$A:$AO,10,FALSE)</f>
        <v>45421</v>
      </c>
      <c r="K486" s="393">
        <f>VLOOKUP(Complete[[#This Row],[Code
(PAP)]],[1]Sheet1!$A:$AO,11,FALSE)</f>
        <v>45421</v>
      </c>
      <c r="L486" s="387"/>
      <c r="M486" s="393" t="str">
        <f>VLOOKUP(Complete[[#This Row],[Code
(PAP)]],[1]Sheet1!$A:$AO,13,FALSE)</f>
        <v>N/A</v>
      </c>
      <c r="N486" s="393" t="str">
        <f>VLOOKUP(Complete[[#This Row],[Code
(PAP)]],[1]Sheet1!$A:$AO,14,FALSE)</f>
        <v>N/A</v>
      </c>
      <c r="O486" s="393">
        <f>VLOOKUP(Complete[[#This Row],[Code
(PAP)]],[1]Sheet1!$A:$AO,15,FALSE)</f>
        <v>45425</v>
      </c>
      <c r="P486" s="387"/>
      <c r="Q486" s="387"/>
      <c r="R486" s="387"/>
      <c r="S486" s="576" t="s">
        <v>713</v>
      </c>
      <c r="T486" s="576">
        <f>VLOOKUP(Complete[[#This Row],[Code
(PAP)]],[1]Sheet1!$A:$AO,20,FALSE)</f>
        <v>45434</v>
      </c>
      <c r="U486" s="576">
        <f>VLOOKUP(Complete[[#This Row],[Code
(PAP)]],[1]Sheet1!$A:$AO,21,FALSE)</f>
        <v>45441</v>
      </c>
      <c r="V486" s="387"/>
      <c r="W486" s="387"/>
      <c r="X486" s="392">
        <f>VLOOKUP(Complete[[#This Row],[Code
(PAP)]],[1]Sheet1!$A:$AO,24,FALSE)</f>
        <v>45456</v>
      </c>
      <c r="Y486" s="392">
        <f>Complete[[#This Row],[Delivery/ Completion]]</f>
        <v>45456</v>
      </c>
      <c r="Z486" s="610" t="s">
        <v>1478</v>
      </c>
      <c r="AA486" s="462">
        <f>Complete[[#This Row],[MOOE]]+Complete[[#This Row],[CO]]</f>
        <v>22100</v>
      </c>
      <c r="AB486" s="466"/>
      <c r="AC486" s="497">
        <v>22100</v>
      </c>
      <c r="AD486" s="498">
        <f>IF(Complete[[#This Row],[Procurement Project]]="","",SUM(Complete[[#This Row],[MOOE2]]+Complete[[#This Row],[CO3]]))</f>
        <v>22100</v>
      </c>
      <c r="AE486" s="501"/>
      <c r="AF486" s="541">
        <v>22100</v>
      </c>
      <c r="AG486" s="400"/>
      <c r="AH486" s="380" t="s">
        <v>1205</v>
      </c>
      <c r="AI486" s="576" t="str">
        <f>VLOOKUP(Complete[[#This Row],[Code
(PAP)]],[1]Sheet1!$A:$AO,35,FALSE)</f>
        <v>N/A</v>
      </c>
      <c r="AJ486" s="576" t="str">
        <f>VLOOKUP(Complete[[#This Row],[Code
(PAP)]],[1]Sheet1!$A:$AO,36,FALSE)</f>
        <v>N/A</v>
      </c>
      <c r="AK486" s="576" t="str">
        <f>VLOOKUP(Complete[[#This Row],[Code
(PAP)]],[1]Sheet1!$A:$AO,37,FALSE)</f>
        <v>N/A</v>
      </c>
      <c r="AL486" s="576" t="str">
        <f>VLOOKUP(Complete[[#This Row],[Code
(PAP)]],[1]Sheet1!$A:$AO,38,FALSE)</f>
        <v>N/A</v>
      </c>
      <c r="AM486" s="576" t="str">
        <f>VLOOKUP(Complete[[#This Row],[Code
(PAP)]],[1]Sheet1!$A:$AO,38,FALSE)</f>
        <v>N/A</v>
      </c>
      <c r="AN486" s="595" t="s">
        <v>713</v>
      </c>
      <c r="AO486" s="303" t="s">
        <v>139</v>
      </c>
      <c r="AP486" s="389"/>
      <c r="AQ486" s="389"/>
    </row>
    <row r="487" spans="1:43" s="224" customFormat="1" ht="75" customHeight="1" x14ac:dyDescent="0.25">
      <c r="A487" s="385" t="s">
        <v>665</v>
      </c>
      <c r="B487" s="406" t="str">
        <f>VLOOKUP(Complete[[#This Row],[Code
(PAP)]],[1]Sheet1!$A:$AO,2,FALSE)</f>
        <v>SPAREPARTS (MOTORCYCLE)</v>
      </c>
      <c r="C487" s="408" t="str">
        <f>VLOOKUP(Complete[[#This Row],[Code
(PAP)]],[1]Sheet1!$A:$AO,3,FALSE)</f>
        <v>PGSO</v>
      </c>
      <c r="D487" s="380" t="s">
        <v>712</v>
      </c>
      <c r="E487" s="409" t="str">
        <f>VLOOKUP(Complete[[#This Row],[Code
(PAP)]],[2]Sheet1!$A:$AO,5,FALSE)</f>
        <v>NP-53.9 - Small Value Procurement</v>
      </c>
      <c r="F487" s="393">
        <f>VLOOKUP(Complete[[#This Row],[Code
(PAP)]],[1]Sheet1!$A:$AO,6,FALSE)</f>
        <v>45407</v>
      </c>
      <c r="G487" s="393">
        <f>VLOOKUP(Complete[[#This Row],[Code
(PAP)]],[1]Sheet1!$A:$AO,7,FALSE)</f>
        <v>45412</v>
      </c>
      <c r="H487" s="374"/>
      <c r="I487" s="394" t="str">
        <f>VLOOKUP(Complete[[#This Row],[Code
(PAP)]],[1]Sheet1!$A:$AO,9,FALSE)</f>
        <v>N/A</v>
      </c>
      <c r="J487" s="393">
        <f>VLOOKUP(Complete[[#This Row],[Code
(PAP)]],[1]Sheet1!$A:$AO,10,FALSE)</f>
        <v>45421</v>
      </c>
      <c r="K487" s="393">
        <f>VLOOKUP(Complete[[#This Row],[Code
(PAP)]],[1]Sheet1!$A:$AO,11,FALSE)</f>
        <v>45421</v>
      </c>
      <c r="L487" s="387"/>
      <c r="M487" s="393" t="str">
        <f>VLOOKUP(Complete[[#This Row],[Code
(PAP)]],[1]Sheet1!$A:$AO,13,FALSE)</f>
        <v>N/A</v>
      </c>
      <c r="N487" s="393" t="str">
        <f>VLOOKUP(Complete[[#This Row],[Code
(PAP)]],[1]Sheet1!$A:$AO,14,FALSE)</f>
        <v>N/A</v>
      </c>
      <c r="O487" s="393">
        <f>VLOOKUP(Complete[[#This Row],[Code
(PAP)]],[1]Sheet1!$A:$AO,15,FALSE)</f>
        <v>45425</v>
      </c>
      <c r="P487" s="387"/>
      <c r="Q487" s="387"/>
      <c r="R487" s="387"/>
      <c r="S487" s="576" t="s">
        <v>713</v>
      </c>
      <c r="T487" s="576">
        <f>VLOOKUP(Complete[[#This Row],[Code
(PAP)]],[1]Sheet1!$A:$AO,20,FALSE)</f>
        <v>45435</v>
      </c>
      <c r="U487" s="576">
        <f>VLOOKUP(Complete[[#This Row],[Code
(PAP)]],[1]Sheet1!$A:$AO,21,FALSE)</f>
        <v>45454</v>
      </c>
      <c r="V487" s="387"/>
      <c r="W487" s="387"/>
      <c r="X487" s="392">
        <f>VLOOKUP(Complete[[#This Row],[Code
(PAP)]],[1]Sheet1!$A:$AO,24,FALSE)</f>
        <v>45462</v>
      </c>
      <c r="Y487" s="392">
        <f>Complete[[#This Row],[Delivery/ Completion]]</f>
        <v>45462</v>
      </c>
      <c r="Z487" s="610" t="s">
        <v>1478</v>
      </c>
      <c r="AA487" s="462">
        <f>Complete[[#This Row],[MOOE]]+Complete[[#This Row],[CO]]</f>
        <v>2600</v>
      </c>
      <c r="AB487" s="466">
        <v>2600</v>
      </c>
      <c r="AC487" s="497"/>
      <c r="AD487" s="498">
        <f>IF(Complete[[#This Row],[Procurement Project]]="","",SUM(Complete[[#This Row],[MOOE2]]+Complete[[#This Row],[CO3]]))</f>
        <v>2600</v>
      </c>
      <c r="AE487" s="501">
        <v>2600</v>
      </c>
      <c r="AF487" s="541"/>
      <c r="AG487" s="400"/>
      <c r="AH487" s="380" t="s">
        <v>1205</v>
      </c>
      <c r="AI487" s="576" t="str">
        <f>VLOOKUP(Complete[[#This Row],[Code
(PAP)]],[1]Sheet1!$A:$AO,35,FALSE)</f>
        <v>N/A</v>
      </c>
      <c r="AJ487" s="576" t="str">
        <f>VLOOKUP(Complete[[#This Row],[Code
(PAP)]],[1]Sheet1!$A:$AO,36,FALSE)</f>
        <v>N/A</v>
      </c>
      <c r="AK487" s="576" t="str">
        <f>VLOOKUP(Complete[[#This Row],[Code
(PAP)]],[1]Sheet1!$A:$AO,37,FALSE)</f>
        <v>N/A</v>
      </c>
      <c r="AL487" s="576" t="str">
        <f>VLOOKUP(Complete[[#This Row],[Code
(PAP)]],[1]Sheet1!$A:$AO,38,FALSE)</f>
        <v>N/A</v>
      </c>
      <c r="AM487" s="576" t="str">
        <f>VLOOKUP(Complete[[#This Row],[Code
(PAP)]],[1]Sheet1!$A:$AO,38,FALSE)</f>
        <v>N/A</v>
      </c>
      <c r="AN487" s="595" t="s">
        <v>713</v>
      </c>
      <c r="AO487" s="303" t="s">
        <v>139</v>
      </c>
      <c r="AP487" s="389"/>
      <c r="AQ487" s="389"/>
    </row>
    <row r="488" spans="1:43" s="224" customFormat="1" ht="75" customHeight="1" x14ac:dyDescent="0.25">
      <c r="A488" s="385" t="s">
        <v>666</v>
      </c>
      <c r="B488" s="406" t="str">
        <f>VLOOKUP(Complete[[#This Row],[Code
(PAP)]],[1]Sheet1!$A:$AO,2,FALSE)</f>
        <v>OTHER SUPPLIES/MATERIALS (PRINTERS, COMPUTER SETS WITH COMPLETE ACCESSORIES</v>
      </c>
      <c r="C488" s="408" t="str">
        <f>VLOOKUP(Complete[[#This Row],[Code
(PAP)]],[1]Sheet1!$A:$AO,3,FALSE)</f>
        <v>PAO</v>
      </c>
      <c r="D488" s="380" t="s">
        <v>712</v>
      </c>
      <c r="E488" s="409" t="str">
        <f>VLOOKUP(Complete[[#This Row],[Code
(PAP)]],[2]Sheet1!$A:$AO,5,FALSE)</f>
        <v>NP-53.9 - Small Value Procurement</v>
      </c>
      <c r="F488" s="393" t="str">
        <f>VLOOKUP(Complete[[#This Row],[Code
(PAP)]],[1]Sheet1!$A:$AO,6,FALSE)</f>
        <v>N/A</v>
      </c>
      <c r="G488" s="393">
        <f>VLOOKUP(Complete[[#This Row],[Code
(PAP)]],[1]Sheet1!$A:$AO,7,FALSE)</f>
        <v>45404</v>
      </c>
      <c r="H488" s="374"/>
      <c r="I488" s="394" t="str">
        <f>VLOOKUP(Complete[[#This Row],[Code
(PAP)]],[1]Sheet1!$A:$AO,9,FALSE)</f>
        <v>N/A</v>
      </c>
      <c r="J488" s="393">
        <f>VLOOKUP(Complete[[#This Row],[Code
(PAP)]],[1]Sheet1!$A:$AO,10,FALSE)</f>
        <v>45421</v>
      </c>
      <c r="K488" s="393">
        <f>VLOOKUP(Complete[[#This Row],[Code
(PAP)]],[1]Sheet1!$A:$AO,11,FALSE)</f>
        <v>45421</v>
      </c>
      <c r="L488" s="387"/>
      <c r="M488" s="393" t="str">
        <f>VLOOKUP(Complete[[#This Row],[Code
(PAP)]],[1]Sheet1!$A:$AO,13,FALSE)</f>
        <v>N/A</v>
      </c>
      <c r="N488" s="393" t="str">
        <f>VLOOKUP(Complete[[#This Row],[Code
(PAP)]],[1]Sheet1!$A:$AO,14,FALSE)</f>
        <v>N/A</v>
      </c>
      <c r="O488" s="393">
        <f>VLOOKUP(Complete[[#This Row],[Code
(PAP)]],[1]Sheet1!$A:$AO,15,FALSE)</f>
        <v>45425</v>
      </c>
      <c r="P488" s="387"/>
      <c r="Q488" s="387"/>
      <c r="R488" s="387"/>
      <c r="S488" s="576">
        <v>45426</v>
      </c>
      <c r="T488" s="576">
        <f>VLOOKUP(Complete[[#This Row],[Code
(PAP)]],[1]Sheet1!$A:$AO,20,FALSE)</f>
        <v>45435</v>
      </c>
      <c r="U488" s="576">
        <f>VLOOKUP(Complete[[#This Row],[Code
(PAP)]],[1]Sheet1!$A:$AO,21,FALSE)</f>
        <v>45441</v>
      </c>
      <c r="V488" s="387"/>
      <c r="W488" s="387"/>
      <c r="X488" s="392">
        <f>VLOOKUP(Complete[[#This Row],[Code
(PAP)]],[1]Sheet1!$A:$AO,24,FALSE)</f>
        <v>45453</v>
      </c>
      <c r="Y488" s="392">
        <f>Complete[[#This Row],[Delivery/ Completion]]</f>
        <v>45453</v>
      </c>
      <c r="Z488" s="610" t="s">
        <v>1478</v>
      </c>
      <c r="AA488" s="462">
        <f>Complete[[#This Row],[MOOE]]+Complete[[#This Row],[CO]]</f>
        <v>217138</v>
      </c>
      <c r="AB488" s="466">
        <v>217138</v>
      </c>
      <c r="AC488" s="497"/>
      <c r="AD488" s="498">
        <f>IF(Complete[[#This Row],[Procurement Project]]="","",SUM(Complete[[#This Row],[MOOE2]]+Complete[[#This Row],[CO3]]))</f>
        <v>214232</v>
      </c>
      <c r="AE488" s="501">
        <v>214232</v>
      </c>
      <c r="AF488" s="541"/>
      <c r="AG488" s="400"/>
      <c r="AH488" s="380" t="s">
        <v>1205</v>
      </c>
      <c r="AI488" s="576" t="str">
        <f>VLOOKUP(Complete[[#This Row],[Code
(PAP)]],[1]Sheet1!$A:$AO,35,FALSE)</f>
        <v>N/A</v>
      </c>
      <c r="AJ488" s="576" t="str">
        <f>VLOOKUP(Complete[[#This Row],[Code
(PAP)]],[1]Sheet1!$A:$AO,36,FALSE)</f>
        <v>N/A</v>
      </c>
      <c r="AK488" s="576" t="str">
        <f>VLOOKUP(Complete[[#This Row],[Code
(PAP)]],[1]Sheet1!$A:$AO,37,FALSE)</f>
        <v>N/A</v>
      </c>
      <c r="AL488" s="576" t="str">
        <f>VLOOKUP(Complete[[#This Row],[Code
(PAP)]],[1]Sheet1!$A:$AO,38,FALSE)</f>
        <v>N/A</v>
      </c>
      <c r="AM488" s="576" t="str">
        <f>VLOOKUP(Complete[[#This Row],[Code
(PAP)]],[1]Sheet1!$A:$AO,38,FALSE)</f>
        <v>N/A</v>
      </c>
      <c r="AN488" s="595" t="s">
        <v>713</v>
      </c>
      <c r="AO488" s="303" t="s">
        <v>139</v>
      </c>
      <c r="AP488" s="389"/>
      <c r="AQ488" s="389"/>
    </row>
    <row r="489" spans="1:43" s="224" customFormat="1" ht="75" customHeight="1" x14ac:dyDescent="0.25">
      <c r="A489" s="385" t="s">
        <v>667</v>
      </c>
      <c r="B489" s="406" t="str">
        <f>VLOOKUP(Complete[[#This Row],[Code
(PAP)]],[1]Sheet1!$A:$AO,2,FALSE)</f>
        <v>HELMET</v>
      </c>
      <c r="C489" s="408" t="str">
        <f>VLOOKUP(Complete[[#This Row],[Code
(PAP)]],[1]Sheet1!$A:$AO,3,FALSE)</f>
        <v>PVO</v>
      </c>
      <c r="D489" s="380" t="s">
        <v>712</v>
      </c>
      <c r="E489" s="409" t="str">
        <f>VLOOKUP(Complete[[#This Row],[Code
(PAP)]],[2]Sheet1!$A:$AO,5,FALSE)</f>
        <v>NP-53.9 - Small Value Procurement</v>
      </c>
      <c r="F489" s="393" t="str">
        <f>VLOOKUP(Complete[[#This Row],[Code
(PAP)]],[1]Sheet1!$A:$AO,6,FALSE)</f>
        <v>N/A</v>
      </c>
      <c r="G489" s="393">
        <f>VLOOKUP(Complete[[#This Row],[Code
(PAP)]],[1]Sheet1!$A:$AO,7,FALSE)</f>
        <v>45404</v>
      </c>
      <c r="H489" s="374"/>
      <c r="I489" s="394" t="str">
        <f>VLOOKUP(Complete[[#This Row],[Code
(PAP)]],[1]Sheet1!$A:$AO,9,FALSE)</f>
        <v>N/A</v>
      </c>
      <c r="J489" s="393">
        <f>VLOOKUP(Complete[[#This Row],[Code
(PAP)]],[1]Sheet1!$A:$AO,10,FALSE)</f>
        <v>45421</v>
      </c>
      <c r="K489" s="393">
        <f>VLOOKUP(Complete[[#This Row],[Code
(PAP)]],[1]Sheet1!$A:$AO,11,FALSE)</f>
        <v>45421</v>
      </c>
      <c r="L489" s="387"/>
      <c r="M489" s="393" t="str">
        <f>VLOOKUP(Complete[[#This Row],[Code
(PAP)]],[1]Sheet1!$A:$AO,13,FALSE)</f>
        <v>N/A</v>
      </c>
      <c r="N489" s="393" t="str">
        <f>VLOOKUP(Complete[[#This Row],[Code
(PAP)]],[1]Sheet1!$A:$AO,14,FALSE)</f>
        <v>N/A</v>
      </c>
      <c r="O489" s="393">
        <f>VLOOKUP(Complete[[#This Row],[Code
(PAP)]],[1]Sheet1!$A:$AO,15,FALSE)</f>
        <v>45425</v>
      </c>
      <c r="P489" s="387"/>
      <c r="Q489" s="387"/>
      <c r="R489" s="387"/>
      <c r="S489" s="576">
        <v>45425</v>
      </c>
      <c r="T489" s="576">
        <f>VLOOKUP(Complete[[#This Row],[Code
(PAP)]],[1]Sheet1!$A:$AO,20,FALSE)</f>
        <v>45434</v>
      </c>
      <c r="U489" s="576">
        <f>VLOOKUP(Complete[[#This Row],[Code
(PAP)]],[1]Sheet1!$A:$AO,21,FALSE)</f>
        <v>45441</v>
      </c>
      <c r="V489" s="387"/>
      <c r="W489" s="387"/>
      <c r="X489" s="392">
        <f>VLOOKUP(Complete[[#This Row],[Code
(PAP)]],[1]Sheet1!$A:$AO,24,FALSE)</f>
        <v>45454</v>
      </c>
      <c r="Y489" s="392">
        <f>Complete[[#This Row],[Delivery/ Completion]]</f>
        <v>45454</v>
      </c>
      <c r="Z489" s="610" t="s">
        <v>1478</v>
      </c>
      <c r="AA489" s="462">
        <f>Complete[[#This Row],[MOOE]]+Complete[[#This Row],[CO]]</f>
        <v>11000</v>
      </c>
      <c r="AB489" s="466">
        <v>11000</v>
      </c>
      <c r="AC489" s="497"/>
      <c r="AD489" s="498">
        <f>IF(Complete[[#This Row],[Procurement Project]]="","",SUM(Complete[[#This Row],[MOOE2]]+Complete[[#This Row],[CO3]]))</f>
        <v>11000</v>
      </c>
      <c r="AE489" s="501">
        <v>11000</v>
      </c>
      <c r="AF489" s="541"/>
      <c r="AG489" s="400"/>
      <c r="AH489" s="380" t="s">
        <v>1205</v>
      </c>
      <c r="AI489" s="576" t="str">
        <f>VLOOKUP(Complete[[#This Row],[Code
(PAP)]],[1]Sheet1!$A:$AO,35,FALSE)</f>
        <v>N/A</v>
      </c>
      <c r="AJ489" s="576" t="str">
        <f>VLOOKUP(Complete[[#This Row],[Code
(PAP)]],[1]Sheet1!$A:$AO,36,FALSE)</f>
        <v>N/A</v>
      </c>
      <c r="AK489" s="576" t="str">
        <f>VLOOKUP(Complete[[#This Row],[Code
(PAP)]],[1]Sheet1!$A:$AO,37,FALSE)</f>
        <v>N/A</v>
      </c>
      <c r="AL489" s="576" t="str">
        <f>VLOOKUP(Complete[[#This Row],[Code
(PAP)]],[1]Sheet1!$A:$AO,38,FALSE)</f>
        <v>N/A</v>
      </c>
      <c r="AM489" s="576" t="str">
        <f>VLOOKUP(Complete[[#This Row],[Code
(PAP)]],[1]Sheet1!$A:$AO,38,FALSE)</f>
        <v>N/A</v>
      </c>
      <c r="AN489" s="595" t="s">
        <v>713</v>
      </c>
      <c r="AO489" s="303" t="s">
        <v>139</v>
      </c>
      <c r="AP489" s="389"/>
      <c r="AQ489" s="389"/>
    </row>
    <row r="490" spans="1:43" s="224" customFormat="1" ht="75" customHeight="1" x14ac:dyDescent="0.25">
      <c r="A490" s="385" t="s">
        <v>668</v>
      </c>
      <c r="B490" s="406" t="str">
        <f>VLOOKUP(Complete[[#This Row],[Code
(PAP)]],[1]Sheet1!$A:$AO,2,FALSE)</f>
        <v>LAPTOP &amp; COMPUTER SUPPLIES</v>
      </c>
      <c r="C490" s="408" t="str">
        <f>VLOOKUP(Complete[[#This Row],[Code
(PAP)]],[1]Sheet1!$A:$AO,3,FALSE)</f>
        <v>PVO</v>
      </c>
      <c r="D490" s="380" t="s">
        <v>712</v>
      </c>
      <c r="E490" s="409" t="str">
        <f>VLOOKUP(Complete[[#This Row],[Code
(PAP)]],[2]Sheet1!$A:$AO,5,FALSE)</f>
        <v>NP-53.9 - Small Value Procurement</v>
      </c>
      <c r="F490" s="393" t="str">
        <f>VLOOKUP(Complete[[#This Row],[Code
(PAP)]],[1]Sheet1!$A:$AO,6,FALSE)</f>
        <v>N/A</v>
      </c>
      <c r="G490" s="393">
        <f>VLOOKUP(Complete[[#This Row],[Code
(PAP)]],[1]Sheet1!$A:$AO,7,FALSE)</f>
        <v>45385</v>
      </c>
      <c r="H490" s="374"/>
      <c r="I490" s="394" t="str">
        <f>VLOOKUP(Complete[[#This Row],[Code
(PAP)]],[1]Sheet1!$A:$AO,9,FALSE)</f>
        <v>N/A</v>
      </c>
      <c r="J490" s="393">
        <f>VLOOKUP(Complete[[#This Row],[Code
(PAP)]],[1]Sheet1!$A:$AO,10,FALSE)</f>
        <v>45421</v>
      </c>
      <c r="K490" s="393">
        <f>VLOOKUP(Complete[[#This Row],[Code
(PAP)]],[1]Sheet1!$A:$AO,11,FALSE)</f>
        <v>45421</v>
      </c>
      <c r="L490" s="387"/>
      <c r="M490" s="393" t="str">
        <f>VLOOKUP(Complete[[#This Row],[Code
(PAP)]],[1]Sheet1!$A:$AO,13,FALSE)</f>
        <v>N/A</v>
      </c>
      <c r="N490" s="393" t="str">
        <f>VLOOKUP(Complete[[#This Row],[Code
(PAP)]],[1]Sheet1!$A:$AO,14,FALSE)</f>
        <v>N/A</v>
      </c>
      <c r="O490" s="393">
        <f>VLOOKUP(Complete[[#This Row],[Code
(PAP)]],[1]Sheet1!$A:$AO,15,FALSE)</f>
        <v>45425</v>
      </c>
      <c r="P490" s="387"/>
      <c r="Q490" s="387"/>
      <c r="R490" s="387"/>
      <c r="S490" s="576">
        <v>45429</v>
      </c>
      <c r="T490" s="576">
        <f>VLOOKUP(Complete[[#This Row],[Code
(PAP)]],[1]Sheet1!$A:$AO,20,FALSE)</f>
        <v>45434</v>
      </c>
      <c r="U490" s="576">
        <f>VLOOKUP(Complete[[#This Row],[Code
(PAP)]],[1]Sheet1!$A:$AO,21,FALSE)</f>
        <v>45446</v>
      </c>
      <c r="V490" s="387"/>
      <c r="W490" s="387"/>
      <c r="X490" s="392">
        <f>VLOOKUP(Complete[[#This Row],[Code
(PAP)]],[1]Sheet1!$A:$AO,24,FALSE)</f>
        <v>45450</v>
      </c>
      <c r="Y490" s="392">
        <f>Complete[[#This Row],[Delivery/ Completion]]</f>
        <v>45450</v>
      </c>
      <c r="Z490" s="610" t="s">
        <v>1478</v>
      </c>
      <c r="AA490" s="462">
        <f>Complete[[#This Row],[MOOE]]+Complete[[#This Row],[CO]]</f>
        <v>90242</v>
      </c>
      <c r="AB490" s="466">
        <v>90242</v>
      </c>
      <c r="AC490" s="497"/>
      <c r="AD490" s="498">
        <f>IF(Complete[[#This Row],[Procurement Project]]="","",SUM(Complete[[#This Row],[MOOE2]]+Complete[[#This Row],[CO3]]))</f>
        <v>74174</v>
      </c>
      <c r="AE490" s="501">
        <v>74174</v>
      </c>
      <c r="AF490" s="541"/>
      <c r="AG490" s="400"/>
      <c r="AH490" s="380" t="s">
        <v>1205</v>
      </c>
      <c r="AI490" s="576" t="str">
        <f>VLOOKUP(Complete[[#This Row],[Code
(PAP)]],[1]Sheet1!$A:$AO,35,FALSE)</f>
        <v>N/A</v>
      </c>
      <c r="AJ490" s="576" t="str">
        <f>VLOOKUP(Complete[[#This Row],[Code
(PAP)]],[1]Sheet1!$A:$AO,36,FALSE)</f>
        <v>N/A</v>
      </c>
      <c r="AK490" s="576" t="str">
        <f>VLOOKUP(Complete[[#This Row],[Code
(PAP)]],[1]Sheet1!$A:$AO,37,FALSE)</f>
        <v>N/A</v>
      </c>
      <c r="AL490" s="576" t="str">
        <f>VLOOKUP(Complete[[#This Row],[Code
(PAP)]],[1]Sheet1!$A:$AO,38,FALSE)</f>
        <v>N/A</v>
      </c>
      <c r="AM490" s="576" t="str">
        <f>VLOOKUP(Complete[[#This Row],[Code
(PAP)]],[1]Sheet1!$A:$AO,38,FALSE)</f>
        <v>N/A</v>
      </c>
      <c r="AN490" s="595" t="s">
        <v>713</v>
      </c>
      <c r="AO490" s="303" t="s">
        <v>139</v>
      </c>
      <c r="AP490" s="389"/>
      <c r="AQ490" s="389"/>
    </row>
    <row r="491" spans="1:43" s="224" customFormat="1" ht="75" customHeight="1" x14ac:dyDescent="0.25">
      <c r="A491" s="385" t="s">
        <v>669</v>
      </c>
      <c r="B491" s="406" t="str">
        <f>VLOOKUP(Complete[[#This Row],[Code
(PAP)]],[1]Sheet1!$A:$AO,2,FALSE)</f>
        <v>PICTURE FRAME</v>
      </c>
      <c r="C491" s="408" t="str">
        <f>VLOOKUP(Complete[[#This Row],[Code
(PAP)]],[1]Sheet1!$A:$AO,3,FALSE)</f>
        <v>PHO</v>
      </c>
      <c r="D491" s="380" t="s">
        <v>712</v>
      </c>
      <c r="E491" s="409" t="str">
        <f>VLOOKUP(Complete[[#This Row],[Code
(PAP)]],[2]Sheet1!$A:$AO,5,FALSE)</f>
        <v>NP-53.9 - Small Value Procurement</v>
      </c>
      <c r="F491" s="393" t="str">
        <f>VLOOKUP(Complete[[#This Row],[Code
(PAP)]],[1]Sheet1!$A:$AO,6,FALSE)</f>
        <v>N/A</v>
      </c>
      <c r="G491" s="393">
        <f>VLOOKUP(Complete[[#This Row],[Code
(PAP)]],[1]Sheet1!$A:$AO,7,FALSE)</f>
        <v>45404</v>
      </c>
      <c r="H491" s="374"/>
      <c r="I491" s="394" t="str">
        <f>VLOOKUP(Complete[[#This Row],[Code
(PAP)]],[1]Sheet1!$A:$AO,9,FALSE)</f>
        <v>N/A</v>
      </c>
      <c r="J491" s="393">
        <f>VLOOKUP(Complete[[#This Row],[Code
(PAP)]],[1]Sheet1!$A:$AO,10,FALSE)</f>
        <v>45421</v>
      </c>
      <c r="K491" s="393">
        <f>VLOOKUP(Complete[[#This Row],[Code
(PAP)]],[1]Sheet1!$A:$AO,11,FALSE)</f>
        <v>45421</v>
      </c>
      <c r="L491" s="387"/>
      <c r="M491" s="393" t="str">
        <f>VLOOKUP(Complete[[#This Row],[Code
(PAP)]],[1]Sheet1!$A:$AO,13,FALSE)</f>
        <v>N/A</v>
      </c>
      <c r="N491" s="393" t="str">
        <f>VLOOKUP(Complete[[#This Row],[Code
(PAP)]],[1]Sheet1!$A:$AO,14,FALSE)</f>
        <v>N/A</v>
      </c>
      <c r="O491" s="393">
        <f>VLOOKUP(Complete[[#This Row],[Code
(PAP)]],[1]Sheet1!$A:$AO,15,FALSE)</f>
        <v>45425</v>
      </c>
      <c r="P491" s="387"/>
      <c r="Q491" s="387"/>
      <c r="R491" s="387"/>
      <c r="S491" s="576" t="s">
        <v>713</v>
      </c>
      <c r="T491" s="576">
        <f>VLOOKUP(Complete[[#This Row],[Code
(PAP)]],[1]Sheet1!$A:$AO,20,FALSE)</f>
        <v>45434</v>
      </c>
      <c r="U491" s="576">
        <f>VLOOKUP(Complete[[#This Row],[Code
(PAP)]],[1]Sheet1!$A:$AO,21,FALSE)</f>
        <v>45441</v>
      </c>
      <c r="V491" s="387"/>
      <c r="W491" s="387"/>
      <c r="X491" s="392">
        <f>VLOOKUP(Complete[[#This Row],[Code
(PAP)]],[1]Sheet1!$A:$AO,24,FALSE)</f>
        <v>45450</v>
      </c>
      <c r="Y491" s="392">
        <f>Complete[[#This Row],[Delivery/ Completion]]</f>
        <v>45450</v>
      </c>
      <c r="Z491" s="610" t="s">
        <v>1478</v>
      </c>
      <c r="AA491" s="462">
        <f>Complete[[#This Row],[MOOE]]+Complete[[#This Row],[CO]]</f>
        <v>29750</v>
      </c>
      <c r="AB491" s="466"/>
      <c r="AC491" s="497">
        <v>29750</v>
      </c>
      <c r="AD491" s="498">
        <f>IF(Complete[[#This Row],[Procurement Project]]="","",SUM(Complete[[#This Row],[MOOE2]]+Complete[[#This Row],[CO3]]))</f>
        <v>29750</v>
      </c>
      <c r="AE491" s="501"/>
      <c r="AF491" s="541">
        <v>29750</v>
      </c>
      <c r="AG491" s="400"/>
      <c r="AH491" s="380" t="s">
        <v>1205</v>
      </c>
      <c r="AI491" s="576" t="str">
        <f>VLOOKUP(Complete[[#This Row],[Code
(PAP)]],[1]Sheet1!$A:$AO,35,FALSE)</f>
        <v>N/A</v>
      </c>
      <c r="AJ491" s="576" t="str">
        <f>VLOOKUP(Complete[[#This Row],[Code
(PAP)]],[1]Sheet1!$A:$AO,36,FALSE)</f>
        <v>N/A</v>
      </c>
      <c r="AK491" s="576" t="str">
        <f>VLOOKUP(Complete[[#This Row],[Code
(PAP)]],[1]Sheet1!$A:$AO,37,FALSE)</f>
        <v>N/A</v>
      </c>
      <c r="AL491" s="576" t="str">
        <f>VLOOKUP(Complete[[#This Row],[Code
(PAP)]],[1]Sheet1!$A:$AO,38,FALSE)</f>
        <v>N/A</v>
      </c>
      <c r="AM491" s="576" t="str">
        <f>VLOOKUP(Complete[[#This Row],[Code
(PAP)]],[1]Sheet1!$A:$AO,38,FALSE)</f>
        <v>N/A</v>
      </c>
      <c r="AN491" s="595" t="s">
        <v>713</v>
      </c>
      <c r="AO491" s="303" t="s">
        <v>139</v>
      </c>
      <c r="AP491" s="389"/>
      <c r="AQ491" s="389"/>
    </row>
    <row r="492" spans="1:43" s="224" customFormat="1" ht="75" customHeight="1" x14ac:dyDescent="0.25">
      <c r="A492" s="385" t="s">
        <v>670</v>
      </c>
      <c r="B492" s="406" t="str">
        <f>VLOOKUP(Complete[[#This Row],[Code
(PAP)]],[1]Sheet1!$A:$AO,2,FALSE)</f>
        <v>AGRICULTURAL SUPPLIES</v>
      </c>
      <c r="C492" s="408" t="str">
        <f>VLOOKUP(Complete[[#This Row],[Code
(PAP)]],[1]Sheet1!$A:$AO,3,FALSE)</f>
        <v>PAGRO</v>
      </c>
      <c r="D492" s="380" t="s">
        <v>712</v>
      </c>
      <c r="E492" s="409" t="str">
        <f>VLOOKUP(Complete[[#This Row],[Code
(PAP)]],[2]Sheet1!$A:$AO,5,FALSE)</f>
        <v>NP-53.9 - Small Value Procurement</v>
      </c>
      <c r="F492" s="393" t="str">
        <f>VLOOKUP(Complete[[#This Row],[Code
(PAP)]],[1]Sheet1!$A:$AO,6,FALSE)</f>
        <v>N/A</v>
      </c>
      <c r="G492" s="393">
        <f>VLOOKUP(Complete[[#This Row],[Code
(PAP)]],[1]Sheet1!$A:$AO,7,FALSE)</f>
        <v>45404</v>
      </c>
      <c r="H492" s="374"/>
      <c r="I492" s="394" t="str">
        <f>VLOOKUP(Complete[[#This Row],[Code
(PAP)]],[1]Sheet1!$A:$AO,9,FALSE)</f>
        <v>N/A</v>
      </c>
      <c r="J492" s="393">
        <f>VLOOKUP(Complete[[#This Row],[Code
(PAP)]],[1]Sheet1!$A:$AO,10,FALSE)</f>
        <v>45421</v>
      </c>
      <c r="K492" s="393">
        <f>VLOOKUP(Complete[[#This Row],[Code
(PAP)]],[1]Sheet1!$A:$AO,11,FALSE)</f>
        <v>45421</v>
      </c>
      <c r="L492" s="387"/>
      <c r="M492" s="393" t="str">
        <f>VLOOKUP(Complete[[#This Row],[Code
(PAP)]],[1]Sheet1!$A:$AO,13,FALSE)</f>
        <v>N/A</v>
      </c>
      <c r="N492" s="393" t="str">
        <f>VLOOKUP(Complete[[#This Row],[Code
(PAP)]],[1]Sheet1!$A:$AO,14,FALSE)</f>
        <v>N/A</v>
      </c>
      <c r="O492" s="393">
        <f>VLOOKUP(Complete[[#This Row],[Code
(PAP)]],[1]Sheet1!$A:$AO,15,FALSE)</f>
        <v>45425</v>
      </c>
      <c r="P492" s="387"/>
      <c r="Q492" s="387"/>
      <c r="R492" s="387"/>
      <c r="S492" s="576">
        <v>45428</v>
      </c>
      <c r="T492" s="576">
        <f>VLOOKUP(Complete[[#This Row],[Code
(PAP)]],[1]Sheet1!$A:$AO,20,FALSE)</f>
        <v>45434</v>
      </c>
      <c r="U492" s="576">
        <f>VLOOKUP(Complete[[#This Row],[Code
(PAP)]],[1]Sheet1!$A:$AO,21,FALSE)</f>
        <v>45448</v>
      </c>
      <c r="V492" s="387"/>
      <c r="W492" s="387"/>
      <c r="X492" s="392">
        <f>VLOOKUP(Complete[[#This Row],[Code
(PAP)]],[1]Sheet1!$A:$AO,24,FALSE)</f>
        <v>45469</v>
      </c>
      <c r="Y492" s="392">
        <f>Complete[[#This Row],[Delivery/ Completion]]</f>
        <v>45469</v>
      </c>
      <c r="Z492" s="610" t="s">
        <v>1478</v>
      </c>
      <c r="AA492" s="462">
        <f>Complete[[#This Row],[MOOE]]+Complete[[#This Row],[CO]]</f>
        <v>72764</v>
      </c>
      <c r="AB492" s="466"/>
      <c r="AC492" s="497">
        <v>72764</v>
      </c>
      <c r="AD492" s="498">
        <f>IF(Complete[[#This Row],[Procurement Project]]="","",SUM(Complete[[#This Row],[MOOE2]]+Complete[[#This Row],[CO3]]))</f>
        <v>71680</v>
      </c>
      <c r="AE492" s="501"/>
      <c r="AF492" s="541">
        <v>71680</v>
      </c>
      <c r="AG492" s="400"/>
      <c r="AH492" s="380" t="s">
        <v>1205</v>
      </c>
      <c r="AI492" s="576" t="str">
        <f>VLOOKUP(Complete[[#This Row],[Code
(PAP)]],[1]Sheet1!$A:$AO,35,FALSE)</f>
        <v>N/A</v>
      </c>
      <c r="AJ492" s="576" t="str">
        <f>VLOOKUP(Complete[[#This Row],[Code
(PAP)]],[1]Sheet1!$A:$AO,36,FALSE)</f>
        <v>N/A</v>
      </c>
      <c r="AK492" s="576" t="str">
        <f>VLOOKUP(Complete[[#This Row],[Code
(PAP)]],[1]Sheet1!$A:$AO,37,FALSE)</f>
        <v>N/A</v>
      </c>
      <c r="AL492" s="576" t="str">
        <f>VLOOKUP(Complete[[#This Row],[Code
(PAP)]],[1]Sheet1!$A:$AO,38,FALSE)</f>
        <v>N/A</v>
      </c>
      <c r="AM492" s="576" t="str">
        <f>VLOOKUP(Complete[[#This Row],[Code
(PAP)]],[1]Sheet1!$A:$AO,38,FALSE)</f>
        <v>N/A</v>
      </c>
      <c r="AN492" s="595" t="s">
        <v>713</v>
      </c>
      <c r="AO492" s="303" t="s">
        <v>139</v>
      </c>
      <c r="AP492" s="389"/>
      <c r="AQ492" s="389"/>
    </row>
    <row r="493" spans="1:43" s="224" customFormat="1" ht="75" customHeight="1" x14ac:dyDescent="0.25">
      <c r="A493" s="385" t="s">
        <v>671</v>
      </c>
      <c r="B493" s="406" t="str">
        <f>VLOOKUP(Complete[[#This Row],[Code
(PAP)]],[1]Sheet1!$A:$AO,2,FALSE)</f>
        <v>KITCHENWARE &amp; UTENSILS</v>
      </c>
      <c r="C493" s="408" t="str">
        <f>VLOOKUP(Complete[[#This Row],[Code
(PAP)]],[1]Sheet1!$A:$AO,3,FALSE)</f>
        <v>PAO</v>
      </c>
      <c r="D493" s="380" t="s">
        <v>712</v>
      </c>
      <c r="E493" s="409" t="str">
        <f>VLOOKUP(Complete[[#This Row],[Code
(PAP)]],[2]Sheet1!$A:$AO,5,FALSE)</f>
        <v>NP-53.9 - Small Value Procurement</v>
      </c>
      <c r="F493" s="393" t="str">
        <f>VLOOKUP(Complete[[#This Row],[Code
(PAP)]],[1]Sheet1!$A:$AO,6,FALSE)</f>
        <v>N/A</v>
      </c>
      <c r="G493" s="393">
        <f>VLOOKUP(Complete[[#This Row],[Code
(PAP)]],[1]Sheet1!$A:$AO,7,FALSE)</f>
        <v>45376</v>
      </c>
      <c r="H493" s="374"/>
      <c r="I493" s="394" t="str">
        <f>VLOOKUP(Complete[[#This Row],[Code
(PAP)]],[1]Sheet1!$A:$AO,9,FALSE)</f>
        <v>N/A</v>
      </c>
      <c r="J493" s="393">
        <f>VLOOKUP(Complete[[#This Row],[Code
(PAP)]],[1]Sheet1!$A:$AO,10,FALSE)</f>
        <v>45421</v>
      </c>
      <c r="K493" s="393">
        <f>VLOOKUP(Complete[[#This Row],[Code
(PAP)]],[1]Sheet1!$A:$AO,11,FALSE)</f>
        <v>45421</v>
      </c>
      <c r="L493" s="387"/>
      <c r="M493" s="393" t="str">
        <f>VLOOKUP(Complete[[#This Row],[Code
(PAP)]],[1]Sheet1!$A:$AO,13,FALSE)</f>
        <v>N/A</v>
      </c>
      <c r="N493" s="393" t="str">
        <f>VLOOKUP(Complete[[#This Row],[Code
(PAP)]],[1]Sheet1!$A:$AO,14,FALSE)</f>
        <v>N/A</v>
      </c>
      <c r="O493" s="393">
        <f>VLOOKUP(Complete[[#This Row],[Code
(PAP)]],[1]Sheet1!$A:$AO,15,FALSE)</f>
        <v>45425</v>
      </c>
      <c r="P493" s="387"/>
      <c r="Q493" s="387"/>
      <c r="R493" s="387"/>
      <c r="S493" s="576" t="s">
        <v>713</v>
      </c>
      <c r="T493" s="576">
        <f>VLOOKUP(Complete[[#This Row],[Code
(PAP)]],[1]Sheet1!$A:$AO,20,FALSE)</f>
        <v>45434</v>
      </c>
      <c r="U493" s="576">
        <f>VLOOKUP(Complete[[#This Row],[Code
(PAP)]],[1]Sheet1!$A:$AO,21,FALSE)</f>
        <v>45441</v>
      </c>
      <c r="V493" s="387"/>
      <c r="W493" s="387"/>
      <c r="X493" s="392">
        <f>VLOOKUP(Complete[[#This Row],[Code
(PAP)]],[1]Sheet1!$A:$AO,24,FALSE)</f>
        <v>45446</v>
      </c>
      <c r="Y493" s="392">
        <f>Complete[[#This Row],[Delivery/ Completion]]</f>
        <v>45446</v>
      </c>
      <c r="Z493" s="610" t="s">
        <v>1478</v>
      </c>
      <c r="AA493" s="462">
        <f>Complete[[#This Row],[MOOE]]+Complete[[#This Row],[CO]]</f>
        <v>15575</v>
      </c>
      <c r="AB493" s="466">
        <v>15575</v>
      </c>
      <c r="AC493" s="497"/>
      <c r="AD493" s="498">
        <f>IF(Complete[[#This Row],[Procurement Project]]="","",SUM(Complete[[#This Row],[MOOE2]]+Complete[[#This Row],[CO3]]))</f>
        <v>15508</v>
      </c>
      <c r="AE493" s="501">
        <v>15508</v>
      </c>
      <c r="AF493" s="541"/>
      <c r="AG493" s="400"/>
      <c r="AH493" s="380" t="s">
        <v>1205</v>
      </c>
      <c r="AI493" s="576" t="str">
        <f>VLOOKUP(Complete[[#This Row],[Code
(PAP)]],[1]Sheet1!$A:$AO,35,FALSE)</f>
        <v>N/A</v>
      </c>
      <c r="AJ493" s="576" t="str">
        <f>VLOOKUP(Complete[[#This Row],[Code
(PAP)]],[1]Sheet1!$A:$AO,36,FALSE)</f>
        <v>N/A</v>
      </c>
      <c r="AK493" s="576" t="str">
        <f>VLOOKUP(Complete[[#This Row],[Code
(PAP)]],[1]Sheet1!$A:$AO,37,FALSE)</f>
        <v>N/A</v>
      </c>
      <c r="AL493" s="576" t="str">
        <f>VLOOKUP(Complete[[#This Row],[Code
(PAP)]],[1]Sheet1!$A:$AO,38,FALSE)</f>
        <v>N/A</v>
      </c>
      <c r="AM493" s="576" t="str">
        <f>VLOOKUP(Complete[[#This Row],[Code
(PAP)]],[1]Sheet1!$A:$AO,38,FALSE)</f>
        <v>N/A</v>
      </c>
      <c r="AN493" s="595" t="s">
        <v>713</v>
      </c>
      <c r="AO493" s="303" t="s">
        <v>139</v>
      </c>
      <c r="AP493" s="389"/>
      <c r="AQ493" s="389"/>
    </row>
    <row r="494" spans="1:43" s="224" customFormat="1" ht="75" customHeight="1" x14ac:dyDescent="0.25">
      <c r="A494" s="385" t="s">
        <v>672</v>
      </c>
      <c r="B494" s="406" t="str">
        <f>VLOOKUP(Complete[[#This Row],[Code
(PAP)]],[1]Sheet1!$A:$AO,2,FALSE)</f>
        <v>SPAREPARTS (LIGHT VEHICLES)</v>
      </c>
      <c r="C494" s="408" t="str">
        <f>VLOOKUP(Complete[[#This Row],[Code
(PAP)]],[1]Sheet1!$A:$AO,3,FALSE)</f>
        <v>PGSO</v>
      </c>
      <c r="D494" s="380" t="s">
        <v>712</v>
      </c>
      <c r="E494" s="409" t="str">
        <f>VLOOKUP(Complete[[#This Row],[Code
(PAP)]],[2]Sheet1!$A:$AO,5,FALSE)</f>
        <v>NP-53.9 - Small Value Procurement</v>
      </c>
      <c r="F494" s="393">
        <f>VLOOKUP(Complete[[#This Row],[Code
(PAP)]],[1]Sheet1!$A:$AO,6,FALSE)</f>
        <v>45390</v>
      </c>
      <c r="G494" s="393">
        <f>VLOOKUP(Complete[[#This Row],[Code
(PAP)]],[1]Sheet1!$A:$AO,7,FALSE)</f>
        <v>45397</v>
      </c>
      <c r="H494" s="374"/>
      <c r="I494" s="394" t="str">
        <f>VLOOKUP(Complete[[#This Row],[Code
(PAP)]],[1]Sheet1!$A:$AO,9,FALSE)</f>
        <v>N/A</v>
      </c>
      <c r="J494" s="393">
        <f>VLOOKUP(Complete[[#This Row],[Code
(PAP)]],[1]Sheet1!$A:$AO,10,FALSE)</f>
        <v>45421</v>
      </c>
      <c r="K494" s="393">
        <f>VLOOKUP(Complete[[#This Row],[Code
(PAP)]],[1]Sheet1!$A:$AO,11,FALSE)</f>
        <v>45421</v>
      </c>
      <c r="L494" s="387"/>
      <c r="M494" s="393" t="str">
        <f>VLOOKUP(Complete[[#This Row],[Code
(PAP)]],[1]Sheet1!$A:$AO,13,FALSE)</f>
        <v>N/A</v>
      </c>
      <c r="N494" s="393" t="str">
        <f>VLOOKUP(Complete[[#This Row],[Code
(PAP)]],[1]Sheet1!$A:$AO,14,FALSE)</f>
        <v>N/A</v>
      </c>
      <c r="O494" s="393">
        <f>VLOOKUP(Complete[[#This Row],[Code
(PAP)]],[1]Sheet1!$A:$AO,15,FALSE)</f>
        <v>45425</v>
      </c>
      <c r="P494" s="387"/>
      <c r="Q494" s="387"/>
      <c r="R494" s="387"/>
      <c r="S494" s="576" t="s">
        <v>713</v>
      </c>
      <c r="T494" s="576">
        <f>VLOOKUP(Complete[[#This Row],[Code
(PAP)]],[1]Sheet1!$A:$AO,20,FALSE)</f>
        <v>45434</v>
      </c>
      <c r="U494" s="576">
        <f>VLOOKUP(Complete[[#This Row],[Code
(PAP)]],[1]Sheet1!$A:$AO,21,FALSE)</f>
        <v>45454</v>
      </c>
      <c r="V494" s="387"/>
      <c r="W494" s="387"/>
      <c r="X494" s="392">
        <f>VLOOKUP(Complete[[#This Row],[Code
(PAP)]],[1]Sheet1!$A:$AO,24,FALSE)</f>
        <v>45462</v>
      </c>
      <c r="Y494" s="392">
        <f>Complete[[#This Row],[Delivery/ Completion]]</f>
        <v>45462</v>
      </c>
      <c r="Z494" s="610" t="s">
        <v>1478</v>
      </c>
      <c r="AA494" s="462">
        <f>Complete[[#This Row],[MOOE]]+Complete[[#This Row],[CO]]</f>
        <v>45000</v>
      </c>
      <c r="AB494" s="466">
        <v>45000</v>
      </c>
      <c r="AC494" s="497"/>
      <c r="AD494" s="498">
        <f>IF(Complete[[#This Row],[Procurement Project]]="","",SUM(Complete[[#This Row],[MOOE2]]+Complete[[#This Row],[CO3]]))</f>
        <v>45000</v>
      </c>
      <c r="AE494" s="501">
        <v>45000</v>
      </c>
      <c r="AF494" s="541"/>
      <c r="AG494" s="400"/>
      <c r="AH494" s="380" t="s">
        <v>1205</v>
      </c>
      <c r="AI494" s="576" t="str">
        <f>VLOOKUP(Complete[[#This Row],[Code
(PAP)]],[1]Sheet1!$A:$AO,35,FALSE)</f>
        <v>N/A</v>
      </c>
      <c r="AJ494" s="576" t="str">
        <f>VLOOKUP(Complete[[#This Row],[Code
(PAP)]],[1]Sheet1!$A:$AO,36,FALSE)</f>
        <v>N/A</v>
      </c>
      <c r="AK494" s="576" t="str">
        <f>VLOOKUP(Complete[[#This Row],[Code
(PAP)]],[1]Sheet1!$A:$AO,37,FALSE)</f>
        <v>N/A</v>
      </c>
      <c r="AL494" s="576" t="str">
        <f>VLOOKUP(Complete[[#This Row],[Code
(PAP)]],[1]Sheet1!$A:$AO,38,FALSE)</f>
        <v>N/A</v>
      </c>
      <c r="AM494" s="576" t="str">
        <f>VLOOKUP(Complete[[#This Row],[Code
(PAP)]],[1]Sheet1!$A:$AO,38,FALSE)</f>
        <v>N/A</v>
      </c>
      <c r="AN494" s="595" t="s">
        <v>713</v>
      </c>
      <c r="AO494" s="303" t="s">
        <v>139</v>
      </c>
      <c r="AP494" s="389"/>
      <c r="AQ494" s="389"/>
    </row>
    <row r="495" spans="1:43" s="224" customFormat="1" ht="75" customHeight="1" x14ac:dyDescent="0.25">
      <c r="A495" s="385" t="s">
        <v>673</v>
      </c>
      <c r="B495" s="406" t="str">
        <f>VLOOKUP(Complete[[#This Row],[Code
(PAP)]],[1]Sheet1!$A:$AO,2,FALSE)</f>
        <v>DYNAMIC MICROPHONE &amp; PORTABLE OUTDOOR SPEAKER</v>
      </c>
      <c r="C495" s="408" t="str">
        <f>VLOOKUP(Complete[[#This Row],[Code
(PAP)]],[1]Sheet1!$A:$AO,3,FALSE)</f>
        <v>PVO</v>
      </c>
      <c r="D495" s="380" t="s">
        <v>712</v>
      </c>
      <c r="E495" s="409" t="str">
        <f>VLOOKUP(Complete[[#This Row],[Code
(PAP)]],[2]Sheet1!$A:$AO,5,FALSE)</f>
        <v>NP-53.9 - Small Value Procurement</v>
      </c>
      <c r="F495" s="393" t="str">
        <f>VLOOKUP(Complete[[#This Row],[Code
(PAP)]],[1]Sheet1!$A:$AO,6,FALSE)</f>
        <v>N/A</v>
      </c>
      <c r="G495" s="393">
        <f>VLOOKUP(Complete[[#This Row],[Code
(PAP)]],[1]Sheet1!$A:$AO,7,FALSE)</f>
        <v>45404</v>
      </c>
      <c r="H495" s="374"/>
      <c r="I495" s="394" t="str">
        <f>VLOOKUP(Complete[[#This Row],[Code
(PAP)]],[1]Sheet1!$A:$AO,9,FALSE)</f>
        <v>N/A</v>
      </c>
      <c r="J495" s="393">
        <f>VLOOKUP(Complete[[#This Row],[Code
(PAP)]],[1]Sheet1!$A:$AO,10,FALSE)</f>
        <v>45421</v>
      </c>
      <c r="K495" s="393">
        <f>VLOOKUP(Complete[[#This Row],[Code
(PAP)]],[1]Sheet1!$A:$AO,11,FALSE)</f>
        <v>45421</v>
      </c>
      <c r="L495" s="387"/>
      <c r="M495" s="393" t="str">
        <f>VLOOKUP(Complete[[#This Row],[Code
(PAP)]],[1]Sheet1!$A:$AO,13,FALSE)</f>
        <v>N/A</v>
      </c>
      <c r="N495" s="393" t="str">
        <f>VLOOKUP(Complete[[#This Row],[Code
(PAP)]],[1]Sheet1!$A:$AO,14,FALSE)</f>
        <v>N/A</v>
      </c>
      <c r="O495" s="393">
        <f>VLOOKUP(Complete[[#This Row],[Code
(PAP)]],[1]Sheet1!$A:$AO,15,FALSE)</f>
        <v>45425</v>
      </c>
      <c r="P495" s="387"/>
      <c r="Q495" s="387"/>
      <c r="R495" s="387"/>
      <c r="S495" s="576" t="s">
        <v>713</v>
      </c>
      <c r="T495" s="576">
        <f>VLOOKUP(Complete[[#This Row],[Code
(PAP)]],[1]Sheet1!$A:$AO,20,FALSE)</f>
        <v>45434</v>
      </c>
      <c r="U495" s="576">
        <f>VLOOKUP(Complete[[#This Row],[Code
(PAP)]],[1]Sheet1!$A:$AO,21,FALSE)</f>
        <v>45441</v>
      </c>
      <c r="V495" s="387"/>
      <c r="W495" s="387"/>
      <c r="X495" s="392">
        <f>VLOOKUP(Complete[[#This Row],[Code
(PAP)]],[1]Sheet1!$A:$AO,24,FALSE)</f>
        <v>45456</v>
      </c>
      <c r="Y495" s="392">
        <f>Complete[[#This Row],[Delivery/ Completion]]</f>
        <v>45456</v>
      </c>
      <c r="Z495" s="610" t="s">
        <v>1478</v>
      </c>
      <c r="AA495" s="462">
        <f>Complete[[#This Row],[MOOE]]+Complete[[#This Row],[CO]]</f>
        <v>15970</v>
      </c>
      <c r="AB495" s="466"/>
      <c r="AC495" s="497">
        <v>15970</v>
      </c>
      <c r="AD495" s="498">
        <f>IF(Complete[[#This Row],[Procurement Project]]="","",SUM(Complete[[#This Row],[MOOE2]]+Complete[[#This Row],[CO3]]))</f>
        <v>15970</v>
      </c>
      <c r="AE495" s="501"/>
      <c r="AF495" s="541">
        <v>15970</v>
      </c>
      <c r="AG495" s="400"/>
      <c r="AH495" s="380" t="s">
        <v>1205</v>
      </c>
      <c r="AI495" s="576" t="str">
        <f>VLOOKUP(Complete[[#This Row],[Code
(PAP)]],[1]Sheet1!$A:$AO,35,FALSE)</f>
        <v>N/A</v>
      </c>
      <c r="AJ495" s="576" t="str">
        <f>VLOOKUP(Complete[[#This Row],[Code
(PAP)]],[1]Sheet1!$A:$AO,36,FALSE)</f>
        <v>N/A</v>
      </c>
      <c r="AK495" s="576" t="str">
        <f>VLOOKUP(Complete[[#This Row],[Code
(PAP)]],[1]Sheet1!$A:$AO,37,FALSE)</f>
        <v>N/A</v>
      </c>
      <c r="AL495" s="576" t="str">
        <f>VLOOKUP(Complete[[#This Row],[Code
(PAP)]],[1]Sheet1!$A:$AO,38,FALSE)</f>
        <v>N/A</v>
      </c>
      <c r="AM495" s="576" t="str">
        <f>VLOOKUP(Complete[[#This Row],[Code
(PAP)]],[1]Sheet1!$A:$AO,38,FALSE)</f>
        <v>N/A</v>
      </c>
      <c r="AN495" s="595" t="s">
        <v>713</v>
      </c>
      <c r="AO495" s="303" t="s">
        <v>139</v>
      </c>
      <c r="AP495" s="389"/>
      <c r="AQ495" s="389"/>
    </row>
    <row r="496" spans="1:43" s="224" customFormat="1" ht="75" customHeight="1" x14ac:dyDescent="0.25">
      <c r="A496" s="385" t="s">
        <v>674</v>
      </c>
      <c r="B496" s="406" t="str">
        <f>VLOOKUP(Complete[[#This Row],[Code
(PAP)]],[1]Sheet1!$A:$AO,2,FALSE)</f>
        <v>BATTERY</v>
      </c>
      <c r="C496" s="408" t="str">
        <f>VLOOKUP(Complete[[#This Row],[Code
(PAP)]],[1]Sheet1!$A:$AO,3,FALSE)</f>
        <v>PEEMO</v>
      </c>
      <c r="D496" s="380" t="s">
        <v>712</v>
      </c>
      <c r="E496" s="409" t="str">
        <f>VLOOKUP(Complete[[#This Row],[Code
(PAP)]],[2]Sheet1!$A:$AO,5,FALSE)</f>
        <v>NP-53.9 - Small Value Procurement</v>
      </c>
      <c r="F496" s="393" t="str">
        <f>VLOOKUP(Complete[[#This Row],[Code
(PAP)]],[1]Sheet1!$A:$AO,6,FALSE)</f>
        <v>N/A</v>
      </c>
      <c r="G496" s="393">
        <f>VLOOKUP(Complete[[#This Row],[Code
(PAP)]],[1]Sheet1!$A:$AO,7,FALSE)</f>
        <v>45397</v>
      </c>
      <c r="H496" s="374"/>
      <c r="I496" s="394" t="str">
        <f>VLOOKUP(Complete[[#This Row],[Code
(PAP)]],[1]Sheet1!$A:$AO,9,FALSE)</f>
        <v>N/A</v>
      </c>
      <c r="J496" s="393">
        <f>VLOOKUP(Complete[[#This Row],[Code
(PAP)]],[1]Sheet1!$A:$AO,10,FALSE)</f>
        <v>45421</v>
      </c>
      <c r="K496" s="393">
        <f>VLOOKUP(Complete[[#This Row],[Code
(PAP)]],[1]Sheet1!$A:$AO,11,FALSE)</f>
        <v>45421</v>
      </c>
      <c r="L496" s="387"/>
      <c r="M496" s="393" t="str">
        <f>VLOOKUP(Complete[[#This Row],[Code
(PAP)]],[1]Sheet1!$A:$AO,13,FALSE)</f>
        <v>N/A</v>
      </c>
      <c r="N496" s="393" t="str">
        <f>VLOOKUP(Complete[[#This Row],[Code
(PAP)]],[1]Sheet1!$A:$AO,14,FALSE)</f>
        <v>N/A</v>
      </c>
      <c r="O496" s="393">
        <f>VLOOKUP(Complete[[#This Row],[Code
(PAP)]],[1]Sheet1!$A:$AO,15,FALSE)</f>
        <v>45425</v>
      </c>
      <c r="P496" s="387"/>
      <c r="Q496" s="387"/>
      <c r="R496" s="387"/>
      <c r="S496" s="576" t="s">
        <v>713</v>
      </c>
      <c r="T496" s="576">
        <f>VLOOKUP(Complete[[#This Row],[Code
(PAP)]],[1]Sheet1!$A:$AO,20,FALSE)</f>
        <v>45434</v>
      </c>
      <c r="U496" s="576">
        <f>VLOOKUP(Complete[[#This Row],[Code
(PAP)]],[1]Sheet1!$A:$AO,21,FALSE)</f>
        <v>45446</v>
      </c>
      <c r="V496" s="387"/>
      <c r="W496" s="387"/>
      <c r="X496" s="392">
        <f>VLOOKUP(Complete[[#This Row],[Code
(PAP)]],[1]Sheet1!$A:$AO,24,FALSE)</f>
        <v>45448</v>
      </c>
      <c r="Y496" s="392">
        <f>Complete[[#This Row],[Delivery/ Completion]]</f>
        <v>45448</v>
      </c>
      <c r="Z496" s="610" t="s">
        <v>1478</v>
      </c>
      <c r="AA496" s="462">
        <f>Complete[[#This Row],[MOOE]]+Complete[[#This Row],[CO]]</f>
        <v>18150</v>
      </c>
      <c r="AB496" s="466">
        <v>18150</v>
      </c>
      <c r="AC496" s="497"/>
      <c r="AD496" s="498">
        <f>IF(Complete[[#This Row],[Procurement Project]]="","",SUM(Complete[[#This Row],[MOOE2]]+Complete[[#This Row],[CO3]]))</f>
        <v>18150</v>
      </c>
      <c r="AE496" s="501">
        <v>18150</v>
      </c>
      <c r="AF496" s="541"/>
      <c r="AG496" s="400"/>
      <c r="AH496" s="380" t="s">
        <v>1205</v>
      </c>
      <c r="AI496" s="576" t="str">
        <f>VLOOKUP(Complete[[#This Row],[Code
(PAP)]],[1]Sheet1!$A:$AO,35,FALSE)</f>
        <v>N/A</v>
      </c>
      <c r="AJ496" s="576" t="str">
        <f>VLOOKUP(Complete[[#This Row],[Code
(PAP)]],[1]Sheet1!$A:$AO,36,FALSE)</f>
        <v>N/A</v>
      </c>
      <c r="AK496" s="576" t="str">
        <f>VLOOKUP(Complete[[#This Row],[Code
(PAP)]],[1]Sheet1!$A:$AO,37,FALSE)</f>
        <v>N/A</v>
      </c>
      <c r="AL496" s="576" t="str">
        <f>VLOOKUP(Complete[[#This Row],[Code
(PAP)]],[1]Sheet1!$A:$AO,38,FALSE)</f>
        <v>N/A</v>
      </c>
      <c r="AM496" s="576" t="str">
        <f>VLOOKUP(Complete[[#This Row],[Code
(PAP)]],[1]Sheet1!$A:$AO,38,FALSE)</f>
        <v>N/A</v>
      </c>
      <c r="AN496" s="595" t="s">
        <v>713</v>
      </c>
      <c r="AO496" s="303" t="s">
        <v>139</v>
      </c>
      <c r="AP496" s="389"/>
      <c r="AQ496" s="389"/>
    </row>
    <row r="497" spans="1:43" s="224" customFormat="1" ht="75" customHeight="1" x14ac:dyDescent="0.25">
      <c r="A497" s="385" t="s">
        <v>675</v>
      </c>
      <c r="B497" s="406" t="str">
        <f>VLOOKUP(Complete[[#This Row],[Code
(PAP)]],[1]Sheet1!$A:$AO,2,FALSE)</f>
        <v>FOLDING SINGLE CAPMING BED</v>
      </c>
      <c r="C497" s="408" t="str">
        <f>VLOOKUP(Complete[[#This Row],[Code
(PAP)]],[1]Sheet1!$A:$AO,3,FALSE)</f>
        <v>PGO</v>
      </c>
      <c r="D497" s="380" t="s">
        <v>712</v>
      </c>
      <c r="E497" s="409" t="str">
        <f>VLOOKUP(Complete[[#This Row],[Code
(PAP)]],[2]Sheet1!$A:$AO,5,FALSE)</f>
        <v>NP-53.9 - Small Value Procurement</v>
      </c>
      <c r="F497" s="393" t="str">
        <f>VLOOKUP(Complete[[#This Row],[Code
(PAP)]],[1]Sheet1!$A:$AO,6,FALSE)</f>
        <v>N/A</v>
      </c>
      <c r="G497" s="393">
        <f>VLOOKUP(Complete[[#This Row],[Code
(PAP)]],[1]Sheet1!$A:$AO,7,FALSE)</f>
        <v>45404</v>
      </c>
      <c r="H497" s="374"/>
      <c r="I497" s="394" t="str">
        <f>VLOOKUP(Complete[[#This Row],[Code
(PAP)]],[1]Sheet1!$A:$AO,9,FALSE)</f>
        <v>N/A</v>
      </c>
      <c r="J497" s="393">
        <f>VLOOKUP(Complete[[#This Row],[Code
(PAP)]],[1]Sheet1!$A:$AO,10,FALSE)</f>
        <v>45421</v>
      </c>
      <c r="K497" s="393">
        <f>VLOOKUP(Complete[[#This Row],[Code
(PAP)]],[1]Sheet1!$A:$AO,11,FALSE)</f>
        <v>45421</v>
      </c>
      <c r="L497" s="387"/>
      <c r="M497" s="393" t="str">
        <f>VLOOKUP(Complete[[#This Row],[Code
(PAP)]],[1]Sheet1!$A:$AO,13,FALSE)</f>
        <v>N/A</v>
      </c>
      <c r="N497" s="393" t="str">
        <f>VLOOKUP(Complete[[#This Row],[Code
(PAP)]],[1]Sheet1!$A:$AO,14,FALSE)</f>
        <v>N/A</v>
      </c>
      <c r="O497" s="393">
        <f>VLOOKUP(Complete[[#This Row],[Code
(PAP)]],[1]Sheet1!$A:$AO,15,FALSE)</f>
        <v>45425</v>
      </c>
      <c r="P497" s="387"/>
      <c r="Q497" s="387"/>
      <c r="R497" s="387"/>
      <c r="S497" s="576" t="s">
        <v>713</v>
      </c>
      <c r="T497" s="576">
        <f>VLOOKUP(Complete[[#This Row],[Code
(PAP)]],[1]Sheet1!$A:$AO,20,FALSE)</f>
        <v>45436</v>
      </c>
      <c r="U497" s="576">
        <f>VLOOKUP(Complete[[#This Row],[Code
(PAP)]],[1]Sheet1!$A:$AO,21,FALSE)</f>
        <v>45441</v>
      </c>
      <c r="V497" s="387"/>
      <c r="W497" s="387"/>
      <c r="X497" s="392">
        <f>VLOOKUP(Complete[[#This Row],[Code
(PAP)]],[1]Sheet1!$A:$AO,24,FALSE)</f>
        <v>45454</v>
      </c>
      <c r="Y497" s="392">
        <f>Complete[[#This Row],[Delivery/ Completion]]</f>
        <v>45454</v>
      </c>
      <c r="Z497" s="610" t="s">
        <v>1478</v>
      </c>
      <c r="AA497" s="462">
        <f>Complete[[#This Row],[MOOE]]+Complete[[#This Row],[CO]]</f>
        <v>30000</v>
      </c>
      <c r="AB497" s="466"/>
      <c r="AC497" s="497">
        <v>30000</v>
      </c>
      <c r="AD497" s="498">
        <f>IF(Complete[[#This Row],[Procurement Project]]="","",SUM(Complete[[#This Row],[MOOE2]]+Complete[[#This Row],[CO3]]))</f>
        <v>30000</v>
      </c>
      <c r="AE497" s="501"/>
      <c r="AF497" s="541">
        <v>30000</v>
      </c>
      <c r="AG497" s="400"/>
      <c r="AH497" s="380" t="s">
        <v>1205</v>
      </c>
      <c r="AI497" s="576" t="str">
        <f>VLOOKUP(Complete[[#This Row],[Code
(PAP)]],[1]Sheet1!$A:$AO,35,FALSE)</f>
        <v>N/A</v>
      </c>
      <c r="AJ497" s="576" t="str">
        <f>VLOOKUP(Complete[[#This Row],[Code
(PAP)]],[1]Sheet1!$A:$AO,36,FALSE)</f>
        <v>N/A</v>
      </c>
      <c r="AK497" s="576" t="str">
        <f>VLOOKUP(Complete[[#This Row],[Code
(PAP)]],[1]Sheet1!$A:$AO,37,FALSE)</f>
        <v>N/A</v>
      </c>
      <c r="AL497" s="576" t="str">
        <f>VLOOKUP(Complete[[#This Row],[Code
(PAP)]],[1]Sheet1!$A:$AO,38,FALSE)</f>
        <v>N/A</v>
      </c>
      <c r="AM497" s="576" t="str">
        <f>VLOOKUP(Complete[[#This Row],[Code
(PAP)]],[1]Sheet1!$A:$AO,38,FALSE)</f>
        <v>N/A</v>
      </c>
      <c r="AN497" s="595" t="s">
        <v>713</v>
      </c>
      <c r="AO497" s="303" t="s">
        <v>139</v>
      </c>
      <c r="AP497" s="389"/>
      <c r="AQ497" s="389"/>
    </row>
    <row r="498" spans="1:43" s="224" customFormat="1" ht="75" customHeight="1" x14ac:dyDescent="0.25">
      <c r="A498" s="385" t="s">
        <v>676</v>
      </c>
      <c r="B498" s="406" t="str">
        <f>VLOOKUP(Complete[[#This Row],[Code
(PAP)]],[1]Sheet1!$A:$AO,2,FALSE)</f>
        <v>PORTABLE VACUUM CLEANER</v>
      </c>
      <c r="C498" s="408" t="str">
        <f>VLOOKUP(Complete[[#This Row],[Code
(PAP)]],[1]Sheet1!$A:$AO,3,FALSE)</f>
        <v>PGSO</v>
      </c>
      <c r="D498" s="380" t="s">
        <v>712</v>
      </c>
      <c r="E498" s="409" t="str">
        <f>VLOOKUP(Complete[[#This Row],[Code
(PAP)]],[2]Sheet1!$A:$AO,5,FALSE)</f>
        <v>NP-53.9 - Small Value Procurement</v>
      </c>
      <c r="F498" s="393" t="str">
        <f>VLOOKUP(Complete[[#This Row],[Code
(PAP)]],[1]Sheet1!$A:$AO,6,FALSE)</f>
        <v>N/A</v>
      </c>
      <c r="G498" s="393">
        <f>VLOOKUP(Complete[[#This Row],[Code
(PAP)]],[1]Sheet1!$A:$AO,7,FALSE)</f>
        <v>45376</v>
      </c>
      <c r="H498" s="374"/>
      <c r="I498" s="394" t="str">
        <f>VLOOKUP(Complete[[#This Row],[Code
(PAP)]],[1]Sheet1!$A:$AO,9,FALSE)</f>
        <v>N/A</v>
      </c>
      <c r="J498" s="393">
        <f>VLOOKUP(Complete[[#This Row],[Code
(PAP)]],[1]Sheet1!$A:$AO,10,FALSE)</f>
        <v>45421</v>
      </c>
      <c r="K498" s="393">
        <f>VLOOKUP(Complete[[#This Row],[Code
(PAP)]],[1]Sheet1!$A:$AO,11,FALSE)</f>
        <v>45421</v>
      </c>
      <c r="L498" s="387"/>
      <c r="M498" s="393" t="str">
        <f>VLOOKUP(Complete[[#This Row],[Code
(PAP)]],[1]Sheet1!$A:$AO,13,FALSE)</f>
        <v>N/A</v>
      </c>
      <c r="N498" s="393" t="str">
        <f>VLOOKUP(Complete[[#This Row],[Code
(PAP)]],[1]Sheet1!$A:$AO,14,FALSE)</f>
        <v>N/A</v>
      </c>
      <c r="O498" s="393">
        <f>VLOOKUP(Complete[[#This Row],[Code
(PAP)]],[1]Sheet1!$A:$AO,15,FALSE)</f>
        <v>45425</v>
      </c>
      <c r="P498" s="387"/>
      <c r="Q498" s="387"/>
      <c r="R498" s="387"/>
      <c r="S498" s="576" t="s">
        <v>713</v>
      </c>
      <c r="T498" s="576">
        <f>VLOOKUP(Complete[[#This Row],[Code
(PAP)]],[1]Sheet1!$A:$AO,20,FALSE)</f>
        <v>45434</v>
      </c>
      <c r="U498" s="576">
        <f>VLOOKUP(Complete[[#This Row],[Code
(PAP)]],[1]Sheet1!$A:$AO,21,FALSE)</f>
        <v>45449</v>
      </c>
      <c r="V498" s="387"/>
      <c r="W498" s="387"/>
      <c r="X498" s="392">
        <f>VLOOKUP(Complete[[#This Row],[Code
(PAP)]],[1]Sheet1!$A:$AO,24,FALSE)</f>
        <v>45463</v>
      </c>
      <c r="Y498" s="392">
        <f>Complete[[#This Row],[Delivery/ Completion]]</f>
        <v>45463</v>
      </c>
      <c r="Z498" s="610" t="s">
        <v>1478</v>
      </c>
      <c r="AA498" s="462">
        <f>Complete[[#This Row],[MOOE]]+Complete[[#This Row],[CO]]</f>
        <v>10000</v>
      </c>
      <c r="AB498" s="466">
        <v>10000</v>
      </c>
      <c r="AC498" s="497"/>
      <c r="AD498" s="498">
        <f>IF(Complete[[#This Row],[Procurement Project]]="","",SUM(Complete[[#This Row],[MOOE2]]+Complete[[#This Row],[CO3]]))</f>
        <v>9980</v>
      </c>
      <c r="AE498" s="501">
        <v>9980</v>
      </c>
      <c r="AF498" s="541"/>
      <c r="AG498" s="400"/>
      <c r="AH498" s="380" t="s">
        <v>1205</v>
      </c>
      <c r="AI498" s="576" t="str">
        <f>VLOOKUP(Complete[[#This Row],[Code
(PAP)]],[1]Sheet1!$A:$AO,35,FALSE)</f>
        <v>N/A</v>
      </c>
      <c r="AJ498" s="576" t="str">
        <f>VLOOKUP(Complete[[#This Row],[Code
(PAP)]],[1]Sheet1!$A:$AO,36,FALSE)</f>
        <v>N/A</v>
      </c>
      <c r="AK498" s="576" t="str">
        <f>VLOOKUP(Complete[[#This Row],[Code
(PAP)]],[1]Sheet1!$A:$AO,37,FALSE)</f>
        <v>N/A</v>
      </c>
      <c r="AL498" s="576" t="str">
        <f>VLOOKUP(Complete[[#This Row],[Code
(PAP)]],[1]Sheet1!$A:$AO,38,FALSE)</f>
        <v>N/A</v>
      </c>
      <c r="AM498" s="576" t="str">
        <f>VLOOKUP(Complete[[#This Row],[Code
(PAP)]],[1]Sheet1!$A:$AO,38,FALSE)</f>
        <v>N/A</v>
      </c>
      <c r="AN498" s="595" t="s">
        <v>713</v>
      </c>
      <c r="AO498" s="303" t="s">
        <v>139</v>
      </c>
      <c r="AP498" s="389"/>
      <c r="AQ498" s="389"/>
    </row>
    <row r="499" spans="1:43" s="224" customFormat="1" ht="75" customHeight="1" x14ac:dyDescent="0.25">
      <c r="A499" s="385" t="s">
        <v>677</v>
      </c>
      <c r="B499" s="406" t="str">
        <f>VLOOKUP(Complete[[#This Row],[Code
(PAP)]],[1]Sheet1!$A:$AO,2,FALSE)</f>
        <v>OFFICE EQUIPMENT</v>
      </c>
      <c r="C499" s="408" t="str">
        <f>VLOOKUP(Complete[[#This Row],[Code
(PAP)]],[1]Sheet1!$A:$AO,3,FALSE)</f>
        <v>PGO</v>
      </c>
      <c r="D499" s="380" t="s">
        <v>712</v>
      </c>
      <c r="E499" s="409" t="str">
        <f>VLOOKUP(Complete[[#This Row],[Code
(PAP)]],[2]Sheet1!$A:$AO,5,FALSE)</f>
        <v>NP-53.9 - Small Value Procurement</v>
      </c>
      <c r="F499" s="393" t="str">
        <f>VLOOKUP(Complete[[#This Row],[Code
(PAP)]],[1]Sheet1!$A:$AO,6,FALSE)</f>
        <v>N/A</v>
      </c>
      <c r="G499" s="393">
        <f>VLOOKUP(Complete[[#This Row],[Code
(PAP)]],[1]Sheet1!$A:$AO,7,FALSE)</f>
        <v>45404</v>
      </c>
      <c r="H499" s="374"/>
      <c r="I499" s="394" t="str">
        <f>VLOOKUP(Complete[[#This Row],[Code
(PAP)]],[1]Sheet1!$A:$AO,9,FALSE)</f>
        <v>N/A</v>
      </c>
      <c r="J499" s="393">
        <f>VLOOKUP(Complete[[#This Row],[Code
(PAP)]],[1]Sheet1!$A:$AO,10,FALSE)</f>
        <v>45421</v>
      </c>
      <c r="K499" s="393">
        <f>VLOOKUP(Complete[[#This Row],[Code
(PAP)]],[1]Sheet1!$A:$AO,11,FALSE)</f>
        <v>45421</v>
      </c>
      <c r="L499" s="387"/>
      <c r="M499" s="393" t="str">
        <f>VLOOKUP(Complete[[#This Row],[Code
(PAP)]],[1]Sheet1!$A:$AO,13,FALSE)</f>
        <v>N/A</v>
      </c>
      <c r="N499" s="393" t="str">
        <f>VLOOKUP(Complete[[#This Row],[Code
(PAP)]],[1]Sheet1!$A:$AO,14,FALSE)</f>
        <v>N/A</v>
      </c>
      <c r="O499" s="393">
        <f>VLOOKUP(Complete[[#This Row],[Code
(PAP)]],[1]Sheet1!$A:$AO,15,FALSE)</f>
        <v>45425</v>
      </c>
      <c r="P499" s="387"/>
      <c r="Q499" s="387"/>
      <c r="R499" s="387"/>
      <c r="S499" s="576" t="s">
        <v>713</v>
      </c>
      <c r="T499" s="576">
        <f>VLOOKUP(Complete[[#This Row],[Code
(PAP)]],[1]Sheet1!$A:$AO,20,FALSE)</f>
        <v>45434</v>
      </c>
      <c r="U499" s="576">
        <f>VLOOKUP(Complete[[#This Row],[Code
(PAP)]],[1]Sheet1!$A:$AO,21,FALSE)</f>
        <v>45448</v>
      </c>
      <c r="V499" s="387"/>
      <c r="W499" s="387"/>
      <c r="X499" s="392">
        <f>VLOOKUP(Complete[[#This Row],[Code
(PAP)]],[1]Sheet1!$A:$AO,24,FALSE)</f>
        <v>45450</v>
      </c>
      <c r="Y499" s="392">
        <f>Complete[[#This Row],[Delivery/ Completion]]</f>
        <v>45450</v>
      </c>
      <c r="Z499" s="610" t="s">
        <v>1478</v>
      </c>
      <c r="AA499" s="462">
        <f>Complete[[#This Row],[MOOE]]+Complete[[#This Row],[CO]]</f>
        <v>25000</v>
      </c>
      <c r="AB499" s="466"/>
      <c r="AC499" s="497">
        <v>25000</v>
      </c>
      <c r="AD499" s="498">
        <f>IF(Complete[[#This Row],[Procurement Project]]="","",SUM(Complete[[#This Row],[MOOE2]]+Complete[[#This Row],[CO3]]))</f>
        <v>23775</v>
      </c>
      <c r="AE499" s="501"/>
      <c r="AF499" s="541">
        <v>23775</v>
      </c>
      <c r="AG499" s="400"/>
      <c r="AH499" s="380" t="s">
        <v>1205</v>
      </c>
      <c r="AI499" s="576" t="str">
        <f>VLOOKUP(Complete[[#This Row],[Code
(PAP)]],[1]Sheet1!$A:$AO,35,FALSE)</f>
        <v>N/A</v>
      </c>
      <c r="AJ499" s="576" t="str">
        <f>VLOOKUP(Complete[[#This Row],[Code
(PAP)]],[1]Sheet1!$A:$AO,36,FALSE)</f>
        <v>N/A</v>
      </c>
      <c r="AK499" s="576" t="str">
        <f>VLOOKUP(Complete[[#This Row],[Code
(PAP)]],[1]Sheet1!$A:$AO,37,FALSE)</f>
        <v>N/A</v>
      </c>
      <c r="AL499" s="576" t="str">
        <f>VLOOKUP(Complete[[#This Row],[Code
(PAP)]],[1]Sheet1!$A:$AO,38,FALSE)</f>
        <v>N/A</v>
      </c>
      <c r="AM499" s="576" t="str">
        <f>VLOOKUP(Complete[[#This Row],[Code
(PAP)]],[1]Sheet1!$A:$AO,38,FALSE)</f>
        <v>N/A</v>
      </c>
      <c r="AN499" s="595" t="s">
        <v>713</v>
      </c>
      <c r="AO499" s="303" t="s">
        <v>139</v>
      </c>
      <c r="AP499" s="389"/>
      <c r="AQ499" s="389"/>
    </row>
    <row r="500" spans="1:43" s="224" customFormat="1" ht="75" customHeight="1" x14ac:dyDescent="0.25">
      <c r="A500" s="385" t="s">
        <v>678</v>
      </c>
      <c r="B500" s="406" t="str">
        <f>VLOOKUP(Complete[[#This Row],[Code
(PAP)]],[1]Sheet1!$A:$AO,2,FALSE)</f>
        <v>CONSTRUCTION MATERIALS</v>
      </c>
      <c r="C500" s="408" t="str">
        <f>VLOOKUP(Complete[[#This Row],[Code
(PAP)]],[1]Sheet1!$A:$AO,3,FALSE)</f>
        <v>PVO</v>
      </c>
      <c r="D500" s="380" t="s">
        <v>712</v>
      </c>
      <c r="E500" s="409" t="str">
        <f>VLOOKUP(Complete[[#This Row],[Code
(PAP)]],[2]Sheet1!$A:$AO,5,FALSE)</f>
        <v>Competitive Bidding</v>
      </c>
      <c r="F500" s="393">
        <f>VLOOKUP(Complete[[#This Row],[Code
(PAP)]],[1]Sheet1!$A:$AO,6,FALSE)</f>
        <v>45356</v>
      </c>
      <c r="G500" s="393">
        <f>VLOOKUP(Complete[[#This Row],[Code
(PAP)]],[1]Sheet1!$A:$AO,7,FALSE)</f>
        <v>45376</v>
      </c>
      <c r="H500" s="374"/>
      <c r="I500" s="394">
        <f>VLOOKUP(Complete[[#This Row],[Code
(PAP)]],[1]Sheet1!$A:$AO,9,FALSE)</f>
        <v>45384</v>
      </c>
      <c r="J500" s="393">
        <f>VLOOKUP(Complete[[#This Row],[Code
(PAP)]],[1]Sheet1!$A:$AO,10,FALSE)</f>
        <v>45398</v>
      </c>
      <c r="K500" s="393">
        <f>VLOOKUP(Complete[[#This Row],[Code
(PAP)]],[1]Sheet1!$A:$AO,11,FALSE)</f>
        <v>45398</v>
      </c>
      <c r="L500" s="387"/>
      <c r="M500" s="393">
        <f>VLOOKUP(Complete[[#This Row],[Code
(PAP)]],[1]Sheet1!$A:$AO,13,FALSE)</f>
        <v>45398</v>
      </c>
      <c r="N500" s="393">
        <f>VLOOKUP(Complete[[#This Row],[Code
(PAP)]],[1]Sheet1!$A:$AO,14,FALSE)</f>
        <v>45420</v>
      </c>
      <c r="O500" s="393">
        <f>VLOOKUP(Complete[[#This Row],[Code
(PAP)]],[1]Sheet1!$A:$AO,15,FALSE)</f>
        <v>45425</v>
      </c>
      <c r="P500" s="387"/>
      <c r="Q500" s="387"/>
      <c r="R500" s="387"/>
      <c r="S500" s="576">
        <v>45427</v>
      </c>
      <c r="T500" s="576">
        <f>VLOOKUP(Complete[[#This Row],[Code
(PAP)]],[1]Sheet1!$A:$AO,20,FALSE)</f>
        <v>45435</v>
      </c>
      <c r="U500" s="576">
        <f>VLOOKUP(Complete[[#This Row],[Code
(PAP)]],[1]Sheet1!$A:$AO,21,FALSE)</f>
        <v>45446</v>
      </c>
      <c r="V500" s="387"/>
      <c r="W500" s="387"/>
      <c r="X500" s="392">
        <f>VLOOKUP(Complete[[#This Row],[Code
(PAP)]],[1]Sheet1!$A:$AO,24,FALSE)</f>
        <v>45454</v>
      </c>
      <c r="Y500" s="392">
        <f>Complete[[#This Row],[Delivery/ Completion]]</f>
        <v>45454</v>
      </c>
      <c r="Z500" s="610" t="s">
        <v>1478</v>
      </c>
      <c r="AA500" s="462">
        <f>Complete[[#This Row],[MOOE]]+Complete[[#This Row],[CO]]</f>
        <v>3480267.69</v>
      </c>
      <c r="AB500" s="466"/>
      <c r="AC500" s="497">
        <v>3480267.69</v>
      </c>
      <c r="AD500" s="498">
        <f>IF(Complete[[#This Row],[Procurement Project]]="","",SUM(Complete[[#This Row],[MOOE2]]+Complete[[#This Row],[CO3]]))</f>
        <v>3346546.13</v>
      </c>
      <c r="AE500" s="501"/>
      <c r="AF500" s="674">
        <v>3346546.13</v>
      </c>
      <c r="AG500" s="400"/>
      <c r="AH500" s="380" t="s">
        <v>1205</v>
      </c>
      <c r="AI500" s="576">
        <f>VLOOKUP(Complete[[#This Row],[Code
(PAP)]],[1]Sheet1!$A:$AO,35,FALSE)</f>
        <v>45383</v>
      </c>
      <c r="AJ500" s="576">
        <f>VLOOKUP(Complete[[#This Row],[Code
(PAP)]],[1]Sheet1!$A:$AO,36,FALSE)</f>
        <v>45383</v>
      </c>
      <c r="AK500" s="576">
        <f>VLOOKUP(Complete[[#This Row],[Code
(PAP)]],[1]Sheet1!$A:$AO,37,FALSE)</f>
        <v>45383</v>
      </c>
      <c r="AL500" s="576">
        <f>VLOOKUP(Complete[[#This Row],[Code
(PAP)]],[1]Sheet1!$A:$AO,38,FALSE)</f>
        <v>45383</v>
      </c>
      <c r="AM500" s="576">
        <f>VLOOKUP(Complete[[#This Row],[Code
(PAP)]],[1]Sheet1!$A:$AO,38,FALSE)</f>
        <v>45383</v>
      </c>
      <c r="AN500" s="595" t="s">
        <v>713</v>
      </c>
      <c r="AO500" s="303" t="s">
        <v>139</v>
      </c>
      <c r="AP500" s="389"/>
      <c r="AQ500" s="389"/>
    </row>
    <row r="501" spans="1:43" s="224" customFormat="1" ht="75" customHeight="1" x14ac:dyDescent="0.25">
      <c r="A501" s="385" t="s">
        <v>679</v>
      </c>
      <c r="B501" s="406" t="str">
        <f>VLOOKUP(Complete[[#This Row],[Code
(PAP)]],[1]Sheet1!$A:$AO,2,FALSE)</f>
        <v>CONSTRUCTION MATERIALS</v>
      </c>
      <c r="C501" s="408" t="str">
        <f>VLOOKUP(Complete[[#This Row],[Code
(PAP)]],[1]Sheet1!$A:$AO,3,FALSE)</f>
        <v>PVO</v>
      </c>
      <c r="D501" s="380" t="s">
        <v>712</v>
      </c>
      <c r="E501" s="409" t="str">
        <f>VLOOKUP(Complete[[#This Row],[Code
(PAP)]],[2]Sheet1!$A:$AO,5,FALSE)</f>
        <v>Competitive Bidding</v>
      </c>
      <c r="F501" s="393">
        <f>VLOOKUP(Complete[[#This Row],[Code
(PAP)]],[1]Sheet1!$A:$AO,6,FALSE)</f>
        <v>45356</v>
      </c>
      <c r="G501" s="393">
        <f>VLOOKUP(Complete[[#This Row],[Code
(PAP)]],[1]Sheet1!$A:$AO,7,FALSE)</f>
        <v>45390</v>
      </c>
      <c r="H501" s="374"/>
      <c r="I501" s="394" t="str">
        <f>VLOOKUP(Complete[[#This Row],[Code
(PAP)]],[1]Sheet1!$A:$AO,9,FALSE)</f>
        <v>N/A</v>
      </c>
      <c r="J501" s="393">
        <f>VLOOKUP(Complete[[#This Row],[Code
(PAP)]],[1]Sheet1!$A:$AO,10,FALSE)</f>
        <v>45398</v>
      </c>
      <c r="K501" s="393">
        <f>VLOOKUP(Complete[[#This Row],[Code
(PAP)]],[1]Sheet1!$A:$AO,11,FALSE)</f>
        <v>45398</v>
      </c>
      <c r="L501" s="387"/>
      <c r="M501" s="393">
        <f>VLOOKUP(Complete[[#This Row],[Code
(PAP)]],[1]Sheet1!$A:$AO,13,FALSE)</f>
        <v>45398</v>
      </c>
      <c r="N501" s="393">
        <f>VLOOKUP(Complete[[#This Row],[Code
(PAP)]],[1]Sheet1!$A:$AO,14,FALSE)</f>
        <v>45420</v>
      </c>
      <c r="O501" s="393">
        <f>VLOOKUP(Complete[[#This Row],[Code
(PAP)]],[1]Sheet1!$A:$AO,15,FALSE)</f>
        <v>45425</v>
      </c>
      <c r="P501" s="387"/>
      <c r="Q501" s="387"/>
      <c r="R501" s="387"/>
      <c r="S501" s="576">
        <v>45427</v>
      </c>
      <c r="T501" s="576">
        <f>VLOOKUP(Complete[[#This Row],[Code
(PAP)]],[1]Sheet1!$A:$AO,20,FALSE)</f>
        <v>45435</v>
      </c>
      <c r="U501" s="576">
        <f>VLOOKUP(Complete[[#This Row],[Code
(PAP)]],[1]Sheet1!$A:$AO,21,FALSE)</f>
        <v>45448</v>
      </c>
      <c r="V501" s="387"/>
      <c r="W501" s="387"/>
      <c r="X501" s="392">
        <f>VLOOKUP(Complete[[#This Row],[Code
(PAP)]],[1]Sheet1!$A:$AO,24,FALSE)</f>
        <v>45454</v>
      </c>
      <c r="Y501" s="392">
        <f>Complete[[#This Row],[Delivery/ Completion]]</f>
        <v>45454</v>
      </c>
      <c r="Z501" s="610" t="s">
        <v>1478</v>
      </c>
      <c r="AA501" s="462">
        <f>Complete[[#This Row],[MOOE]]+Complete[[#This Row],[CO]]</f>
        <v>851428.35</v>
      </c>
      <c r="AB501" s="466"/>
      <c r="AC501" s="497">
        <v>851428.35</v>
      </c>
      <c r="AD501" s="498">
        <f>IF(Complete[[#This Row],[Procurement Project]]="","",SUM(Complete[[#This Row],[MOOE2]]+Complete[[#This Row],[CO3]]))</f>
        <v>840828.15</v>
      </c>
      <c r="AE501" s="501"/>
      <c r="AF501" s="674">
        <v>840828.15</v>
      </c>
      <c r="AG501" s="400"/>
      <c r="AH501" s="380" t="s">
        <v>1205</v>
      </c>
      <c r="AI501" s="576" t="str">
        <f>VLOOKUP(Complete[[#This Row],[Code
(PAP)]],[1]Sheet1!$A:$AO,35,FALSE)</f>
        <v>N/A</v>
      </c>
      <c r="AJ501" s="576">
        <f>VLOOKUP(Complete[[#This Row],[Code
(PAP)]],[1]Sheet1!$A:$AO,36,FALSE)</f>
        <v>45383</v>
      </c>
      <c r="AK501" s="576">
        <f>VLOOKUP(Complete[[#This Row],[Code
(PAP)]],[1]Sheet1!$A:$AO,37,FALSE)</f>
        <v>45383</v>
      </c>
      <c r="AL501" s="576">
        <f>VLOOKUP(Complete[[#This Row],[Code
(PAP)]],[1]Sheet1!$A:$AO,38,FALSE)</f>
        <v>45383</v>
      </c>
      <c r="AM501" s="576">
        <f>VLOOKUP(Complete[[#This Row],[Code
(PAP)]],[1]Sheet1!$A:$AO,38,FALSE)</f>
        <v>45383</v>
      </c>
      <c r="AN501" s="595" t="s">
        <v>713</v>
      </c>
      <c r="AO501" s="303" t="s">
        <v>139</v>
      </c>
      <c r="AP501" s="389"/>
      <c r="AQ501" s="389"/>
    </row>
    <row r="502" spans="1:43" s="224" customFormat="1" ht="75" customHeight="1" x14ac:dyDescent="0.25">
      <c r="A502" s="385" t="s">
        <v>680</v>
      </c>
      <c r="B502" s="406" t="str">
        <f>VLOOKUP(Complete[[#This Row],[Code
(PAP)]],[1]Sheet1!$A:$AO,2,FALSE)</f>
        <v>MEALS AND SNACKS WITH ACCOMMODATION</v>
      </c>
      <c r="C502" s="408" t="str">
        <f>VLOOKUP(Complete[[#This Row],[Code
(PAP)]],[1]Sheet1!$A:$AO,3,FALSE)</f>
        <v>PPDO</v>
      </c>
      <c r="D502" s="380" t="s">
        <v>712</v>
      </c>
      <c r="E502" s="409" t="str">
        <f>VLOOKUP(Complete[[#This Row],[Code
(PAP)]],[2]Sheet1!$A:$AO,5,FALSE)</f>
        <v>Competitive Bidding</v>
      </c>
      <c r="F502" s="393" t="str">
        <f>VLOOKUP(Complete[[#This Row],[Code
(PAP)]],[1]Sheet1!$A:$AO,6,FALSE)</f>
        <v>N/A</v>
      </c>
      <c r="G502" s="393">
        <f>VLOOKUP(Complete[[#This Row],[Code
(PAP)]],[1]Sheet1!$A:$AO,7,FALSE)</f>
        <v>45390</v>
      </c>
      <c r="H502" s="374"/>
      <c r="I502" s="394" t="str">
        <f>VLOOKUP(Complete[[#This Row],[Code
(PAP)]],[1]Sheet1!$A:$AO,9,FALSE)</f>
        <v>N/A</v>
      </c>
      <c r="J502" s="393">
        <f>VLOOKUP(Complete[[#This Row],[Code
(PAP)]],[1]Sheet1!$A:$AO,10,FALSE)</f>
        <v>45398</v>
      </c>
      <c r="K502" s="393">
        <f>VLOOKUP(Complete[[#This Row],[Code
(PAP)]],[1]Sheet1!$A:$AO,11,FALSE)</f>
        <v>45398</v>
      </c>
      <c r="L502" s="387"/>
      <c r="M502" s="393">
        <f>VLOOKUP(Complete[[#This Row],[Code
(PAP)]],[1]Sheet1!$A:$AO,13,FALSE)</f>
        <v>45398</v>
      </c>
      <c r="N502" s="393">
        <f>VLOOKUP(Complete[[#This Row],[Code
(PAP)]],[1]Sheet1!$A:$AO,14,FALSE)</f>
        <v>45421</v>
      </c>
      <c r="O502" s="393">
        <f>VLOOKUP(Complete[[#This Row],[Code
(PAP)]],[1]Sheet1!$A:$AO,15,FALSE)</f>
        <v>45425</v>
      </c>
      <c r="P502" s="387"/>
      <c r="Q502" s="387"/>
      <c r="R502" s="387"/>
      <c r="S502" s="576">
        <v>45425</v>
      </c>
      <c r="T502" s="576">
        <f>VLOOKUP(Complete[[#This Row],[Code
(PAP)]],[1]Sheet1!$A:$AO,20,FALSE)</f>
        <v>45427</v>
      </c>
      <c r="U502" s="576">
        <f>VLOOKUP(Complete[[#This Row],[Code
(PAP)]],[1]Sheet1!$A:$AO,21,FALSE)</f>
        <v>45427</v>
      </c>
      <c r="V502" s="387"/>
      <c r="W502" s="387"/>
      <c r="X502" s="392">
        <f>VLOOKUP(Complete[[#This Row],[Code
(PAP)]],[1]Sheet1!$A:$AO,24,FALSE)</f>
        <v>45461</v>
      </c>
      <c r="Y502" s="392">
        <f>Complete[[#This Row],[Delivery/ Completion]]</f>
        <v>45461</v>
      </c>
      <c r="Z502" s="610" t="s">
        <v>1478</v>
      </c>
      <c r="AA502" s="462">
        <f>Complete[[#This Row],[MOOE]]+Complete[[#This Row],[CO]]</f>
        <v>596460</v>
      </c>
      <c r="AB502" s="466"/>
      <c r="AC502" s="497">
        <f>VLOOKUP(Complete[[#This Row],[Code
(PAP)]],[1]Sheet1!$A:$AO,29,FALSE)</f>
        <v>596460</v>
      </c>
      <c r="AD502" s="498">
        <f>IF(Complete[[#This Row],[Procurement Project]]="","",SUM(Complete[[#This Row],[MOOE2]]+Complete[[#This Row],[CO3]]))</f>
        <v>596460</v>
      </c>
      <c r="AE502" s="501"/>
      <c r="AF502" s="674">
        <v>596460</v>
      </c>
      <c r="AG502" s="400"/>
      <c r="AH502" s="380" t="s">
        <v>1205</v>
      </c>
      <c r="AI502" s="576" t="str">
        <f>VLOOKUP(Complete[[#This Row],[Code
(PAP)]],[1]Sheet1!$A:$AO,35,FALSE)</f>
        <v>N/A</v>
      </c>
      <c r="AJ502" s="576">
        <f>VLOOKUP(Complete[[#This Row],[Code
(PAP)]],[1]Sheet1!$A:$AO,36,FALSE)</f>
        <v>45383</v>
      </c>
      <c r="AK502" s="576">
        <f>VLOOKUP(Complete[[#This Row],[Code
(PAP)]],[1]Sheet1!$A:$AO,37,FALSE)</f>
        <v>45383</v>
      </c>
      <c r="AL502" s="576">
        <f>VLOOKUP(Complete[[#This Row],[Code
(PAP)]],[1]Sheet1!$A:$AO,38,FALSE)</f>
        <v>45383</v>
      </c>
      <c r="AM502" s="576">
        <f>VLOOKUP(Complete[[#This Row],[Code
(PAP)]],[1]Sheet1!$A:$AO,38,FALSE)</f>
        <v>45383</v>
      </c>
      <c r="AN502" s="595" t="s">
        <v>713</v>
      </c>
      <c r="AO502" s="303" t="s">
        <v>139</v>
      </c>
      <c r="AP502" s="389"/>
      <c r="AQ502" s="389"/>
    </row>
    <row r="503" spans="1:43" s="224" customFormat="1" ht="75" customHeight="1" x14ac:dyDescent="0.25">
      <c r="A503" s="385" t="s">
        <v>681</v>
      </c>
      <c r="B503" s="406" t="str">
        <f>VLOOKUP(Complete[[#This Row],[Code
(PAP)]],[1]Sheet1!$A:$AO,2,FALSE)</f>
        <v xml:space="preserve">PAINT, SUICK DRY ENAMEL-WHITE FOR PAINTS </v>
      </c>
      <c r="C503" s="408" t="str">
        <f>VLOOKUP(Complete[[#This Row],[Code
(PAP)]],[1]Sheet1!$A:$AO,3,FALSE)</f>
        <v>PGO-SEF</v>
      </c>
      <c r="D503" s="380" t="s">
        <v>712</v>
      </c>
      <c r="E503" s="409" t="str">
        <f>VLOOKUP(Complete[[#This Row],[Code
(PAP)]],[2]Sheet1!$A:$AO,5,FALSE)</f>
        <v>Competitive Bidding</v>
      </c>
      <c r="F503" s="393" t="str">
        <f>VLOOKUP(Complete[[#This Row],[Code
(PAP)]],[1]Sheet1!$A:$AO,6,FALSE)</f>
        <v>N/A</v>
      </c>
      <c r="G503" s="393">
        <f>VLOOKUP(Complete[[#This Row],[Code
(PAP)]],[1]Sheet1!$A:$AO,7,FALSE)</f>
        <v>45383</v>
      </c>
      <c r="H503" s="374"/>
      <c r="I503" s="394">
        <f>VLOOKUP(Complete[[#This Row],[Code
(PAP)]],[1]Sheet1!$A:$AO,9,FALSE)</f>
        <v>45398</v>
      </c>
      <c r="J503" s="393">
        <f>VLOOKUP(Complete[[#This Row],[Code
(PAP)]],[1]Sheet1!$A:$AO,10,FALSE)</f>
        <v>45412</v>
      </c>
      <c r="K503" s="393">
        <f>VLOOKUP(Complete[[#This Row],[Code
(PAP)]],[1]Sheet1!$A:$AO,11,FALSE)</f>
        <v>45412</v>
      </c>
      <c r="L503" s="387"/>
      <c r="M503" s="393">
        <f>VLOOKUP(Complete[[#This Row],[Code
(PAP)]],[1]Sheet1!$A:$AO,13,FALSE)</f>
        <v>45412</v>
      </c>
      <c r="N503" s="393">
        <f>VLOOKUP(Complete[[#This Row],[Code
(PAP)]],[1]Sheet1!$A:$AO,14,FALSE)</f>
        <v>45422</v>
      </c>
      <c r="O503" s="393">
        <f>VLOOKUP(Complete[[#This Row],[Code
(PAP)]],[1]Sheet1!$A:$AO,15,FALSE)</f>
        <v>45428</v>
      </c>
      <c r="P503" s="387"/>
      <c r="Q503" s="387"/>
      <c r="R503" s="387"/>
      <c r="S503" s="576">
        <v>45433</v>
      </c>
      <c r="T503" s="576">
        <f>VLOOKUP(Complete[[#This Row],[Code
(PAP)]],[1]Sheet1!$A:$AO,20,FALSE)</f>
        <v>45434</v>
      </c>
      <c r="U503" s="576">
        <f>VLOOKUP(Complete[[#This Row],[Code
(PAP)]],[1]Sheet1!$A:$AO,21,FALSE)</f>
        <v>45467</v>
      </c>
      <c r="V503" s="387"/>
      <c r="W503" s="387"/>
      <c r="X503" s="392">
        <f>VLOOKUP(Complete[[#This Row],[Code
(PAP)]],[1]Sheet1!$A:$AO,24,FALSE)</f>
        <v>45468</v>
      </c>
      <c r="Y503" s="392">
        <f>Complete[[#This Row],[Delivery/ Completion]]</f>
        <v>45468</v>
      </c>
      <c r="Z503" s="610" t="s">
        <v>1478</v>
      </c>
      <c r="AA503" s="462">
        <f>Complete[[#This Row],[MOOE]]+Complete[[#This Row],[CO]]</f>
        <v>1999872</v>
      </c>
      <c r="AB503" s="466">
        <v>1999872</v>
      </c>
      <c r="AC503" s="497"/>
      <c r="AD503" s="498">
        <f>IF(Complete[[#This Row],[Procurement Project]]="","",SUM(Complete[[#This Row],[MOOE2]]+Complete[[#This Row],[CO3]]))</f>
        <v>1765512</v>
      </c>
      <c r="AE503" s="501">
        <v>1765512</v>
      </c>
      <c r="AF503" s="674"/>
      <c r="AG503" s="400"/>
      <c r="AH503" s="380" t="s">
        <v>1205</v>
      </c>
      <c r="AI503" s="576">
        <f>VLOOKUP(Complete[[#This Row],[Code
(PAP)]],[1]Sheet1!$A:$AO,35,FALSE)</f>
        <v>45393</v>
      </c>
      <c r="AJ503" s="576">
        <f>VLOOKUP(Complete[[#This Row],[Code
(PAP)]],[1]Sheet1!$A:$AO,36,FALSE)</f>
        <v>45406</v>
      </c>
      <c r="AK503" s="576">
        <f>VLOOKUP(Complete[[#This Row],[Code
(PAP)]],[1]Sheet1!$A:$AO,37,FALSE)</f>
        <v>45406</v>
      </c>
      <c r="AL503" s="576">
        <f>VLOOKUP(Complete[[#This Row],[Code
(PAP)]],[1]Sheet1!$A:$AO,38,FALSE)</f>
        <v>45406</v>
      </c>
      <c r="AM503" s="576">
        <f>VLOOKUP(Complete[[#This Row],[Code
(PAP)]],[1]Sheet1!$A:$AO,38,FALSE)</f>
        <v>45406</v>
      </c>
      <c r="AN503" s="595" t="s">
        <v>713</v>
      </c>
      <c r="AO503" s="303" t="s">
        <v>139</v>
      </c>
      <c r="AP503" s="389"/>
      <c r="AQ503" s="389"/>
    </row>
    <row r="504" spans="1:43" s="224" customFormat="1" ht="75" customHeight="1" x14ac:dyDescent="0.25">
      <c r="A504" s="385" t="s">
        <v>682</v>
      </c>
      <c r="B504" s="406" t="str">
        <f>VLOOKUP(Complete[[#This Row],[Code
(PAP)]],[1]Sheet1!$A:$AO,2,FALSE)</f>
        <v>RICE (WELL MILLED) 50KG/SACK</v>
      </c>
      <c r="C504" s="408" t="str">
        <f>VLOOKUP(Complete[[#This Row],[Code
(PAP)]],[1]Sheet1!$A:$AO,3,FALSE)</f>
        <v>PEEMO</v>
      </c>
      <c r="D504" s="380" t="s">
        <v>712</v>
      </c>
      <c r="E504" s="409" t="str">
        <f>VLOOKUP(Complete[[#This Row],[Code
(PAP)]],[2]Sheet1!$A:$AO,5,FALSE)</f>
        <v>Competitive Bidding</v>
      </c>
      <c r="F504" s="393" t="str">
        <f>VLOOKUP(Complete[[#This Row],[Code
(PAP)]],[1]Sheet1!$A:$AO,6,FALSE)</f>
        <v>N/A</v>
      </c>
      <c r="G504" s="393">
        <f>VLOOKUP(Complete[[#This Row],[Code
(PAP)]],[1]Sheet1!$A:$AO,7,FALSE)</f>
        <v>45404</v>
      </c>
      <c r="H504" s="374"/>
      <c r="I504" s="394" t="str">
        <f>VLOOKUP(Complete[[#This Row],[Code
(PAP)]],[1]Sheet1!$A:$AO,9,FALSE)</f>
        <v>N/A</v>
      </c>
      <c r="J504" s="393">
        <f>VLOOKUP(Complete[[#This Row],[Code
(PAP)]],[1]Sheet1!$A:$AO,10,FALSE)</f>
        <v>45412</v>
      </c>
      <c r="K504" s="393">
        <f>VLOOKUP(Complete[[#This Row],[Code
(PAP)]],[1]Sheet1!$A:$AO,11,FALSE)</f>
        <v>45412</v>
      </c>
      <c r="L504" s="387"/>
      <c r="M504" s="393">
        <f>VLOOKUP(Complete[[#This Row],[Code
(PAP)]],[1]Sheet1!$A:$AO,13,FALSE)</f>
        <v>45412</v>
      </c>
      <c r="N504" s="393">
        <f>VLOOKUP(Complete[[#This Row],[Code
(PAP)]],[1]Sheet1!$A:$AO,14,FALSE)</f>
        <v>45422</v>
      </c>
      <c r="O504" s="393">
        <f>VLOOKUP(Complete[[#This Row],[Code
(PAP)]],[1]Sheet1!$A:$AO,15,FALSE)</f>
        <v>45428</v>
      </c>
      <c r="P504" s="387"/>
      <c r="Q504" s="387"/>
      <c r="R504" s="387"/>
      <c r="S504" s="576">
        <v>45428</v>
      </c>
      <c r="T504" s="576">
        <f>VLOOKUP(Complete[[#This Row],[Code
(PAP)]],[1]Sheet1!$A:$AO,20,FALSE)</f>
        <v>45434</v>
      </c>
      <c r="U504" s="576">
        <f>VLOOKUP(Complete[[#This Row],[Code
(PAP)]],[1]Sheet1!$A:$AO,21,FALSE)</f>
        <v>45440</v>
      </c>
      <c r="V504" s="387"/>
      <c r="W504" s="387"/>
      <c r="X504" s="392">
        <f>VLOOKUP(Complete[[#This Row],[Code
(PAP)]],[1]Sheet1!$A:$AO,24,FALSE)</f>
        <v>45442</v>
      </c>
      <c r="Y504" s="392">
        <f>Complete[[#This Row],[Delivery/ Completion]]</f>
        <v>45442</v>
      </c>
      <c r="Z504" s="610" t="s">
        <v>1478</v>
      </c>
      <c r="AA504" s="462">
        <f>Complete[[#This Row],[MOOE]]+Complete[[#This Row],[CO]]</f>
        <v>996930</v>
      </c>
      <c r="AB504" s="466">
        <v>996930</v>
      </c>
      <c r="AC504" s="497"/>
      <c r="AD504" s="498">
        <f>IF(Complete[[#This Row],[Procurement Project]]="","",SUM(Complete[[#This Row],[MOOE2]]+Complete[[#This Row],[CO3]]))</f>
        <v>954000</v>
      </c>
      <c r="AE504" s="501">
        <v>954000</v>
      </c>
      <c r="AF504" s="674"/>
      <c r="AG504" s="400"/>
      <c r="AH504" s="380" t="s">
        <v>1205</v>
      </c>
      <c r="AI504" s="576" t="str">
        <f>VLOOKUP(Complete[[#This Row],[Code
(PAP)]],[1]Sheet1!$A:$AO,35,FALSE)</f>
        <v>N/A</v>
      </c>
      <c r="AJ504" s="576">
        <f>VLOOKUP(Complete[[#This Row],[Code
(PAP)]],[1]Sheet1!$A:$AO,36,FALSE)</f>
        <v>45406</v>
      </c>
      <c r="AK504" s="576">
        <f>VLOOKUP(Complete[[#This Row],[Code
(PAP)]],[1]Sheet1!$A:$AO,37,FALSE)</f>
        <v>45406</v>
      </c>
      <c r="AL504" s="576">
        <f>VLOOKUP(Complete[[#This Row],[Code
(PAP)]],[1]Sheet1!$A:$AO,38,FALSE)</f>
        <v>45406</v>
      </c>
      <c r="AM504" s="576">
        <f>VLOOKUP(Complete[[#This Row],[Code
(PAP)]],[1]Sheet1!$A:$AO,38,FALSE)</f>
        <v>45406</v>
      </c>
      <c r="AN504" s="595" t="s">
        <v>713</v>
      </c>
      <c r="AO504" s="303" t="s">
        <v>139</v>
      </c>
      <c r="AP504" s="389"/>
      <c r="AQ504" s="389"/>
    </row>
    <row r="505" spans="1:43" s="224" customFormat="1" ht="75" customHeight="1" x14ac:dyDescent="0.25">
      <c r="A505" s="385" t="s">
        <v>683</v>
      </c>
      <c r="B505" s="406" t="str">
        <f>VLOOKUP(Complete[[#This Row],[Code
(PAP)]],[1]Sheet1!$A:$AO,2,FALSE)</f>
        <v>LABORATORY SUPPLIES</v>
      </c>
      <c r="C505" s="408" t="str">
        <f>VLOOKUP(Complete[[#This Row],[Code
(PAP)]],[1]Sheet1!$A:$AO,3,FALSE)</f>
        <v>PEEMO</v>
      </c>
      <c r="D505" s="380" t="s">
        <v>712</v>
      </c>
      <c r="E505" s="409" t="str">
        <f>VLOOKUP(Complete[[#This Row],[Code
(PAP)]],[2]Sheet1!$A:$AO,5,FALSE)</f>
        <v>Competitive Bidding</v>
      </c>
      <c r="F505" s="393">
        <f>VLOOKUP(Complete[[#This Row],[Code
(PAP)]],[1]Sheet1!$A:$AO,6,FALSE)</f>
        <v>45384</v>
      </c>
      <c r="G505" s="393">
        <f>VLOOKUP(Complete[[#This Row],[Code
(PAP)]],[1]Sheet1!$A:$AO,7,FALSE)</f>
        <v>45390</v>
      </c>
      <c r="H505" s="374"/>
      <c r="I505" s="394" t="str">
        <f>VLOOKUP(Complete[[#This Row],[Code
(PAP)]],[1]Sheet1!$A:$AO,9,FALSE)</f>
        <v>N/A</v>
      </c>
      <c r="J505" s="393">
        <f>VLOOKUP(Complete[[#This Row],[Code
(PAP)]],[1]Sheet1!$A:$AO,10,FALSE)</f>
        <v>45398</v>
      </c>
      <c r="K505" s="393">
        <f>VLOOKUP(Complete[[#This Row],[Code
(PAP)]],[1]Sheet1!$A:$AO,11,FALSE)</f>
        <v>45398</v>
      </c>
      <c r="L505" s="387"/>
      <c r="M505" s="393">
        <f>VLOOKUP(Complete[[#This Row],[Code
(PAP)]],[1]Sheet1!$A:$AO,13,FALSE)</f>
        <v>45398</v>
      </c>
      <c r="N505" s="393">
        <f>VLOOKUP(Complete[[#This Row],[Code
(PAP)]],[1]Sheet1!$A:$AO,14,FALSE)</f>
        <v>45422</v>
      </c>
      <c r="O505" s="393">
        <f>VLOOKUP(Complete[[#This Row],[Code
(PAP)]],[1]Sheet1!$A:$AO,15,FALSE)</f>
        <v>45428</v>
      </c>
      <c r="P505" s="387"/>
      <c r="Q505" s="387"/>
      <c r="R505" s="387"/>
      <c r="S505" s="576">
        <v>45428</v>
      </c>
      <c r="T505" s="576">
        <f>VLOOKUP(Complete[[#This Row],[Code
(PAP)]],[1]Sheet1!$A:$AO,20,FALSE)</f>
        <v>45434</v>
      </c>
      <c r="U505" s="576">
        <f>VLOOKUP(Complete[[#This Row],[Code
(PAP)]],[1]Sheet1!$A:$AO,21,FALSE)</f>
        <v>45439</v>
      </c>
      <c r="V505" s="387"/>
      <c r="W505" s="387"/>
      <c r="X505" s="392">
        <f>VLOOKUP(Complete[[#This Row],[Code
(PAP)]],[1]Sheet1!$A:$AO,24,FALSE)</f>
        <v>45440</v>
      </c>
      <c r="Y505" s="392">
        <f>Complete[[#This Row],[Delivery/ Completion]]</f>
        <v>45440</v>
      </c>
      <c r="Z505" s="610" t="s">
        <v>1478</v>
      </c>
      <c r="AA505" s="462">
        <f>Complete[[#This Row],[MOOE]]+Complete[[#This Row],[CO]]</f>
        <v>884961</v>
      </c>
      <c r="AB505" s="466">
        <v>884961</v>
      </c>
      <c r="AC505" s="497"/>
      <c r="AD505" s="498">
        <f>IF(Complete[[#This Row],[Procurement Project]]="","",SUM(Complete[[#This Row],[MOOE2]]+Complete[[#This Row],[CO3]]))</f>
        <v>620604</v>
      </c>
      <c r="AE505" s="501">
        <v>620604</v>
      </c>
      <c r="AF505" s="674"/>
      <c r="AG505" s="400"/>
      <c r="AH505" s="380" t="s">
        <v>1205</v>
      </c>
      <c r="AI505" s="576" t="str">
        <f>VLOOKUP(Complete[[#This Row],[Code
(PAP)]],[1]Sheet1!$A:$AO,35,FALSE)</f>
        <v>N/A</v>
      </c>
      <c r="AJ505" s="576">
        <f>VLOOKUP(Complete[[#This Row],[Code
(PAP)]],[1]Sheet1!$A:$AO,36,FALSE)</f>
        <v>45406</v>
      </c>
      <c r="AK505" s="576">
        <f>VLOOKUP(Complete[[#This Row],[Code
(PAP)]],[1]Sheet1!$A:$AO,37,FALSE)</f>
        <v>45406</v>
      </c>
      <c r="AL505" s="576">
        <f>VLOOKUP(Complete[[#This Row],[Code
(PAP)]],[1]Sheet1!$A:$AO,38,FALSE)</f>
        <v>45406</v>
      </c>
      <c r="AM505" s="576">
        <f>VLOOKUP(Complete[[#This Row],[Code
(PAP)]],[1]Sheet1!$A:$AO,38,FALSE)</f>
        <v>45406</v>
      </c>
      <c r="AN505" s="595" t="s">
        <v>713</v>
      </c>
      <c r="AO505" s="303" t="s">
        <v>139</v>
      </c>
      <c r="AP505" s="389"/>
      <c r="AQ505" s="389"/>
    </row>
    <row r="506" spans="1:43" s="224" customFormat="1" ht="75" customHeight="1" x14ac:dyDescent="0.25">
      <c r="A506" s="385" t="s">
        <v>684</v>
      </c>
      <c r="B506" s="406" t="str">
        <f>VLOOKUP(Complete[[#This Row],[Code
(PAP)]],[1]Sheet1!$A:$AO,2,FALSE)</f>
        <v>BRAND NEW, HYDRAULIC EXCVATOR, CRAWLER TYPE (MONO BOOM)</v>
      </c>
      <c r="C506" s="408" t="str">
        <f>VLOOKUP(Complete[[#This Row],[Code
(PAP)]],[1]Sheet1!$A:$AO,3,FALSE)</f>
        <v>PEO</v>
      </c>
      <c r="D506" s="380" t="s">
        <v>712</v>
      </c>
      <c r="E506" s="409" t="str">
        <f>VLOOKUP(Complete[[#This Row],[Code
(PAP)]],[2]Sheet1!$A:$AO,5,FALSE)</f>
        <v>Competitive Bidding</v>
      </c>
      <c r="F506" s="393">
        <v>45373</v>
      </c>
      <c r="G506" s="393">
        <f>VLOOKUP(Complete[[#This Row],[Code
(PAP)]],[1]Sheet1!$A:$AO,7,FALSE)</f>
        <v>45376</v>
      </c>
      <c r="H506" s="374"/>
      <c r="I506" s="564">
        <f>VLOOKUP(Complete[[#This Row],[Code
(PAP)]],[1]Sheet1!$A:$AO,9,FALSE)</f>
        <v>45384</v>
      </c>
      <c r="J506" s="393">
        <f>VLOOKUP(Complete[[#This Row],[Code
(PAP)]],[1]Sheet1!$A:$AO,10,FALSE)</f>
        <v>45398</v>
      </c>
      <c r="K506" s="393">
        <f>VLOOKUP(Complete[[#This Row],[Code
(PAP)]],[1]Sheet1!$A:$AO,11,FALSE)</f>
        <v>45398</v>
      </c>
      <c r="L506" s="387"/>
      <c r="M506" s="393">
        <f>VLOOKUP(Complete[[#This Row],[Code
(PAP)]],[1]Sheet1!$A:$AO,13,FALSE)</f>
        <v>45398</v>
      </c>
      <c r="N506" s="393">
        <f>VLOOKUP(Complete[[#This Row],[Code
(PAP)]],[1]Sheet1!$A:$AO,14,FALSE)</f>
        <v>45422</v>
      </c>
      <c r="O506" s="393">
        <f>VLOOKUP(Complete[[#This Row],[Code
(PAP)]],[1]Sheet1!$A:$AO,15,FALSE)</f>
        <v>45428</v>
      </c>
      <c r="P506" s="387"/>
      <c r="Q506" s="387"/>
      <c r="R506" s="387"/>
      <c r="S506" s="576">
        <v>45428</v>
      </c>
      <c r="T506" s="576">
        <f>VLOOKUP(Complete[[#This Row],[Code
(PAP)]],[1]Sheet1!$A:$AO,20,FALSE)</f>
        <v>45434</v>
      </c>
      <c r="U506" s="576">
        <f>VLOOKUP(Complete[[#This Row],[Code
(PAP)]],[1]Sheet1!$A:$AO,21,FALSE)</f>
        <v>45439</v>
      </c>
      <c r="V506" s="387"/>
      <c r="W506" s="387"/>
      <c r="X506" s="392">
        <f>VLOOKUP(Complete[[#This Row],[Code
(PAP)]],[1]Sheet1!$A:$AO,24,FALSE)</f>
        <v>45454</v>
      </c>
      <c r="Y506" s="392">
        <f>Complete[[#This Row],[Delivery/ Completion]]</f>
        <v>45454</v>
      </c>
      <c r="Z506" s="610" t="s">
        <v>1478</v>
      </c>
      <c r="AA506" s="462">
        <f>Complete[[#This Row],[MOOE]]+Complete[[#This Row],[CO]]</f>
        <v>20000000</v>
      </c>
      <c r="AB506" s="466"/>
      <c r="AC506" s="497">
        <v>20000000</v>
      </c>
      <c r="AD506" s="498">
        <f>IF(Complete[[#This Row],[Procurement Project]]="","",SUM(Complete[[#This Row],[MOOE2]]+Complete[[#This Row],[CO3]]))</f>
        <v>19992000</v>
      </c>
      <c r="AE506" s="501"/>
      <c r="AF506" s="674">
        <v>19992000</v>
      </c>
      <c r="AG506" s="400"/>
      <c r="AH506" s="380" t="s">
        <v>1205</v>
      </c>
      <c r="AI506" s="576">
        <f>VLOOKUP(Complete[[#This Row],[Code
(PAP)]],[1]Sheet1!$A:$AO,35,FALSE)</f>
        <v>45383</v>
      </c>
      <c r="AJ506" s="576">
        <f>VLOOKUP(Complete[[#This Row],[Code
(PAP)]],[1]Sheet1!$A:$AO,36,FALSE)</f>
        <v>45393</v>
      </c>
      <c r="AK506" s="576">
        <f>VLOOKUP(Complete[[#This Row],[Code
(PAP)]],[1]Sheet1!$A:$AO,37,FALSE)</f>
        <v>45393</v>
      </c>
      <c r="AL506" s="576">
        <f>VLOOKUP(Complete[[#This Row],[Code
(PAP)]],[1]Sheet1!$A:$AO,38,FALSE)</f>
        <v>45393</v>
      </c>
      <c r="AM506" s="576">
        <f>VLOOKUP(Complete[[#This Row],[Code
(PAP)]],[1]Sheet1!$A:$AO,38,FALSE)</f>
        <v>45393</v>
      </c>
      <c r="AN506" s="595" t="s">
        <v>713</v>
      </c>
      <c r="AO506" s="303" t="s">
        <v>139</v>
      </c>
      <c r="AP506" s="389"/>
      <c r="AQ506" s="389"/>
    </row>
    <row r="507" spans="1:43" s="224" customFormat="1" ht="75" customHeight="1" x14ac:dyDescent="0.25">
      <c r="A507" s="385" t="s">
        <v>685</v>
      </c>
      <c r="B507" s="406" t="str">
        <f>VLOOKUP(Complete[[#This Row],[Code
(PAP)]],[1]Sheet1!$A:$AO,2,FALSE)</f>
        <v>SPAREPARTS (LIGHT VEHICLES)</v>
      </c>
      <c r="C507" s="408" t="str">
        <f>VLOOKUP(Complete[[#This Row],[Code
(PAP)]],[1]Sheet1!$A:$AO,3,FALSE)</f>
        <v>PGSO</v>
      </c>
      <c r="D507" s="380" t="s">
        <v>712</v>
      </c>
      <c r="E507" s="409" t="str">
        <f>VLOOKUP(Complete[[#This Row],[Code
(PAP)]],[2]Sheet1!$A:$AO,5,FALSE)</f>
        <v>Shopping 52.1(a) - Unforeseen Contingency</v>
      </c>
      <c r="F507" s="393" t="str">
        <f>VLOOKUP(Complete[[#This Row],[Code
(PAP)]],[1]Sheet1!$A:$AO,6,FALSE)</f>
        <v>N/A</v>
      </c>
      <c r="G507" s="393">
        <f>VLOOKUP(Complete[[#This Row],[Code
(PAP)]],[1]Sheet1!$A:$AO,7,FALSE)</f>
        <v>45415</v>
      </c>
      <c r="H507" s="374"/>
      <c r="I507" s="394" t="str">
        <f>VLOOKUP(Complete[[#This Row],[Code
(PAP)]],[1]Sheet1!$A:$AO,9,FALSE)</f>
        <v>N/A</v>
      </c>
      <c r="J507" s="393">
        <f>VLOOKUP(Complete[[#This Row],[Code
(PAP)]],[1]Sheet1!$A:$AO,10,FALSE)</f>
        <v>45426</v>
      </c>
      <c r="K507" s="393">
        <f>VLOOKUP(Complete[[#This Row],[Code
(PAP)]],[1]Sheet1!$A:$AO,11,FALSE)</f>
        <v>45426</v>
      </c>
      <c r="L507" s="387"/>
      <c r="M507" s="393" t="str">
        <f>VLOOKUP(Complete[[#This Row],[Code
(PAP)]],[1]Sheet1!$A:$AO,13,FALSE)</f>
        <v>N/A</v>
      </c>
      <c r="N507" s="393" t="str">
        <f>VLOOKUP(Complete[[#This Row],[Code
(PAP)]],[1]Sheet1!$A:$AO,14,FALSE)</f>
        <v>N/A</v>
      </c>
      <c r="O507" s="393">
        <f>VLOOKUP(Complete[[#This Row],[Code
(PAP)]],[1]Sheet1!$A:$AO,15,FALSE)</f>
        <v>45428</v>
      </c>
      <c r="P507" s="387"/>
      <c r="Q507" s="387"/>
      <c r="R507" s="387"/>
      <c r="S507" s="576" t="s">
        <v>713</v>
      </c>
      <c r="T507" s="576">
        <f>VLOOKUP(Complete[[#This Row],[Code
(PAP)]],[1]Sheet1!$A:$AO,20,FALSE)</f>
        <v>45447</v>
      </c>
      <c r="U507" s="576">
        <f>VLOOKUP(Complete[[#This Row],[Code
(PAP)]],[1]Sheet1!$A:$AO,21,FALSE)</f>
        <v>45449</v>
      </c>
      <c r="V507" s="387"/>
      <c r="W507" s="387"/>
      <c r="X507" s="392">
        <f>VLOOKUP(Complete[[#This Row],[Code
(PAP)]],[1]Sheet1!$A:$AO,24,FALSE)</f>
        <v>45449</v>
      </c>
      <c r="Y507" s="392">
        <f>Complete[[#This Row],[Delivery/ Completion]]</f>
        <v>45449</v>
      </c>
      <c r="Z507" s="610" t="s">
        <v>1478</v>
      </c>
      <c r="AA507" s="462">
        <f>Complete[[#This Row],[MOOE]]+Complete[[#This Row],[CO]]</f>
        <v>7050</v>
      </c>
      <c r="AB507" s="466">
        <v>7050</v>
      </c>
      <c r="AC507" s="497"/>
      <c r="AD507" s="498">
        <f>IF(Complete[[#This Row],[Procurement Project]]="","",SUM(Complete[[#This Row],[MOOE2]]+Complete[[#This Row],[CO3]]))</f>
        <v>7050</v>
      </c>
      <c r="AE507" s="501">
        <v>7050</v>
      </c>
      <c r="AF507" s="674"/>
      <c r="AG507" s="400"/>
      <c r="AH507" s="380" t="s">
        <v>1205</v>
      </c>
      <c r="AI507" s="576" t="str">
        <f>VLOOKUP(Complete[[#This Row],[Code
(PAP)]],[1]Sheet1!$A:$AO,35,FALSE)</f>
        <v>N/A</v>
      </c>
      <c r="AJ507" s="576" t="str">
        <f>VLOOKUP(Complete[[#This Row],[Code
(PAP)]],[1]Sheet1!$A:$AO,36,FALSE)</f>
        <v>N/A</v>
      </c>
      <c r="AK507" s="576" t="str">
        <f>VLOOKUP(Complete[[#This Row],[Code
(PAP)]],[1]Sheet1!$A:$AO,37,FALSE)</f>
        <v>N/A</v>
      </c>
      <c r="AL507" s="576" t="str">
        <f>VLOOKUP(Complete[[#This Row],[Code
(PAP)]],[1]Sheet1!$A:$AO,38,FALSE)</f>
        <v>N/A</v>
      </c>
      <c r="AM507" s="576" t="str">
        <f>VLOOKUP(Complete[[#This Row],[Code
(PAP)]],[1]Sheet1!$A:$AO,38,FALSE)</f>
        <v>N/A</v>
      </c>
      <c r="AN507" s="595" t="s">
        <v>713</v>
      </c>
      <c r="AO507" s="303" t="s">
        <v>139</v>
      </c>
      <c r="AP507" s="389"/>
      <c r="AQ507" s="389"/>
    </row>
    <row r="508" spans="1:43" s="224" customFormat="1" ht="75" customHeight="1" x14ac:dyDescent="0.25">
      <c r="A508" s="385" t="s">
        <v>686</v>
      </c>
      <c r="B508" s="406" t="str">
        <f>VLOOKUP(Complete[[#This Row],[Code
(PAP)]],[1]Sheet1!$A:$AO,2,FALSE)</f>
        <v>SPAREPARTS (LIGHT VEHICLES)</v>
      </c>
      <c r="C508" s="408" t="str">
        <f>VLOOKUP(Complete[[#This Row],[Code
(PAP)]],[1]Sheet1!$A:$AO,3,FALSE)</f>
        <v>PGSO</v>
      </c>
      <c r="D508" s="380" t="s">
        <v>712</v>
      </c>
      <c r="E508" s="409" t="str">
        <f>VLOOKUP(Complete[[#This Row],[Code
(PAP)]],[2]Sheet1!$A:$AO,5,FALSE)</f>
        <v>Shopping 52.1(a) - Unforeseen Contingency</v>
      </c>
      <c r="F508" s="393" t="str">
        <f>VLOOKUP(Complete[[#This Row],[Code
(PAP)]],[1]Sheet1!$A:$AO,6,FALSE)</f>
        <v>N/A</v>
      </c>
      <c r="G508" s="393">
        <f>VLOOKUP(Complete[[#This Row],[Code
(PAP)]],[1]Sheet1!$A:$AO,7,FALSE)</f>
        <v>45415</v>
      </c>
      <c r="H508" s="374"/>
      <c r="I508" s="394" t="str">
        <f>VLOOKUP(Complete[[#This Row],[Code
(PAP)]],[1]Sheet1!$A:$AO,9,FALSE)</f>
        <v>N/A</v>
      </c>
      <c r="J508" s="393">
        <f>VLOOKUP(Complete[[#This Row],[Code
(PAP)]],[1]Sheet1!$A:$AO,10,FALSE)</f>
        <v>45426</v>
      </c>
      <c r="K508" s="393">
        <f>VLOOKUP(Complete[[#This Row],[Code
(PAP)]],[1]Sheet1!$A:$AO,11,FALSE)</f>
        <v>45426</v>
      </c>
      <c r="L508" s="387"/>
      <c r="M508" s="393" t="str">
        <f>VLOOKUP(Complete[[#This Row],[Code
(PAP)]],[1]Sheet1!$A:$AO,13,FALSE)</f>
        <v>N/A</v>
      </c>
      <c r="N508" s="393" t="str">
        <f>VLOOKUP(Complete[[#This Row],[Code
(PAP)]],[1]Sheet1!$A:$AO,14,FALSE)</f>
        <v>N/A</v>
      </c>
      <c r="O508" s="393">
        <f>VLOOKUP(Complete[[#This Row],[Code
(PAP)]],[1]Sheet1!$A:$AO,15,FALSE)</f>
        <v>45428</v>
      </c>
      <c r="P508" s="387"/>
      <c r="Q508" s="387"/>
      <c r="R508" s="387"/>
      <c r="S508" s="576" t="s">
        <v>713</v>
      </c>
      <c r="T508" s="576">
        <f>VLOOKUP(Complete[[#This Row],[Code
(PAP)]],[1]Sheet1!$A:$AO,20,FALSE)</f>
        <v>45434</v>
      </c>
      <c r="U508" s="576">
        <f>VLOOKUP(Complete[[#This Row],[Code
(PAP)]],[1]Sheet1!$A:$AO,21,FALSE)</f>
        <v>45450</v>
      </c>
      <c r="V508" s="387"/>
      <c r="W508" s="387"/>
      <c r="X508" s="392">
        <f>VLOOKUP(Complete[[#This Row],[Code
(PAP)]],[1]Sheet1!$A:$AO,24,FALSE)</f>
        <v>45450</v>
      </c>
      <c r="Y508" s="392">
        <f>Complete[[#This Row],[Delivery/ Completion]]</f>
        <v>45450</v>
      </c>
      <c r="Z508" s="610" t="s">
        <v>1478</v>
      </c>
      <c r="AA508" s="462">
        <f>Complete[[#This Row],[MOOE]]+Complete[[#This Row],[CO]]</f>
        <v>7450</v>
      </c>
      <c r="AB508" s="466">
        <v>7450</v>
      </c>
      <c r="AC508" s="497"/>
      <c r="AD508" s="498">
        <f>IF(Complete[[#This Row],[Procurement Project]]="","",SUM(Complete[[#This Row],[MOOE2]]+Complete[[#This Row],[CO3]]))</f>
        <v>7450</v>
      </c>
      <c r="AE508" s="501">
        <v>7450</v>
      </c>
      <c r="AF508" s="541"/>
      <c r="AG508" s="400"/>
      <c r="AH508" s="380" t="s">
        <v>1205</v>
      </c>
      <c r="AI508" s="576" t="str">
        <f>VLOOKUP(Complete[[#This Row],[Code
(PAP)]],[1]Sheet1!$A:$AO,35,FALSE)</f>
        <v>N/A</v>
      </c>
      <c r="AJ508" s="576" t="str">
        <f>VLOOKUP(Complete[[#This Row],[Code
(PAP)]],[1]Sheet1!$A:$AO,36,FALSE)</f>
        <v>N/A</v>
      </c>
      <c r="AK508" s="576" t="str">
        <f>VLOOKUP(Complete[[#This Row],[Code
(PAP)]],[1]Sheet1!$A:$AO,37,FALSE)</f>
        <v>N/A</v>
      </c>
      <c r="AL508" s="576" t="str">
        <f>VLOOKUP(Complete[[#This Row],[Code
(PAP)]],[1]Sheet1!$A:$AO,38,FALSE)</f>
        <v>N/A</v>
      </c>
      <c r="AM508" s="576" t="str">
        <f>VLOOKUP(Complete[[#This Row],[Code
(PAP)]],[1]Sheet1!$A:$AO,38,FALSE)</f>
        <v>N/A</v>
      </c>
      <c r="AN508" s="595" t="s">
        <v>713</v>
      </c>
      <c r="AO508" s="303" t="s">
        <v>139</v>
      </c>
      <c r="AP508" s="389"/>
      <c r="AQ508" s="389"/>
    </row>
    <row r="509" spans="1:43" s="224" customFormat="1" ht="75" customHeight="1" x14ac:dyDescent="0.25">
      <c r="A509" s="385" t="s">
        <v>687</v>
      </c>
      <c r="B509" s="406" t="str">
        <f>VLOOKUP(Complete[[#This Row],[Code
(PAP)]],[1]Sheet1!$A:$AO,2,FALSE)</f>
        <v>SPAREPARTS (LIGHT VEHICLES)</v>
      </c>
      <c r="C509" s="408" t="str">
        <f>VLOOKUP(Complete[[#This Row],[Code
(PAP)]],[1]Sheet1!$A:$AO,3,FALSE)</f>
        <v>PGSO</v>
      </c>
      <c r="D509" s="380" t="s">
        <v>712</v>
      </c>
      <c r="E509" s="409" t="str">
        <f>VLOOKUP(Complete[[#This Row],[Code
(PAP)]],[2]Sheet1!$A:$AO,5,FALSE)</f>
        <v>Shopping 52.1(a) - Unforeseen Contingency</v>
      </c>
      <c r="F509" s="393" t="str">
        <f>VLOOKUP(Complete[[#This Row],[Code
(PAP)]],[1]Sheet1!$A:$AO,6,FALSE)</f>
        <v>N/A</v>
      </c>
      <c r="G509" s="393">
        <f>VLOOKUP(Complete[[#This Row],[Code
(PAP)]],[1]Sheet1!$A:$AO,7,FALSE)</f>
        <v>45415</v>
      </c>
      <c r="H509" s="374"/>
      <c r="I509" s="394" t="str">
        <f>VLOOKUP(Complete[[#This Row],[Code
(PAP)]],[1]Sheet1!$A:$AO,9,FALSE)</f>
        <v>N/A</v>
      </c>
      <c r="J509" s="393">
        <f>VLOOKUP(Complete[[#This Row],[Code
(PAP)]],[1]Sheet1!$A:$AO,10,FALSE)</f>
        <v>45426</v>
      </c>
      <c r="K509" s="393">
        <f>VLOOKUP(Complete[[#This Row],[Code
(PAP)]],[1]Sheet1!$A:$AO,11,FALSE)</f>
        <v>45426</v>
      </c>
      <c r="L509" s="387"/>
      <c r="M509" s="393" t="str">
        <f>VLOOKUP(Complete[[#This Row],[Code
(PAP)]],[1]Sheet1!$A:$AO,13,FALSE)</f>
        <v>N/A</v>
      </c>
      <c r="N509" s="393" t="str">
        <f>VLOOKUP(Complete[[#This Row],[Code
(PAP)]],[1]Sheet1!$A:$AO,14,FALSE)</f>
        <v>N/A</v>
      </c>
      <c r="O509" s="393">
        <f>VLOOKUP(Complete[[#This Row],[Code
(PAP)]],[1]Sheet1!$A:$AO,15,FALSE)</f>
        <v>45428</v>
      </c>
      <c r="P509" s="387"/>
      <c r="Q509" s="387"/>
      <c r="R509" s="387"/>
      <c r="S509" s="576" t="s">
        <v>713</v>
      </c>
      <c r="T509" s="576">
        <f>VLOOKUP(Complete[[#This Row],[Code
(PAP)]],[1]Sheet1!$A:$AO,20,FALSE)</f>
        <v>45434</v>
      </c>
      <c r="U509" s="576">
        <f>VLOOKUP(Complete[[#This Row],[Code
(PAP)]],[1]Sheet1!$A:$AO,21,FALSE)</f>
        <v>45449</v>
      </c>
      <c r="V509" s="387"/>
      <c r="W509" s="387"/>
      <c r="X509" s="392">
        <f>VLOOKUP(Complete[[#This Row],[Code
(PAP)]],[1]Sheet1!$A:$AO,24,FALSE)</f>
        <v>45449</v>
      </c>
      <c r="Y509" s="392">
        <f>Complete[[#This Row],[Delivery/ Completion]]</f>
        <v>45449</v>
      </c>
      <c r="Z509" s="610" t="s">
        <v>1478</v>
      </c>
      <c r="AA509" s="462">
        <f>Complete[[#This Row],[MOOE]]+Complete[[#This Row],[CO]]</f>
        <v>47000</v>
      </c>
      <c r="AB509" s="466">
        <v>47000</v>
      </c>
      <c r="AC509" s="497"/>
      <c r="AD509" s="498">
        <f>IF(Complete[[#This Row],[Procurement Project]]="","",SUM(Complete[[#This Row],[MOOE2]]+Complete[[#This Row],[CO3]]))</f>
        <v>47000</v>
      </c>
      <c r="AE509" s="501">
        <v>47000</v>
      </c>
      <c r="AF509" s="541"/>
      <c r="AG509" s="400"/>
      <c r="AH509" s="380" t="s">
        <v>1205</v>
      </c>
      <c r="AI509" s="576" t="str">
        <f>VLOOKUP(Complete[[#This Row],[Code
(PAP)]],[1]Sheet1!$A:$AO,35,FALSE)</f>
        <v>N/A</v>
      </c>
      <c r="AJ509" s="576" t="str">
        <f>VLOOKUP(Complete[[#This Row],[Code
(PAP)]],[1]Sheet1!$A:$AO,36,FALSE)</f>
        <v>N/A</v>
      </c>
      <c r="AK509" s="576" t="str">
        <f>VLOOKUP(Complete[[#This Row],[Code
(PAP)]],[1]Sheet1!$A:$AO,37,FALSE)</f>
        <v>N/A</v>
      </c>
      <c r="AL509" s="576" t="str">
        <f>VLOOKUP(Complete[[#This Row],[Code
(PAP)]],[1]Sheet1!$A:$AO,38,FALSE)</f>
        <v>N/A</v>
      </c>
      <c r="AM509" s="576" t="str">
        <f>VLOOKUP(Complete[[#This Row],[Code
(PAP)]],[1]Sheet1!$A:$AO,38,FALSE)</f>
        <v>N/A</v>
      </c>
      <c r="AN509" s="595" t="s">
        <v>713</v>
      </c>
      <c r="AO509" s="303" t="s">
        <v>139</v>
      </c>
      <c r="AP509" s="389"/>
      <c r="AQ509" s="389"/>
    </row>
    <row r="510" spans="1:43" s="224" customFormat="1" ht="75" customHeight="1" x14ac:dyDescent="0.25">
      <c r="A510" s="385" t="s">
        <v>688</v>
      </c>
      <c r="B510" s="406" t="str">
        <f>VLOOKUP(Complete[[#This Row],[Code
(PAP)]],[1]Sheet1!$A:$AO,2,FALSE)</f>
        <v>SPAREPARTS (MOTORCYCLE)</v>
      </c>
      <c r="C510" s="408" t="str">
        <f>VLOOKUP(Complete[[#This Row],[Code
(PAP)]],[1]Sheet1!$A:$AO,3,FALSE)</f>
        <v>PGSO</v>
      </c>
      <c r="D510" s="380" t="s">
        <v>712</v>
      </c>
      <c r="E510" s="409" t="str">
        <f>VLOOKUP(Complete[[#This Row],[Code
(PAP)]],[2]Sheet1!$A:$AO,5,FALSE)</f>
        <v>Shopping 52.1(a) - Unforeseen Contingency</v>
      </c>
      <c r="F510" s="393" t="str">
        <f>VLOOKUP(Complete[[#This Row],[Code
(PAP)]],[1]Sheet1!$A:$AO,6,FALSE)</f>
        <v>N/A</v>
      </c>
      <c r="G510" s="393">
        <f>VLOOKUP(Complete[[#This Row],[Code
(PAP)]],[1]Sheet1!$A:$AO,7,FALSE)</f>
        <v>45415</v>
      </c>
      <c r="H510" s="374"/>
      <c r="I510" s="394" t="str">
        <f>VLOOKUP(Complete[[#This Row],[Code
(PAP)]],[1]Sheet1!$A:$AO,9,FALSE)</f>
        <v>N/A</v>
      </c>
      <c r="J510" s="393">
        <f>VLOOKUP(Complete[[#This Row],[Code
(PAP)]],[1]Sheet1!$A:$AO,10,FALSE)</f>
        <v>45426</v>
      </c>
      <c r="K510" s="393">
        <f>VLOOKUP(Complete[[#This Row],[Code
(PAP)]],[1]Sheet1!$A:$AO,11,FALSE)</f>
        <v>45426</v>
      </c>
      <c r="L510" s="387"/>
      <c r="M510" s="393" t="str">
        <f>VLOOKUP(Complete[[#This Row],[Code
(PAP)]],[1]Sheet1!$A:$AO,13,FALSE)</f>
        <v>N/A</v>
      </c>
      <c r="N510" s="393" t="str">
        <f>VLOOKUP(Complete[[#This Row],[Code
(PAP)]],[1]Sheet1!$A:$AO,14,FALSE)</f>
        <v>N/A</v>
      </c>
      <c r="O510" s="393">
        <f>VLOOKUP(Complete[[#This Row],[Code
(PAP)]],[1]Sheet1!$A:$AO,15,FALSE)</f>
        <v>45428</v>
      </c>
      <c r="P510" s="387"/>
      <c r="Q510" s="387"/>
      <c r="R510" s="387"/>
      <c r="S510" s="576" t="s">
        <v>713</v>
      </c>
      <c r="T510" s="576">
        <f>VLOOKUP(Complete[[#This Row],[Code
(PAP)]],[1]Sheet1!$A:$AO,20,FALSE)</f>
        <v>45434</v>
      </c>
      <c r="U510" s="576">
        <f>VLOOKUP(Complete[[#This Row],[Code
(PAP)]],[1]Sheet1!$A:$AO,21,FALSE)</f>
        <v>45454</v>
      </c>
      <c r="V510" s="387"/>
      <c r="W510" s="387"/>
      <c r="X510" s="392">
        <f>VLOOKUP(Complete[[#This Row],[Code
(PAP)]],[1]Sheet1!$A:$AO,24,FALSE)</f>
        <v>45462</v>
      </c>
      <c r="Y510" s="392">
        <f>Complete[[#This Row],[Delivery/ Completion]]</f>
        <v>45462</v>
      </c>
      <c r="Z510" s="610" t="s">
        <v>1478</v>
      </c>
      <c r="AA510" s="462">
        <f>Complete[[#This Row],[MOOE]]+Complete[[#This Row],[CO]]</f>
        <v>6060</v>
      </c>
      <c r="AB510" s="466">
        <v>6060</v>
      </c>
      <c r="AC510" s="497"/>
      <c r="AD510" s="498">
        <f>IF(Complete[[#This Row],[Procurement Project]]="","",SUM(Complete[[#This Row],[MOOE2]]+Complete[[#This Row],[CO3]]))</f>
        <v>6060</v>
      </c>
      <c r="AE510" s="501">
        <v>6060</v>
      </c>
      <c r="AF510" s="541"/>
      <c r="AG510" s="400"/>
      <c r="AH510" s="380" t="s">
        <v>1205</v>
      </c>
      <c r="AI510" s="576" t="str">
        <f>VLOOKUP(Complete[[#This Row],[Code
(PAP)]],[1]Sheet1!$A:$AO,35,FALSE)</f>
        <v>N/A</v>
      </c>
      <c r="AJ510" s="576" t="str">
        <f>VLOOKUP(Complete[[#This Row],[Code
(PAP)]],[1]Sheet1!$A:$AO,36,FALSE)</f>
        <v>N/A</v>
      </c>
      <c r="AK510" s="576" t="str">
        <f>VLOOKUP(Complete[[#This Row],[Code
(PAP)]],[1]Sheet1!$A:$AO,37,FALSE)</f>
        <v>N/A</v>
      </c>
      <c r="AL510" s="576" t="str">
        <f>VLOOKUP(Complete[[#This Row],[Code
(PAP)]],[1]Sheet1!$A:$AO,38,FALSE)</f>
        <v>N/A</v>
      </c>
      <c r="AM510" s="576" t="str">
        <f>VLOOKUP(Complete[[#This Row],[Code
(PAP)]],[1]Sheet1!$A:$AO,38,FALSE)</f>
        <v>N/A</v>
      </c>
      <c r="AN510" s="595" t="s">
        <v>713</v>
      </c>
      <c r="AO510" s="303" t="s">
        <v>139</v>
      </c>
      <c r="AP510" s="389"/>
      <c r="AQ510" s="389"/>
    </row>
    <row r="511" spans="1:43" s="224" customFormat="1" ht="75" customHeight="1" x14ac:dyDescent="0.25">
      <c r="A511" s="385" t="s">
        <v>689</v>
      </c>
      <c r="B511" s="406" t="str">
        <f>VLOOKUP(Complete[[#This Row],[Code
(PAP)]],[1]Sheet1!$A:$AO,2,FALSE)</f>
        <v>SPAREPARTS (LIGHT VEHICLES)</v>
      </c>
      <c r="C511" s="408" t="str">
        <f>VLOOKUP(Complete[[#This Row],[Code
(PAP)]],[1]Sheet1!$A:$AO,3,FALSE)</f>
        <v>PGSO</v>
      </c>
      <c r="D511" s="380" t="s">
        <v>712</v>
      </c>
      <c r="E511" s="409" t="str">
        <f>VLOOKUP(Complete[[#This Row],[Code
(PAP)]],[2]Sheet1!$A:$AO,5,FALSE)</f>
        <v>Shopping 52.1(a) - Unforeseen Contingency</v>
      </c>
      <c r="F511" s="393" t="str">
        <f>VLOOKUP(Complete[[#This Row],[Code
(PAP)]],[1]Sheet1!$A:$AO,6,FALSE)</f>
        <v>N/A</v>
      </c>
      <c r="G511" s="393">
        <f>VLOOKUP(Complete[[#This Row],[Code
(PAP)]],[1]Sheet1!$A:$AO,7,FALSE)</f>
        <v>45415</v>
      </c>
      <c r="H511" s="374"/>
      <c r="I511" s="394" t="str">
        <f>VLOOKUP(Complete[[#This Row],[Code
(PAP)]],[1]Sheet1!$A:$AO,9,FALSE)</f>
        <v>N/A</v>
      </c>
      <c r="J511" s="393">
        <f>VLOOKUP(Complete[[#This Row],[Code
(PAP)]],[1]Sheet1!$A:$AO,10,FALSE)</f>
        <v>45426</v>
      </c>
      <c r="K511" s="393">
        <f>VLOOKUP(Complete[[#This Row],[Code
(PAP)]],[1]Sheet1!$A:$AO,11,FALSE)</f>
        <v>45426</v>
      </c>
      <c r="L511" s="387"/>
      <c r="M511" s="393" t="str">
        <f>VLOOKUP(Complete[[#This Row],[Code
(PAP)]],[1]Sheet1!$A:$AO,13,FALSE)</f>
        <v>N/A</v>
      </c>
      <c r="N511" s="393" t="str">
        <f>VLOOKUP(Complete[[#This Row],[Code
(PAP)]],[1]Sheet1!$A:$AO,14,FALSE)</f>
        <v>N/A</v>
      </c>
      <c r="O511" s="393">
        <f>VLOOKUP(Complete[[#This Row],[Code
(PAP)]],[1]Sheet1!$A:$AO,15,FALSE)</f>
        <v>45428</v>
      </c>
      <c r="P511" s="387"/>
      <c r="Q511" s="387"/>
      <c r="R511" s="387"/>
      <c r="S511" s="576" t="s">
        <v>713</v>
      </c>
      <c r="T511" s="576">
        <f>VLOOKUP(Complete[[#This Row],[Code
(PAP)]],[1]Sheet1!$A:$AO,20,FALSE)</f>
        <v>45435</v>
      </c>
      <c r="U511" s="576">
        <f>VLOOKUP(Complete[[#This Row],[Code
(PAP)]],[1]Sheet1!$A:$AO,21,FALSE)</f>
        <v>45450</v>
      </c>
      <c r="V511" s="387"/>
      <c r="W511" s="387"/>
      <c r="X511" s="392">
        <f>VLOOKUP(Complete[[#This Row],[Code
(PAP)]],[1]Sheet1!$A:$AO,24,FALSE)</f>
        <v>45450</v>
      </c>
      <c r="Y511" s="392">
        <f>Complete[[#This Row],[Delivery/ Completion]]</f>
        <v>45450</v>
      </c>
      <c r="Z511" s="610" t="s">
        <v>1478</v>
      </c>
      <c r="AA511" s="462">
        <f>Complete[[#This Row],[MOOE]]+Complete[[#This Row],[CO]]</f>
        <v>23100</v>
      </c>
      <c r="AB511" s="466">
        <v>23100</v>
      </c>
      <c r="AC511" s="497"/>
      <c r="AD511" s="498">
        <f>IF(Complete[[#This Row],[Procurement Project]]="","",SUM(Complete[[#This Row],[MOOE2]]+Complete[[#This Row],[CO3]]))</f>
        <v>23100</v>
      </c>
      <c r="AE511" s="501">
        <v>23100</v>
      </c>
      <c r="AF511" s="541"/>
      <c r="AG511" s="400"/>
      <c r="AH511" s="380" t="s">
        <v>1205</v>
      </c>
      <c r="AI511" s="576" t="str">
        <f>VLOOKUP(Complete[[#This Row],[Code
(PAP)]],[1]Sheet1!$A:$AO,35,FALSE)</f>
        <v>N/A</v>
      </c>
      <c r="AJ511" s="576" t="str">
        <f>VLOOKUP(Complete[[#This Row],[Code
(PAP)]],[1]Sheet1!$A:$AO,36,FALSE)</f>
        <v>N/A</v>
      </c>
      <c r="AK511" s="576" t="str">
        <f>VLOOKUP(Complete[[#This Row],[Code
(PAP)]],[1]Sheet1!$A:$AO,37,FALSE)</f>
        <v>N/A</v>
      </c>
      <c r="AL511" s="576" t="str">
        <f>VLOOKUP(Complete[[#This Row],[Code
(PAP)]],[1]Sheet1!$A:$AO,38,FALSE)</f>
        <v>N/A</v>
      </c>
      <c r="AM511" s="576" t="str">
        <f>VLOOKUP(Complete[[#This Row],[Code
(PAP)]],[1]Sheet1!$A:$AO,38,FALSE)</f>
        <v>N/A</v>
      </c>
      <c r="AN511" s="595" t="s">
        <v>713</v>
      </c>
      <c r="AO511" s="303" t="s">
        <v>139</v>
      </c>
      <c r="AP511" s="389"/>
      <c r="AQ511" s="389"/>
    </row>
    <row r="512" spans="1:43" s="224" customFormat="1" ht="75" customHeight="1" x14ac:dyDescent="0.25">
      <c r="A512" s="385" t="s">
        <v>690</v>
      </c>
      <c r="B512" s="406" t="str">
        <f>VLOOKUP(Complete[[#This Row],[Code
(PAP)]],[1]Sheet1!$A:$AO,2,FALSE)</f>
        <v>SPAREPARTS (HEAVY EQUIPT)</v>
      </c>
      <c r="C512" s="408" t="str">
        <f>VLOOKUP(Complete[[#This Row],[Code
(PAP)]],[1]Sheet1!$A:$AO,3,FALSE)</f>
        <v>PDRRMO</v>
      </c>
      <c r="D512" s="380" t="s">
        <v>712</v>
      </c>
      <c r="E512" s="409" t="str">
        <f>VLOOKUP(Complete[[#This Row],[Code
(PAP)]],[2]Sheet1!$A:$AO,5,FALSE)</f>
        <v>Shopping 52.1(a) - Unforeseen Contingency</v>
      </c>
      <c r="F512" s="393" t="str">
        <f>VLOOKUP(Complete[[#This Row],[Code
(PAP)]],[1]Sheet1!$A:$AO,6,FALSE)</f>
        <v>N/A</v>
      </c>
      <c r="G512" s="393">
        <f>VLOOKUP(Complete[[#This Row],[Code
(PAP)]],[1]Sheet1!$A:$AO,7,FALSE)</f>
        <v>45418</v>
      </c>
      <c r="H512" s="374"/>
      <c r="I512" s="394" t="str">
        <f>VLOOKUP(Complete[[#This Row],[Code
(PAP)]],[1]Sheet1!$A:$AO,9,FALSE)</f>
        <v>N/A</v>
      </c>
      <c r="J512" s="393">
        <f>VLOOKUP(Complete[[#This Row],[Code
(PAP)]],[1]Sheet1!$A:$AO,10,FALSE)</f>
        <v>45426</v>
      </c>
      <c r="K512" s="393">
        <f>VLOOKUP(Complete[[#This Row],[Code
(PAP)]],[1]Sheet1!$A:$AO,11,FALSE)</f>
        <v>45426</v>
      </c>
      <c r="L512" s="387"/>
      <c r="M512" s="393" t="str">
        <f>VLOOKUP(Complete[[#This Row],[Code
(PAP)]],[1]Sheet1!$A:$AO,13,FALSE)</f>
        <v>N/A</v>
      </c>
      <c r="N512" s="393" t="str">
        <f>VLOOKUP(Complete[[#This Row],[Code
(PAP)]],[1]Sheet1!$A:$AO,14,FALSE)</f>
        <v>N/A</v>
      </c>
      <c r="O512" s="393">
        <f>VLOOKUP(Complete[[#This Row],[Code
(PAP)]],[1]Sheet1!$A:$AO,15,FALSE)</f>
        <v>45428</v>
      </c>
      <c r="P512" s="387"/>
      <c r="Q512" s="387"/>
      <c r="R512" s="387"/>
      <c r="S512" s="576" t="s">
        <v>713</v>
      </c>
      <c r="T512" s="576">
        <f>VLOOKUP(Complete[[#This Row],[Code
(PAP)]],[1]Sheet1!$A:$AO,20,FALSE)</f>
        <v>45435</v>
      </c>
      <c r="U512" s="576">
        <f>VLOOKUP(Complete[[#This Row],[Code
(PAP)]],[1]Sheet1!$A:$AO,21,FALSE)</f>
        <v>45446</v>
      </c>
      <c r="V512" s="387"/>
      <c r="W512" s="387"/>
      <c r="X512" s="392">
        <f>VLOOKUP(Complete[[#This Row],[Code
(PAP)]],[1]Sheet1!$A:$AO,24,FALSE)</f>
        <v>45446</v>
      </c>
      <c r="Y512" s="392">
        <f>Complete[[#This Row],[Delivery/ Completion]]</f>
        <v>45446</v>
      </c>
      <c r="Z512" s="610" t="s">
        <v>1478</v>
      </c>
      <c r="AA512" s="462">
        <f>Complete[[#This Row],[MOOE]]+Complete[[#This Row],[CO]]</f>
        <v>33900</v>
      </c>
      <c r="AB512" s="466">
        <v>33900</v>
      </c>
      <c r="AC512" s="497"/>
      <c r="AD512" s="498">
        <f>IF(Complete[[#This Row],[Procurement Project]]="","",SUM(Complete[[#This Row],[MOOE2]]+Complete[[#This Row],[CO3]]))</f>
        <v>33900</v>
      </c>
      <c r="AE512" s="501">
        <v>33900</v>
      </c>
      <c r="AF512" s="541"/>
      <c r="AG512" s="400"/>
      <c r="AH512" s="380" t="s">
        <v>1205</v>
      </c>
      <c r="AI512" s="576" t="str">
        <f>VLOOKUP(Complete[[#This Row],[Code
(PAP)]],[1]Sheet1!$A:$AO,35,FALSE)</f>
        <v>N/A</v>
      </c>
      <c r="AJ512" s="576" t="str">
        <f>VLOOKUP(Complete[[#This Row],[Code
(PAP)]],[1]Sheet1!$A:$AO,36,FALSE)</f>
        <v>N/A</v>
      </c>
      <c r="AK512" s="576" t="str">
        <f>VLOOKUP(Complete[[#This Row],[Code
(PAP)]],[1]Sheet1!$A:$AO,37,FALSE)</f>
        <v>N/A</v>
      </c>
      <c r="AL512" s="576" t="str">
        <f>VLOOKUP(Complete[[#This Row],[Code
(PAP)]],[1]Sheet1!$A:$AO,38,FALSE)</f>
        <v>N/A</v>
      </c>
      <c r="AM512" s="576" t="str">
        <f>VLOOKUP(Complete[[#This Row],[Code
(PAP)]],[1]Sheet1!$A:$AO,38,FALSE)</f>
        <v>N/A</v>
      </c>
      <c r="AN512" s="595" t="s">
        <v>713</v>
      </c>
      <c r="AO512" s="303" t="s">
        <v>139</v>
      </c>
      <c r="AP512" s="389"/>
      <c r="AQ512" s="389"/>
    </row>
    <row r="513" spans="1:43" s="224" customFormat="1" ht="75" customHeight="1" x14ac:dyDescent="0.25">
      <c r="A513" s="385" t="s">
        <v>263</v>
      </c>
      <c r="B513" s="406" t="str">
        <f>VLOOKUP(Complete[[#This Row],[Code
(PAP)]],[1]Sheet1!$A:$AO,2,FALSE)</f>
        <v>SPAREPARTS (LIGHT VEHICLES)</v>
      </c>
      <c r="C513" s="408" t="str">
        <f>VLOOKUP(Complete[[#This Row],[Code
(PAP)]],[1]Sheet1!$A:$AO,3,FALSE)</f>
        <v>PEO-Motorpool</v>
      </c>
      <c r="D513" s="380" t="s">
        <v>712</v>
      </c>
      <c r="E513" s="409" t="str">
        <f>VLOOKUP(Complete[[#This Row],[Code
(PAP)]],[2]Sheet1!$A:$AO,5,FALSE)</f>
        <v>Direct Contracting</v>
      </c>
      <c r="F513" s="430" t="str">
        <f>VLOOKUP(Complete[[#This Row],[Code
(PAP)]],[1]Sheet1!$A:$AO,6,FALSE)</f>
        <v>N/A</v>
      </c>
      <c r="G513" s="393">
        <f>VLOOKUP(Complete[[#This Row],[Code
(PAP)]],[1]Sheet1!$A:$AO,7,FALSE)</f>
        <v>45422</v>
      </c>
      <c r="H513" s="374"/>
      <c r="I513" s="394" t="str">
        <f>VLOOKUP(Complete[[#This Row],[Code
(PAP)]],[1]Sheet1!$A:$AO,9,FALSE)</f>
        <v>N/A</v>
      </c>
      <c r="J513" s="393">
        <f>VLOOKUP(Complete[[#This Row],[Code
(PAP)]],[1]Sheet1!$A:$AO,10,FALSE)</f>
        <v>45426</v>
      </c>
      <c r="K513" s="393">
        <f>VLOOKUP(Complete[[#This Row],[Code
(PAP)]],[1]Sheet1!$A:$AO,11,FALSE)</f>
        <v>45426</v>
      </c>
      <c r="L513" s="387"/>
      <c r="M513" s="393" t="str">
        <f>VLOOKUP(Complete[[#This Row],[Code
(PAP)]],[1]Sheet1!$A:$AO,13,FALSE)</f>
        <v>N/A</v>
      </c>
      <c r="N513" s="393" t="str">
        <f>VLOOKUP(Complete[[#This Row],[Code
(PAP)]],[1]Sheet1!$A:$AO,14,FALSE)</f>
        <v>N/A</v>
      </c>
      <c r="O513" s="393">
        <f>VLOOKUP(Complete[[#This Row],[Code
(PAP)]],[1]Sheet1!$A:$AO,15,FALSE)</f>
        <v>45428</v>
      </c>
      <c r="P513" s="387"/>
      <c r="Q513" s="387"/>
      <c r="R513" s="387"/>
      <c r="S513" s="576" t="s">
        <v>713</v>
      </c>
      <c r="T513" s="576">
        <f>VLOOKUP(Complete[[#This Row],[Code
(PAP)]],[1]Sheet1!$A:$AO,20,FALSE)</f>
        <v>45434</v>
      </c>
      <c r="U513" s="576">
        <f>VLOOKUP(Complete[[#This Row],[Code
(PAP)]],[1]Sheet1!$A:$AO,21,FALSE)</f>
        <v>45440</v>
      </c>
      <c r="V513" s="387"/>
      <c r="W513" s="387"/>
      <c r="X513" s="392">
        <f>VLOOKUP(Complete[[#This Row],[Code
(PAP)]],[1]Sheet1!$A:$AO,24,FALSE)</f>
        <v>45453</v>
      </c>
      <c r="Y513" s="392">
        <f>Complete[[#This Row],[Delivery/ Completion]]</f>
        <v>45453</v>
      </c>
      <c r="Z513" s="610" t="s">
        <v>1478</v>
      </c>
      <c r="AA513" s="462">
        <f>Complete[[#This Row],[MOOE]]+Complete[[#This Row],[CO]]</f>
        <v>2039316.05</v>
      </c>
      <c r="AB513" s="466">
        <v>2039316.05</v>
      </c>
      <c r="AC513" s="497"/>
      <c r="AD513" s="498">
        <f>IF(Complete[[#This Row],[Procurement Project]]="","",SUM(Complete[[#This Row],[MOOE2]]+Complete[[#This Row],[CO3]]))</f>
        <v>2031333</v>
      </c>
      <c r="AE513" s="501">
        <v>2031333</v>
      </c>
      <c r="AF513" s="541"/>
      <c r="AG513" s="400"/>
      <c r="AH513" s="380" t="s">
        <v>1205</v>
      </c>
      <c r="AI513" s="576" t="str">
        <f>VLOOKUP(Complete[[#This Row],[Code
(PAP)]],[1]Sheet1!$A:$AO,35,FALSE)</f>
        <v>N/A</v>
      </c>
      <c r="AJ513" s="576" t="str">
        <f>VLOOKUP(Complete[[#This Row],[Code
(PAP)]],[1]Sheet1!$A:$AO,36,FALSE)</f>
        <v>N/A</v>
      </c>
      <c r="AK513" s="576" t="str">
        <f>VLOOKUP(Complete[[#This Row],[Code
(PAP)]],[1]Sheet1!$A:$AO,37,FALSE)</f>
        <v>N/A</v>
      </c>
      <c r="AL513" s="576" t="str">
        <f>VLOOKUP(Complete[[#This Row],[Code
(PAP)]],[1]Sheet1!$A:$AO,38,FALSE)</f>
        <v>N/A</v>
      </c>
      <c r="AM513" s="576" t="str">
        <f>VLOOKUP(Complete[[#This Row],[Code
(PAP)]],[1]Sheet1!$A:$AO,38,FALSE)</f>
        <v>N/A</v>
      </c>
      <c r="AN513" s="595" t="s">
        <v>713</v>
      </c>
      <c r="AO513" s="303" t="s">
        <v>139</v>
      </c>
      <c r="AP513" s="389"/>
      <c r="AQ513" s="389"/>
    </row>
    <row r="514" spans="1:43" s="224" customFormat="1" ht="75" customHeight="1" x14ac:dyDescent="0.25">
      <c r="A514" s="385" t="s">
        <v>691</v>
      </c>
      <c r="B514" s="406" t="str">
        <f>VLOOKUP(Complete[[#This Row],[Code
(PAP)]],[1]Sheet1!$A:$AO,2,FALSE)</f>
        <v>FOOD/CATERING SERVICES</v>
      </c>
      <c r="C514" s="408" t="str">
        <f>VLOOKUP(Complete[[#This Row],[Code
(PAP)]],[1]Sheet1!$A:$AO,3,FALSE)</f>
        <v>PVO</v>
      </c>
      <c r="D514" s="380" t="s">
        <v>712</v>
      </c>
      <c r="E514" s="409" t="str">
        <f>VLOOKUP(Complete[[#This Row],[Code
(PAP)]],[2]Sheet1!$A:$AO,5,FALSE)</f>
        <v>NP-53.9 - Small Value Procurement</v>
      </c>
      <c r="F514" s="393" t="str">
        <f>VLOOKUP(Complete[[#This Row],[Code
(PAP)]],[1]Sheet1!$A:$AO,6,FALSE)</f>
        <v>N/A</v>
      </c>
      <c r="G514" s="393">
        <f>VLOOKUP(Complete[[#This Row],[Code
(PAP)]],[1]Sheet1!$A:$AO,7,FALSE)</f>
        <v>45404</v>
      </c>
      <c r="H514" s="374"/>
      <c r="I514" s="394" t="str">
        <f>VLOOKUP(Complete[[#This Row],[Code
(PAP)]],[1]Sheet1!$A:$AO,9,FALSE)</f>
        <v>N/A</v>
      </c>
      <c r="J514" s="393">
        <f>VLOOKUP(Complete[[#This Row],[Code
(PAP)]],[1]Sheet1!$A:$AO,10,FALSE)</f>
        <v>45426</v>
      </c>
      <c r="K514" s="393">
        <f>VLOOKUP(Complete[[#This Row],[Code
(PAP)]],[1]Sheet1!$A:$AO,11,FALSE)</f>
        <v>45426</v>
      </c>
      <c r="L514" s="387"/>
      <c r="M514" s="393" t="str">
        <f>VLOOKUP(Complete[[#This Row],[Code
(PAP)]],[1]Sheet1!$A:$AO,13,FALSE)</f>
        <v>N/A</v>
      </c>
      <c r="N514" s="393" t="str">
        <f>VLOOKUP(Complete[[#This Row],[Code
(PAP)]],[1]Sheet1!$A:$AO,14,FALSE)</f>
        <v>N/A</v>
      </c>
      <c r="O514" s="393">
        <f>VLOOKUP(Complete[[#This Row],[Code
(PAP)]],[1]Sheet1!$A:$AO,15,FALSE)</f>
        <v>45428</v>
      </c>
      <c r="P514" s="387"/>
      <c r="Q514" s="387"/>
      <c r="R514" s="387"/>
      <c r="S514" s="576">
        <v>45428</v>
      </c>
      <c r="T514" s="576">
        <f>VLOOKUP(Complete[[#This Row],[Code
(PAP)]],[1]Sheet1!$A:$AO,20,FALSE)</f>
        <v>45433</v>
      </c>
      <c r="U514" s="576">
        <f>VLOOKUP(Complete[[#This Row],[Code
(PAP)]],[1]Sheet1!$A:$AO,21,FALSE)</f>
        <v>45447</v>
      </c>
      <c r="V514" s="387"/>
      <c r="W514" s="387"/>
      <c r="X514" s="392">
        <f>VLOOKUP(Complete[[#This Row],[Code
(PAP)]],[1]Sheet1!$A:$AO,24,FALSE)</f>
        <v>45454</v>
      </c>
      <c r="Y514" s="392">
        <f>Complete[[#This Row],[Delivery/ Completion]]</f>
        <v>45454</v>
      </c>
      <c r="Z514" s="610" t="s">
        <v>1478</v>
      </c>
      <c r="AA514" s="462">
        <f>Complete[[#This Row],[MOOE]]+Complete[[#This Row],[CO]]</f>
        <v>167820</v>
      </c>
      <c r="AB514" s="466">
        <v>167820</v>
      </c>
      <c r="AC514" s="497"/>
      <c r="AD514" s="498">
        <f>IF(Complete[[#This Row],[Procurement Project]]="","",SUM(Complete[[#This Row],[MOOE2]]+Complete[[#This Row],[CO3]]))</f>
        <v>166868</v>
      </c>
      <c r="AE514" s="501">
        <v>166868</v>
      </c>
      <c r="AF514" s="541"/>
      <c r="AG514" s="400"/>
      <c r="AH514" s="380" t="s">
        <v>1205</v>
      </c>
      <c r="AI514" s="576" t="str">
        <f>VLOOKUP(Complete[[#This Row],[Code
(PAP)]],[1]Sheet1!$A:$AO,35,FALSE)</f>
        <v>N/A</v>
      </c>
      <c r="AJ514" s="576" t="str">
        <f>VLOOKUP(Complete[[#This Row],[Code
(PAP)]],[1]Sheet1!$A:$AO,36,FALSE)</f>
        <v>N/A</v>
      </c>
      <c r="AK514" s="576" t="str">
        <f>VLOOKUP(Complete[[#This Row],[Code
(PAP)]],[1]Sheet1!$A:$AO,37,FALSE)</f>
        <v>N/A</v>
      </c>
      <c r="AL514" s="576" t="str">
        <f>VLOOKUP(Complete[[#This Row],[Code
(PAP)]],[1]Sheet1!$A:$AO,38,FALSE)</f>
        <v>N/A</v>
      </c>
      <c r="AM514" s="576" t="str">
        <f>VLOOKUP(Complete[[#This Row],[Code
(PAP)]],[1]Sheet1!$A:$AO,38,FALSE)</f>
        <v>N/A</v>
      </c>
      <c r="AN514" s="595" t="s">
        <v>713</v>
      </c>
      <c r="AO514" s="303" t="s">
        <v>139</v>
      </c>
      <c r="AP514" s="389"/>
      <c r="AQ514" s="389"/>
    </row>
    <row r="515" spans="1:43" s="224" customFormat="1" ht="75" customHeight="1" x14ac:dyDescent="0.25">
      <c r="A515" s="385" t="s">
        <v>692</v>
      </c>
      <c r="B515" s="406" t="str">
        <f>VLOOKUP(Complete[[#This Row],[Code
(PAP)]],[1]Sheet1!$A:$AO,2,FALSE)</f>
        <v>FLOWERS &amp; DECORATION</v>
      </c>
      <c r="C515" s="408" t="str">
        <f>VLOOKUP(Complete[[#This Row],[Code
(PAP)]],[1]Sheet1!$A:$AO,3,FALSE)</f>
        <v>PGO</v>
      </c>
      <c r="D515" s="380" t="s">
        <v>712</v>
      </c>
      <c r="E515" s="409" t="str">
        <f>VLOOKUP(Complete[[#This Row],[Code
(PAP)]],[2]Sheet1!$A:$AO,5,FALSE)</f>
        <v>NP-53.9 - Small Value Procurement</v>
      </c>
      <c r="F515" s="393" t="str">
        <f>VLOOKUP(Complete[[#This Row],[Code
(PAP)]],[1]Sheet1!$A:$AO,6,FALSE)</f>
        <v>N/A</v>
      </c>
      <c r="G515" s="393">
        <f>VLOOKUP(Complete[[#This Row],[Code
(PAP)]],[1]Sheet1!$A:$AO,7,FALSE)</f>
        <v>45422</v>
      </c>
      <c r="H515" s="374"/>
      <c r="I515" s="394" t="str">
        <f>VLOOKUP(Complete[[#This Row],[Code
(PAP)]],[1]Sheet1!$A:$AO,9,FALSE)</f>
        <v>N/A</v>
      </c>
      <c r="J515" s="393">
        <f>VLOOKUP(Complete[[#This Row],[Code
(PAP)]],[1]Sheet1!$A:$AO,10,FALSE)</f>
        <v>45426</v>
      </c>
      <c r="K515" s="393">
        <f>VLOOKUP(Complete[[#This Row],[Code
(PAP)]],[1]Sheet1!$A:$AO,11,FALSE)</f>
        <v>45426</v>
      </c>
      <c r="L515" s="387"/>
      <c r="M515" s="393" t="str">
        <f>VLOOKUP(Complete[[#This Row],[Code
(PAP)]],[1]Sheet1!$A:$AO,13,FALSE)</f>
        <v>N/A</v>
      </c>
      <c r="N515" s="393" t="str">
        <f>VLOOKUP(Complete[[#This Row],[Code
(PAP)]],[1]Sheet1!$A:$AO,14,FALSE)</f>
        <v>N/A</v>
      </c>
      <c r="O515" s="393">
        <f>VLOOKUP(Complete[[#This Row],[Code
(PAP)]],[1]Sheet1!$A:$AO,15,FALSE)</f>
        <v>45428</v>
      </c>
      <c r="P515" s="387"/>
      <c r="Q515" s="387"/>
      <c r="R515" s="387"/>
      <c r="S515" s="576" t="s">
        <v>713</v>
      </c>
      <c r="T515" s="576">
        <f>VLOOKUP(Complete[[#This Row],[Code
(PAP)]],[1]Sheet1!$A:$AO,20,FALSE)</f>
        <v>45435</v>
      </c>
      <c r="U515" s="576">
        <f>VLOOKUP(Complete[[#This Row],[Code
(PAP)]],[1]Sheet1!$A:$AO,21,FALSE)</f>
        <v>45436</v>
      </c>
      <c r="V515" s="387"/>
      <c r="W515" s="387"/>
      <c r="X515" s="392">
        <f>VLOOKUP(Complete[[#This Row],[Code
(PAP)]],[1]Sheet1!$A:$AO,24,FALSE)</f>
        <v>45449</v>
      </c>
      <c r="Y515" s="392">
        <f>Complete[[#This Row],[Delivery/ Completion]]</f>
        <v>45449</v>
      </c>
      <c r="Z515" s="610" t="s">
        <v>1478</v>
      </c>
      <c r="AA515" s="462">
        <f>Complete[[#This Row],[MOOE]]+Complete[[#This Row],[CO]]</f>
        <v>49950</v>
      </c>
      <c r="AB515" s="466"/>
      <c r="AC515" s="497">
        <v>49950</v>
      </c>
      <c r="AD515" s="498">
        <f>IF(Complete[[#This Row],[Procurement Project]]="","",SUM(Complete[[#This Row],[MOOE2]]+Complete[[#This Row],[CO3]]))</f>
        <v>49910</v>
      </c>
      <c r="AE515" s="501"/>
      <c r="AF515" s="541">
        <v>49910</v>
      </c>
      <c r="AG515" s="400"/>
      <c r="AH515" s="380" t="s">
        <v>1205</v>
      </c>
      <c r="AI515" s="576" t="str">
        <f>VLOOKUP(Complete[[#This Row],[Code
(PAP)]],[1]Sheet1!$A:$AO,35,FALSE)</f>
        <v>N/A</v>
      </c>
      <c r="AJ515" s="576" t="str">
        <f>VLOOKUP(Complete[[#This Row],[Code
(PAP)]],[1]Sheet1!$A:$AO,36,FALSE)</f>
        <v>N/A</v>
      </c>
      <c r="AK515" s="576" t="str">
        <f>VLOOKUP(Complete[[#This Row],[Code
(PAP)]],[1]Sheet1!$A:$AO,37,FALSE)</f>
        <v>N/A</v>
      </c>
      <c r="AL515" s="576" t="str">
        <f>VLOOKUP(Complete[[#This Row],[Code
(PAP)]],[1]Sheet1!$A:$AO,38,FALSE)</f>
        <v>N/A</v>
      </c>
      <c r="AM515" s="576" t="str">
        <f>VLOOKUP(Complete[[#This Row],[Code
(PAP)]],[1]Sheet1!$A:$AO,38,FALSE)</f>
        <v>N/A</v>
      </c>
      <c r="AN515" s="595" t="s">
        <v>713</v>
      </c>
      <c r="AO515" s="303" t="s">
        <v>139</v>
      </c>
      <c r="AP515" s="389"/>
      <c r="AQ515" s="389"/>
    </row>
    <row r="516" spans="1:43" s="224" customFormat="1" ht="75" customHeight="1" x14ac:dyDescent="0.25">
      <c r="A516" s="385" t="s">
        <v>693</v>
      </c>
      <c r="B516" s="406" t="str">
        <f>VLOOKUP(Complete[[#This Row],[Code
(PAP)]],[1]Sheet1!$A:$AO,2,FALSE)</f>
        <v>SAFETY PINS &amp; THUMBSTACKS</v>
      </c>
      <c r="C516" s="408" t="str">
        <f>VLOOKUP(Complete[[#This Row],[Code
(PAP)]],[1]Sheet1!$A:$AO,3,FALSE)</f>
        <v>PGO</v>
      </c>
      <c r="D516" s="380" t="s">
        <v>712</v>
      </c>
      <c r="E516" s="409" t="str">
        <f>VLOOKUP(Complete[[#This Row],[Code
(PAP)]],[2]Sheet1!$A:$AO,5,FALSE)</f>
        <v>NP-53.9 - Small Value Procurement</v>
      </c>
      <c r="F516" s="393" t="str">
        <f>VLOOKUP(Complete[[#This Row],[Code
(PAP)]],[1]Sheet1!$A:$AO,6,FALSE)</f>
        <v>N/A</v>
      </c>
      <c r="G516" s="393">
        <f>VLOOKUP(Complete[[#This Row],[Code
(PAP)]],[1]Sheet1!$A:$AO,7,FALSE)</f>
        <v>45422</v>
      </c>
      <c r="H516" s="374"/>
      <c r="I516" s="394" t="str">
        <f>VLOOKUP(Complete[[#This Row],[Code
(PAP)]],[1]Sheet1!$A:$AO,9,FALSE)</f>
        <v>N/A</v>
      </c>
      <c r="J516" s="393">
        <f>VLOOKUP(Complete[[#This Row],[Code
(PAP)]],[1]Sheet1!$A:$AO,10,FALSE)</f>
        <v>45426</v>
      </c>
      <c r="K516" s="393">
        <f>VLOOKUP(Complete[[#This Row],[Code
(PAP)]],[1]Sheet1!$A:$AO,11,FALSE)</f>
        <v>45426</v>
      </c>
      <c r="L516" s="387"/>
      <c r="M516" s="393" t="str">
        <f>VLOOKUP(Complete[[#This Row],[Code
(PAP)]],[1]Sheet1!$A:$AO,13,FALSE)</f>
        <v>N/A</v>
      </c>
      <c r="N516" s="393" t="str">
        <f>VLOOKUP(Complete[[#This Row],[Code
(PAP)]],[1]Sheet1!$A:$AO,14,FALSE)</f>
        <v>N/A</v>
      </c>
      <c r="O516" s="393">
        <f>VLOOKUP(Complete[[#This Row],[Code
(PAP)]],[1]Sheet1!$A:$AO,15,FALSE)</f>
        <v>45428</v>
      </c>
      <c r="P516" s="387"/>
      <c r="Q516" s="387"/>
      <c r="R516" s="387"/>
      <c r="S516" s="576" t="s">
        <v>713</v>
      </c>
      <c r="T516" s="576">
        <f>VLOOKUP(Complete[[#This Row],[Code
(PAP)]],[1]Sheet1!$A:$AO,20,FALSE)</f>
        <v>45435</v>
      </c>
      <c r="U516" s="576">
        <f>VLOOKUP(Complete[[#This Row],[Code
(PAP)]],[1]Sheet1!$A:$AO,21,FALSE)</f>
        <v>45436</v>
      </c>
      <c r="V516" s="387"/>
      <c r="W516" s="387"/>
      <c r="X516" s="392">
        <f>VLOOKUP(Complete[[#This Row],[Code
(PAP)]],[1]Sheet1!$A:$AO,24,FALSE)</f>
        <v>45440</v>
      </c>
      <c r="Y516" s="392">
        <f>Complete[[#This Row],[Delivery/ Completion]]</f>
        <v>45440</v>
      </c>
      <c r="Z516" s="610" t="s">
        <v>1478</v>
      </c>
      <c r="AA516" s="462">
        <f>Complete[[#This Row],[MOOE]]+Complete[[#This Row],[CO]]</f>
        <v>540</v>
      </c>
      <c r="AB516" s="466"/>
      <c r="AC516" s="497">
        <v>540</v>
      </c>
      <c r="AD516" s="498">
        <f>IF(Complete[[#This Row],[Procurement Project]]="","",SUM(Complete[[#This Row],[MOOE2]]+Complete[[#This Row],[CO3]]))</f>
        <v>520</v>
      </c>
      <c r="AE516" s="501"/>
      <c r="AF516" s="541">
        <v>520</v>
      </c>
      <c r="AG516" s="400"/>
      <c r="AH516" s="380" t="s">
        <v>1205</v>
      </c>
      <c r="AI516" s="576" t="str">
        <f>VLOOKUP(Complete[[#This Row],[Code
(PAP)]],[1]Sheet1!$A:$AO,35,FALSE)</f>
        <v>N/A</v>
      </c>
      <c r="AJ516" s="576" t="str">
        <f>VLOOKUP(Complete[[#This Row],[Code
(PAP)]],[1]Sheet1!$A:$AO,36,FALSE)</f>
        <v>N/A</v>
      </c>
      <c r="AK516" s="576" t="str">
        <f>VLOOKUP(Complete[[#This Row],[Code
(PAP)]],[1]Sheet1!$A:$AO,37,FALSE)</f>
        <v>N/A</v>
      </c>
      <c r="AL516" s="576" t="str">
        <f>VLOOKUP(Complete[[#This Row],[Code
(PAP)]],[1]Sheet1!$A:$AO,38,FALSE)</f>
        <v>N/A</v>
      </c>
      <c r="AM516" s="576" t="str">
        <f>VLOOKUP(Complete[[#This Row],[Code
(PAP)]],[1]Sheet1!$A:$AO,38,FALSE)</f>
        <v>N/A</v>
      </c>
      <c r="AN516" s="595" t="s">
        <v>713</v>
      </c>
      <c r="AO516" s="303" t="s">
        <v>139</v>
      </c>
      <c r="AP516" s="389"/>
      <c r="AQ516" s="389"/>
    </row>
    <row r="517" spans="1:43" s="224" customFormat="1" ht="75" customHeight="1" x14ac:dyDescent="0.25">
      <c r="A517" s="385" t="s">
        <v>694</v>
      </c>
      <c r="B517" s="406" t="str">
        <f>VLOOKUP(Complete[[#This Row],[Code
(PAP)]],[1]Sheet1!$A:$AO,2,FALSE)</f>
        <v>CLOTH,PONGEE</v>
      </c>
      <c r="C517" s="408" t="str">
        <f>VLOOKUP(Complete[[#This Row],[Code
(PAP)]],[1]Sheet1!$A:$AO,3,FALSE)</f>
        <v>PGO</v>
      </c>
      <c r="D517" s="380" t="s">
        <v>712</v>
      </c>
      <c r="E517" s="409" t="str">
        <f>VLOOKUP(Complete[[#This Row],[Code
(PAP)]],[2]Sheet1!$A:$AO,5,FALSE)</f>
        <v>NP-53.9 - Small Value Procurement</v>
      </c>
      <c r="F517" s="393" t="str">
        <f>VLOOKUP(Complete[[#This Row],[Code
(PAP)]],[1]Sheet1!$A:$AO,6,FALSE)</f>
        <v>N/A</v>
      </c>
      <c r="G517" s="393">
        <f>VLOOKUP(Complete[[#This Row],[Code
(PAP)]],[1]Sheet1!$A:$AO,7,FALSE)</f>
        <v>45412</v>
      </c>
      <c r="H517" s="374"/>
      <c r="I517" s="394" t="str">
        <f>VLOOKUP(Complete[[#This Row],[Code
(PAP)]],[1]Sheet1!$A:$AO,9,FALSE)</f>
        <v>N/A</v>
      </c>
      <c r="J517" s="393">
        <f>VLOOKUP(Complete[[#This Row],[Code
(PAP)]],[1]Sheet1!$A:$AO,10,FALSE)</f>
        <v>45426</v>
      </c>
      <c r="K517" s="393">
        <f>VLOOKUP(Complete[[#This Row],[Code
(PAP)]],[1]Sheet1!$A:$AO,11,FALSE)</f>
        <v>45426</v>
      </c>
      <c r="L517" s="387"/>
      <c r="M517" s="393" t="str">
        <f>VLOOKUP(Complete[[#This Row],[Code
(PAP)]],[1]Sheet1!$A:$AO,13,FALSE)</f>
        <v>N/A</v>
      </c>
      <c r="N517" s="393" t="str">
        <f>VLOOKUP(Complete[[#This Row],[Code
(PAP)]],[1]Sheet1!$A:$AO,14,FALSE)</f>
        <v>N/A</v>
      </c>
      <c r="O517" s="393">
        <f>VLOOKUP(Complete[[#This Row],[Code
(PAP)]],[1]Sheet1!$A:$AO,15,FALSE)</f>
        <v>45428</v>
      </c>
      <c r="P517" s="387"/>
      <c r="Q517" s="387"/>
      <c r="R517" s="387"/>
      <c r="S517" s="576" t="s">
        <v>713</v>
      </c>
      <c r="T517" s="576">
        <f>VLOOKUP(Complete[[#This Row],[Code
(PAP)]],[1]Sheet1!$A:$AO,20,FALSE)</f>
        <v>45436</v>
      </c>
      <c r="U517" s="576">
        <f>VLOOKUP(Complete[[#This Row],[Code
(PAP)]],[1]Sheet1!$A:$AO,21,FALSE)</f>
        <v>45436</v>
      </c>
      <c r="V517" s="387"/>
      <c r="W517" s="387"/>
      <c r="X517" s="392">
        <f>VLOOKUP(Complete[[#This Row],[Code
(PAP)]],[1]Sheet1!$A:$AO,24,FALSE)</f>
        <v>45440</v>
      </c>
      <c r="Y517" s="392">
        <f>Complete[[#This Row],[Delivery/ Completion]]</f>
        <v>45440</v>
      </c>
      <c r="Z517" s="610" t="s">
        <v>1478</v>
      </c>
      <c r="AA517" s="462">
        <f>Complete[[#This Row],[MOOE]]+Complete[[#This Row],[CO]]</f>
        <v>5700</v>
      </c>
      <c r="AB517" s="466"/>
      <c r="AC517" s="497">
        <v>5700</v>
      </c>
      <c r="AD517" s="498">
        <f>IF(Complete[[#This Row],[Procurement Project]]="","",SUM(Complete[[#This Row],[MOOE2]]+Complete[[#This Row],[CO3]]))</f>
        <v>5694</v>
      </c>
      <c r="AE517" s="501"/>
      <c r="AF517" s="541">
        <v>5694</v>
      </c>
      <c r="AG517" s="400"/>
      <c r="AH517" s="380" t="s">
        <v>1205</v>
      </c>
      <c r="AI517" s="576" t="str">
        <f>VLOOKUP(Complete[[#This Row],[Code
(PAP)]],[1]Sheet1!$A:$AO,35,FALSE)</f>
        <v>N/A</v>
      </c>
      <c r="AJ517" s="576" t="str">
        <f>VLOOKUP(Complete[[#This Row],[Code
(PAP)]],[1]Sheet1!$A:$AO,36,FALSE)</f>
        <v>N/A</v>
      </c>
      <c r="AK517" s="576" t="str">
        <f>VLOOKUP(Complete[[#This Row],[Code
(PAP)]],[1]Sheet1!$A:$AO,37,FALSE)</f>
        <v>N/A</v>
      </c>
      <c r="AL517" s="576" t="str">
        <f>VLOOKUP(Complete[[#This Row],[Code
(PAP)]],[1]Sheet1!$A:$AO,38,FALSE)</f>
        <v>N/A</v>
      </c>
      <c r="AM517" s="576" t="str">
        <f>VLOOKUP(Complete[[#This Row],[Code
(PAP)]],[1]Sheet1!$A:$AO,38,FALSE)</f>
        <v>N/A</v>
      </c>
      <c r="AN517" s="595" t="s">
        <v>713</v>
      </c>
      <c r="AO517" s="303" t="s">
        <v>139</v>
      </c>
      <c r="AP517" s="389"/>
      <c r="AQ517" s="389"/>
    </row>
    <row r="518" spans="1:43" s="224" customFormat="1" ht="75" customHeight="1" x14ac:dyDescent="0.25">
      <c r="A518" s="385" t="s">
        <v>695</v>
      </c>
      <c r="B518" s="406" t="str">
        <f>VLOOKUP(Complete[[#This Row],[Code
(PAP)]],[1]Sheet1!$A:$AO,2,FALSE)</f>
        <v>PLUMBING SUPPLIES</v>
      </c>
      <c r="C518" s="408" t="str">
        <f>VLOOKUP(Complete[[#This Row],[Code
(PAP)]],[1]Sheet1!$A:$AO,3,FALSE)</f>
        <v>PEEMO</v>
      </c>
      <c r="D518" s="380" t="s">
        <v>712</v>
      </c>
      <c r="E518" s="409" t="str">
        <f>VLOOKUP(Complete[[#This Row],[Code
(PAP)]],[2]Sheet1!$A:$AO,5,FALSE)</f>
        <v>NP-53.9 - Small Value Procurement</v>
      </c>
      <c r="F518" s="393" t="str">
        <f>VLOOKUP(Complete[[#This Row],[Code
(PAP)]],[1]Sheet1!$A:$AO,6,FALSE)</f>
        <v>N/A</v>
      </c>
      <c r="G518" s="393">
        <f>VLOOKUP(Complete[[#This Row],[Code
(PAP)]],[1]Sheet1!$A:$AO,7,FALSE)</f>
        <v>45397</v>
      </c>
      <c r="H518" s="374"/>
      <c r="I518" s="394" t="str">
        <f>VLOOKUP(Complete[[#This Row],[Code
(PAP)]],[1]Sheet1!$A:$AO,9,FALSE)</f>
        <v>N/A</v>
      </c>
      <c r="J518" s="393">
        <f>VLOOKUP(Complete[[#This Row],[Code
(PAP)]],[1]Sheet1!$A:$AO,10,FALSE)</f>
        <v>45426</v>
      </c>
      <c r="K518" s="393">
        <f>VLOOKUP(Complete[[#This Row],[Code
(PAP)]],[1]Sheet1!$A:$AO,11,FALSE)</f>
        <v>45426</v>
      </c>
      <c r="L518" s="387"/>
      <c r="M518" s="393" t="str">
        <f>VLOOKUP(Complete[[#This Row],[Code
(PAP)]],[1]Sheet1!$A:$AO,13,FALSE)</f>
        <v>N/A</v>
      </c>
      <c r="N518" s="393" t="str">
        <f>VLOOKUP(Complete[[#This Row],[Code
(PAP)]],[1]Sheet1!$A:$AO,14,FALSE)</f>
        <v>N/A</v>
      </c>
      <c r="O518" s="393">
        <f>VLOOKUP(Complete[[#This Row],[Code
(PAP)]],[1]Sheet1!$A:$AO,15,FALSE)</f>
        <v>45428</v>
      </c>
      <c r="P518" s="387"/>
      <c r="Q518" s="387"/>
      <c r="R518" s="387"/>
      <c r="S518" s="576" t="s">
        <v>713</v>
      </c>
      <c r="T518" s="576">
        <f>VLOOKUP(Complete[[#This Row],[Code
(PAP)]],[1]Sheet1!$A:$AO,20,FALSE)</f>
        <v>45436</v>
      </c>
      <c r="U518" s="576">
        <f>VLOOKUP(Complete[[#This Row],[Code
(PAP)]],[1]Sheet1!$A:$AO,21,FALSE)</f>
        <v>45440</v>
      </c>
      <c r="V518" s="387"/>
      <c r="W518" s="387"/>
      <c r="X518" s="392">
        <f>VLOOKUP(Complete[[#This Row],[Code
(PAP)]],[1]Sheet1!$A:$AO,24,FALSE)</f>
        <v>45454</v>
      </c>
      <c r="Y518" s="392">
        <f>Complete[[#This Row],[Delivery/ Completion]]</f>
        <v>45454</v>
      </c>
      <c r="Z518" s="610" t="s">
        <v>1478</v>
      </c>
      <c r="AA518" s="462">
        <f>Complete[[#This Row],[MOOE]]+Complete[[#This Row],[CO]]</f>
        <v>44979</v>
      </c>
      <c r="AB518" s="466">
        <v>44979</v>
      </c>
      <c r="AC518" s="497"/>
      <c r="AD518" s="498">
        <f>IF(Complete[[#This Row],[Procurement Project]]="","",SUM(Complete[[#This Row],[MOOE2]]+Complete[[#This Row],[CO3]]))</f>
        <v>44891</v>
      </c>
      <c r="AE518" s="501">
        <v>44891</v>
      </c>
      <c r="AF518" s="541"/>
      <c r="AG518" s="400"/>
      <c r="AH518" s="380" t="s">
        <v>1205</v>
      </c>
      <c r="AI518" s="576" t="str">
        <f>VLOOKUP(Complete[[#This Row],[Code
(PAP)]],[1]Sheet1!$A:$AO,35,FALSE)</f>
        <v>N/A</v>
      </c>
      <c r="AJ518" s="576" t="str">
        <f>VLOOKUP(Complete[[#This Row],[Code
(PAP)]],[1]Sheet1!$A:$AO,36,FALSE)</f>
        <v>N/A</v>
      </c>
      <c r="AK518" s="576" t="str">
        <f>VLOOKUP(Complete[[#This Row],[Code
(PAP)]],[1]Sheet1!$A:$AO,37,FALSE)</f>
        <v>N/A</v>
      </c>
      <c r="AL518" s="576" t="str">
        <f>VLOOKUP(Complete[[#This Row],[Code
(PAP)]],[1]Sheet1!$A:$AO,38,FALSE)</f>
        <v>N/A</v>
      </c>
      <c r="AM518" s="576" t="str">
        <f>VLOOKUP(Complete[[#This Row],[Code
(PAP)]],[1]Sheet1!$A:$AO,38,FALSE)</f>
        <v>N/A</v>
      </c>
      <c r="AN518" s="595" t="s">
        <v>713</v>
      </c>
      <c r="AO518" s="303" t="s">
        <v>139</v>
      </c>
      <c r="AP518" s="389"/>
      <c r="AQ518" s="389"/>
    </row>
    <row r="519" spans="1:43" s="224" customFormat="1" ht="75" customHeight="1" x14ac:dyDescent="0.25">
      <c r="A519" s="385" t="s">
        <v>696</v>
      </c>
      <c r="B519" s="406" t="str">
        <f>VLOOKUP(Complete[[#This Row],[Code
(PAP)]],[1]Sheet1!$A:$AO,2,FALSE)</f>
        <v>COMPUTER SET &amp; PRINTER</v>
      </c>
      <c r="C519" s="408" t="str">
        <f>VLOOKUP(Complete[[#This Row],[Code
(PAP)]],[1]Sheet1!$A:$AO,3,FALSE)</f>
        <v>PENRO</v>
      </c>
      <c r="D519" s="380" t="s">
        <v>712</v>
      </c>
      <c r="E519" s="409" t="str">
        <f>VLOOKUP(Complete[[#This Row],[Code
(PAP)]],[2]Sheet1!$A:$AO,5,FALSE)</f>
        <v>NP-53.9 - Small Value Procurement</v>
      </c>
      <c r="F519" s="393" t="str">
        <f>VLOOKUP(Complete[[#This Row],[Code
(PAP)]],[1]Sheet1!$A:$AO,6,FALSE)</f>
        <v>N/A</v>
      </c>
      <c r="G519" s="393">
        <f>VLOOKUP(Complete[[#This Row],[Code
(PAP)]],[1]Sheet1!$A:$AO,7,FALSE)</f>
        <v>45418</v>
      </c>
      <c r="H519" s="374"/>
      <c r="I519" s="394" t="str">
        <f>VLOOKUP(Complete[[#This Row],[Code
(PAP)]],[1]Sheet1!$A:$AO,9,FALSE)</f>
        <v>N/A</v>
      </c>
      <c r="J519" s="393">
        <f>VLOOKUP(Complete[[#This Row],[Code
(PAP)]],[1]Sheet1!$A:$AO,10,FALSE)</f>
        <v>45426</v>
      </c>
      <c r="K519" s="393">
        <f>VLOOKUP(Complete[[#This Row],[Code
(PAP)]],[1]Sheet1!$A:$AO,11,FALSE)</f>
        <v>45426</v>
      </c>
      <c r="L519" s="387"/>
      <c r="M519" s="393" t="str">
        <f>VLOOKUP(Complete[[#This Row],[Code
(PAP)]],[1]Sheet1!$A:$AO,13,FALSE)</f>
        <v>N/A</v>
      </c>
      <c r="N519" s="393" t="str">
        <f>VLOOKUP(Complete[[#This Row],[Code
(PAP)]],[1]Sheet1!$A:$AO,14,FALSE)</f>
        <v>N/A</v>
      </c>
      <c r="O519" s="393">
        <f>VLOOKUP(Complete[[#This Row],[Code
(PAP)]],[1]Sheet1!$A:$AO,15,FALSE)</f>
        <v>45428</v>
      </c>
      <c r="P519" s="387"/>
      <c r="Q519" s="387"/>
      <c r="R519" s="387"/>
      <c r="S519" s="576">
        <v>45428</v>
      </c>
      <c r="T519" s="576">
        <f>VLOOKUP(Complete[[#This Row],[Code
(PAP)]],[1]Sheet1!$A:$AO,20,FALSE)</f>
        <v>45434</v>
      </c>
      <c r="U519" s="576">
        <f>VLOOKUP(Complete[[#This Row],[Code
(PAP)]],[1]Sheet1!$A:$AO,21,FALSE)</f>
        <v>45441</v>
      </c>
      <c r="V519" s="387"/>
      <c r="W519" s="387"/>
      <c r="X519" s="392">
        <f>VLOOKUP(Complete[[#This Row],[Code
(PAP)]],[1]Sheet1!$A:$AO,24,FALSE)</f>
        <v>45453</v>
      </c>
      <c r="Y519" s="392">
        <f>Complete[[#This Row],[Delivery/ Completion]]</f>
        <v>45453</v>
      </c>
      <c r="Z519" s="610" t="s">
        <v>1478</v>
      </c>
      <c r="AA519" s="462">
        <f>Complete[[#This Row],[MOOE]]+Complete[[#This Row],[CO]]</f>
        <v>58420</v>
      </c>
      <c r="AB519" s="466">
        <v>58420</v>
      </c>
      <c r="AC519" s="497"/>
      <c r="AD519" s="498">
        <f>IF(Complete[[#This Row],[Procurement Project]]="","",SUM(Complete[[#This Row],[MOOE2]]+Complete[[#This Row],[CO3]]))</f>
        <v>58200</v>
      </c>
      <c r="AE519" s="501">
        <v>58200</v>
      </c>
      <c r="AF519" s="541"/>
      <c r="AG519" s="400"/>
      <c r="AH519" s="380" t="s">
        <v>1205</v>
      </c>
      <c r="AI519" s="576" t="str">
        <f>VLOOKUP(Complete[[#This Row],[Code
(PAP)]],[1]Sheet1!$A:$AO,35,FALSE)</f>
        <v>N/A</v>
      </c>
      <c r="AJ519" s="576" t="str">
        <f>VLOOKUP(Complete[[#This Row],[Code
(PAP)]],[1]Sheet1!$A:$AO,36,FALSE)</f>
        <v>N/A</v>
      </c>
      <c r="AK519" s="576" t="str">
        <f>VLOOKUP(Complete[[#This Row],[Code
(PAP)]],[1]Sheet1!$A:$AO,37,FALSE)</f>
        <v>N/A</v>
      </c>
      <c r="AL519" s="576" t="str">
        <f>VLOOKUP(Complete[[#This Row],[Code
(PAP)]],[1]Sheet1!$A:$AO,38,FALSE)</f>
        <v>N/A</v>
      </c>
      <c r="AM519" s="576" t="str">
        <f>VLOOKUP(Complete[[#This Row],[Code
(PAP)]],[1]Sheet1!$A:$AO,38,FALSE)</f>
        <v>N/A</v>
      </c>
      <c r="AN519" s="595" t="s">
        <v>713</v>
      </c>
      <c r="AO519" s="303" t="s">
        <v>139</v>
      </c>
      <c r="AP519" s="389"/>
      <c r="AQ519" s="389"/>
    </row>
    <row r="520" spans="1:43" s="224" customFormat="1" ht="75" customHeight="1" x14ac:dyDescent="0.25">
      <c r="A520" s="385" t="s">
        <v>697</v>
      </c>
      <c r="B520" s="406" t="str">
        <f>VLOOKUP(Complete[[#This Row],[Code
(PAP)]],[1]Sheet1!$A:$AO,2,FALSE)</f>
        <v>MEDALS</v>
      </c>
      <c r="C520" s="408" t="str">
        <f>VLOOKUP(Complete[[#This Row],[Code
(PAP)]],[1]Sheet1!$A:$AO,3,FALSE)</f>
        <v>PGO</v>
      </c>
      <c r="D520" s="380" t="s">
        <v>712</v>
      </c>
      <c r="E520" s="409" t="str">
        <f>VLOOKUP(Complete[[#This Row],[Code
(PAP)]],[2]Sheet1!$A:$AO,5,FALSE)</f>
        <v>NP-53.9 - Small Value Procurement</v>
      </c>
      <c r="F520" s="393" t="str">
        <f>VLOOKUP(Complete[[#This Row],[Code
(PAP)]],[1]Sheet1!$A:$AO,6,FALSE)</f>
        <v>N/A</v>
      </c>
      <c r="G520" s="393">
        <f>VLOOKUP(Complete[[#This Row],[Code
(PAP)]],[1]Sheet1!$A:$AO,7,FALSE)</f>
        <v>45422</v>
      </c>
      <c r="H520" s="374"/>
      <c r="I520" s="394" t="str">
        <f>VLOOKUP(Complete[[#This Row],[Code
(PAP)]],[1]Sheet1!$A:$AO,9,FALSE)</f>
        <v>N/A</v>
      </c>
      <c r="J520" s="393">
        <f>VLOOKUP(Complete[[#This Row],[Code
(PAP)]],[1]Sheet1!$A:$AO,10,FALSE)</f>
        <v>45426</v>
      </c>
      <c r="K520" s="393">
        <f>VLOOKUP(Complete[[#This Row],[Code
(PAP)]],[1]Sheet1!$A:$AO,11,FALSE)</f>
        <v>45426</v>
      </c>
      <c r="L520" s="387"/>
      <c r="M520" s="393" t="str">
        <f>VLOOKUP(Complete[[#This Row],[Code
(PAP)]],[1]Sheet1!$A:$AO,13,FALSE)</f>
        <v>N/A</v>
      </c>
      <c r="N520" s="393" t="str">
        <f>VLOOKUP(Complete[[#This Row],[Code
(PAP)]],[1]Sheet1!$A:$AO,14,FALSE)</f>
        <v>N/A</v>
      </c>
      <c r="O520" s="393">
        <f>VLOOKUP(Complete[[#This Row],[Code
(PAP)]],[1]Sheet1!$A:$AO,15,FALSE)</f>
        <v>45428</v>
      </c>
      <c r="P520" s="387"/>
      <c r="Q520" s="387"/>
      <c r="R520" s="387"/>
      <c r="S520" s="576">
        <v>45428</v>
      </c>
      <c r="T520" s="576">
        <f>VLOOKUP(Complete[[#This Row],[Code
(PAP)]],[1]Sheet1!$A:$AO,20,FALSE)</f>
        <v>45433</v>
      </c>
      <c r="U520" s="576">
        <f>VLOOKUP(Complete[[#This Row],[Code
(PAP)]],[1]Sheet1!$A:$AO,21,FALSE)</f>
        <v>45434</v>
      </c>
      <c r="V520" s="387"/>
      <c r="W520" s="387"/>
      <c r="X520" s="392">
        <f>VLOOKUP(Complete[[#This Row],[Code
(PAP)]],[1]Sheet1!$A:$AO,24,FALSE)</f>
        <v>45439</v>
      </c>
      <c r="Y520" s="392">
        <f>Complete[[#This Row],[Delivery/ Completion]]</f>
        <v>45439</v>
      </c>
      <c r="Z520" s="610" t="s">
        <v>1478</v>
      </c>
      <c r="AA520" s="462">
        <f>Complete[[#This Row],[MOOE]]+Complete[[#This Row],[CO]]</f>
        <v>330750</v>
      </c>
      <c r="AB520" s="466">
        <v>330750</v>
      </c>
      <c r="AC520" s="497"/>
      <c r="AD520" s="498">
        <f>IF(Complete[[#This Row],[Procurement Project]]="","",SUM(Complete[[#This Row],[MOOE2]]+Complete[[#This Row],[CO3]]))</f>
        <v>330277.5</v>
      </c>
      <c r="AE520" s="501">
        <v>330277.5</v>
      </c>
      <c r="AF520" s="541"/>
      <c r="AG520" s="400"/>
      <c r="AH520" s="380" t="s">
        <v>1205</v>
      </c>
      <c r="AI520" s="576" t="str">
        <f>VLOOKUP(Complete[[#This Row],[Code
(PAP)]],[1]Sheet1!$A:$AO,35,FALSE)</f>
        <v>N/A</v>
      </c>
      <c r="AJ520" s="576" t="str">
        <f>VLOOKUP(Complete[[#This Row],[Code
(PAP)]],[1]Sheet1!$A:$AO,36,FALSE)</f>
        <v>N/A</v>
      </c>
      <c r="AK520" s="576" t="str">
        <f>VLOOKUP(Complete[[#This Row],[Code
(PAP)]],[1]Sheet1!$A:$AO,37,FALSE)</f>
        <v>N/A</v>
      </c>
      <c r="AL520" s="576" t="str">
        <f>VLOOKUP(Complete[[#This Row],[Code
(PAP)]],[1]Sheet1!$A:$AO,38,FALSE)</f>
        <v>N/A</v>
      </c>
      <c r="AM520" s="576" t="str">
        <f>VLOOKUP(Complete[[#This Row],[Code
(PAP)]],[1]Sheet1!$A:$AO,38,FALSE)</f>
        <v>N/A</v>
      </c>
      <c r="AN520" s="595" t="s">
        <v>713</v>
      </c>
      <c r="AO520" s="303" t="s">
        <v>139</v>
      </c>
      <c r="AP520" s="389"/>
      <c r="AQ520" s="389"/>
    </row>
    <row r="521" spans="1:43" s="224" customFormat="1" ht="75" customHeight="1" x14ac:dyDescent="0.25">
      <c r="A521" s="385" t="s">
        <v>698</v>
      </c>
      <c r="B521" s="406" t="str">
        <f>VLOOKUP(Complete[[#This Row],[Code
(PAP)]],[1]Sheet1!$A:$AO,2,FALSE)</f>
        <v>SPAREPARTS (MOTORCYCLE)</v>
      </c>
      <c r="C521" s="408" t="str">
        <f>VLOOKUP(Complete[[#This Row],[Code
(PAP)]],[1]Sheet1!$A:$AO,3,FALSE)</f>
        <v>PGSO</v>
      </c>
      <c r="D521" s="380" t="s">
        <v>712</v>
      </c>
      <c r="E521" s="409" t="str">
        <f>VLOOKUP(Complete[[#This Row],[Code
(PAP)]],[2]Sheet1!$A:$AO,5,FALSE)</f>
        <v>NP-53.9 - Small Value Procurement</v>
      </c>
      <c r="F521" s="393">
        <f>VLOOKUP(Complete[[#This Row],[Code
(PAP)]],[1]Sheet1!$A:$AO,6,FALSE)</f>
        <v>45407</v>
      </c>
      <c r="G521" s="393">
        <f>VLOOKUP(Complete[[#This Row],[Code
(PAP)]],[1]Sheet1!$A:$AO,7,FALSE)</f>
        <v>45412</v>
      </c>
      <c r="H521" s="374"/>
      <c r="I521" s="394" t="str">
        <f>VLOOKUP(Complete[[#This Row],[Code
(PAP)]],[1]Sheet1!$A:$AO,9,FALSE)</f>
        <v>N/A</v>
      </c>
      <c r="J521" s="393">
        <f>VLOOKUP(Complete[[#This Row],[Code
(PAP)]],[1]Sheet1!$A:$AO,10,FALSE)</f>
        <v>45426</v>
      </c>
      <c r="K521" s="393">
        <f>VLOOKUP(Complete[[#This Row],[Code
(PAP)]],[1]Sheet1!$A:$AO,11,FALSE)</f>
        <v>45426</v>
      </c>
      <c r="L521" s="387"/>
      <c r="M521" s="393" t="str">
        <f>VLOOKUP(Complete[[#This Row],[Code
(PAP)]],[1]Sheet1!$A:$AO,13,FALSE)</f>
        <v>N/A</v>
      </c>
      <c r="N521" s="393" t="str">
        <f>VLOOKUP(Complete[[#This Row],[Code
(PAP)]],[1]Sheet1!$A:$AO,14,FALSE)</f>
        <v>N/A</v>
      </c>
      <c r="O521" s="393">
        <f>VLOOKUP(Complete[[#This Row],[Code
(PAP)]],[1]Sheet1!$A:$AO,15,FALSE)</f>
        <v>45428</v>
      </c>
      <c r="P521" s="387"/>
      <c r="Q521" s="387"/>
      <c r="R521" s="387"/>
      <c r="S521" s="576" t="s">
        <v>713</v>
      </c>
      <c r="T521" s="576">
        <f>VLOOKUP(Complete[[#This Row],[Code
(PAP)]],[1]Sheet1!$A:$AO,20,FALSE)</f>
        <v>45435</v>
      </c>
      <c r="U521" s="576">
        <f>VLOOKUP(Complete[[#This Row],[Code
(PAP)]],[1]Sheet1!$A:$AO,21,FALSE)</f>
        <v>45449</v>
      </c>
      <c r="V521" s="387"/>
      <c r="W521" s="387"/>
      <c r="X521" s="392">
        <f>VLOOKUP(Complete[[#This Row],[Code
(PAP)]],[1]Sheet1!$A:$AO,24,FALSE)</f>
        <v>45453</v>
      </c>
      <c r="Y521" s="392">
        <f>Complete[[#This Row],[Delivery/ Completion]]</f>
        <v>45453</v>
      </c>
      <c r="Z521" s="610" t="s">
        <v>1478</v>
      </c>
      <c r="AA521" s="462">
        <f>Complete[[#This Row],[MOOE]]+Complete[[#This Row],[CO]]</f>
        <v>13650</v>
      </c>
      <c r="AB521" s="466">
        <v>13650</v>
      </c>
      <c r="AC521" s="497"/>
      <c r="AD521" s="498">
        <f>IF(Complete[[#This Row],[Procurement Project]]="","",SUM(Complete[[#This Row],[MOOE2]]+Complete[[#This Row],[CO3]]))</f>
        <v>13597</v>
      </c>
      <c r="AE521" s="501">
        <v>13597</v>
      </c>
      <c r="AF521" s="541"/>
      <c r="AG521" s="400"/>
      <c r="AH521" s="380" t="s">
        <v>1205</v>
      </c>
      <c r="AI521" s="576" t="str">
        <f>VLOOKUP(Complete[[#This Row],[Code
(PAP)]],[1]Sheet1!$A:$AO,35,FALSE)</f>
        <v>N/A</v>
      </c>
      <c r="AJ521" s="576" t="str">
        <f>VLOOKUP(Complete[[#This Row],[Code
(PAP)]],[1]Sheet1!$A:$AO,36,FALSE)</f>
        <v>N/A</v>
      </c>
      <c r="AK521" s="576" t="str">
        <f>VLOOKUP(Complete[[#This Row],[Code
(PAP)]],[1]Sheet1!$A:$AO,37,FALSE)</f>
        <v>N/A</v>
      </c>
      <c r="AL521" s="576" t="str">
        <f>VLOOKUP(Complete[[#This Row],[Code
(PAP)]],[1]Sheet1!$A:$AO,38,FALSE)</f>
        <v>N/A</v>
      </c>
      <c r="AM521" s="576" t="str">
        <f>VLOOKUP(Complete[[#This Row],[Code
(PAP)]],[1]Sheet1!$A:$AO,38,FALSE)</f>
        <v>N/A</v>
      </c>
      <c r="AN521" s="595" t="s">
        <v>713</v>
      </c>
      <c r="AO521" s="303" t="s">
        <v>139</v>
      </c>
      <c r="AP521" s="389"/>
      <c r="AQ521" s="389"/>
    </row>
    <row r="522" spans="1:43" s="224" customFormat="1" ht="75" customHeight="1" x14ac:dyDescent="0.25">
      <c r="A522" s="385" t="s">
        <v>699</v>
      </c>
      <c r="B522" s="406" t="str">
        <f>VLOOKUP(Complete[[#This Row],[Code
(PAP)]],[1]Sheet1!$A:$AO,2,FALSE)</f>
        <v>SPAREPARTS (MOTORCYCLE)</v>
      </c>
      <c r="C522" s="408" t="str">
        <f>VLOOKUP(Complete[[#This Row],[Code
(PAP)]],[1]Sheet1!$A:$AO,3,FALSE)</f>
        <v>PGSO</v>
      </c>
      <c r="D522" s="380" t="s">
        <v>712</v>
      </c>
      <c r="E522" s="409" t="str">
        <f>VLOOKUP(Complete[[#This Row],[Code
(PAP)]],[2]Sheet1!$A:$AO,5,FALSE)</f>
        <v>NP-53.9 - Small Value Procurement</v>
      </c>
      <c r="F522" s="393">
        <f>VLOOKUP(Complete[[#This Row],[Code
(PAP)]],[1]Sheet1!$A:$AO,6,FALSE)</f>
        <v>45407</v>
      </c>
      <c r="G522" s="393">
        <f>VLOOKUP(Complete[[#This Row],[Code
(PAP)]],[1]Sheet1!$A:$AO,7,FALSE)</f>
        <v>45412</v>
      </c>
      <c r="H522" s="374"/>
      <c r="I522" s="394" t="str">
        <f>VLOOKUP(Complete[[#This Row],[Code
(PAP)]],[1]Sheet1!$A:$AO,9,FALSE)</f>
        <v>N/A</v>
      </c>
      <c r="J522" s="393">
        <f>VLOOKUP(Complete[[#This Row],[Code
(PAP)]],[1]Sheet1!$A:$AO,10,FALSE)</f>
        <v>45426</v>
      </c>
      <c r="K522" s="393">
        <f>VLOOKUP(Complete[[#This Row],[Code
(PAP)]],[1]Sheet1!$A:$AO,11,FALSE)</f>
        <v>45426</v>
      </c>
      <c r="L522" s="387"/>
      <c r="M522" s="393" t="str">
        <f>VLOOKUP(Complete[[#This Row],[Code
(PAP)]],[1]Sheet1!$A:$AO,13,FALSE)</f>
        <v>N/A</v>
      </c>
      <c r="N522" s="393" t="str">
        <f>VLOOKUP(Complete[[#This Row],[Code
(PAP)]],[1]Sheet1!$A:$AO,14,FALSE)</f>
        <v>N/A</v>
      </c>
      <c r="O522" s="393">
        <f>VLOOKUP(Complete[[#This Row],[Code
(PAP)]],[1]Sheet1!$A:$AO,15,FALSE)</f>
        <v>45428</v>
      </c>
      <c r="P522" s="387"/>
      <c r="Q522" s="387"/>
      <c r="R522" s="387"/>
      <c r="S522" s="576" t="s">
        <v>713</v>
      </c>
      <c r="T522" s="576">
        <f>VLOOKUP(Complete[[#This Row],[Code
(PAP)]],[1]Sheet1!$A:$AO,20,FALSE)</f>
        <v>45435</v>
      </c>
      <c r="U522" s="576">
        <f>VLOOKUP(Complete[[#This Row],[Code
(PAP)]],[1]Sheet1!$A:$AO,21,FALSE)</f>
        <v>45449</v>
      </c>
      <c r="V522" s="387"/>
      <c r="W522" s="387"/>
      <c r="X522" s="392">
        <f>VLOOKUP(Complete[[#This Row],[Code
(PAP)]],[1]Sheet1!$A:$AO,24,FALSE)</f>
        <v>45463</v>
      </c>
      <c r="Y522" s="392">
        <f>Complete[[#This Row],[Delivery/ Completion]]</f>
        <v>45463</v>
      </c>
      <c r="Z522" s="610" t="s">
        <v>1478</v>
      </c>
      <c r="AA522" s="462">
        <f>Complete[[#This Row],[MOOE]]+Complete[[#This Row],[CO]]</f>
        <v>5568</v>
      </c>
      <c r="AB522" s="466">
        <v>5568</v>
      </c>
      <c r="AC522" s="497"/>
      <c r="AD522" s="498">
        <f>IF(Complete[[#This Row],[Procurement Project]]="","",SUM(Complete[[#This Row],[MOOE2]]+Complete[[#This Row],[CO3]]))</f>
        <v>5530</v>
      </c>
      <c r="AE522" s="501">
        <v>5530</v>
      </c>
      <c r="AF522" s="541"/>
      <c r="AG522" s="400"/>
      <c r="AH522" s="380" t="s">
        <v>1205</v>
      </c>
      <c r="AI522" s="576" t="str">
        <f>VLOOKUP(Complete[[#This Row],[Code
(PAP)]],[1]Sheet1!$A:$AO,35,FALSE)</f>
        <v>N/A</v>
      </c>
      <c r="AJ522" s="576" t="str">
        <f>VLOOKUP(Complete[[#This Row],[Code
(PAP)]],[1]Sheet1!$A:$AO,36,FALSE)</f>
        <v>N/A</v>
      </c>
      <c r="AK522" s="576" t="str">
        <f>VLOOKUP(Complete[[#This Row],[Code
(PAP)]],[1]Sheet1!$A:$AO,37,FALSE)</f>
        <v>N/A</v>
      </c>
      <c r="AL522" s="576" t="str">
        <f>VLOOKUP(Complete[[#This Row],[Code
(PAP)]],[1]Sheet1!$A:$AO,38,FALSE)</f>
        <v>N/A</v>
      </c>
      <c r="AM522" s="576" t="str">
        <f>VLOOKUP(Complete[[#This Row],[Code
(PAP)]],[1]Sheet1!$A:$AO,38,FALSE)</f>
        <v>N/A</v>
      </c>
      <c r="AN522" s="595" t="s">
        <v>713</v>
      </c>
      <c r="AO522" s="303" t="s">
        <v>139</v>
      </c>
      <c r="AP522" s="389"/>
      <c r="AQ522" s="389"/>
    </row>
    <row r="523" spans="1:43" s="224" customFormat="1" ht="75" customHeight="1" x14ac:dyDescent="0.25">
      <c r="A523" s="385" t="s">
        <v>700</v>
      </c>
      <c r="B523" s="406" t="str">
        <f>VLOOKUP(Complete[[#This Row],[Code
(PAP)]],[1]Sheet1!$A:$AO,2,FALSE)</f>
        <v>SPAREPARTS (MOTORCYCLE)</v>
      </c>
      <c r="C523" s="408" t="str">
        <f>VLOOKUP(Complete[[#This Row],[Code
(PAP)]],[1]Sheet1!$A:$AO,3,FALSE)</f>
        <v>PGSO</v>
      </c>
      <c r="D523" s="380" t="s">
        <v>712</v>
      </c>
      <c r="E523" s="409" t="str">
        <f>VLOOKUP(Complete[[#This Row],[Code
(PAP)]],[2]Sheet1!$A:$AO,5,FALSE)</f>
        <v>NP-53.9 - Small Value Procurement</v>
      </c>
      <c r="F523" s="393">
        <f>VLOOKUP(Complete[[#This Row],[Code
(PAP)]],[1]Sheet1!$A:$AO,6,FALSE)</f>
        <v>45407</v>
      </c>
      <c r="G523" s="393">
        <f>VLOOKUP(Complete[[#This Row],[Code
(PAP)]],[1]Sheet1!$A:$AO,7,FALSE)</f>
        <v>45412</v>
      </c>
      <c r="H523" s="374"/>
      <c r="I523" s="394" t="str">
        <f>VLOOKUP(Complete[[#This Row],[Code
(PAP)]],[1]Sheet1!$A:$AO,9,FALSE)</f>
        <v>N/A</v>
      </c>
      <c r="J523" s="393">
        <f>VLOOKUP(Complete[[#This Row],[Code
(PAP)]],[1]Sheet1!$A:$AO,10,FALSE)</f>
        <v>45426</v>
      </c>
      <c r="K523" s="393">
        <f>VLOOKUP(Complete[[#This Row],[Code
(PAP)]],[1]Sheet1!$A:$AO,11,FALSE)</f>
        <v>45426</v>
      </c>
      <c r="L523" s="387"/>
      <c r="M523" s="393" t="str">
        <f>VLOOKUP(Complete[[#This Row],[Code
(PAP)]],[1]Sheet1!$A:$AO,13,FALSE)</f>
        <v>N/A</v>
      </c>
      <c r="N523" s="393" t="str">
        <f>VLOOKUP(Complete[[#This Row],[Code
(PAP)]],[1]Sheet1!$A:$AO,14,FALSE)</f>
        <v>N/A</v>
      </c>
      <c r="O523" s="393">
        <f>VLOOKUP(Complete[[#This Row],[Code
(PAP)]],[1]Sheet1!$A:$AO,15,FALSE)</f>
        <v>45428</v>
      </c>
      <c r="P523" s="387"/>
      <c r="Q523" s="387"/>
      <c r="R523" s="387"/>
      <c r="S523" s="576" t="s">
        <v>713</v>
      </c>
      <c r="T523" s="576">
        <f>VLOOKUP(Complete[[#This Row],[Code
(PAP)]],[1]Sheet1!$A:$AO,20,FALSE)</f>
        <v>45435</v>
      </c>
      <c r="U523" s="576">
        <f>VLOOKUP(Complete[[#This Row],[Code
(PAP)]],[1]Sheet1!$A:$AO,21,FALSE)</f>
        <v>45449</v>
      </c>
      <c r="V523" s="387"/>
      <c r="W523" s="387"/>
      <c r="X523" s="392">
        <f>VLOOKUP(Complete[[#This Row],[Code
(PAP)]],[1]Sheet1!$A:$AO,24,FALSE)</f>
        <v>45454</v>
      </c>
      <c r="Y523" s="392">
        <f>Complete[[#This Row],[Delivery/ Completion]]</f>
        <v>45454</v>
      </c>
      <c r="Z523" s="610" t="s">
        <v>1478</v>
      </c>
      <c r="AA523" s="462">
        <f>Complete[[#This Row],[MOOE]]+Complete[[#This Row],[CO]]</f>
        <v>12835</v>
      </c>
      <c r="AB523" s="466">
        <v>12835</v>
      </c>
      <c r="AC523" s="497"/>
      <c r="AD523" s="498">
        <f>IF(Complete[[#This Row],[Procurement Project]]="","",SUM(Complete[[#This Row],[MOOE2]]+Complete[[#This Row],[CO3]]))</f>
        <v>12731</v>
      </c>
      <c r="AE523" s="501">
        <v>12731</v>
      </c>
      <c r="AF523" s="541"/>
      <c r="AG523" s="400"/>
      <c r="AH523" s="380" t="s">
        <v>1205</v>
      </c>
      <c r="AI523" s="576" t="str">
        <f>VLOOKUP(Complete[[#This Row],[Code
(PAP)]],[1]Sheet1!$A:$AO,35,FALSE)</f>
        <v>N/A</v>
      </c>
      <c r="AJ523" s="576" t="str">
        <f>VLOOKUP(Complete[[#This Row],[Code
(PAP)]],[1]Sheet1!$A:$AO,36,FALSE)</f>
        <v>N/A</v>
      </c>
      <c r="AK523" s="576" t="str">
        <f>VLOOKUP(Complete[[#This Row],[Code
(PAP)]],[1]Sheet1!$A:$AO,37,FALSE)</f>
        <v>N/A</v>
      </c>
      <c r="AL523" s="576" t="str">
        <f>VLOOKUP(Complete[[#This Row],[Code
(PAP)]],[1]Sheet1!$A:$AO,38,FALSE)</f>
        <v>N/A</v>
      </c>
      <c r="AM523" s="576" t="str">
        <f>VLOOKUP(Complete[[#This Row],[Code
(PAP)]],[1]Sheet1!$A:$AO,38,FALSE)</f>
        <v>N/A</v>
      </c>
      <c r="AN523" s="595" t="s">
        <v>713</v>
      </c>
      <c r="AO523" s="303" t="s">
        <v>139</v>
      </c>
      <c r="AP523" s="389"/>
      <c r="AQ523" s="389"/>
    </row>
    <row r="524" spans="1:43" s="224" customFormat="1" ht="75" customHeight="1" x14ac:dyDescent="0.25">
      <c r="A524" s="385" t="s">
        <v>701</v>
      </c>
      <c r="B524" s="406" t="str">
        <f>VLOOKUP(Complete[[#This Row],[Code
(PAP)]],[1]Sheet1!$A:$AO,2,FALSE)</f>
        <v>SPAREPARTS (MOTORCYCLE)</v>
      </c>
      <c r="C524" s="408" t="str">
        <f>VLOOKUP(Complete[[#This Row],[Code
(PAP)]],[1]Sheet1!$A:$AO,3,FALSE)</f>
        <v>PGSO</v>
      </c>
      <c r="D524" s="380" t="s">
        <v>712</v>
      </c>
      <c r="E524" s="409" t="str">
        <f>VLOOKUP(Complete[[#This Row],[Code
(PAP)]],[2]Sheet1!$A:$AO,5,FALSE)</f>
        <v>NP-53.9 - Small Value Procurement</v>
      </c>
      <c r="F524" s="393">
        <f>VLOOKUP(Complete[[#This Row],[Code
(PAP)]],[1]Sheet1!$A:$AO,6,FALSE)</f>
        <v>45407</v>
      </c>
      <c r="G524" s="393">
        <f>VLOOKUP(Complete[[#This Row],[Code
(PAP)]],[1]Sheet1!$A:$AO,7,FALSE)</f>
        <v>45412</v>
      </c>
      <c r="H524" s="374"/>
      <c r="I524" s="394" t="str">
        <f>VLOOKUP(Complete[[#This Row],[Code
(PAP)]],[1]Sheet1!$A:$AO,9,FALSE)</f>
        <v>N/A</v>
      </c>
      <c r="J524" s="393">
        <f>VLOOKUP(Complete[[#This Row],[Code
(PAP)]],[1]Sheet1!$A:$AO,10,FALSE)</f>
        <v>45426</v>
      </c>
      <c r="K524" s="393">
        <f>VLOOKUP(Complete[[#This Row],[Code
(PAP)]],[1]Sheet1!$A:$AO,11,FALSE)</f>
        <v>45426</v>
      </c>
      <c r="L524" s="387"/>
      <c r="M524" s="393" t="str">
        <f>VLOOKUP(Complete[[#This Row],[Code
(PAP)]],[1]Sheet1!$A:$AO,13,FALSE)</f>
        <v>N/A</v>
      </c>
      <c r="N524" s="393" t="str">
        <f>VLOOKUP(Complete[[#This Row],[Code
(PAP)]],[1]Sheet1!$A:$AO,14,FALSE)</f>
        <v>N/A</v>
      </c>
      <c r="O524" s="393">
        <f>VLOOKUP(Complete[[#This Row],[Code
(PAP)]],[1]Sheet1!$A:$AO,15,FALSE)</f>
        <v>45428</v>
      </c>
      <c r="P524" s="387"/>
      <c r="Q524" s="387"/>
      <c r="R524" s="387"/>
      <c r="S524" s="576" t="s">
        <v>713</v>
      </c>
      <c r="T524" s="576">
        <f>VLOOKUP(Complete[[#This Row],[Code
(PAP)]],[1]Sheet1!$A:$AO,20,FALSE)</f>
        <v>45434</v>
      </c>
      <c r="U524" s="576">
        <f>VLOOKUP(Complete[[#This Row],[Code
(PAP)]],[1]Sheet1!$A:$AO,21,FALSE)</f>
        <v>45449</v>
      </c>
      <c r="V524" s="387"/>
      <c r="W524" s="387"/>
      <c r="X524" s="392">
        <f>VLOOKUP(Complete[[#This Row],[Code
(PAP)]],[1]Sheet1!$A:$AO,24,FALSE)</f>
        <v>45463</v>
      </c>
      <c r="Y524" s="392">
        <f>Complete[[#This Row],[Delivery/ Completion]]</f>
        <v>45463</v>
      </c>
      <c r="Z524" s="610" t="s">
        <v>1478</v>
      </c>
      <c r="AA524" s="462">
        <f>Complete[[#This Row],[MOOE]]+Complete[[#This Row],[CO]]</f>
        <v>10500</v>
      </c>
      <c r="AB524" s="466">
        <v>10500</v>
      </c>
      <c r="AC524" s="497"/>
      <c r="AD524" s="498">
        <f>IF(Complete[[#This Row],[Procurement Project]]="","",SUM(Complete[[#This Row],[MOOE2]]+Complete[[#This Row],[CO3]]))</f>
        <v>10461</v>
      </c>
      <c r="AE524" s="501">
        <v>10461</v>
      </c>
      <c r="AF524" s="541"/>
      <c r="AG524" s="400"/>
      <c r="AH524" s="380" t="s">
        <v>1205</v>
      </c>
      <c r="AI524" s="576" t="str">
        <f>VLOOKUP(Complete[[#This Row],[Code
(PAP)]],[1]Sheet1!$A:$AO,35,FALSE)</f>
        <v>N/A</v>
      </c>
      <c r="AJ524" s="576" t="str">
        <f>VLOOKUP(Complete[[#This Row],[Code
(PAP)]],[1]Sheet1!$A:$AO,36,FALSE)</f>
        <v>N/A</v>
      </c>
      <c r="AK524" s="576" t="str">
        <f>VLOOKUP(Complete[[#This Row],[Code
(PAP)]],[1]Sheet1!$A:$AO,37,FALSE)</f>
        <v>N/A</v>
      </c>
      <c r="AL524" s="576" t="str">
        <f>VLOOKUP(Complete[[#This Row],[Code
(PAP)]],[1]Sheet1!$A:$AO,38,FALSE)</f>
        <v>N/A</v>
      </c>
      <c r="AM524" s="576" t="str">
        <f>VLOOKUP(Complete[[#This Row],[Code
(PAP)]],[1]Sheet1!$A:$AO,38,FALSE)</f>
        <v>N/A</v>
      </c>
      <c r="AN524" s="595" t="s">
        <v>713</v>
      </c>
      <c r="AO524" s="303" t="s">
        <v>139</v>
      </c>
      <c r="AP524" s="389"/>
      <c r="AQ524" s="389"/>
    </row>
    <row r="525" spans="1:43" s="224" customFormat="1" ht="75" customHeight="1" x14ac:dyDescent="0.25">
      <c r="A525" s="385" t="s">
        <v>702</v>
      </c>
      <c r="B525" s="406" t="str">
        <f>VLOOKUP(Complete[[#This Row],[Code
(PAP)]],[1]Sheet1!$A:$AO,2,FALSE)</f>
        <v>SPAREPARTS (MOTORCYCLE)</v>
      </c>
      <c r="C525" s="408" t="str">
        <f>VLOOKUP(Complete[[#This Row],[Code
(PAP)]],[1]Sheet1!$A:$AO,3,FALSE)</f>
        <v>PGSO</v>
      </c>
      <c r="D525" s="380" t="s">
        <v>712</v>
      </c>
      <c r="E525" s="409" t="str">
        <f>VLOOKUP(Complete[[#This Row],[Code
(PAP)]],[2]Sheet1!$A:$AO,5,FALSE)</f>
        <v>NP-53.9 - Small Value Procurement</v>
      </c>
      <c r="F525" s="393">
        <f>VLOOKUP(Complete[[#This Row],[Code
(PAP)]],[1]Sheet1!$A:$AO,6,FALSE)</f>
        <v>45407</v>
      </c>
      <c r="G525" s="393">
        <f>VLOOKUP(Complete[[#This Row],[Code
(PAP)]],[1]Sheet1!$A:$AO,7,FALSE)</f>
        <v>45412</v>
      </c>
      <c r="H525" s="374"/>
      <c r="I525" s="394" t="str">
        <f>VLOOKUP(Complete[[#This Row],[Code
(PAP)]],[1]Sheet1!$A:$AO,9,FALSE)</f>
        <v>N/A</v>
      </c>
      <c r="J525" s="393">
        <f>VLOOKUP(Complete[[#This Row],[Code
(PAP)]],[1]Sheet1!$A:$AO,10,FALSE)</f>
        <v>45426</v>
      </c>
      <c r="K525" s="393">
        <f>VLOOKUP(Complete[[#This Row],[Code
(PAP)]],[1]Sheet1!$A:$AO,11,FALSE)</f>
        <v>45426</v>
      </c>
      <c r="L525" s="387"/>
      <c r="M525" s="393" t="str">
        <f>VLOOKUP(Complete[[#This Row],[Code
(PAP)]],[1]Sheet1!$A:$AO,13,FALSE)</f>
        <v>N/A</v>
      </c>
      <c r="N525" s="393" t="str">
        <f>VLOOKUP(Complete[[#This Row],[Code
(PAP)]],[1]Sheet1!$A:$AO,14,FALSE)</f>
        <v>N/A</v>
      </c>
      <c r="O525" s="393">
        <f>VLOOKUP(Complete[[#This Row],[Code
(PAP)]],[1]Sheet1!$A:$AO,15,FALSE)</f>
        <v>45428</v>
      </c>
      <c r="P525" s="387"/>
      <c r="Q525" s="387"/>
      <c r="R525" s="387"/>
      <c r="S525" s="576" t="s">
        <v>713</v>
      </c>
      <c r="T525" s="576">
        <f>VLOOKUP(Complete[[#This Row],[Code
(PAP)]],[1]Sheet1!$A:$AO,20,FALSE)</f>
        <v>45434</v>
      </c>
      <c r="U525" s="576">
        <f>VLOOKUP(Complete[[#This Row],[Code
(PAP)]],[1]Sheet1!$A:$AO,21,FALSE)</f>
        <v>45449</v>
      </c>
      <c r="V525" s="387"/>
      <c r="W525" s="387"/>
      <c r="X525" s="392">
        <f>VLOOKUP(Complete[[#This Row],[Code
(PAP)]],[1]Sheet1!$A:$AO,24,FALSE)</f>
        <v>45464</v>
      </c>
      <c r="Y525" s="392">
        <f>Complete[[#This Row],[Delivery/ Completion]]</f>
        <v>45464</v>
      </c>
      <c r="Z525" s="610" t="s">
        <v>1478</v>
      </c>
      <c r="AA525" s="462">
        <f>Complete[[#This Row],[MOOE]]+Complete[[#This Row],[CO]]</f>
        <v>17131</v>
      </c>
      <c r="AB525" s="466">
        <v>17131</v>
      </c>
      <c r="AC525" s="497"/>
      <c r="AD525" s="498">
        <f>IF(Complete[[#This Row],[Procurement Project]]="","",SUM(Complete[[#This Row],[MOOE2]]+Complete[[#This Row],[CO3]]))</f>
        <v>17026</v>
      </c>
      <c r="AE525" s="501">
        <v>17026</v>
      </c>
      <c r="AF525" s="541"/>
      <c r="AG525" s="400"/>
      <c r="AH525" s="380" t="s">
        <v>1205</v>
      </c>
      <c r="AI525" s="576" t="str">
        <f>VLOOKUP(Complete[[#This Row],[Code
(PAP)]],[1]Sheet1!$A:$AO,35,FALSE)</f>
        <v>N/A</v>
      </c>
      <c r="AJ525" s="576" t="str">
        <f>VLOOKUP(Complete[[#This Row],[Code
(PAP)]],[1]Sheet1!$A:$AO,36,FALSE)</f>
        <v>N/A</v>
      </c>
      <c r="AK525" s="576" t="str">
        <f>VLOOKUP(Complete[[#This Row],[Code
(PAP)]],[1]Sheet1!$A:$AO,37,FALSE)</f>
        <v>N/A</v>
      </c>
      <c r="AL525" s="576" t="str">
        <f>VLOOKUP(Complete[[#This Row],[Code
(PAP)]],[1]Sheet1!$A:$AO,38,FALSE)</f>
        <v>N/A</v>
      </c>
      <c r="AM525" s="576" t="str">
        <f>VLOOKUP(Complete[[#This Row],[Code
(PAP)]],[1]Sheet1!$A:$AO,38,FALSE)</f>
        <v>N/A</v>
      </c>
      <c r="AN525" s="595" t="s">
        <v>713</v>
      </c>
      <c r="AO525" s="303" t="s">
        <v>139</v>
      </c>
      <c r="AP525" s="389"/>
      <c r="AQ525" s="389"/>
    </row>
    <row r="526" spans="1:43" s="224" customFormat="1" ht="75" customHeight="1" x14ac:dyDescent="0.25">
      <c r="A526" s="385" t="s">
        <v>703</v>
      </c>
      <c r="B526" s="406" t="str">
        <f>VLOOKUP(Complete[[#This Row],[Code
(PAP)]],[1]Sheet1!$A:$AO,2,FALSE)</f>
        <v>PLAQUES/TROPHIES/MEDAL</v>
      </c>
      <c r="C526" s="408" t="str">
        <f>VLOOKUP(Complete[[#This Row],[Code
(PAP)]],[1]Sheet1!$A:$AO,3,FALSE)</f>
        <v>PGO</v>
      </c>
      <c r="D526" s="380" t="s">
        <v>712</v>
      </c>
      <c r="E526" s="409" t="str">
        <f>VLOOKUP(Complete[[#This Row],[Code
(PAP)]],[2]Sheet1!$A:$AO,5,FALSE)</f>
        <v>NP-53.9 - Small Value Procurement</v>
      </c>
      <c r="F526" s="393" t="str">
        <f>VLOOKUP(Complete[[#This Row],[Code
(PAP)]],[1]Sheet1!$A:$AO,6,FALSE)</f>
        <v>N/A</v>
      </c>
      <c r="G526" s="393">
        <f>VLOOKUP(Complete[[#This Row],[Code
(PAP)]],[1]Sheet1!$A:$AO,7,FALSE)</f>
        <v>45418</v>
      </c>
      <c r="H526" s="374"/>
      <c r="I526" s="394" t="str">
        <f>VLOOKUP(Complete[[#This Row],[Code
(PAP)]],[1]Sheet1!$A:$AO,9,FALSE)</f>
        <v>N/A</v>
      </c>
      <c r="J526" s="393">
        <f>VLOOKUP(Complete[[#This Row],[Code
(PAP)]],[1]Sheet1!$A:$AO,10,FALSE)</f>
        <v>45426</v>
      </c>
      <c r="K526" s="393">
        <f>VLOOKUP(Complete[[#This Row],[Code
(PAP)]],[1]Sheet1!$A:$AO,11,FALSE)</f>
        <v>45426</v>
      </c>
      <c r="L526" s="387"/>
      <c r="M526" s="393" t="str">
        <f>VLOOKUP(Complete[[#This Row],[Code
(PAP)]],[1]Sheet1!$A:$AO,13,FALSE)</f>
        <v>N/A</v>
      </c>
      <c r="N526" s="393" t="str">
        <f>VLOOKUP(Complete[[#This Row],[Code
(PAP)]],[1]Sheet1!$A:$AO,14,FALSE)</f>
        <v>N/A</v>
      </c>
      <c r="O526" s="393">
        <f>VLOOKUP(Complete[[#This Row],[Code
(PAP)]],[1]Sheet1!$A:$AO,15,FALSE)</f>
        <v>45428</v>
      </c>
      <c r="P526" s="387"/>
      <c r="Q526" s="387"/>
      <c r="R526" s="387"/>
      <c r="S526" s="576" t="s">
        <v>713</v>
      </c>
      <c r="T526" s="576">
        <f>VLOOKUP(Complete[[#This Row],[Code
(PAP)]],[1]Sheet1!$A:$AO,20,FALSE)</f>
        <v>45434</v>
      </c>
      <c r="U526" s="576">
        <f>VLOOKUP(Complete[[#This Row],[Code
(PAP)]],[1]Sheet1!$A:$AO,21,FALSE)</f>
        <v>45446</v>
      </c>
      <c r="V526" s="387"/>
      <c r="W526" s="387"/>
      <c r="X526" s="392">
        <f>VLOOKUP(Complete[[#This Row],[Code
(PAP)]],[1]Sheet1!$A:$AO,24,FALSE)</f>
        <v>45462</v>
      </c>
      <c r="Y526" s="392">
        <f>Complete[[#This Row],[Delivery/ Completion]]</f>
        <v>45462</v>
      </c>
      <c r="Z526" s="610" t="s">
        <v>1478</v>
      </c>
      <c r="AA526" s="462">
        <f>Complete[[#This Row],[MOOE]]+Complete[[#This Row],[CO]]</f>
        <v>32000</v>
      </c>
      <c r="AB526" s="466"/>
      <c r="AC526" s="497">
        <v>32000</v>
      </c>
      <c r="AD526" s="498">
        <f>IF(Complete[[#This Row],[Procurement Project]]="","",SUM(Complete[[#This Row],[MOOE2]]+Complete[[#This Row],[CO3]]))</f>
        <v>30950</v>
      </c>
      <c r="AE526" s="501"/>
      <c r="AF526" s="541">
        <v>30950</v>
      </c>
      <c r="AG526" s="400"/>
      <c r="AH526" s="380" t="s">
        <v>1205</v>
      </c>
      <c r="AI526" s="576" t="str">
        <f>VLOOKUP(Complete[[#This Row],[Code
(PAP)]],[1]Sheet1!$A:$AO,35,FALSE)</f>
        <v>N/A</v>
      </c>
      <c r="AJ526" s="576" t="str">
        <f>VLOOKUP(Complete[[#This Row],[Code
(PAP)]],[1]Sheet1!$A:$AO,36,FALSE)</f>
        <v>N/A</v>
      </c>
      <c r="AK526" s="576" t="str">
        <f>VLOOKUP(Complete[[#This Row],[Code
(PAP)]],[1]Sheet1!$A:$AO,37,FALSE)</f>
        <v>N/A</v>
      </c>
      <c r="AL526" s="576" t="str">
        <f>VLOOKUP(Complete[[#This Row],[Code
(PAP)]],[1]Sheet1!$A:$AO,38,FALSE)</f>
        <v>N/A</v>
      </c>
      <c r="AM526" s="576" t="str">
        <f>VLOOKUP(Complete[[#This Row],[Code
(PAP)]],[1]Sheet1!$A:$AO,38,FALSE)</f>
        <v>N/A</v>
      </c>
      <c r="AN526" s="595" t="s">
        <v>713</v>
      </c>
      <c r="AO526" s="303" t="s">
        <v>139</v>
      </c>
      <c r="AP526" s="389"/>
      <c r="AQ526" s="389"/>
    </row>
    <row r="527" spans="1:43" s="224" customFormat="1" ht="75" customHeight="1" x14ac:dyDescent="0.25">
      <c r="A527" s="385" t="s">
        <v>704</v>
      </c>
      <c r="B527" s="406" t="str">
        <f>VLOOKUP(Complete[[#This Row],[Code
(PAP)]],[1]Sheet1!$A:$AO,2,FALSE)</f>
        <v>FOOD/CATERING SERVICES</v>
      </c>
      <c r="C527" s="408" t="str">
        <f>VLOOKUP(Complete[[#This Row],[Code
(PAP)]],[1]Sheet1!$A:$AO,3,FALSE)</f>
        <v>PBO</v>
      </c>
      <c r="D527" s="380" t="s">
        <v>712</v>
      </c>
      <c r="E527" s="409" t="str">
        <f>VLOOKUP(Complete[[#This Row],[Code
(PAP)]],[2]Sheet1!$A:$AO,5,FALSE)</f>
        <v>NP-53.9 - Small Value Procurement</v>
      </c>
      <c r="F527" s="393" t="str">
        <f>VLOOKUP(Complete[[#This Row],[Code
(PAP)]],[1]Sheet1!$A:$AO,6,FALSE)</f>
        <v>N/A</v>
      </c>
      <c r="G527" s="393">
        <f>VLOOKUP(Complete[[#This Row],[Code
(PAP)]],[1]Sheet1!$A:$AO,7,FALSE)</f>
        <v>45409</v>
      </c>
      <c r="H527" s="374"/>
      <c r="I527" s="394" t="str">
        <f>VLOOKUP(Complete[[#This Row],[Code
(PAP)]],[1]Sheet1!$A:$AO,9,FALSE)</f>
        <v>N/A</v>
      </c>
      <c r="J527" s="393">
        <f>VLOOKUP(Complete[[#This Row],[Code
(PAP)]],[1]Sheet1!$A:$AO,10,FALSE)</f>
        <v>45426</v>
      </c>
      <c r="K527" s="393">
        <f>VLOOKUP(Complete[[#This Row],[Code
(PAP)]],[1]Sheet1!$A:$AO,11,FALSE)</f>
        <v>45426</v>
      </c>
      <c r="L527" s="387"/>
      <c r="M527" s="393" t="str">
        <f>VLOOKUP(Complete[[#This Row],[Code
(PAP)]],[1]Sheet1!$A:$AO,13,FALSE)</f>
        <v>N/A</v>
      </c>
      <c r="N527" s="393" t="str">
        <f>VLOOKUP(Complete[[#This Row],[Code
(PAP)]],[1]Sheet1!$A:$AO,14,FALSE)</f>
        <v>N/A</v>
      </c>
      <c r="O527" s="393">
        <f>VLOOKUP(Complete[[#This Row],[Code
(PAP)]],[1]Sheet1!$A:$AO,15,FALSE)</f>
        <v>45428</v>
      </c>
      <c r="P527" s="387"/>
      <c r="Q527" s="387"/>
      <c r="R527" s="387"/>
      <c r="S527" s="576">
        <v>45428</v>
      </c>
      <c r="T527" s="576">
        <f>VLOOKUP(Complete[[#This Row],[Code
(PAP)]],[1]Sheet1!$A:$AO,20,FALSE)</f>
        <v>45434</v>
      </c>
      <c r="U527" s="576">
        <f>VLOOKUP(Complete[[#This Row],[Code
(PAP)]],[1]Sheet1!$A:$AO,21,FALSE)</f>
        <v>45441</v>
      </c>
      <c r="V527" s="387"/>
      <c r="W527" s="387"/>
      <c r="X527" s="392">
        <f>VLOOKUP(Complete[[#This Row],[Code
(PAP)]],[1]Sheet1!$A:$AO,24,FALSE)</f>
        <v>45453</v>
      </c>
      <c r="Y527" s="392">
        <f>Complete[[#This Row],[Delivery/ Completion]]</f>
        <v>45453</v>
      </c>
      <c r="Z527" s="610" t="s">
        <v>1478</v>
      </c>
      <c r="AA527" s="462">
        <f>Complete[[#This Row],[MOOE]]+Complete[[#This Row],[CO]]</f>
        <v>51900</v>
      </c>
      <c r="AB527" s="466">
        <v>51900</v>
      </c>
      <c r="AC527" s="497"/>
      <c r="AD527" s="498">
        <f>IF(Complete[[#This Row],[Procurement Project]]="","",SUM(Complete[[#This Row],[MOOE2]]+Complete[[#This Row],[CO3]]))</f>
        <v>51120</v>
      </c>
      <c r="AE527" s="501">
        <v>51120</v>
      </c>
      <c r="AF527" s="541"/>
      <c r="AG527" s="400"/>
      <c r="AH527" s="380" t="s">
        <v>1205</v>
      </c>
      <c r="AI527" s="576" t="str">
        <f>VLOOKUP(Complete[[#This Row],[Code
(PAP)]],[1]Sheet1!$A:$AO,35,FALSE)</f>
        <v>N/A</v>
      </c>
      <c r="AJ527" s="576" t="str">
        <f>VLOOKUP(Complete[[#This Row],[Code
(PAP)]],[1]Sheet1!$A:$AO,36,FALSE)</f>
        <v>N/A</v>
      </c>
      <c r="AK527" s="576" t="str">
        <f>VLOOKUP(Complete[[#This Row],[Code
(PAP)]],[1]Sheet1!$A:$AO,37,FALSE)</f>
        <v>N/A</v>
      </c>
      <c r="AL527" s="576" t="str">
        <f>VLOOKUP(Complete[[#This Row],[Code
(PAP)]],[1]Sheet1!$A:$AO,38,FALSE)</f>
        <v>N/A</v>
      </c>
      <c r="AM527" s="576" t="str">
        <f>VLOOKUP(Complete[[#This Row],[Code
(PAP)]],[1]Sheet1!$A:$AO,38,FALSE)</f>
        <v>N/A</v>
      </c>
      <c r="AN527" s="595" t="s">
        <v>713</v>
      </c>
      <c r="AO527" s="303" t="s">
        <v>139</v>
      </c>
      <c r="AP527" s="389"/>
      <c r="AQ527" s="389"/>
    </row>
    <row r="528" spans="1:43" s="224" customFormat="1" ht="75" customHeight="1" x14ac:dyDescent="0.25">
      <c r="A528" s="385" t="s">
        <v>705</v>
      </c>
      <c r="B528" s="406" t="str">
        <f>VLOOKUP(Complete[[#This Row],[Code
(PAP)]],[1]Sheet1!$A:$AO,2,FALSE)</f>
        <v>FOOD SUPPLIES</v>
      </c>
      <c r="C528" s="408" t="str">
        <f>VLOOKUP(Complete[[#This Row],[Code
(PAP)]],[1]Sheet1!$A:$AO,3,FALSE)</f>
        <v>PGO</v>
      </c>
      <c r="D528" s="380" t="s">
        <v>712</v>
      </c>
      <c r="E528" s="409" t="str">
        <f>VLOOKUP(Complete[[#This Row],[Code
(PAP)]],[2]Sheet1!$A:$AO,5,FALSE)</f>
        <v>NP-53.9 - Small Value Procurement</v>
      </c>
      <c r="F528" s="393" t="str">
        <f>VLOOKUP(Complete[[#This Row],[Code
(PAP)]],[1]Sheet1!$A:$AO,6,FALSE)</f>
        <v>N/A</v>
      </c>
      <c r="G528" s="393">
        <f>VLOOKUP(Complete[[#This Row],[Code
(PAP)]],[1]Sheet1!$A:$AO,7,FALSE)</f>
        <v>45412</v>
      </c>
      <c r="H528" s="374"/>
      <c r="I528" s="394" t="str">
        <f>VLOOKUP(Complete[[#This Row],[Code
(PAP)]],[1]Sheet1!$A:$AO,9,FALSE)</f>
        <v>N/A</v>
      </c>
      <c r="J528" s="393">
        <f>VLOOKUP(Complete[[#This Row],[Code
(PAP)]],[1]Sheet1!$A:$AO,10,FALSE)</f>
        <v>45426</v>
      </c>
      <c r="K528" s="393">
        <f>VLOOKUP(Complete[[#This Row],[Code
(PAP)]],[1]Sheet1!$A:$AO,11,FALSE)</f>
        <v>45426</v>
      </c>
      <c r="L528" s="387"/>
      <c r="M528" s="393" t="str">
        <f>VLOOKUP(Complete[[#This Row],[Code
(PAP)]],[1]Sheet1!$A:$AO,13,FALSE)</f>
        <v>N/A</v>
      </c>
      <c r="N528" s="393" t="str">
        <f>VLOOKUP(Complete[[#This Row],[Code
(PAP)]],[1]Sheet1!$A:$AO,14,FALSE)</f>
        <v>N/A</v>
      </c>
      <c r="O528" s="393">
        <f>VLOOKUP(Complete[[#This Row],[Code
(PAP)]],[1]Sheet1!$A:$AO,15,FALSE)</f>
        <v>45428</v>
      </c>
      <c r="P528" s="387"/>
      <c r="Q528" s="387"/>
      <c r="R528" s="387"/>
      <c r="S528" s="576" t="s">
        <v>713</v>
      </c>
      <c r="T528" s="576">
        <f>VLOOKUP(Complete[[#This Row],[Code
(PAP)]],[1]Sheet1!$A:$AO,20,FALSE)</f>
        <v>45435</v>
      </c>
      <c r="U528" s="576">
        <f>VLOOKUP(Complete[[#This Row],[Code
(PAP)]],[1]Sheet1!$A:$AO,21,FALSE)</f>
        <v>45446</v>
      </c>
      <c r="V528" s="387"/>
      <c r="W528" s="387"/>
      <c r="X528" s="392">
        <f>VLOOKUP(Complete[[#This Row],[Code
(PAP)]],[1]Sheet1!$A:$AO,24,FALSE)</f>
        <v>45454</v>
      </c>
      <c r="Y528" s="392">
        <f>Complete[[#This Row],[Delivery/ Completion]]</f>
        <v>45454</v>
      </c>
      <c r="Z528" s="610" t="s">
        <v>1478</v>
      </c>
      <c r="AA528" s="462">
        <f>Complete[[#This Row],[MOOE]]+Complete[[#This Row],[CO]]</f>
        <v>26355</v>
      </c>
      <c r="AB528" s="466"/>
      <c r="AC528" s="497">
        <v>26355</v>
      </c>
      <c r="AD528" s="498">
        <f>IF(Complete[[#This Row],[Procurement Project]]="","",SUM(Complete[[#This Row],[MOOE2]]+Complete[[#This Row],[CO3]]))</f>
        <v>26250</v>
      </c>
      <c r="AE528" s="501"/>
      <c r="AF528" s="541">
        <v>26250</v>
      </c>
      <c r="AG528" s="400"/>
      <c r="AH528" s="380" t="s">
        <v>1205</v>
      </c>
      <c r="AI528" s="576" t="str">
        <f>VLOOKUP(Complete[[#This Row],[Code
(PAP)]],[1]Sheet1!$A:$AO,35,FALSE)</f>
        <v>N/A</v>
      </c>
      <c r="AJ528" s="576" t="str">
        <f>VLOOKUP(Complete[[#This Row],[Code
(PAP)]],[1]Sheet1!$A:$AO,36,FALSE)</f>
        <v>N/A</v>
      </c>
      <c r="AK528" s="576" t="str">
        <f>VLOOKUP(Complete[[#This Row],[Code
(PAP)]],[1]Sheet1!$A:$AO,37,FALSE)</f>
        <v>N/A</v>
      </c>
      <c r="AL528" s="576" t="str">
        <f>VLOOKUP(Complete[[#This Row],[Code
(PAP)]],[1]Sheet1!$A:$AO,38,FALSE)</f>
        <v>N/A</v>
      </c>
      <c r="AM528" s="576" t="str">
        <f>VLOOKUP(Complete[[#This Row],[Code
(PAP)]],[1]Sheet1!$A:$AO,38,FALSE)</f>
        <v>N/A</v>
      </c>
      <c r="AN528" s="595" t="s">
        <v>713</v>
      </c>
      <c r="AO528" s="303" t="s">
        <v>139</v>
      </c>
      <c r="AP528" s="389"/>
      <c r="AQ528" s="389"/>
    </row>
    <row r="529" spans="1:43" s="224" customFormat="1" ht="75" customHeight="1" x14ac:dyDescent="0.25">
      <c r="A529" s="385" t="s">
        <v>706</v>
      </c>
      <c r="B529" s="406" t="str">
        <f>VLOOKUP(Complete[[#This Row],[Code
(PAP)]],[1]Sheet1!$A:$AO,2,FALSE)</f>
        <v>FOOD/CATERING SERVICES</v>
      </c>
      <c r="C529" s="408" t="str">
        <f>VLOOKUP(Complete[[#This Row],[Code
(PAP)]],[1]Sheet1!$A:$AO,3,FALSE)</f>
        <v>PGO</v>
      </c>
      <c r="D529" s="380" t="s">
        <v>712</v>
      </c>
      <c r="E529" s="409" t="str">
        <f>VLOOKUP(Complete[[#This Row],[Code
(PAP)]],[2]Sheet1!$A:$AO,5,FALSE)</f>
        <v>NP-53.1 Two Failed Biddings</v>
      </c>
      <c r="F529" s="393" t="str">
        <f>VLOOKUP(Complete[[#This Row],[Code
(PAP)]],[1]Sheet1!$A:$AO,6,FALSE)</f>
        <v>N/A</v>
      </c>
      <c r="G529" s="393">
        <f>VLOOKUP(Complete[[#This Row],[Code
(PAP)]],[1]Sheet1!$A:$AO,7,FALSE)</f>
        <v>45422</v>
      </c>
      <c r="H529" s="374"/>
      <c r="I529" s="394" t="str">
        <f>VLOOKUP(Complete[[#This Row],[Code
(PAP)]],[1]Sheet1!$A:$AO,9,FALSE)</f>
        <v>N/A</v>
      </c>
      <c r="J529" s="393">
        <f>VLOOKUP(Complete[[#This Row],[Code
(PAP)]],[1]Sheet1!$A:$AO,10,FALSE)</f>
        <v>45426</v>
      </c>
      <c r="K529" s="393">
        <f>VLOOKUP(Complete[[#This Row],[Code
(PAP)]],[1]Sheet1!$A:$AO,11,FALSE)</f>
        <v>45426</v>
      </c>
      <c r="L529" s="387"/>
      <c r="M529" s="393" t="str">
        <f>VLOOKUP(Complete[[#This Row],[Code
(PAP)]],[1]Sheet1!$A:$AO,13,FALSE)</f>
        <v>N/A</v>
      </c>
      <c r="N529" s="393" t="str">
        <f>VLOOKUP(Complete[[#This Row],[Code
(PAP)]],[1]Sheet1!$A:$AO,14,FALSE)</f>
        <v>N/A</v>
      </c>
      <c r="O529" s="393">
        <f>VLOOKUP(Complete[[#This Row],[Code
(PAP)]],[1]Sheet1!$A:$AO,15,FALSE)</f>
        <v>45428</v>
      </c>
      <c r="P529" s="387"/>
      <c r="Q529" s="387"/>
      <c r="R529" s="387"/>
      <c r="S529" s="576">
        <v>45428</v>
      </c>
      <c r="T529" s="576">
        <f>VLOOKUP(Complete[[#This Row],[Code
(PAP)]],[1]Sheet1!$A:$AO,20,FALSE)</f>
        <v>45428</v>
      </c>
      <c r="U529" s="576">
        <f>VLOOKUP(Complete[[#This Row],[Code
(PAP)]],[1]Sheet1!$A:$AO,21,FALSE)</f>
        <v>45442</v>
      </c>
      <c r="V529" s="387"/>
      <c r="W529" s="387"/>
      <c r="X529" s="392">
        <f>VLOOKUP(Complete[[#This Row],[Code
(PAP)]],[1]Sheet1!$A:$AO,24,FALSE)</f>
        <v>45457</v>
      </c>
      <c r="Y529" s="392">
        <f>Complete[[#This Row],[Delivery/ Completion]]</f>
        <v>45457</v>
      </c>
      <c r="Z529" s="610" t="s">
        <v>1478</v>
      </c>
      <c r="AA529" s="462">
        <f>Complete[[#This Row],[MOOE]]+Complete[[#This Row],[CO]]</f>
        <v>680690</v>
      </c>
      <c r="AB529" s="466"/>
      <c r="AC529" s="497">
        <v>680690</v>
      </c>
      <c r="AD529" s="498">
        <f>IF(Complete[[#This Row],[Procurement Project]]="","",SUM(Complete[[#This Row],[MOOE2]]+Complete[[#This Row],[CO3]]))</f>
        <v>680690</v>
      </c>
      <c r="AE529" s="501"/>
      <c r="AF529" s="541">
        <v>680690</v>
      </c>
      <c r="AG529" s="400"/>
      <c r="AH529" s="380" t="s">
        <v>1205</v>
      </c>
      <c r="AI529" s="576" t="str">
        <f>VLOOKUP(Complete[[#This Row],[Code
(PAP)]],[1]Sheet1!$A:$AO,35,FALSE)</f>
        <v>N/A</v>
      </c>
      <c r="AJ529" s="576" t="str">
        <f>VLOOKUP(Complete[[#This Row],[Code
(PAP)]],[1]Sheet1!$A:$AO,36,FALSE)</f>
        <v>N/A</v>
      </c>
      <c r="AK529" s="576" t="str">
        <f>VLOOKUP(Complete[[#This Row],[Code
(PAP)]],[1]Sheet1!$A:$AO,37,FALSE)</f>
        <v>N/A</v>
      </c>
      <c r="AL529" s="576" t="str">
        <f>VLOOKUP(Complete[[#This Row],[Code
(PAP)]],[1]Sheet1!$A:$AO,38,FALSE)</f>
        <v>N/A</v>
      </c>
      <c r="AM529" s="576" t="str">
        <f>VLOOKUP(Complete[[#This Row],[Code
(PAP)]],[1]Sheet1!$A:$AO,38,FALSE)</f>
        <v>N/A</v>
      </c>
      <c r="AN529" s="595" t="s">
        <v>713</v>
      </c>
      <c r="AO529" s="303" t="s">
        <v>139</v>
      </c>
      <c r="AP529" s="389"/>
      <c r="AQ529" s="389"/>
    </row>
    <row r="530" spans="1:43" s="224" customFormat="1" ht="75" customHeight="1" x14ac:dyDescent="0.25">
      <c r="A530" s="410" t="s">
        <v>707</v>
      </c>
      <c r="B530" s="406" t="str">
        <f>VLOOKUP(Complete[[#This Row],[Code
(PAP)]],[1]Sheet1!$A:$AO,2,FALSE)</f>
        <v>RICE (WELL MILLED)</v>
      </c>
      <c r="C530" s="411" t="str">
        <f>VLOOKUP(Complete[[#This Row],[Code
(PAP)]],[1]Sheet1!$A:$AO,3,FALSE)</f>
        <v>PDRRMO</v>
      </c>
      <c r="D530" s="380" t="s">
        <v>712</v>
      </c>
      <c r="E530" s="413" t="str">
        <f>VLOOKUP(Complete[[#This Row],[Code
(PAP)]],[2]Sheet1!$A:$AO,5,FALSE)</f>
        <v>NP-53.2 Emergency Cases</v>
      </c>
      <c r="F530" s="414" t="str">
        <f>VLOOKUP(Complete[[#This Row],[Code
(PAP)]],[1]Sheet1!$A:$AO,6,FALSE)</f>
        <v>N/A</v>
      </c>
      <c r="G530" s="414">
        <f>VLOOKUP(Complete[[#This Row],[Code
(PAP)]],[1]Sheet1!$A:$AO,7,FALSE)</f>
        <v>45436</v>
      </c>
      <c r="H530" s="415"/>
      <c r="I530" s="394" t="str">
        <f>VLOOKUP(Complete[[#This Row],[Code
(PAP)]],[1]Sheet1!$A:$AO,9,FALSE)</f>
        <v>N/A</v>
      </c>
      <c r="J530" s="414">
        <f>VLOOKUP(Complete[[#This Row],[Code
(PAP)]],[1]Sheet1!$A:$AO,10,FALSE)</f>
        <v>45440</v>
      </c>
      <c r="K530" s="414">
        <f>VLOOKUP(Complete[[#This Row],[Code
(PAP)]],[1]Sheet1!$A:$AO,11,FALSE)</f>
        <v>45440</v>
      </c>
      <c r="L530" s="416"/>
      <c r="M530" s="414" t="str">
        <f>VLOOKUP(Complete[[#This Row],[Code
(PAP)]],[1]Sheet1!$A:$AO,13,FALSE)</f>
        <v>N/A</v>
      </c>
      <c r="N530" s="414" t="str">
        <f>VLOOKUP(Complete[[#This Row],[Code
(PAP)]],[1]Sheet1!$A:$AO,14,FALSE)</f>
        <v>N/A</v>
      </c>
      <c r="O530" s="414">
        <f>VLOOKUP(Complete[[#This Row],[Code
(PAP)]],[1]Sheet1!$A:$AO,15,FALSE)</f>
        <v>45441</v>
      </c>
      <c r="P530" s="416"/>
      <c r="Q530" s="416"/>
      <c r="R530" s="416"/>
      <c r="S530" s="576">
        <v>45441</v>
      </c>
      <c r="T530" s="576">
        <f>VLOOKUP(Complete[[#This Row],[Code
(PAP)]],[1]Sheet1!$A:$AO,20,FALSE)</f>
        <v>45441</v>
      </c>
      <c r="U530" s="576">
        <f>VLOOKUP(Complete[[#This Row],[Code
(PAP)]],[1]Sheet1!$A:$AO,21,FALSE)</f>
        <v>45447</v>
      </c>
      <c r="V530" s="416"/>
      <c r="W530" s="416"/>
      <c r="X530" s="392">
        <f>VLOOKUP(Complete[[#This Row],[Code
(PAP)]],[1]Sheet1!$A:$AO,24,FALSE)</f>
        <v>45453</v>
      </c>
      <c r="Y530" s="392">
        <f>Complete[[#This Row],[Delivery/ Completion]]</f>
        <v>45453</v>
      </c>
      <c r="Z530" s="610" t="s">
        <v>1478</v>
      </c>
      <c r="AA530" s="462">
        <f>Complete[[#This Row],[MOOE]]+Complete[[#This Row],[CO]]</f>
        <v>150000</v>
      </c>
      <c r="AB530" s="466"/>
      <c r="AC530" s="502">
        <v>150000</v>
      </c>
      <c r="AD530" s="498">
        <f>IF(Complete[[#This Row],[Procurement Project]]="","",SUM(Complete[[#This Row],[MOOE2]]+Complete[[#This Row],[CO3]]))</f>
        <v>150000</v>
      </c>
      <c r="AE530" s="501"/>
      <c r="AF530" s="541">
        <v>150000</v>
      </c>
      <c r="AG530" s="417"/>
      <c r="AH530" s="380" t="s">
        <v>1205</v>
      </c>
      <c r="AI530" s="576" t="str">
        <f>VLOOKUP(Complete[[#This Row],[Code
(PAP)]],[1]Sheet1!$A:$AO,35,FALSE)</f>
        <v>N/A</v>
      </c>
      <c r="AJ530" s="576" t="str">
        <f>VLOOKUP(Complete[[#This Row],[Code
(PAP)]],[1]Sheet1!$A:$AO,36,FALSE)</f>
        <v>N/A</v>
      </c>
      <c r="AK530" s="576" t="str">
        <f>VLOOKUP(Complete[[#This Row],[Code
(PAP)]],[1]Sheet1!$A:$AO,37,FALSE)</f>
        <v>N/A</v>
      </c>
      <c r="AL530" s="576" t="str">
        <f>VLOOKUP(Complete[[#This Row],[Code
(PAP)]],[1]Sheet1!$A:$AO,38,FALSE)</f>
        <v>N/A</v>
      </c>
      <c r="AM530" s="576" t="str">
        <f>VLOOKUP(Complete[[#This Row],[Code
(PAP)]],[1]Sheet1!$A:$AO,38,FALSE)</f>
        <v>N/A</v>
      </c>
      <c r="AN530" s="595" t="s">
        <v>713</v>
      </c>
      <c r="AO530" s="303" t="s">
        <v>139</v>
      </c>
      <c r="AP530" s="418"/>
      <c r="AQ530" s="418"/>
    </row>
    <row r="531" spans="1:43" s="224" customFormat="1" ht="75" customHeight="1" x14ac:dyDescent="0.25">
      <c r="A531" s="410" t="s">
        <v>708</v>
      </c>
      <c r="B531" s="406" t="str">
        <f>VLOOKUP(Complete[[#This Row],[Code
(PAP)]],[1]Sheet1!$A:$AO,2,FALSE)</f>
        <v>JANITORIAL SUPPLIES</v>
      </c>
      <c r="C531" s="411" t="str">
        <f>VLOOKUP(Complete[[#This Row],[Code
(PAP)]],[1]Sheet1!$A:$AO,3,FALSE)</f>
        <v>PDRRMO</v>
      </c>
      <c r="D531" s="380" t="s">
        <v>712</v>
      </c>
      <c r="E531" s="413" t="str">
        <f>VLOOKUP(Complete[[#This Row],[Code
(PAP)]],[2]Sheet1!$A:$AO,5,FALSE)</f>
        <v>NP-53.2 Emergency Cases</v>
      </c>
      <c r="F531" s="414" t="str">
        <f>VLOOKUP(Complete[[#This Row],[Code
(PAP)]],[1]Sheet1!$A:$AO,6,FALSE)</f>
        <v>N/A</v>
      </c>
      <c r="G531" s="414">
        <f>VLOOKUP(Complete[[#This Row],[Code
(PAP)]],[1]Sheet1!$A:$AO,7,FALSE)</f>
        <v>45436</v>
      </c>
      <c r="H531" s="415"/>
      <c r="I531" s="394" t="str">
        <f>VLOOKUP(Complete[[#This Row],[Code
(PAP)]],[1]Sheet1!$A:$AO,9,FALSE)</f>
        <v>N/A</v>
      </c>
      <c r="J531" s="414">
        <f>VLOOKUP(Complete[[#This Row],[Code
(PAP)]],[1]Sheet1!$A:$AO,10,FALSE)</f>
        <v>45440</v>
      </c>
      <c r="K531" s="414">
        <f>VLOOKUP(Complete[[#This Row],[Code
(PAP)]],[1]Sheet1!$A:$AO,11,FALSE)</f>
        <v>45440</v>
      </c>
      <c r="L531" s="416"/>
      <c r="M531" s="414" t="str">
        <f>VLOOKUP(Complete[[#This Row],[Code
(PAP)]],[1]Sheet1!$A:$AO,13,FALSE)</f>
        <v>N/A</v>
      </c>
      <c r="N531" s="414" t="str">
        <f>VLOOKUP(Complete[[#This Row],[Code
(PAP)]],[1]Sheet1!$A:$AO,14,FALSE)</f>
        <v>N/A</v>
      </c>
      <c r="O531" s="414">
        <f>VLOOKUP(Complete[[#This Row],[Code
(PAP)]],[1]Sheet1!$A:$AO,15,FALSE)</f>
        <v>45441</v>
      </c>
      <c r="P531" s="416"/>
      <c r="Q531" s="416"/>
      <c r="R531" s="416"/>
      <c r="S531" s="576">
        <v>45441</v>
      </c>
      <c r="T531" s="576">
        <f>VLOOKUP(Complete[[#This Row],[Code
(PAP)]],[1]Sheet1!$A:$AO,20,FALSE)</f>
        <v>45441</v>
      </c>
      <c r="U531" s="576">
        <f>VLOOKUP(Complete[[#This Row],[Code
(PAP)]],[1]Sheet1!$A:$AO,21,FALSE)</f>
        <v>45447</v>
      </c>
      <c r="V531" s="416"/>
      <c r="W531" s="416"/>
      <c r="X531" s="392">
        <f>VLOOKUP(Complete[[#This Row],[Code
(PAP)]],[1]Sheet1!$A:$AO,24,FALSE)</f>
        <v>45449</v>
      </c>
      <c r="Y531" s="392">
        <f>Complete[[#This Row],[Delivery/ Completion]]</f>
        <v>45449</v>
      </c>
      <c r="Z531" s="610" t="s">
        <v>1478</v>
      </c>
      <c r="AA531" s="462">
        <f>Complete[[#This Row],[MOOE]]+Complete[[#This Row],[CO]]</f>
        <v>522300</v>
      </c>
      <c r="AB531" s="466"/>
      <c r="AC531" s="502">
        <v>522300</v>
      </c>
      <c r="AD531" s="498">
        <f>IF(Complete[[#This Row],[Procurement Project]]="","",SUM(Complete[[#This Row],[MOOE2]]+Complete[[#This Row],[CO3]]))</f>
        <v>500250</v>
      </c>
      <c r="AE531" s="501"/>
      <c r="AF531" s="541">
        <v>500250</v>
      </c>
      <c r="AG531" s="417"/>
      <c r="AH531" s="380" t="s">
        <v>1205</v>
      </c>
      <c r="AI531" s="576" t="str">
        <f>VLOOKUP(Complete[[#This Row],[Code
(PAP)]],[1]Sheet1!$A:$AO,35,FALSE)</f>
        <v>N/A</v>
      </c>
      <c r="AJ531" s="576" t="str">
        <f>VLOOKUP(Complete[[#This Row],[Code
(PAP)]],[1]Sheet1!$A:$AO,36,FALSE)</f>
        <v>N/A</v>
      </c>
      <c r="AK531" s="576" t="str">
        <f>VLOOKUP(Complete[[#This Row],[Code
(PAP)]],[1]Sheet1!$A:$AO,37,FALSE)</f>
        <v>N/A</v>
      </c>
      <c r="AL531" s="576" t="str">
        <f>VLOOKUP(Complete[[#This Row],[Code
(PAP)]],[1]Sheet1!$A:$AO,38,FALSE)</f>
        <v>N/A</v>
      </c>
      <c r="AM531" s="576" t="str">
        <f>VLOOKUP(Complete[[#This Row],[Code
(PAP)]],[1]Sheet1!$A:$AO,38,FALSE)</f>
        <v>N/A</v>
      </c>
      <c r="AN531" s="595" t="s">
        <v>713</v>
      </c>
      <c r="AO531" s="303" t="s">
        <v>139</v>
      </c>
      <c r="AP531" s="418"/>
      <c r="AQ531" s="418"/>
    </row>
    <row r="532" spans="1:43" s="224" customFormat="1" ht="75" customHeight="1" x14ac:dyDescent="0.25">
      <c r="A532" s="410" t="s">
        <v>709</v>
      </c>
      <c r="B532" s="406" t="str">
        <f>VLOOKUP(Complete[[#This Row],[Code
(PAP)]],[1]Sheet1!$A:$AO,2,FALSE)</f>
        <v>FOOD SUPPLIES</v>
      </c>
      <c r="C532" s="411" t="str">
        <f>VLOOKUP(Complete[[#This Row],[Code
(PAP)]],[1]Sheet1!$A:$AO,3,FALSE)</f>
        <v>PDRRMO</v>
      </c>
      <c r="D532" s="380" t="s">
        <v>712</v>
      </c>
      <c r="E532" s="413" t="str">
        <f>VLOOKUP(Complete[[#This Row],[Code
(PAP)]],[2]Sheet1!$A:$AO,5,FALSE)</f>
        <v>NP-53.2 Emergency Cases</v>
      </c>
      <c r="F532" s="414" t="str">
        <f>VLOOKUP(Complete[[#This Row],[Code
(PAP)]],[1]Sheet1!$A:$AO,6,FALSE)</f>
        <v>N/A</v>
      </c>
      <c r="G532" s="414">
        <f>VLOOKUP(Complete[[#This Row],[Code
(PAP)]],[1]Sheet1!$A:$AO,7,FALSE)</f>
        <v>45436</v>
      </c>
      <c r="H532" s="415"/>
      <c r="I532" s="394" t="str">
        <f>VLOOKUP(Complete[[#This Row],[Code
(PAP)]],[1]Sheet1!$A:$AO,9,FALSE)</f>
        <v>N/A</v>
      </c>
      <c r="J532" s="414">
        <f>VLOOKUP(Complete[[#This Row],[Code
(PAP)]],[1]Sheet1!$A:$AO,10,FALSE)</f>
        <v>45440</v>
      </c>
      <c r="K532" s="414">
        <f>VLOOKUP(Complete[[#This Row],[Code
(PAP)]],[1]Sheet1!$A:$AO,11,FALSE)</f>
        <v>45440</v>
      </c>
      <c r="L532" s="416"/>
      <c r="M532" s="414" t="str">
        <f>VLOOKUP(Complete[[#This Row],[Code
(PAP)]],[1]Sheet1!$A:$AO,13,FALSE)</f>
        <v>N/A</v>
      </c>
      <c r="N532" s="414" t="str">
        <f>VLOOKUP(Complete[[#This Row],[Code
(PAP)]],[1]Sheet1!$A:$AO,14,FALSE)</f>
        <v>N/A</v>
      </c>
      <c r="O532" s="414">
        <f>VLOOKUP(Complete[[#This Row],[Code
(PAP)]],[1]Sheet1!$A:$AO,15,FALSE)</f>
        <v>45441</v>
      </c>
      <c r="P532" s="416"/>
      <c r="Q532" s="416"/>
      <c r="R532" s="416"/>
      <c r="S532" s="576">
        <v>45441</v>
      </c>
      <c r="T532" s="576">
        <f>VLOOKUP(Complete[[#This Row],[Code
(PAP)]],[1]Sheet1!$A:$AO,20,FALSE)</f>
        <v>45441</v>
      </c>
      <c r="U532" s="576">
        <f>VLOOKUP(Complete[[#This Row],[Code
(PAP)]],[1]Sheet1!$A:$AO,21,FALSE)</f>
        <v>45446</v>
      </c>
      <c r="V532" s="416"/>
      <c r="W532" s="416"/>
      <c r="X532" s="392">
        <f>VLOOKUP(Complete[[#This Row],[Code
(PAP)]],[1]Sheet1!$A:$AO,24,FALSE)</f>
        <v>45448</v>
      </c>
      <c r="Y532" s="392">
        <f>Complete[[#This Row],[Delivery/ Completion]]</f>
        <v>45448</v>
      </c>
      <c r="Z532" s="610" t="s">
        <v>1478</v>
      </c>
      <c r="AA532" s="462">
        <f>Complete[[#This Row],[MOOE]]+Complete[[#This Row],[CO]]</f>
        <v>196218</v>
      </c>
      <c r="AB532" s="466"/>
      <c r="AC532" s="502">
        <v>196218</v>
      </c>
      <c r="AD532" s="498">
        <f>IF(Complete[[#This Row],[Procurement Project]]="","",SUM(Complete[[#This Row],[MOOE2]]+Complete[[#This Row],[CO3]]))</f>
        <v>194481</v>
      </c>
      <c r="AE532" s="501"/>
      <c r="AF532" s="541">
        <v>194481</v>
      </c>
      <c r="AG532" s="417"/>
      <c r="AH532" s="380" t="s">
        <v>1205</v>
      </c>
      <c r="AI532" s="576" t="str">
        <f>VLOOKUP(Complete[[#This Row],[Code
(PAP)]],[1]Sheet1!$A:$AO,35,FALSE)</f>
        <v>N/A</v>
      </c>
      <c r="AJ532" s="576" t="str">
        <f>VLOOKUP(Complete[[#This Row],[Code
(PAP)]],[1]Sheet1!$A:$AO,36,FALSE)</f>
        <v>N/A</v>
      </c>
      <c r="AK532" s="576" t="str">
        <f>VLOOKUP(Complete[[#This Row],[Code
(PAP)]],[1]Sheet1!$A:$AO,37,FALSE)</f>
        <v>N/A</v>
      </c>
      <c r="AL532" s="576" t="str">
        <f>VLOOKUP(Complete[[#This Row],[Code
(PAP)]],[1]Sheet1!$A:$AO,38,FALSE)</f>
        <v>N/A</v>
      </c>
      <c r="AM532" s="576" t="str">
        <f>VLOOKUP(Complete[[#This Row],[Code
(PAP)]],[1]Sheet1!$A:$AO,38,FALSE)</f>
        <v>N/A</v>
      </c>
      <c r="AN532" s="595" t="s">
        <v>713</v>
      </c>
      <c r="AO532" s="303" t="s">
        <v>139</v>
      </c>
      <c r="AP532" s="418"/>
      <c r="AQ532" s="418"/>
    </row>
    <row r="533" spans="1:43" s="224" customFormat="1" ht="75" customHeight="1" x14ac:dyDescent="0.25">
      <c r="A533" s="410" t="s">
        <v>710</v>
      </c>
      <c r="B533" s="406" t="str">
        <f>VLOOKUP(Complete[[#This Row],[Code
(PAP)]],[1]Sheet1!$A:$AO,2,FALSE)</f>
        <v>DIGITAL BLACK &amp; WHITE
MULTI FUNCTION
COPIER/PRINTER/COLOR
SCANNER</v>
      </c>
      <c r="C533" s="411" t="str">
        <f>VLOOKUP(Complete[[#This Row],[Code
(PAP)]],[1]Sheet1!$A:$AO,3,FALSE)</f>
        <v>COA</v>
      </c>
      <c r="D533" s="380" t="s">
        <v>712</v>
      </c>
      <c r="E533" s="413" t="str">
        <f>VLOOKUP(Complete[[#This Row],[Code
(PAP)]],[2]Sheet1!$A:$AO,5,FALSE)</f>
        <v>NP-53.9 - Small Value Procurement</v>
      </c>
      <c r="F533" s="414">
        <f>VLOOKUP(Complete[[#This Row],[Code
(PAP)]],[1]Sheet1!$A:$AO,6,FALSE)</f>
        <v>45412</v>
      </c>
      <c r="G533" s="414">
        <f>VLOOKUP(Complete[[#This Row],[Code
(PAP)]],[1]Sheet1!$A:$AO,7,FALSE)</f>
        <v>45414</v>
      </c>
      <c r="H533" s="415"/>
      <c r="I533" s="394" t="str">
        <f>VLOOKUP(Complete[[#This Row],[Code
(PAP)]],[1]Sheet1!$A:$AO,9,FALSE)</f>
        <v>N/A</v>
      </c>
      <c r="J533" s="414">
        <f>VLOOKUP(Complete[[#This Row],[Code
(PAP)]],[1]Sheet1!$A:$AO,10,FALSE)</f>
        <v>45440</v>
      </c>
      <c r="K533" s="414">
        <f>VLOOKUP(Complete[[#This Row],[Code
(PAP)]],[1]Sheet1!$A:$AO,11,FALSE)</f>
        <v>45440</v>
      </c>
      <c r="L533" s="416"/>
      <c r="M533" s="414" t="str">
        <f>VLOOKUP(Complete[[#This Row],[Code
(PAP)]],[1]Sheet1!$A:$AO,13,FALSE)</f>
        <v>N/A</v>
      </c>
      <c r="N533" s="414" t="str">
        <f>VLOOKUP(Complete[[#This Row],[Code
(PAP)]],[1]Sheet1!$A:$AO,14,FALSE)</f>
        <v>N/A</v>
      </c>
      <c r="O533" s="414">
        <f>VLOOKUP(Complete[[#This Row],[Code
(PAP)]],[1]Sheet1!$A:$AO,15,FALSE)</f>
        <v>45441</v>
      </c>
      <c r="P533" s="416"/>
      <c r="Q533" s="416"/>
      <c r="R533" s="416"/>
      <c r="S533" s="576">
        <v>45443</v>
      </c>
      <c r="T533" s="576">
        <f>VLOOKUP(Complete[[#This Row],[Code
(PAP)]],[1]Sheet1!$A:$AO,20,FALSE)</f>
        <v>45456</v>
      </c>
      <c r="U533" s="576">
        <f>VLOOKUP(Complete[[#This Row],[Code
(PAP)]],[1]Sheet1!$A:$AO,21,FALSE)</f>
        <v>45467</v>
      </c>
      <c r="V533" s="416"/>
      <c r="W533" s="416"/>
      <c r="X533" s="392">
        <f>VLOOKUP(Complete[[#This Row],[Code
(PAP)]],[1]Sheet1!$A:$AO,24,FALSE)</f>
        <v>45467</v>
      </c>
      <c r="Y533" s="392">
        <f>Complete[[#This Row],[Delivery/ Completion]]</f>
        <v>45467</v>
      </c>
      <c r="Z533" s="610" t="s">
        <v>1478</v>
      </c>
      <c r="AA533" s="462">
        <f>Complete[[#This Row],[MOOE]]+Complete[[#This Row],[CO]]</f>
        <v>93500</v>
      </c>
      <c r="AB533" s="466"/>
      <c r="AC533" s="502">
        <v>93500</v>
      </c>
      <c r="AD533" s="498">
        <f>IF(Complete[[#This Row],[Procurement Project]]="","",SUM(Complete[[#This Row],[MOOE2]]+Complete[[#This Row],[CO3]]))</f>
        <v>81000</v>
      </c>
      <c r="AE533" s="501"/>
      <c r="AF533" s="541">
        <v>81000</v>
      </c>
      <c r="AG533" s="417"/>
      <c r="AH533" s="380" t="s">
        <v>1205</v>
      </c>
      <c r="AI533" s="576" t="str">
        <f>VLOOKUP(Complete[[#This Row],[Code
(PAP)]],[1]Sheet1!$A:$AO,35,FALSE)</f>
        <v>N/A</v>
      </c>
      <c r="AJ533" s="576" t="str">
        <f>VLOOKUP(Complete[[#This Row],[Code
(PAP)]],[1]Sheet1!$A:$AO,36,FALSE)</f>
        <v>N/A</v>
      </c>
      <c r="AK533" s="576" t="str">
        <f>VLOOKUP(Complete[[#This Row],[Code
(PAP)]],[1]Sheet1!$A:$AO,37,FALSE)</f>
        <v>N/A</v>
      </c>
      <c r="AL533" s="576" t="str">
        <f>VLOOKUP(Complete[[#This Row],[Code
(PAP)]],[1]Sheet1!$A:$AO,38,FALSE)</f>
        <v>N/A</v>
      </c>
      <c r="AM533" s="576" t="str">
        <f>VLOOKUP(Complete[[#This Row],[Code
(PAP)]],[1]Sheet1!$A:$AO,38,FALSE)</f>
        <v>N/A</v>
      </c>
      <c r="AN533" s="595" t="s">
        <v>713</v>
      </c>
      <c r="AO533" s="303" t="s">
        <v>139</v>
      </c>
      <c r="AP533" s="418"/>
      <c r="AQ533" s="418"/>
    </row>
    <row r="534" spans="1:43" s="224" customFormat="1" ht="75" customHeight="1" x14ac:dyDescent="0.25">
      <c r="A534" s="385" t="s">
        <v>722</v>
      </c>
      <c r="B534" s="406" t="str">
        <f>VLOOKUP(Complete[[#This Row],[Code
(PAP)]],[1]Sheet1!$A:$AO,2,FALSE)</f>
        <v>FOOD/CATERING SERVICES</v>
      </c>
      <c r="C534" s="408" t="str">
        <f>VLOOKUP(Complete[[#This Row],[Code
(PAP)]],[1]Sheet1!$A:$AO,3,FALSE)</f>
        <v>PAGRO</v>
      </c>
      <c r="D534" s="386"/>
      <c r="E534" s="409" t="str">
        <f>VLOOKUP(Complete[[#This Row],[Code
(PAP)]],[2]Sheet1!$A:$AO,5,FALSE)</f>
        <v>NP-53.1 Two Failed Biddings</v>
      </c>
      <c r="F534" s="393" t="str">
        <f>VLOOKUP(Complete[[#This Row],[Code
(PAP)]],[1]Sheet1!$A:$AO,6,FALSE)</f>
        <v>N/A</v>
      </c>
      <c r="G534" s="393">
        <f>VLOOKUP(Complete[[#This Row],[Code
(PAP)]],[1]Sheet1!$A:$AO,7,FALSE)</f>
        <v>45331</v>
      </c>
      <c r="H534" s="374"/>
      <c r="I534" s="394" t="str">
        <f>VLOOKUP(Complete[[#This Row],[Code
(PAP)]],[1]Sheet1!$A:$AO,9,FALSE)</f>
        <v>N/A</v>
      </c>
      <c r="J534" s="393">
        <f>VLOOKUP(Complete[[#This Row],[Code
(PAP)]],[1]Sheet1!$A:$AO,10,FALSE)</f>
        <v>45370</v>
      </c>
      <c r="K534" s="393">
        <f>VLOOKUP(Complete[[#This Row],[Code
(PAP)]],[1]Sheet1!$A:$AO,11,FALSE)</f>
        <v>45370</v>
      </c>
      <c r="L534" s="387"/>
      <c r="M534" s="393" t="str">
        <f>VLOOKUP(Complete[[#This Row],[Code
(PAP)]],[1]Sheet1!$A:$AO,13,FALSE)</f>
        <v>N/A</v>
      </c>
      <c r="N534" s="393" t="str">
        <f>VLOOKUP(Complete[[#This Row],[Code
(PAP)]],[1]Sheet1!$A:$AO,14,FALSE)</f>
        <v>N/A</v>
      </c>
      <c r="O534" s="393">
        <f>VLOOKUP(Complete[[#This Row],[Code
(PAP)]],[1]Sheet1!$A:$AO,15,FALSE)</f>
        <v>45372</v>
      </c>
      <c r="P534" s="387"/>
      <c r="Q534" s="387"/>
      <c r="R534" s="387"/>
      <c r="S534" s="576">
        <f>VLOOKUP(Complete[[#This Row],[Code
(PAP)]],[1]Sheet1!$A:$AO,19,FALSE)</f>
        <v>45376</v>
      </c>
      <c r="T534" s="576">
        <v>45401</v>
      </c>
      <c r="U534" s="576">
        <v>45405</v>
      </c>
      <c r="V534" s="387"/>
      <c r="W534" s="387"/>
      <c r="X534" s="392">
        <f>VLOOKUP(Complete[[#This Row],[Code
(PAP)]],[1]Sheet1!$A:$AO,24,FALSE)</f>
        <v>45411</v>
      </c>
      <c r="Y534" s="392">
        <f>Complete[[#This Row],[Delivery/ Completion]]</f>
        <v>45411</v>
      </c>
      <c r="Z534" s="610" t="s">
        <v>1478</v>
      </c>
      <c r="AA534" s="462">
        <f>Complete[[#This Row],[MOOE]]+Complete[[#This Row],[CO]]</f>
        <v>351500</v>
      </c>
      <c r="AB534" s="466"/>
      <c r="AC534" s="502">
        <f>VLOOKUP(Complete[[#This Row],[Code
(PAP)]],[1]Sheet1!$A:$AO,29,FALSE)</f>
        <v>351500</v>
      </c>
      <c r="AD534" s="498">
        <f>IF(Complete[[#This Row],[Procurement Project]]="","",SUM(Complete[[#This Row],[MOOE2]]+Complete[[#This Row],[CO3]]))</f>
        <v>316750</v>
      </c>
      <c r="AE534" s="501"/>
      <c r="AF534" s="541">
        <f>VLOOKUP(Complete[[#This Row],[Code
(PAP)]],[1]Sheet1!$A:$AO,32,FALSE)</f>
        <v>316750</v>
      </c>
      <c r="AG534" s="400"/>
      <c r="AH534" s="380" t="s">
        <v>1205</v>
      </c>
      <c r="AI534" s="576" t="str">
        <f>VLOOKUP(Complete[[#This Row],[Code
(PAP)]],[1]Sheet1!$A:$AO,35,FALSE)</f>
        <v>N/A</v>
      </c>
      <c r="AJ534" s="576" t="str">
        <f>VLOOKUP(Complete[[#This Row],[Code
(PAP)]],[1]Sheet1!$A:$AO,36,FALSE)</f>
        <v>N/A</v>
      </c>
      <c r="AK534" s="576" t="str">
        <f>VLOOKUP(Complete[[#This Row],[Code
(PAP)]],[1]Sheet1!$A:$AO,37,FALSE)</f>
        <v>N/A</v>
      </c>
      <c r="AL534" s="576" t="str">
        <f>VLOOKUP(Complete[[#This Row],[Code
(PAP)]],[1]Sheet1!$A:$AO,38,FALSE)</f>
        <v>N/A</v>
      </c>
      <c r="AM534" s="576" t="str">
        <f>VLOOKUP(Complete[[#This Row],[Code
(PAP)]],[1]Sheet1!$A:$AO,38,FALSE)</f>
        <v>N/A</v>
      </c>
      <c r="AN534" s="595" t="s">
        <v>713</v>
      </c>
      <c r="AO534" s="303" t="s">
        <v>139</v>
      </c>
      <c r="AP534" s="389"/>
      <c r="AQ534" s="389"/>
    </row>
    <row r="535" spans="1:43" s="224" customFormat="1" ht="75" customHeight="1" x14ac:dyDescent="0.25">
      <c r="A535" s="385" t="s">
        <v>723</v>
      </c>
      <c r="B535" s="406" t="str">
        <f>VLOOKUP(Complete[[#This Row],[Code
(PAP)]],[1]Sheet1!$A:$AO,2,FALSE)</f>
        <v>MEALS AND SNACKS</v>
      </c>
      <c r="C535" s="408" t="str">
        <f>VLOOKUP(Complete[[#This Row],[Code
(PAP)]],[1]Sheet1!$A:$AO,3,FALSE)</f>
        <v>PAGRO</v>
      </c>
      <c r="D535" s="386"/>
      <c r="E535" s="409" t="str">
        <f>VLOOKUP(Complete[[#This Row],[Code
(PAP)]],[2]Sheet1!$A:$AO,5,FALSE)</f>
        <v>Competitive Bidding</v>
      </c>
      <c r="F535" s="393">
        <f>VLOOKUP(Complete[[#This Row],[Code
(PAP)]],[1]Sheet1!$A:$AO,6,FALSE)</f>
        <v>45603</v>
      </c>
      <c r="G535" s="393">
        <f>VLOOKUP(Complete[[#This Row],[Code
(PAP)]],[1]Sheet1!$A:$AO,7,FALSE)</f>
        <v>45299</v>
      </c>
      <c r="H535" s="374"/>
      <c r="I535" s="394">
        <f>VLOOKUP(Complete[[#This Row],[Code
(PAP)]],[1]Sheet1!$A:$AO,9,FALSE)</f>
        <v>45314</v>
      </c>
      <c r="J535" s="393">
        <f>VLOOKUP(Complete[[#This Row],[Code
(PAP)]],[1]Sheet1!$A:$AO,10,FALSE)</f>
        <v>45328</v>
      </c>
      <c r="K535" s="393">
        <f>VLOOKUP(Complete[[#This Row],[Code
(PAP)]],[1]Sheet1!$A:$AO,11,FALSE)</f>
        <v>45328</v>
      </c>
      <c r="L535" s="387"/>
      <c r="M535" s="393">
        <f>VLOOKUP(Complete[[#This Row],[Code
(PAP)]],[1]Sheet1!$A:$AO,13,FALSE)</f>
        <v>45328</v>
      </c>
      <c r="N535" s="393">
        <f>VLOOKUP(Complete[[#This Row],[Code
(PAP)]],[1]Sheet1!$A:$AO,14,FALSE)</f>
        <v>45334</v>
      </c>
      <c r="O535" s="393">
        <f>VLOOKUP(Complete[[#This Row],[Code
(PAP)]],[1]Sheet1!$A:$AO,15,FALSE)</f>
        <v>45336</v>
      </c>
      <c r="P535" s="387"/>
      <c r="Q535" s="387"/>
      <c r="R535" s="387"/>
      <c r="S535" s="576">
        <f>VLOOKUP(Complete[[#This Row],[Code
(PAP)]],[1]Sheet1!$A:$AO,19,FALSE)</f>
        <v>45338</v>
      </c>
      <c r="T535" s="576">
        <v>45351</v>
      </c>
      <c r="U535" s="576">
        <v>45351</v>
      </c>
      <c r="V535" s="387"/>
      <c r="W535" s="387"/>
      <c r="X535" s="392">
        <f>VLOOKUP(Complete[[#This Row],[Code
(PAP)]],[1]Sheet1!$A:$AO,24,FALSE)</f>
        <v>45351</v>
      </c>
      <c r="Y535" s="392">
        <f>Complete[[#This Row],[Delivery/ Completion]]</f>
        <v>45351</v>
      </c>
      <c r="Z535" s="610" t="s">
        <v>1478</v>
      </c>
      <c r="AA535" s="462">
        <f>Complete[[#This Row],[MOOE]]+Complete[[#This Row],[CO]]</f>
        <v>663460</v>
      </c>
      <c r="AB535" s="466"/>
      <c r="AC535" s="502">
        <f>VLOOKUP(Complete[[#This Row],[Code
(PAP)]],[1]Sheet1!$A:$AO,29,FALSE)</f>
        <v>663460</v>
      </c>
      <c r="AD535" s="498">
        <f>IF(Complete[[#This Row],[Procurement Project]]="","",SUM(Complete[[#This Row],[MOOE2]]+Complete[[#This Row],[CO3]]))</f>
        <v>631095</v>
      </c>
      <c r="AE535" s="501"/>
      <c r="AF535" s="541">
        <f>VLOOKUP(Complete[[#This Row],[Code
(PAP)]],[1]Sheet1!$A:$AO,32,FALSE)</f>
        <v>631095</v>
      </c>
      <c r="AG535" s="400"/>
      <c r="AH535" s="380" t="s">
        <v>1205</v>
      </c>
      <c r="AI535" s="576">
        <f>VLOOKUP(Complete[[#This Row],[Code
(PAP)]],[1]Sheet1!$A:$AO,35,FALSE)</f>
        <v>45313</v>
      </c>
      <c r="AJ535" s="576">
        <f>VLOOKUP(Complete[[#This Row],[Code
(PAP)]],[1]Sheet1!$A:$AO,36,FALSE)</f>
        <v>45324</v>
      </c>
      <c r="AK535" s="576">
        <f>VLOOKUP(Complete[[#This Row],[Code
(PAP)]],[1]Sheet1!$A:$AO,37,FALSE)</f>
        <v>45324</v>
      </c>
      <c r="AL535" s="576">
        <f>VLOOKUP(Complete[[#This Row],[Code
(PAP)]],[1]Sheet1!$A:$AO,38,FALSE)</f>
        <v>45324</v>
      </c>
      <c r="AM535" s="576">
        <f>VLOOKUP(Complete[[#This Row],[Code
(PAP)]],[1]Sheet1!$A:$AO,38,FALSE)</f>
        <v>45324</v>
      </c>
      <c r="AN535" s="595" t="s">
        <v>713</v>
      </c>
      <c r="AO535" s="303" t="s">
        <v>139</v>
      </c>
      <c r="AP535" s="389"/>
      <c r="AQ535" s="389"/>
    </row>
    <row r="536" spans="1:43" s="224" customFormat="1" ht="75" customHeight="1" x14ac:dyDescent="0.25">
      <c r="A536" s="385" t="s">
        <v>719</v>
      </c>
      <c r="B536" s="406" t="s">
        <v>720</v>
      </c>
      <c r="C536" s="408" t="s">
        <v>721</v>
      </c>
      <c r="D536" s="386" t="s">
        <v>712</v>
      </c>
      <c r="E536" s="409" t="s">
        <v>91</v>
      </c>
      <c r="F536" s="393">
        <v>45265</v>
      </c>
      <c r="G536" s="393">
        <v>45272</v>
      </c>
      <c r="H536" s="374"/>
      <c r="I536" s="613" t="s">
        <v>713</v>
      </c>
      <c r="J536" s="393">
        <v>45300</v>
      </c>
      <c r="K536" s="393">
        <v>45300</v>
      </c>
      <c r="L536" s="387"/>
      <c r="M536" s="393" t="s">
        <v>713</v>
      </c>
      <c r="N536" s="393" t="s">
        <v>713</v>
      </c>
      <c r="O536" s="393">
        <v>45302</v>
      </c>
      <c r="P536" s="387"/>
      <c r="Q536" s="387"/>
      <c r="R536" s="387"/>
      <c r="S536" s="576" t="s">
        <v>713</v>
      </c>
      <c r="T536" s="576">
        <v>45328</v>
      </c>
      <c r="U536" s="576">
        <v>45335</v>
      </c>
      <c r="V536" s="387"/>
      <c r="W536" s="387"/>
      <c r="X536" s="392">
        <v>45335</v>
      </c>
      <c r="Y536" s="392">
        <f>Complete[[#This Row],[Delivery/ Completion]]</f>
        <v>45335</v>
      </c>
      <c r="Z536" s="610" t="s">
        <v>1478</v>
      </c>
      <c r="AA536" s="462">
        <f>Complete[[#This Row],[MOOE]]+Complete[[#This Row],[CO]]</f>
        <v>92800</v>
      </c>
      <c r="AB536" s="466"/>
      <c r="AC536" s="502">
        <v>92800</v>
      </c>
      <c r="AD536" s="498">
        <f>IF(Complete[[#This Row],[Procurement Project]]="","",SUM(Complete[[#This Row],[MOOE2]]+Complete[[#This Row],[CO3]]))</f>
        <v>92800</v>
      </c>
      <c r="AE536" s="501"/>
      <c r="AF536" s="541">
        <v>92800</v>
      </c>
      <c r="AG536" s="400"/>
      <c r="AH536" s="380" t="s">
        <v>1205</v>
      </c>
      <c r="AI536" s="576" t="s">
        <v>713</v>
      </c>
      <c r="AJ536" s="576" t="s">
        <v>713</v>
      </c>
      <c r="AK536" s="576" t="s">
        <v>713</v>
      </c>
      <c r="AL536" s="576" t="s">
        <v>713</v>
      </c>
      <c r="AM536" s="576" t="s">
        <v>713</v>
      </c>
      <c r="AN536" s="576" t="s">
        <v>713</v>
      </c>
      <c r="AO536" s="409" t="s">
        <v>139</v>
      </c>
      <c r="AP536" s="389"/>
      <c r="AQ536" s="389"/>
    </row>
    <row r="537" spans="1:43" s="224" customFormat="1" ht="75" customHeight="1" x14ac:dyDescent="0.25">
      <c r="A537" s="385"/>
      <c r="B537" s="406"/>
      <c r="C537" s="408"/>
      <c r="D537" s="380"/>
      <c r="E537" s="409"/>
      <c r="F537" s="393"/>
      <c r="G537" s="393"/>
      <c r="H537" s="374"/>
      <c r="I537" s="445"/>
      <c r="J537" s="393"/>
      <c r="K537" s="393"/>
      <c r="L537" s="387"/>
      <c r="M537" s="393"/>
      <c r="N537" s="393"/>
      <c r="O537" s="393"/>
      <c r="P537" s="387"/>
      <c r="Q537" s="387"/>
      <c r="R537" s="387"/>
      <c r="S537" s="576"/>
      <c r="T537" s="576"/>
      <c r="U537" s="576"/>
      <c r="V537" s="387"/>
      <c r="W537" s="387"/>
      <c r="X537" s="392"/>
      <c r="Y537" s="392"/>
      <c r="Z537" s="610"/>
      <c r="AA537" s="462"/>
      <c r="AB537" s="466"/>
      <c r="AC537" s="502"/>
      <c r="AD537" s="498"/>
      <c r="AE537" s="501"/>
      <c r="AF537" s="541"/>
      <c r="AG537" s="400"/>
      <c r="AH537" s="380"/>
      <c r="AI537" s="576"/>
      <c r="AJ537" s="576"/>
      <c r="AK537" s="576"/>
      <c r="AL537" s="576"/>
      <c r="AM537" s="576"/>
      <c r="AN537" s="595"/>
      <c r="AO537" s="303"/>
      <c r="AP537" s="389"/>
      <c r="AQ537" s="389"/>
    </row>
    <row r="538" spans="1:43" s="224" customFormat="1" ht="75" customHeight="1" thickBot="1" x14ac:dyDescent="0.3">
      <c r="A538" s="436"/>
      <c r="B538" s="620"/>
      <c r="C538" s="431"/>
      <c r="D538" s="431"/>
      <c r="E538" s="432"/>
      <c r="F538" s="433"/>
      <c r="G538" s="433"/>
      <c r="H538" s="437"/>
      <c r="I538" s="438"/>
      <c r="J538" s="433"/>
      <c r="K538" s="433"/>
      <c r="L538" s="439"/>
      <c r="M538" s="433"/>
      <c r="N538" s="433"/>
      <c r="O538" s="433"/>
      <c r="P538" s="439"/>
      <c r="Q538" s="439"/>
      <c r="R538" s="439"/>
      <c r="S538" s="577"/>
      <c r="T538" s="577"/>
      <c r="U538" s="577"/>
      <c r="V538" s="440"/>
      <c r="W538" s="441"/>
      <c r="X538" s="433"/>
      <c r="Y538" s="433"/>
      <c r="Z538" s="442"/>
      <c r="AA538" s="467"/>
      <c r="AB538" s="468"/>
      <c r="AC538" s="503"/>
      <c r="AD538" s="504"/>
      <c r="AE538" s="505"/>
      <c r="AF538" s="639"/>
      <c r="AG538" s="443"/>
      <c r="AH538" s="431"/>
      <c r="AI538" s="577"/>
      <c r="AJ538" s="577"/>
      <c r="AK538" s="577"/>
      <c r="AL538" s="577"/>
      <c r="AM538" s="577"/>
      <c r="AN538" s="596"/>
      <c r="AO538" s="432"/>
      <c r="AP538" s="444"/>
      <c r="AQ538" s="444"/>
    </row>
    <row r="539" spans="1:43" s="224" customFormat="1" ht="75" customHeight="1" thickBot="1" x14ac:dyDescent="0.3">
      <c r="A539" s="436"/>
      <c r="B539" s="620"/>
      <c r="C539" s="431"/>
      <c r="D539" s="431"/>
      <c r="E539" s="432"/>
      <c r="F539" s="433"/>
      <c r="G539" s="433"/>
      <c r="H539" s="437"/>
      <c r="I539" s="438"/>
      <c r="J539" s="433"/>
      <c r="K539" s="433"/>
      <c r="L539" s="439"/>
      <c r="M539" s="433"/>
      <c r="N539" s="433"/>
      <c r="O539" s="433"/>
      <c r="P539" s="439"/>
      <c r="Q539" s="439"/>
      <c r="R539" s="439"/>
      <c r="S539" s="577"/>
      <c r="T539" s="577"/>
      <c r="U539" s="577"/>
      <c r="V539" s="440"/>
      <c r="W539" s="441"/>
      <c r="X539" s="433"/>
      <c r="Y539" s="433"/>
      <c r="Z539" s="442"/>
      <c r="AA539" s="467"/>
      <c r="AB539" s="468"/>
      <c r="AC539" s="503"/>
      <c r="AD539" s="504"/>
      <c r="AE539" s="505"/>
      <c r="AF539" s="639"/>
      <c r="AG539" s="443"/>
      <c r="AH539" s="431"/>
      <c r="AI539" s="577"/>
      <c r="AJ539" s="577"/>
      <c r="AK539" s="577"/>
      <c r="AL539" s="577"/>
      <c r="AM539" s="577"/>
      <c r="AN539" s="596"/>
      <c r="AO539" s="432"/>
      <c r="AP539" s="444"/>
      <c r="AQ539" s="444"/>
    </row>
    <row r="540" spans="1:43" s="67" customFormat="1" ht="21" customHeight="1" thickBot="1" x14ac:dyDescent="0.3">
      <c r="A540" s="141"/>
      <c r="B540" s="621"/>
      <c r="C540" s="91"/>
      <c r="D540" s="91"/>
      <c r="E540" s="96"/>
      <c r="F540" s="91"/>
      <c r="G540" s="91"/>
      <c r="H540" s="91"/>
      <c r="I540" s="91"/>
      <c r="J540" s="91"/>
      <c r="K540" s="91"/>
      <c r="L540" s="92"/>
      <c r="M540" s="91"/>
      <c r="N540" s="91"/>
      <c r="O540" s="91"/>
      <c r="P540" s="317"/>
      <c r="Q540" s="318"/>
      <c r="R540" s="318"/>
      <c r="S540" s="578"/>
      <c r="T540" s="578"/>
      <c r="U540" s="579"/>
      <c r="V540" s="343"/>
      <c r="W540" s="344"/>
      <c r="X540" s="193"/>
      <c r="Y540" s="193"/>
      <c r="Z540" s="194" t="s">
        <v>43</v>
      </c>
      <c r="AA540" s="469">
        <f>SUM(Complete[[Total ]])</f>
        <v>160861639.62</v>
      </c>
      <c r="AB540" s="469">
        <f>SUM(Complete[MOOE])</f>
        <v>57761871.93999999</v>
      </c>
      <c r="AC540" s="506">
        <f>SUM(Complete[CO])</f>
        <v>103099767.68000001</v>
      </c>
      <c r="AD540" s="507"/>
      <c r="AE540" s="508"/>
      <c r="AF540" s="640"/>
      <c r="AG540" s="98">
        <f>IF(AA540,(AA540-AD541)/AA540,0)</f>
        <v>7.5112237252726227E-2</v>
      </c>
      <c r="AH540" s="422"/>
      <c r="AI540" s="597"/>
      <c r="AJ540" s="597"/>
      <c r="AK540" s="597"/>
      <c r="AL540" s="597"/>
      <c r="AM540" s="597"/>
      <c r="AN540" s="598"/>
      <c r="AO540" s="195"/>
      <c r="AP540" s="210"/>
      <c r="AQ540" s="211"/>
    </row>
    <row r="541" spans="1:43" ht="21" customHeight="1" thickBot="1" x14ac:dyDescent="0.3">
      <c r="A541" s="141"/>
      <c r="B541" s="622"/>
      <c r="C541" s="74"/>
      <c r="D541" s="74"/>
      <c r="E541" s="78"/>
      <c r="F541" s="74"/>
      <c r="G541" s="74"/>
      <c r="H541" s="74"/>
      <c r="I541" s="74"/>
      <c r="J541" s="74"/>
      <c r="K541" s="91"/>
      <c r="L541" s="92"/>
      <c r="M541" s="91"/>
      <c r="N541" s="91"/>
      <c r="O541" s="91"/>
      <c r="P541" s="317"/>
      <c r="Q541" s="318"/>
      <c r="R541" s="318"/>
      <c r="S541" s="578"/>
      <c r="T541" s="578"/>
      <c r="U541" s="579"/>
      <c r="V541" s="345"/>
      <c r="W541" s="346"/>
      <c r="X541" s="193"/>
      <c r="Y541" s="193"/>
      <c r="Z541" s="194" t="s">
        <v>44</v>
      </c>
      <c r="AA541" s="470"/>
      <c r="AB541" s="471"/>
      <c r="AC541" s="509"/>
      <c r="AD541" s="510">
        <f>SUM(Complete[Total2])</f>
        <v>148778961.98000002</v>
      </c>
      <c r="AE541" s="510">
        <f>SUM(Complete[MOOE2])</f>
        <v>47671780.609999999</v>
      </c>
      <c r="AF541" s="641">
        <f>SUM(Complete[CO3])</f>
        <v>101107181.37000002</v>
      </c>
      <c r="AG541" s="99"/>
      <c r="AH541" s="423"/>
      <c r="AI541" s="599"/>
      <c r="AJ541" s="599"/>
      <c r="AK541" s="599"/>
      <c r="AL541" s="599"/>
      <c r="AM541" s="599"/>
      <c r="AN541" s="600"/>
      <c r="AO541" s="94"/>
      <c r="AP541" s="212"/>
      <c r="AQ541" s="211"/>
    </row>
    <row r="542" spans="1:43" ht="21" customHeight="1" thickBot="1" x14ac:dyDescent="0.3">
      <c r="A542" s="142"/>
      <c r="B542" s="623"/>
      <c r="C542" s="75"/>
      <c r="D542" s="75"/>
      <c r="E542" s="79"/>
      <c r="F542" s="75"/>
      <c r="G542" s="75"/>
      <c r="H542" s="75"/>
      <c r="I542" s="75"/>
      <c r="J542" s="75"/>
      <c r="K542" s="111"/>
      <c r="L542" s="112"/>
      <c r="M542" s="111"/>
      <c r="N542" s="111"/>
      <c r="O542" s="111"/>
      <c r="P542" s="319"/>
      <c r="Q542" s="320"/>
      <c r="R542" s="320"/>
      <c r="S542" s="578"/>
      <c r="T542" s="578"/>
      <c r="U542" s="579"/>
      <c r="V542" s="345"/>
      <c r="W542" s="346"/>
      <c r="X542" s="193"/>
      <c r="Y542" s="193"/>
      <c r="Z542" s="194" t="s">
        <v>45</v>
      </c>
      <c r="AA542" s="472">
        <f>AA540-AD541</f>
        <v>12082677.639999986</v>
      </c>
      <c r="AB542" s="473"/>
      <c r="AC542" s="511"/>
      <c r="AD542" s="512"/>
      <c r="AE542" s="513"/>
      <c r="AF542" s="642"/>
      <c r="AG542" s="100"/>
      <c r="AH542" s="423"/>
      <c r="AI542" s="599"/>
      <c r="AJ542" s="599"/>
      <c r="AK542" s="599"/>
      <c r="AL542" s="599"/>
      <c r="AM542" s="599"/>
      <c r="AN542" s="589"/>
      <c r="AO542" s="95"/>
      <c r="AP542" s="213">
        <v>45107</v>
      </c>
      <c r="AQ542" s="211"/>
    </row>
    <row r="543" spans="1:43" ht="21.75" customHeight="1" thickBot="1" x14ac:dyDescent="0.4">
      <c r="A543" s="228" t="s">
        <v>39</v>
      </c>
      <c r="B543" s="624" t="s">
        <v>40</v>
      </c>
      <c r="C543" s="229" t="s">
        <v>876</v>
      </c>
      <c r="D543" s="229" t="s">
        <v>877</v>
      </c>
      <c r="E543" s="230" t="s">
        <v>878</v>
      </c>
      <c r="F543" s="229" t="s">
        <v>879</v>
      </c>
      <c r="G543" s="229" t="s">
        <v>880</v>
      </c>
      <c r="H543" s="229" t="s">
        <v>881</v>
      </c>
      <c r="I543" s="229" t="s">
        <v>882</v>
      </c>
      <c r="J543" s="229" t="s">
        <v>883</v>
      </c>
      <c r="K543" s="229" t="s">
        <v>884</v>
      </c>
      <c r="L543" s="226" t="s">
        <v>885</v>
      </c>
      <c r="M543" s="229" t="s">
        <v>886</v>
      </c>
      <c r="N543" s="229" t="s">
        <v>887</v>
      </c>
      <c r="O543" s="229" t="s">
        <v>888</v>
      </c>
      <c r="P543" s="321" t="s">
        <v>889</v>
      </c>
      <c r="Q543" s="322" t="s">
        <v>890</v>
      </c>
      <c r="R543" s="323" t="s">
        <v>891</v>
      </c>
      <c r="S543" s="580" t="s">
        <v>892</v>
      </c>
      <c r="T543" s="580" t="s">
        <v>893</v>
      </c>
      <c r="U543" s="580" t="s">
        <v>894</v>
      </c>
      <c r="V543" s="347" t="s">
        <v>895</v>
      </c>
      <c r="W543" s="321" t="s">
        <v>896</v>
      </c>
      <c r="X543" s="229" t="s">
        <v>897</v>
      </c>
      <c r="Y543" s="229" t="s">
        <v>898</v>
      </c>
      <c r="Z543" s="229" t="s">
        <v>899</v>
      </c>
      <c r="AA543" s="474" t="s">
        <v>900</v>
      </c>
      <c r="AB543" s="475" t="s">
        <v>901</v>
      </c>
      <c r="AC543" s="514" t="s">
        <v>902</v>
      </c>
      <c r="AD543" s="515" t="s">
        <v>903</v>
      </c>
      <c r="AE543" s="514" t="s">
        <v>904</v>
      </c>
      <c r="AF543" s="643" t="s">
        <v>905</v>
      </c>
      <c r="AG543" s="227" t="s">
        <v>906</v>
      </c>
      <c r="AH543" s="424" t="s">
        <v>907</v>
      </c>
      <c r="AI543" s="580" t="s">
        <v>908</v>
      </c>
      <c r="AJ543" s="580" t="s">
        <v>909</v>
      </c>
      <c r="AK543" s="580" t="s">
        <v>910</v>
      </c>
      <c r="AL543" s="580" t="s">
        <v>911</v>
      </c>
      <c r="AM543" s="580" t="s">
        <v>912</v>
      </c>
      <c r="AN543" s="601" t="s">
        <v>913</v>
      </c>
      <c r="AO543" s="231" t="s">
        <v>914</v>
      </c>
      <c r="AP543" s="214" t="s">
        <v>46</v>
      </c>
      <c r="AQ543" s="67"/>
    </row>
    <row r="544" spans="1:43" s="67" customFormat="1" ht="32.450000000000003" hidden="1" customHeight="1" thickBot="1" x14ac:dyDescent="0.3">
      <c r="A544" s="131" t="s">
        <v>4</v>
      </c>
      <c r="B544" s="625" t="s">
        <v>5</v>
      </c>
      <c r="C544" s="248" t="s">
        <v>6</v>
      </c>
      <c r="D544" s="132" t="s">
        <v>7</v>
      </c>
      <c r="E544" s="133" t="s">
        <v>8</v>
      </c>
      <c r="F544" s="132" t="s">
        <v>9</v>
      </c>
      <c r="G544" s="132" t="s">
        <v>10</v>
      </c>
      <c r="H544" s="132" t="s">
        <v>11</v>
      </c>
      <c r="I544" s="132" t="s">
        <v>12</v>
      </c>
      <c r="J544" s="132" t="s">
        <v>13</v>
      </c>
      <c r="K544" s="132" t="s">
        <v>14</v>
      </c>
      <c r="L544" s="133" t="s">
        <v>15</v>
      </c>
      <c r="M544" s="132" t="s">
        <v>16</v>
      </c>
      <c r="N544" s="132" t="s">
        <v>17</v>
      </c>
      <c r="O544" s="132" t="s">
        <v>18</v>
      </c>
      <c r="P544" s="324" t="s">
        <v>19</v>
      </c>
      <c r="Q544" s="325" t="s">
        <v>20</v>
      </c>
      <c r="R544" s="325" t="s">
        <v>21</v>
      </c>
      <c r="S544" s="581" t="s">
        <v>22</v>
      </c>
      <c r="T544" s="581" t="s">
        <v>23</v>
      </c>
      <c r="U544" s="581" t="s">
        <v>24</v>
      </c>
      <c r="V544" s="325" t="s">
        <v>25</v>
      </c>
      <c r="W544" s="325" t="s">
        <v>26</v>
      </c>
      <c r="X544" s="132" t="s">
        <v>27</v>
      </c>
      <c r="Y544" s="132" t="s">
        <v>28</v>
      </c>
      <c r="Z544" s="131" t="s">
        <v>29</v>
      </c>
      <c r="AA544" s="476" t="s">
        <v>30</v>
      </c>
      <c r="AB544" s="459" t="s">
        <v>31</v>
      </c>
      <c r="AC544" s="489" t="s">
        <v>32</v>
      </c>
      <c r="AD544" s="490" t="s">
        <v>754</v>
      </c>
      <c r="AE544" s="491" t="s">
        <v>755</v>
      </c>
      <c r="AF544" s="636" t="s">
        <v>1479</v>
      </c>
      <c r="AG544" s="132" t="s">
        <v>35</v>
      </c>
      <c r="AH544" s="133" t="s">
        <v>36</v>
      </c>
      <c r="AI544" s="602" t="s">
        <v>1472</v>
      </c>
      <c r="AJ544" s="603" t="s">
        <v>1473</v>
      </c>
      <c r="AK544" s="581" t="s">
        <v>1477</v>
      </c>
      <c r="AL544" s="581" t="s">
        <v>1475</v>
      </c>
      <c r="AM544" s="581" t="s">
        <v>1476</v>
      </c>
      <c r="AN544" s="604" t="s">
        <v>37</v>
      </c>
      <c r="AO544" s="249" t="s">
        <v>38</v>
      </c>
      <c r="AP544" s="215" t="s">
        <v>46</v>
      </c>
      <c r="AQ544" s="216"/>
    </row>
    <row r="545" spans="1:45" s="353" customFormat="1" ht="70.900000000000006" customHeight="1" x14ac:dyDescent="0.3">
      <c r="A545" s="292" t="s">
        <v>47</v>
      </c>
      <c r="B545" s="626"/>
      <c r="C545" s="293"/>
      <c r="D545" s="293"/>
      <c r="E545" s="293"/>
      <c r="F545" s="391"/>
      <c r="G545" s="391"/>
      <c r="H545" s="294" t="str">
        <f>IF(OR(Table13[[#This Row],[Column6]]="",Table13[[#This Row],[Column7]]=""), "",IFERROR(Table13[[#This Row],[Column7]]-Table13[[#This Row],[Column6]],""))</f>
        <v/>
      </c>
      <c r="I545" s="391"/>
      <c r="J545" s="391"/>
      <c r="K545" s="391"/>
      <c r="L545" s="295" t="str">
        <f>IF(OR(Table13[[#This Row],[Column7]]="",Table13[[#This Row],[Column11]]=""),"",IFERROR(Table13[[#This Row],[Column11]]-Table13[[#This Row],[Column7]],""))</f>
        <v/>
      </c>
      <c r="M545" s="391"/>
      <c r="N545" s="391"/>
      <c r="O545" s="391"/>
      <c r="P545" s="326" t="str">
        <f>IF(OR(Table13[[#This Row],[Column14]]="",Table13[[#This Row],[Column11]]=""), "",IFERROR(Table13[[#This Row],[Column14]]-Table13[[#This Row],[Column11]],""))</f>
        <v/>
      </c>
      <c r="Q545" s="326" t="str">
        <f>IF(OR(Table13[[#This Row],[Column15]]="",Table13[[#This Row],[Column11]]=""), "",IFERROR(Table13[[#This Row],[Column15]]-Table13[[#This Row],[Column11]],""))</f>
        <v/>
      </c>
      <c r="R545" s="326" t="str">
        <f>IF(OR(Table13[[#This Row],[Column15]]="",Table13[[#This Row],[Column7]]=""),"",IFERROR(Table13[[#This Row],[Column15]]-Table13[[#This Row],[Column7]],""))</f>
        <v/>
      </c>
      <c r="S545" s="582"/>
      <c r="T545" s="582"/>
      <c r="U545" s="582"/>
      <c r="V545" s="326" t="str">
        <f>IF(OR(Table13[[#This Row],[Column21]]="", Table13[[#This Row],[Column19]]=""),"",IFERROR(Table13[[#This Row],[Column21]]-Table13[[#This Row],[Column19]],""))</f>
        <v/>
      </c>
      <c r="W545" s="326" t="str">
        <f>IF(OR(Table13[[#This Row],[Column21]]="", Table13[[#This Row],[Column7]]=""),"",IFERROR(Table13[[#This Row],[Column21]]-Table13[[#This Row],[Column7]],""))</f>
        <v/>
      </c>
      <c r="X545" s="391"/>
      <c r="Y545" s="391"/>
      <c r="Z545" s="293"/>
      <c r="AA545" s="403" t="str">
        <f>IF(Table13[[#This Row],[Column2]]="","",SUM(Table13[[#This Row],[Column28]]+Table13[[#This Row],[Column29]]))</f>
        <v/>
      </c>
      <c r="AB545" s="401"/>
      <c r="AC545" s="516"/>
      <c r="AD545" s="517" t="str">
        <f>IF(Table13[[#This Row],[Column2]]="","",SUM(Table13[[#This Row],[Column31]]+Table13[[#This Row],[Column32]]))</f>
        <v/>
      </c>
      <c r="AE545" s="516"/>
      <c r="AF545" s="644"/>
      <c r="AG545" s="293" t="str">
        <f>IF(OR(AA545=0,AD545=0,AA545="",AD545=""),"-",(AA545-AD545)/AA545)</f>
        <v>-</v>
      </c>
      <c r="AH545" s="425"/>
      <c r="AI545" s="605"/>
      <c r="AJ545" s="605"/>
      <c r="AK545" s="605"/>
      <c r="AL545" s="605"/>
      <c r="AM545" s="605"/>
      <c r="AN545" s="605"/>
      <c r="AO545" s="293"/>
      <c r="AP545" s="296" t="str">
        <f>IF(OR(Table13[[#This Row],[Column7]]=""),"",IF(Table13[[#This Row],[Column41]]="Ongoing Procurement Process",IFERROR($AP$542-Table13[[#This Row],[Column7]],"")))</f>
        <v/>
      </c>
      <c r="AQ545" s="216"/>
      <c r="AR545" s="352"/>
      <c r="AS545" s="352"/>
    </row>
    <row r="546" spans="1:45" s="449" customFormat="1" ht="63.6" customHeight="1" x14ac:dyDescent="0.25">
      <c r="A546" s="297" t="s">
        <v>724</v>
      </c>
      <c r="B546" s="627" t="str">
        <f>VLOOKUP(Table13[[#This Row],[Column1]],[1]Sheet1!$A:$AO,2,FALSE)</f>
        <v>SUPPLY AND DELIVERY OF MEALS AND SNACKS</v>
      </c>
      <c r="C546" s="298" t="str">
        <f>VLOOKUP(Table13[[#This Row],[Column1]],[1]Sheet1!$A:$AO,3,FALSE)</f>
        <v>PAGRO</v>
      </c>
      <c r="D546" s="298" t="s">
        <v>712</v>
      </c>
      <c r="E546" s="450" t="str">
        <f>VLOOKUP(Table13[[#This Row],[Column1]],[1]Sheet1!$A:$AO,5,FALSE)</f>
        <v>Competitive Bidding</v>
      </c>
      <c r="F546" s="446" t="str">
        <f>VLOOKUP(Table13[[#This Row],[Column1]],[1]Sheet1!$A:$AO,6,FALSE)</f>
        <v>N/A</v>
      </c>
      <c r="G546" s="402">
        <f>VLOOKUP(Table13[[#This Row],[Column1]],[1]Sheet1!$A:$AO,7,FALSE)</f>
        <v>45362</v>
      </c>
      <c r="H546" s="402" t="e">
        <f>VLOOKUP(Table13[[#This Row],[Column2]],[1]Sheet1!$A:$AO,7,FALSE)</f>
        <v>#N/A</v>
      </c>
      <c r="I546" s="402" t="str">
        <f>VLOOKUP(Table13[[#This Row],[Column1]],[1]Sheet1!$A:$AO,9,FALSE)</f>
        <v>N/A</v>
      </c>
      <c r="J546" s="402">
        <f>VLOOKUP(Table13[[#This Row],[Column1]],[1]Sheet1!$A:$AO,10,FALSE)</f>
        <v>45370</v>
      </c>
      <c r="K546" s="402">
        <f>VLOOKUP(Table13[[#This Row],[Column1]],[1]Sheet1!$A:$AO,11,FALSE)</f>
        <v>45370</v>
      </c>
      <c r="L546" s="301">
        <f>IF(OR(Table13[[#This Row],[Column7]]="",Table13[[#This Row],[Column11]]=""),"",IFERROR(Table13[[#This Row],[Column11]]-Table13[[#This Row],[Column7]],""))</f>
        <v>8</v>
      </c>
      <c r="M546" s="402">
        <f>VLOOKUP(Table13[[#This Row],[Column1]],[1]Sheet1!$A:$AO,13,FALSE)</f>
        <v>45370</v>
      </c>
      <c r="N546" s="402">
        <f>VLOOKUP(Table13[[#This Row],[Column1]],[1]Sheet1!$A:$AO,14,FALSE)</f>
        <v>45383</v>
      </c>
      <c r="O546" s="402">
        <f>VLOOKUP(Table13[[#This Row],[Column1]],[1]Sheet1!$A:$AO,15,FALSE)</f>
        <v>45386</v>
      </c>
      <c r="P546" s="327">
        <f>IF(OR(Table13[[#This Row],[Column14]]="",Table13[[#This Row],[Column11]]=""), "",IFERROR(Table13[[#This Row],[Column14]]-Table13[[#This Row],[Column11]],""))</f>
        <v>13</v>
      </c>
      <c r="Q546" s="327">
        <f>IF(OR(Table13[[#This Row],[Column15]]="",Table13[[#This Row],[Column11]]=""), "",IFERROR(Table13[[#This Row],[Column15]]-Table13[[#This Row],[Column11]],""))</f>
        <v>16</v>
      </c>
      <c r="R546" s="328">
        <f>IF(OR(Table13[[#This Row],[Column15]]="",Table13[[#This Row],[Column7]]=""),"",IFERROR(Table13[[#This Row],[Column15]]-Table13[[#This Row],[Column7]],""))</f>
        <v>24</v>
      </c>
      <c r="S546" s="583">
        <f>VLOOKUP(Table13[[#This Row],[Column1]],[1]Sheet1!$A:$AO,19,FALSE)</f>
        <v>45386</v>
      </c>
      <c r="T546" s="583">
        <f>VLOOKUP(Table13[[#This Row],[Column1]],[1]Sheet1!$A:$AO,20,FALSE)</f>
        <v>45405</v>
      </c>
      <c r="U546" s="583">
        <f>VLOOKUP(Table13[[#This Row],[Column1]],[1]Sheet1!$A:$AO,21,FALSE)</f>
        <v>45407</v>
      </c>
      <c r="V546" s="328">
        <f>IF(OR(Table13[[#This Row],[Column21]]="", Table13[[#This Row],[Column19]]=""),"",IFERROR(Table13[[#This Row],[Column21]]-Table13[[#This Row],[Column19]],""))</f>
        <v>21</v>
      </c>
      <c r="W546" s="328">
        <f>IF(OR(Table13[[#This Row],[Column21]]="", Table13[[#This Row],[Column7]]=""),"",IFERROR(Table13[[#This Row],[Column21]]-Table13[[#This Row],[Column7]],""))</f>
        <v>45</v>
      </c>
      <c r="X546" s="402"/>
      <c r="Y546" s="402"/>
      <c r="Z546" s="610" t="s">
        <v>1478</v>
      </c>
      <c r="AA546" s="530">
        <f>IF(Table13[[#This Row],[Column2]]="","",SUM(Table13[[#This Row],[Column28]]+Table13[[#This Row],[Column29]]))</f>
        <v>663580</v>
      </c>
      <c r="AB546" s="463">
        <v>663580</v>
      </c>
      <c r="AC546" s="497"/>
      <c r="AD546" s="531">
        <f>IF(Table13[[#This Row],[Column2]]="","",SUM(Table13[[#This Row],[Column31]]+Table13[[#This Row],[Column32]]))</f>
        <v>653602</v>
      </c>
      <c r="AE546" s="499">
        <v>653602</v>
      </c>
      <c r="AF546" s="541"/>
      <c r="AG546" s="447">
        <f t="shared" ref="AG546:AG551" si="3">IF(OR(AA546=0,AD546=0,AA546="",AD546=""),"-",(AA546-AD546)/AA546)</f>
        <v>1.50366195485096E-2</v>
      </c>
      <c r="AH546" s="380" t="s">
        <v>1205</v>
      </c>
      <c r="AI546" s="576" t="str">
        <f>VLOOKUP(Table13[[#This Row],[Column1]],[1]Sheet1!$A:$AO,35,FALSE)</f>
        <v>N/A</v>
      </c>
      <c r="AJ546" s="576">
        <f>VLOOKUP(Table13[[#This Row],[Column1]],[1]Sheet1!$A:$AO,36,FALSE)</f>
        <v>45366</v>
      </c>
      <c r="AK546" s="576">
        <f>VLOOKUP(Table13[[#This Row],[Column1]],[1]Sheet1!$A:$AO,37,FALSE)</f>
        <v>45366</v>
      </c>
      <c r="AL546" s="576">
        <f>VLOOKUP(Table13[[#This Row],[Column1]],[1]Sheet1!$A:$AO,38,FALSE)</f>
        <v>45366</v>
      </c>
      <c r="AM546" s="576" t="str">
        <f>VLOOKUP(Table13[[#This Row],[Column1]],[1]Sheet1!$A:$AO,39,FALSE)</f>
        <v>N/A</v>
      </c>
      <c r="AN546" s="576" t="str">
        <f>VLOOKUP(Table13[[#This Row],[Column1]],[1]Sheet1!$A:$AO,40,FALSE)</f>
        <v>N/A</v>
      </c>
      <c r="AO546" s="303" t="s">
        <v>751</v>
      </c>
      <c r="AP546" s="304">
        <f>IF(OR(Table13[[#This Row],[Column7]]=""),"",IF(Table13[[#This Row],[Column41]]="Ongoing Procurement Process",IFERROR($AP$542-Table13[[#This Row],[Column7]],""),0))</f>
        <v>0</v>
      </c>
      <c r="AQ546" s="234"/>
      <c r="AR546" s="448"/>
      <c r="AS546" s="448"/>
    </row>
    <row r="547" spans="1:45" s="233" customFormat="1" ht="63.6" customHeight="1" x14ac:dyDescent="0.3">
      <c r="A547" s="297" t="s">
        <v>752</v>
      </c>
      <c r="B547" s="627" t="str">
        <f>VLOOKUP(Table13[[#This Row],[Column1]],[1]Sheet1!$A:$AO,2,FALSE)</f>
        <v>FURNITURE &amp; FIXTURES</v>
      </c>
      <c r="C547" s="298" t="str">
        <f>VLOOKUP(Table13[[#This Row],[Column1]],[1]Sheet1!$A:$AO,3,FALSE)</f>
        <v>PAO</v>
      </c>
      <c r="D547" s="298" t="s">
        <v>712</v>
      </c>
      <c r="E547" s="450" t="str">
        <f>VLOOKUP(Table13[[#This Row],[Column1]],[1]Sheet1!$A:$AO,5,FALSE)</f>
        <v>NP-53.9 - Small Value Procurement</v>
      </c>
      <c r="F547" s="446" t="str">
        <f>VLOOKUP(Table13[[#This Row],[Column1]],[1]Sheet1!$A:$AO,6,FALSE)</f>
        <v>N/A</v>
      </c>
      <c r="G547" s="402">
        <f>VLOOKUP(Table13[[#This Row],[Column1]],[1]Sheet1!$A:$AO,7,FALSE)</f>
        <v>45371</v>
      </c>
      <c r="H547" s="374" t="str">
        <f>IF(OR(Table13[[#This Row],[Column6]]="",Table13[[#This Row],[Column7]]=""), "",IFERROR(Table13[[#This Row],[Column7]]-Table13[[#This Row],[Column6]],""))</f>
        <v/>
      </c>
      <c r="I547" s="402" t="str">
        <f>VLOOKUP(Table13[[#This Row],[Column1]],[1]Sheet1!$A:$AO,9,FALSE)</f>
        <v>N/A</v>
      </c>
      <c r="J547" s="402">
        <f>VLOOKUP(Table13[[#This Row],[Column1]],[1]Sheet1!$A:$AO,10,FALSE)</f>
        <v>45387</v>
      </c>
      <c r="K547" s="402">
        <f>VLOOKUP(Table13[[#This Row],[Column1]],[1]Sheet1!$A:$AO,11,FALSE)</f>
        <v>45387</v>
      </c>
      <c r="L547" s="404">
        <f>IF(OR(Table13[[#This Row],[Column7]]="",Table13[[#This Row],[Column11]]=""),"",IFERROR(Table13[[#This Row],[Column11]]-Table13[[#This Row],[Column7]],""))</f>
        <v>16</v>
      </c>
      <c r="M547" s="402" t="str">
        <f>VLOOKUP(Table13[[#This Row],[Column1]],[1]Sheet1!$A:$AO,13,FALSE)</f>
        <v>N/A</v>
      </c>
      <c r="N547" s="402" t="str">
        <f>VLOOKUP(Table13[[#This Row],[Column1]],[1]Sheet1!$A:$AO,14,FALSE)</f>
        <v>N/A</v>
      </c>
      <c r="O547" s="402">
        <f>VLOOKUP(Table13[[#This Row],[Column1]],[1]Sheet1!$A:$AO,15,FALSE)</f>
        <v>45394</v>
      </c>
      <c r="P547" s="375" t="str">
        <f>IF(OR(Table13[[#This Row],[Column14]]="",Table13[[#This Row],[Column11]]=""), "",IFERROR(Table13[[#This Row],[Column14]]-Table13[[#This Row],[Column11]],""))</f>
        <v/>
      </c>
      <c r="Q547" s="375">
        <f>IF(OR(Table13[[#This Row],[Column15]]="",Table13[[#This Row],[Column11]]=""), "",IFERROR(Table13[[#This Row],[Column15]]-Table13[[#This Row],[Column11]],""))</f>
        <v>7</v>
      </c>
      <c r="R547" s="376">
        <f>IF(OR(Table13[[#This Row],[Column15]]="",Table13[[#This Row],[Column7]]=""),"",IFERROR(Table13[[#This Row],[Column15]]-Table13[[#This Row],[Column7]],""))</f>
        <v>23</v>
      </c>
      <c r="S547" s="583">
        <f>VLOOKUP(Table13[[#This Row],[Column1]],[1]Sheet1!$A:$AO,19,FALSE)</f>
        <v>45401</v>
      </c>
      <c r="T547" s="583">
        <f>VLOOKUP(Table13[[#This Row],[Column1]],[1]Sheet1!$A:$AO,20,FALSE)</f>
        <v>45405</v>
      </c>
      <c r="U547" s="583">
        <f>VLOOKUP(Table13[[#This Row],[Column1]],[1]Sheet1!$A:$AO,21,FALSE)</f>
        <v>45418</v>
      </c>
      <c r="V547" s="376">
        <f>IF(OR(Table13[[#This Row],[Column21]]="", Table13[[#This Row],[Column19]]=""),"",IFERROR(Table13[[#This Row],[Column21]]-Table13[[#This Row],[Column19]],""))</f>
        <v>17</v>
      </c>
      <c r="W547" s="376">
        <f>IF(OR(Table13[[#This Row],[Column21]]="", Table13[[#This Row],[Column7]]=""),"",IFERROR(Table13[[#This Row],[Column21]]-Table13[[#This Row],[Column7]],""))</f>
        <v>47</v>
      </c>
      <c r="X547" s="402"/>
      <c r="Y547" s="402"/>
      <c r="Z547" s="610" t="s">
        <v>1478</v>
      </c>
      <c r="AA547" s="464">
        <f>IF(Table13[[#This Row],[Column2]]="","",SUM(Table13[[#This Row],[Column28]]+Table13[[#This Row],[Column29]]))</f>
        <v>87300</v>
      </c>
      <c r="AB547" s="466">
        <v>87300</v>
      </c>
      <c r="AC547" s="502"/>
      <c r="AD547" s="532">
        <f>Table13[[#This Row],[Column31]]</f>
        <v>87292</v>
      </c>
      <c r="AE547" s="501">
        <v>87292</v>
      </c>
      <c r="AF547" s="541"/>
      <c r="AG547" s="405">
        <f t="shared" ref="AG547:AG548" si="4">IF(OR(AA547=0,AD547=0,AA547="",AD547=""),"-",(AA547-AD547)/AA547)</f>
        <v>9.1638029782359676E-5</v>
      </c>
      <c r="AH547" s="380" t="s">
        <v>1205</v>
      </c>
      <c r="AI547" s="576" t="str">
        <f>VLOOKUP(Table13[[#This Row],[Column1]],[1]Sheet1!$A:$AO,35,FALSE)</f>
        <v>N/A</v>
      </c>
      <c r="AJ547" s="576" t="str">
        <f>VLOOKUP(Table13[[#This Row],[Column1]],[1]Sheet1!$A:$AO,36,FALSE)</f>
        <v>N/A</v>
      </c>
      <c r="AK547" s="576" t="str">
        <f>VLOOKUP(Table13[[#This Row],[Column1]],[1]Sheet1!$A:$AO,37,FALSE)</f>
        <v>N/A</v>
      </c>
      <c r="AL547" s="576" t="str">
        <f>VLOOKUP(Table13[[#This Row],[Column1]],[1]Sheet1!$A:$AO,38,FALSE)</f>
        <v>N/A</v>
      </c>
      <c r="AM547" s="576" t="str">
        <f>VLOOKUP(Table13[[#This Row],[Column1]],[1]Sheet1!$A:$AO,39,FALSE)</f>
        <v>N/A</v>
      </c>
      <c r="AN547" s="576" t="str">
        <f>VLOOKUP(Table13[[#This Row],[Column1]],[1]Sheet1!$A:$AO,40,FALSE)</f>
        <v>N/A</v>
      </c>
      <c r="AO547" s="303" t="s">
        <v>751</v>
      </c>
      <c r="AP547" s="378">
        <f>IF(OR(Table13[[#This Row],[Column7]]=""),"",IF(Table13[[#This Row],[Column41]]="Ongoing Procurement Process",IFERROR($AP$542-Table13[[#This Row],[Column7]],""),0))</f>
        <v>0</v>
      </c>
      <c r="AQ547" s="234"/>
      <c r="AR547" s="232"/>
      <c r="AS547" s="232"/>
    </row>
    <row r="548" spans="1:45" s="233" customFormat="1" ht="63.6" customHeight="1" x14ac:dyDescent="0.3">
      <c r="A548" s="297" t="s">
        <v>753</v>
      </c>
      <c r="B548" s="627" t="str">
        <f>VLOOKUP(Table13[[#This Row],[Column1]],[1]Sheet1!$A:$AO,2,FALSE)</f>
        <v>SUPPLY AND DELIVERY OF MEALS AND SNACKS</v>
      </c>
      <c r="C548" s="298" t="str">
        <f>VLOOKUP(Table13[[#This Row],[Column1]],[1]Sheet1!$A:$AO,3,FALSE)</f>
        <v>PGO</v>
      </c>
      <c r="D548" s="298" t="s">
        <v>712</v>
      </c>
      <c r="E548" s="450" t="str">
        <f>VLOOKUP(Table13[[#This Row],[Column1]],[1]Sheet1!$A:$AO,5,FALSE)</f>
        <v>Competitive Bidding</v>
      </c>
      <c r="F548" s="446" t="str">
        <f>VLOOKUP(Table13[[#This Row],[Column1]],[1]Sheet1!$A:$AO,6,FALSE)</f>
        <v>N/A</v>
      </c>
      <c r="G548" s="402">
        <f>VLOOKUP(Table13[[#This Row],[Column1]],[1]Sheet1!$A:$AO,7,FALSE)</f>
        <v>45320</v>
      </c>
      <c r="H548" s="374" t="str">
        <f>IF(OR(Table13[[#This Row],[Column6]]="",Table13[[#This Row],[Column7]]=""), "",IFERROR(Table13[[#This Row],[Column7]]-Table13[[#This Row],[Column6]],""))</f>
        <v/>
      </c>
      <c r="I548" s="402">
        <f>VLOOKUP(Table13[[#This Row],[Column1]],[1]Sheet1!$A:$AO,9,FALSE)</f>
        <v>45328</v>
      </c>
      <c r="J548" s="402">
        <f>VLOOKUP(Table13[[#This Row],[Column1]],[1]Sheet1!$A:$AO,10,FALSE)</f>
        <v>45342</v>
      </c>
      <c r="K548" s="402">
        <f>VLOOKUP(Table13[[#This Row],[Column1]],[1]Sheet1!$A:$AO,11,FALSE)</f>
        <v>45342</v>
      </c>
      <c r="L548" s="404">
        <f>IF(OR(Table13[[#This Row],[Column7]]="",Table13[[#This Row],[Column11]]=""),"",IFERROR(Table13[[#This Row],[Column11]]-Table13[[#This Row],[Column7]],""))</f>
        <v>22</v>
      </c>
      <c r="M548" s="402">
        <f>VLOOKUP(Table13[[#This Row],[Column1]],[1]Sheet1!$A:$AO,13,FALSE)</f>
        <v>45342</v>
      </c>
      <c r="N548" s="402">
        <f>VLOOKUP(Table13[[#This Row],[Column1]],[1]Sheet1!$A:$AO,14,FALSE)</f>
        <v>45349</v>
      </c>
      <c r="O548" s="402">
        <f>VLOOKUP(Table13[[#This Row],[Column1]],[1]Sheet1!$A:$AO,15,FALSE)</f>
        <v>45357</v>
      </c>
      <c r="P548" s="375">
        <f>IF(OR(Table13[[#This Row],[Column14]]="",Table13[[#This Row],[Column11]]=""), "",IFERROR(Table13[[#This Row],[Column14]]-Table13[[#This Row],[Column11]],""))</f>
        <v>7</v>
      </c>
      <c r="Q548" s="375">
        <f>IF(OR(Table13[[#This Row],[Column15]]="",Table13[[#This Row],[Column11]]=""), "",IFERROR(Table13[[#This Row],[Column15]]-Table13[[#This Row],[Column11]],""))</f>
        <v>15</v>
      </c>
      <c r="R548" s="376">
        <f>IF(OR(Table13[[#This Row],[Column15]]="",Table13[[#This Row],[Column7]]=""),"",IFERROR(Table13[[#This Row],[Column15]]-Table13[[#This Row],[Column7]],""))</f>
        <v>37</v>
      </c>
      <c r="S548" s="583">
        <f>VLOOKUP(Table13[[#This Row],[Column1]],[1]Sheet1!$A:$AO,19,FALSE)</f>
        <v>45357</v>
      </c>
      <c r="T548" s="583">
        <f>VLOOKUP(Table13[[#This Row],[Column1]],[1]Sheet1!$A:$AO,20,FALSE)</f>
        <v>45357</v>
      </c>
      <c r="U548" s="583">
        <f>VLOOKUP(Table13[[#This Row],[Column1]],[1]Sheet1!$A:$AO,21,FALSE)</f>
        <v>45358</v>
      </c>
      <c r="V548" s="376">
        <f>IF(OR(Table13[[#This Row],[Column21]]="", Table13[[#This Row],[Column19]]=""),"",IFERROR(Table13[[#This Row],[Column21]]-Table13[[#This Row],[Column19]],""))</f>
        <v>1</v>
      </c>
      <c r="W548" s="376">
        <f>IF(OR(Table13[[#This Row],[Column21]]="", Table13[[#This Row],[Column7]]=""),"",IFERROR(Table13[[#This Row],[Column21]]-Table13[[#This Row],[Column7]],""))</f>
        <v>38</v>
      </c>
      <c r="X548" s="402"/>
      <c r="Y548" s="402"/>
      <c r="Z548" s="610" t="s">
        <v>1478</v>
      </c>
      <c r="AA548" s="464">
        <f>IF(Table13[[#This Row],[Column2]]="","",SUM(Table13[[#This Row],[Column28]]+Table13[[#This Row],[Column29]]))</f>
        <v>1185000</v>
      </c>
      <c r="AB548" s="466"/>
      <c r="AC548" s="502">
        <v>1185000</v>
      </c>
      <c r="AD548" s="532">
        <f>IF(Table13[[#This Row],[Column2]]="","",SUM(Table13[[#This Row],[Column31]]+Table13[[#This Row],[Column32]]))</f>
        <v>1173000</v>
      </c>
      <c r="AE548" s="501"/>
      <c r="AF548" s="541">
        <v>1173000</v>
      </c>
      <c r="AG548" s="405">
        <f t="shared" si="4"/>
        <v>1.0126582278481013E-2</v>
      </c>
      <c r="AH548" s="380" t="s">
        <v>1205</v>
      </c>
      <c r="AI548" s="576">
        <f>VLOOKUP(Table13[[#This Row],[Column1]],[1]Sheet1!$A:$AO,35,FALSE)</f>
        <v>45327</v>
      </c>
      <c r="AJ548" s="576">
        <f>VLOOKUP(Table13[[#This Row],[Column1]],[1]Sheet1!$A:$AO,36,FALSE)</f>
        <v>45341</v>
      </c>
      <c r="AK548" s="576">
        <f>VLOOKUP(Table13[[#This Row],[Column1]],[1]Sheet1!$A:$AO,37,FALSE)</f>
        <v>45341</v>
      </c>
      <c r="AL548" s="576">
        <f>VLOOKUP(Table13[[#This Row],[Column1]],[1]Sheet1!$A:$AO,38,FALSE)</f>
        <v>45341</v>
      </c>
      <c r="AM548" s="576" t="str">
        <f>VLOOKUP(Table13[[#This Row],[Column1]],[1]Sheet1!$A:$AO,39,FALSE)</f>
        <v>N/A</v>
      </c>
      <c r="AN548" s="576" t="str">
        <f>VLOOKUP(Table13[[#This Row],[Column1]],[1]Sheet1!$A:$AO,40,FALSE)</f>
        <v>N/A</v>
      </c>
      <c r="AO548" s="303" t="s">
        <v>751</v>
      </c>
      <c r="AP548" s="378">
        <f>IF(OR(Table13[[#This Row],[Column7]]=""),"",IF(Table13[[#This Row],[Column41]]="Ongoing Procurement Process",IFERROR($AP$542-Table13[[#This Row],[Column7]],""),0))</f>
        <v>0</v>
      </c>
      <c r="AQ548" s="234"/>
      <c r="AR548" s="232"/>
      <c r="AS548" s="232"/>
    </row>
    <row r="549" spans="1:45" s="534" customFormat="1" ht="75" customHeight="1" x14ac:dyDescent="0.25">
      <c r="A549" s="297" t="s">
        <v>756</v>
      </c>
      <c r="B549" s="627" t="str">
        <f>VLOOKUP(Table13[[#This Row],[Column1]],[1]Sheet1!$A:$AO,2,FALSE)</f>
        <v>PACKED MEALS</v>
      </c>
      <c r="C549" s="298" t="str">
        <f>VLOOKUP(Table13[[#This Row],[Column1]],[1]Sheet1!$A:$AO,3,FALSE)</f>
        <v>PDRRMO</v>
      </c>
      <c r="D549" s="298" t="s">
        <v>712</v>
      </c>
      <c r="E549" s="450" t="str">
        <f>VLOOKUP(Table13[[#This Row],[Column1]],[1]Sheet1!$A:$AO,5,FALSE)</f>
        <v>NP-53.2 Emergency Cases</v>
      </c>
      <c r="F549" s="446" t="str">
        <f>VLOOKUP(Table13[[#This Row],[Column1]],[1]Sheet1!$A:$AO,6,FALSE)</f>
        <v>N/A</v>
      </c>
      <c r="G549" s="402">
        <f>VLOOKUP(Table13[[#This Row],[Column1]],[1]Sheet1!$A:$AO,7,FALSE)</f>
        <v>45329</v>
      </c>
      <c r="H549" s="300" t="str">
        <f>IF(OR(Table13[[#This Row],[Column6]]="",Table13[[#This Row],[Column7]]=""), "",IFERROR(Table13[[#This Row],[Column7]]-Table13[[#This Row],[Column6]],""))</f>
        <v/>
      </c>
      <c r="I549" s="402" t="str">
        <f>VLOOKUP(Table13[[#This Row],[Column1]],[1]Sheet1!$A:$AO,9,FALSE)</f>
        <v>N/A</v>
      </c>
      <c r="J549" s="402">
        <f>VLOOKUP(Table13[[#This Row],[Column1]],[1]Sheet1!$A:$AO,10,FALSE)</f>
        <v>45330</v>
      </c>
      <c r="K549" s="402">
        <f>VLOOKUP(Table13[[#This Row],[Column1]],[1]Sheet1!$A:$AO,11,FALSE)</f>
        <v>45330</v>
      </c>
      <c r="L549" s="301">
        <f>IF(OR(Table13[[#This Row],[Column7]]="",Table13[[#This Row],[Column11]]=""),"",IFERROR(Table13[[#This Row],[Column11]]-Table13[[#This Row],[Column7]],""))</f>
        <v>1</v>
      </c>
      <c r="M549" s="402" t="str">
        <f>VLOOKUP(Table13[[#This Row],[Column1]],[1]Sheet1!$A:$AO,13,FALSE)</f>
        <v>N/A</v>
      </c>
      <c r="N549" s="402" t="str">
        <f>VLOOKUP(Table13[[#This Row],[Column1]],[1]Sheet1!$A:$AO,14,FALSE)</f>
        <v>N/A</v>
      </c>
      <c r="O549" s="402">
        <f>VLOOKUP(Table13[[#This Row],[Column1]],[1]Sheet1!$A:$AO,15,FALSE)</f>
        <v>45330</v>
      </c>
      <c r="P549" s="327" t="str">
        <f>IF(OR(Table13[[#This Row],[Column14]]="",Table13[[#This Row],[Column11]]=""), "",IFERROR(Table13[[#This Row],[Column14]]-Table13[[#This Row],[Column11]],""))</f>
        <v/>
      </c>
      <c r="Q549" s="327">
        <f>IF(OR(Table13[[#This Row],[Column15]]="",Table13[[#This Row],[Column11]]=""), "",IFERROR(Table13[[#This Row],[Column15]]-Table13[[#This Row],[Column11]],""))</f>
        <v>0</v>
      </c>
      <c r="R549" s="328">
        <f>IF(OR(Table13[[#This Row],[Column15]]="",Table13[[#This Row],[Column7]]=""),"",IFERROR(Table13[[#This Row],[Column15]]-Table13[[#This Row],[Column7]],""))</f>
        <v>1</v>
      </c>
      <c r="S549" s="583">
        <f>VLOOKUP(Table13[[#This Row],[Column1]],[1]Sheet1!$A:$AO,19,FALSE)</f>
        <v>45330</v>
      </c>
      <c r="T549" s="583">
        <f>VLOOKUP(Table13[[#This Row],[Column1]],[1]Sheet1!$A:$AO,20,FALSE)</f>
        <v>45330</v>
      </c>
      <c r="U549" s="583">
        <f>VLOOKUP(Table13[[#This Row],[Column1]],[1]Sheet1!$A:$AO,21,FALSE)</f>
        <v>45338</v>
      </c>
      <c r="V549" s="328">
        <f>IF(OR(Table13[[#This Row],[Column21]]="", Table13[[#This Row],[Column19]]=""),"",IFERROR(Table13[[#This Row],[Column21]]-Table13[[#This Row],[Column19]],""))</f>
        <v>8</v>
      </c>
      <c r="W549" s="328">
        <f>IF(OR(Table13[[#This Row],[Column21]]="", Table13[[#This Row],[Column7]]=""),"",IFERROR(Table13[[#This Row],[Column21]]-Table13[[#This Row],[Column7]],""))</f>
        <v>9</v>
      </c>
      <c r="X549" s="402"/>
      <c r="Y549" s="402"/>
      <c r="Z549" s="610" t="s">
        <v>1478</v>
      </c>
      <c r="AA549" s="538">
        <f>IF(Table13[[#This Row],[Column2]]="","",SUM(Table13[[#This Row],[Column28]]+Table13[[#This Row],[Column29]]))</f>
        <v>595000</v>
      </c>
      <c r="AB549" s="497"/>
      <c r="AC549" s="497">
        <v>595000</v>
      </c>
      <c r="AD549" s="538">
        <f>IF(Table13[[#This Row],[Column2]]="","",SUM(Table13[[#This Row],[Column31]]+Table13[[#This Row],[Column32]]))</f>
        <v>595000</v>
      </c>
      <c r="AE549" s="499"/>
      <c r="AF549" s="541">
        <v>595000</v>
      </c>
      <c r="AG549" s="447">
        <f t="shared" si="3"/>
        <v>0</v>
      </c>
      <c r="AH549" s="380" t="s">
        <v>1205</v>
      </c>
      <c r="AI549" s="576" t="str">
        <f>VLOOKUP(Table13[[#This Row],[Column1]],[1]Sheet1!$A:$AO,35,FALSE)</f>
        <v>N/A</v>
      </c>
      <c r="AJ549" s="576" t="str">
        <f>VLOOKUP(Table13[[#This Row],[Column1]],[1]Sheet1!$A:$AO,36,FALSE)</f>
        <v>N/A</v>
      </c>
      <c r="AK549" s="576" t="str">
        <f>VLOOKUP(Table13[[#This Row],[Column1]],[1]Sheet1!$A:$AO,37,FALSE)</f>
        <v>N/A</v>
      </c>
      <c r="AL549" s="576" t="str">
        <f>VLOOKUP(Table13[[#This Row],[Column1]],[1]Sheet1!$A:$AO,38,FALSE)</f>
        <v>N/A</v>
      </c>
      <c r="AM549" s="576" t="str">
        <f>VLOOKUP(Table13[[#This Row],[Column1]],[1]Sheet1!$A:$AO,39,FALSE)</f>
        <v>N/A</v>
      </c>
      <c r="AN549" s="576" t="str">
        <f>VLOOKUP(Table13[[#This Row],[Column1]],[1]Sheet1!$A:$AO,40,FALSE)</f>
        <v>N/A</v>
      </c>
      <c r="AO549" s="303" t="s">
        <v>751</v>
      </c>
      <c r="AP549" s="304">
        <f>IF(OR(Table13[[#This Row],[Column7]]=""),"",IF(Table13[[#This Row],[Column41]]="Ongoing Procurement Process",IFERROR($AP$542-Table13[[#This Row],[Column7]],""),0))</f>
        <v>0</v>
      </c>
      <c r="AQ549" s="234"/>
      <c r="AR549" s="533"/>
      <c r="AS549" s="533"/>
    </row>
    <row r="550" spans="1:45" s="236" customFormat="1" ht="75" customHeight="1" x14ac:dyDescent="0.3">
      <c r="A550" s="297" t="s">
        <v>757</v>
      </c>
      <c r="B550" s="627" t="str">
        <f>VLOOKUP(Table13[[#This Row],[Column1]],[1]Sheet1!$A:$AO,2,FALSE)</f>
        <v>FOOD CATERING/SERVICES</v>
      </c>
      <c r="C550" s="298" t="str">
        <f>VLOOKUP(Table13[[#This Row],[Column1]],[1]Sheet1!$A:$AO,3,FALSE)</f>
        <v>PHO</v>
      </c>
      <c r="D550" s="298" t="s">
        <v>712</v>
      </c>
      <c r="E550" s="450" t="str">
        <f>VLOOKUP(Table13[[#This Row],[Column1]],[1]Sheet1!$A:$AO,5,FALSE)</f>
        <v>NP-53.9 - Small Value Procurement</v>
      </c>
      <c r="F550" s="446">
        <f>VLOOKUP(Table13[[#This Row],[Column1]],[1]Sheet1!$A:$AO,6,FALSE)</f>
        <v>45370</v>
      </c>
      <c r="G550" s="402">
        <f>VLOOKUP(Table13[[#This Row],[Column1]],[1]Sheet1!$A:$AO,7,FALSE)</f>
        <v>45376</v>
      </c>
      <c r="H550" s="300">
        <f>IF(OR(Table13[[#This Row],[Column6]]="",Table13[[#This Row],[Column7]]=""), "",IFERROR(Table13[[#This Row],[Column7]]-Table13[[#This Row],[Column6]],""))</f>
        <v>6</v>
      </c>
      <c r="I550" s="402" t="str">
        <f>VLOOKUP(Table13[[#This Row],[Column1]],[1]Sheet1!$A:$AO,9,FALSE)</f>
        <v>N/A</v>
      </c>
      <c r="J550" s="402">
        <f>VLOOKUP(Table13[[#This Row],[Column1]],[1]Sheet1!$A:$AO,10,FALSE)</f>
        <v>45385</v>
      </c>
      <c r="K550" s="402">
        <f>VLOOKUP(Table13[[#This Row],[Column1]],[1]Sheet1!$A:$AO,11,FALSE)</f>
        <v>45385</v>
      </c>
      <c r="L550" s="301">
        <f>IF(OR(Table13[[#This Row],[Column7]]="",Table13[[#This Row],[Column11]]=""),"",IFERROR(Table13[[#This Row],[Column11]]-Table13[[#This Row],[Column7]],""))</f>
        <v>9</v>
      </c>
      <c r="M550" s="402" t="str">
        <f>VLOOKUP(Table13[[#This Row],[Column1]],[1]Sheet1!$A:$AO,13,FALSE)</f>
        <v>N/A</v>
      </c>
      <c r="N550" s="402" t="str">
        <f>VLOOKUP(Table13[[#This Row],[Column1]],[1]Sheet1!$A:$AO,14,FALSE)</f>
        <v>N/A</v>
      </c>
      <c r="O550" s="402">
        <f>VLOOKUP(Table13[[#This Row],[Column1]],[1]Sheet1!$A:$AO,15,FALSE)</f>
        <v>45386</v>
      </c>
      <c r="P550" s="327" t="str">
        <f>IF(OR(Table13[[#This Row],[Column14]]="",Table13[[#This Row],[Column11]]=""), "",IFERROR(Table13[[#This Row],[Column14]]-Table13[[#This Row],[Column11]],""))</f>
        <v/>
      </c>
      <c r="Q550" s="327">
        <f>IF(OR(Table13[[#This Row],[Column15]]="",Table13[[#This Row],[Column11]]=""), "",IFERROR(Table13[[#This Row],[Column15]]-Table13[[#This Row],[Column11]],""))</f>
        <v>1</v>
      </c>
      <c r="R550" s="328">
        <f>IF(OR(Table13[[#This Row],[Column15]]="",Table13[[#This Row],[Column7]]=""),"",IFERROR(Table13[[#This Row],[Column15]]-Table13[[#This Row],[Column7]],""))</f>
        <v>10</v>
      </c>
      <c r="S550" s="583">
        <f>VLOOKUP(Table13[[#This Row],[Column1]],[1]Sheet1!$A:$AO,19,FALSE)</f>
        <v>45386</v>
      </c>
      <c r="T550" s="583">
        <f>VLOOKUP(Table13[[#This Row],[Column1]],[1]Sheet1!$A:$AO,20,FALSE)</f>
        <v>45406</v>
      </c>
      <c r="U550" s="583">
        <f>VLOOKUP(Table13[[#This Row],[Column1]],[1]Sheet1!$A:$AO,21,FALSE)</f>
        <v>45411</v>
      </c>
      <c r="V550" s="328">
        <f>IF(OR(Table13[[#This Row],[Column21]]="", Table13[[#This Row],[Column19]]=""),"",IFERROR(Table13[[#This Row],[Column21]]-Table13[[#This Row],[Column19]],""))</f>
        <v>25</v>
      </c>
      <c r="W550" s="328">
        <f>IF(OR(Table13[[#This Row],[Column21]]="", Table13[[#This Row],[Column7]]=""),"",IFERROR(Table13[[#This Row],[Column21]]-Table13[[#This Row],[Column7]],""))</f>
        <v>35</v>
      </c>
      <c r="X550" s="402"/>
      <c r="Y550" s="402"/>
      <c r="Z550" s="610" t="s">
        <v>1478</v>
      </c>
      <c r="AA550" s="538">
        <f>IF(Table13[[#This Row],[Column2]]="","",SUM(Table13[[#This Row],[Column28]]+Table13[[#This Row],[Column29]]))</f>
        <v>398530</v>
      </c>
      <c r="AB550" s="497"/>
      <c r="AC550" s="497">
        <v>398530</v>
      </c>
      <c r="AD550" s="538">
        <f>IF(Table13[[#This Row],[Column2]]="","",SUM(Table13[[#This Row],[Column31]]+Table13[[#This Row],[Column32]]))</f>
        <v>383530</v>
      </c>
      <c r="AE550" s="499"/>
      <c r="AF550" s="541">
        <v>383530</v>
      </c>
      <c r="AG550" s="302">
        <f t="shared" si="3"/>
        <v>3.7638320829046744E-2</v>
      </c>
      <c r="AH550" s="380" t="s">
        <v>1205</v>
      </c>
      <c r="AI550" s="576" t="str">
        <f>VLOOKUP(Table13[[#This Row],[Column1]],[1]Sheet1!$A:$AO,35,FALSE)</f>
        <v>N/A</v>
      </c>
      <c r="AJ550" s="576" t="str">
        <f>VLOOKUP(Table13[[#This Row],[Column1]],[1]Sheet1!$A:$AO,36,FALSE)</f>
        <v>N/A</v>
      </c>
      <c r="AK550" s="576" t="str">
        <f>VLOOKUP(Table13[[#This Row],[Column1]],[1]Sheet1!$A:$AO,37,FALSE)</f>
        <v>N/A</v>
      </c>
      <c r="AL550" s="576" t="str">
        <f>VLOOKUP(Table13[[#This Row],[Column1]],[1]Sheet1!$A:$AO,38,FALSE)</f>
        <v>N/A</v>
      </c>
      <c r="AM550" s="576" t="str">
        <f>VLOOKUP(Table13[[#This Row],[Column1]],[1]Sheet1!$A:$AO,39,FALSE)</f>
        <v>N/A</v>
      </c>
      <c r="AN550" s="576" t="str">
        <f>VLOOKUP(Table13[[#This Row],[Column1]],[1]Sheet1!$A:$AO,40,FALSE)</f>
        <v>N/A</v>
      </c>
      <c r="AO550" s="303" t="s">
        <v>751</v>
      </c>
      <c r="AP550" s="304">
        <f>IF(OR(Table13[[#This Row],[Column7]]=""),"",IF(Table13[[#This Row],[Column41]]="Ongoing Procurement Process",IFERROR($AP$542-Table13[[#This Row],[Column7]],""),0))</f>
        <v>0</v>
      </c>
      <c r="AQ550" s="234"/>
      <c r="AR550" s="235"/>
      <c r="AS550" s="235"/>
    </row>
    <row r="551" spans="1:45" s="238" customFormat="1" ht="75" customHeight="1" thickBot="1" x14ac:dyDescent="0.3">
      <c r="A551" s="297" t="s">
        <v>759</v>
      </c>
      <c r="B551" s="627" t="str">
        <f>VLOOKUP(Table13[[#This Row],[Column1]],[1]Sheet1!$A:$AO,2,FALSE)</f>
        <v>TANDEM REMOTE WEATHER STATION</v>
      </c>
      <c r="C551" s="298" t="str">
        <f>VLOOKUP(Table13[[#This Row],[Column1]],[1]Sheet1!$A:$AO,3,FALSE)</f>
        <v>PDRRMO</v>
      </c>
      <c r="D551" s="305" t="s">
        <v>712</v>
      </c>
      <c r="E551" s="450" t="str">
        <f>VLOOKUP(Table13[[#This Row],[Column1]],[1]Sheet1!$A:$AO,5,FALSE)</f>
        <v>Competitive Bidding</v>
      </c>
      <c r="F551" s="446" t="str">
        <f>VLOOKUP(Table13[[#This Row],[Column1]],[1]Sheet1!$A:$AO,6,FALSE)</f>
        <v>Actual Procurement Activities</v>
      </c>
      <c r="G551" s="402">
        <f>VLOOKUP(Table13[[#This Row],[Column1]],[1]Sheet1!$A:$AO,7,FALSE)</f>
        <v>45243</v>
      </c>
      <c r="H551" s="307" t="str">
        <f>IF(OR(Table13[[#This Row],[Column6]]="",Table13[[#This Row],[Column7]]=""), "",IFERROR(Table13[[#This Row],[Column7]]-Table13[[#This Row],[Column6]],""))</f>
        <v/>
      </c>
      <c r="I551" s="402">
        <f>VLOOKUP(Table13[[#This Row],[Column1]],[1]Sheet1!$A:$AO,9,FALSE)</f>
        <v>45251</v>
      </c>
      <c r="J551" s="402">
        <f>VLOOKUP(Table13[[#This Row],[Column1]],[1]Sheet1!$A:$AO,10,FALSE)</f>
        <v>45265</v>
      </c>
      <c r="K551" s="402">
        <f>VLOOKUP(Table13[[#This Row],[Column1]],[1]Sheet1!$A:$AO,11,FALSE)</f>
        <v>45265</v>
      </c>
      <c r="L551" s="308">
        <f>IF(OR(Table13[[#This Row],[Column7]]="",Table13[[#This Row],[Column11]]=""),"",IFERROR(Table13[[#This Row],[Column11]]-Table13[[#This Row],[Column7]],""))</f>
        <v>22</v>
      </c>
      <c r="M551" s="402">
        <f>VLOOKUP(Table13[[#This Row],[Column1]],[1]Sheet1!$A:$AO,13,FALSE)</f>
        <v>45265</v>
      </c>
      <c r="N551" s="402">
        <f>VLOOKUP(Table13[[#This Row],[Column1]],[1]Sheet1!$A:$AO,14,FALSE)</f>
        <v>45278</v>
      </c>
      <c r="O551" s="402">
        <f>VLOOKUP(Table13[[#This Row],[Column1]],[1]Sheet1!$A:$AO,15,FALSE)</f>
        <v>45302</v>
      </c>
      <c r="P551" s="329">
        <f>IF(OR(Table13[[#This Row],[Column14]]="",Table13[[#This Row],[Column11]]=""), "",IFERROR(Table13[[#This Row],[Column14]]-Table13[[#This Row],[Column11]],""))</f>
        <v>13</v>
      </c>
      <c r="Q551" s="329">
        <f>IF(OR(Table13[[#This Row],[Column15]]="",Table13[[#This Row],[Column11]]=""), "",IFERROR(Table13[[#This Row],[Column15]]-Table13[[#This Row],[Column11]],""))</f>
        <v>37</v>
      </c>
      <c r="R551" s="330">
        <f>IF(OR(Table13[[#This Row],[Column15]]="",Table13[[#This Row],[Column7]]=""),"",IFERROR(Table13[[#This Row],[Column15]]-Table13[[#This Row],[Column7]],""))</f>
        <v>59</v>
      </c>
      <c r="S551" s="583">
        <f>VLOOKUP(Table13[[#This Row],[Column1]],[1]Sheet1!$A:$AO,19,FALSE)</f>
        <v>45303</v>
      </c>
      <c r="T551" s="583">
        <f>VLOOKUP(Table13[[#This Row],[Column1]],[1]Sheet1!$A:$AO,20,FALSE)</f>
        <v>45328</v>
      </c>
      <c r="U551" s="583">
        <f>VLOOKUP(Table13[[#This Row],[Column1]],[1]Sheet1!$A:$AO,21,FALSE)</f>
        <v>45328</v>
      </c>
      <c r="V551" s="348">
        <f>IF(OR(Table13[[#This Row],[Column21]]="", Table13[[#This Row],[Column19]]=""),"",IFERROR(Table13[[#This Row],[Column21]]-Table13[[#This Row],[Column19]],""))</f>
        <v>25</v>
      </c>
      <c r="W551" s="348">
        <f>IF(OR(Table13[[#This Row],[Column21]]="", Table13[[#This Row],[Column7]]=""),"",IFERROR(Table13[[#This Row],[Column21]]-Table13[[#This Row],[Column7]],""))</f>
        <v>85</v>
      </c>
      <c r="X551" s="402"/>
      <c r="Y551" s="402"/>
      <c r="Z551" s="610" t="s">
        <v>1478</v>
      </c>
      <c r="AA551" s="539">
        <f>IF(Table13[[#This Row],[Column2]]="","",SUM(Table13[[#This Row],[Column28]]+Table13[[#This Row],[Column29]]))</f>
        <v>1965565.38</v>
      </c>
      <c r="AB551" s="535"/>
      <c r="AC551" s="535">
        <v>1965565.38</v>
      </c>
      <c r="AD551" s="539">
        <f>IF(Table13[[#This Row],[Column2]]="","",SUM(Table13[[#This Row],[Column31]]+Table13[[#This Row],[Column32]]))</f>
        <v>1899000</v>
      </c>
      <c r="AE551" s="536"/>
      <c r="AF551" s="645">
        <v>1899000</v>
      </c>
      <c r="AG551" s="309">
        <f t="shared" si="3"/>
        <v>3.3865767415988929E-2</v>
      </c>
      <c r="AH551" s="380" t="s">
        <v>1205</v>
      </c>
      <c r="AI551" s="576" t="str">
        <f>VLOOKUP(Table13[[#This Row],[Column1]],[1]Sheet1!$A:$AO,35,FALSE)</f>
        <v>Date of Receipt of Invitation</v>
      </c>
      <c r="AJ551" s="576">
        <f>VLOOKUP(Table13[[#This Row],[Column1]],[1]Sheet1!$A:$AO,36,FALSE)</f>
        <v>45261</v>
      </c>
      <c r="AK551" s="576">
        <f>VLOOKUP(Table13[[#This Row],[Column1]],[1]Sheet1!$A:$AO,37,FALSE)</f>
        <v>45261</v>
      </c>
      <c r="AL551" s="576" t="str">
        <f>VLOOKUP(Table13[[#This Row],[Column1]],[1]Sheet1!$A:$AO,38,FALSE)</f>
        <v>N/A</v>
      </c>
      <c r="AM551" s="576" t="str">
        <f>VLOOKUP(Table13[[#This Row],[Column1]],[1]Sheet1!$A:$AO,39,FALSE)</f>
        <v>N/A</v>
      </c>
      <c r="AN551" s="576" t="s">
        <v>713</v>
      </c>
      <c r="AO551" s="306" t="s">
        <v>919</v>
      </c>
      <c r="AP551" s="310">
        <f>IF(OR(Table13[[#This Row],[Column7]]=""),"",IF(Table13[[#This Row],[Column41]]="Ongoing Procurement Process",IFERROR($AP$542-Table13[[#This Row],[Column7]],""),0))</f>
        <v>0</v>
      </c>
      <c r="AQ551" s="237"/>
    </row>
    <row r="552" spans="1:45" s="238" customFormat="1" ht="75" customHeight="1" thickBot="1" x14ac:dyDescent="0.3">
      <c r="A552" s="297" t="s">
        <v>760</v>
      </c>
      <c r="B552" s="627" t="str">
        <f>VLOOKUP(Table13[[#This Row],[Column1]],[1]Sheet1!$A:$AO,2,FALSE)</f>
        <v>MEMO PADS</v>
      </c>
      <c r="C552" s="298" t="str">
        <f>VLOOKUP(Table13[[#This Row],[Column1]],[1]Sheet1!$A:$AO,3,FALSE)</f>
        <v>PBO</v>
      </c>
      <c r="D552" s="298" t="s">
        <v>712</v>
      </c>
      <c r="E552" s="450" t="str">
        <f>VLOOKUP(Table13[[#This Row],[Column1]],[1]Sheet1!$A:$AO,5,FALSE)</f>
        <v>Shopping 52.1(b) - Regular Office Supplies and Equipment no available in PS</v>
      </c>
      <c r="F552" s="446" t="str">
        <f>VLOOKUP(Table13[[#This Row],[Column1]],[1]Sheet1!$A:$AO,6,FALSE)</f>
        <v>N/A</v>
      </c>
      <c r="G552" s="402">
        <f>VLOOKUP(Table13[[#This Row],[Column1]],[1]Sheet1!$A:$AO,7,FALSE)</f>
        <v>45324</v>
      </c>
      <c r="H552" s="374"/>
      <c r="I552" s="402" t="str">
        <f>VLOOKUP(Table13[[#This Row],[Column1]],[1]Sheet1!$A:$AO,9,FALSE)</f>
        <v>N/A</v>
      </c>
      <c r="J552" s="402">
        <f>VLOOKUP(Table13[[#This Row],[Column1]],[1]Sheet1!$A:$AO,10,FALSE)</f>
        <v>45342</v>
      </c>
      <c r="K552" s="402">
        <f>VLOOKUP(Table13[[#This Row],[Column1]],[1]Sheet1!$A:$AO,11,FALSE)</f>
        <v>45342</v>
      </c>
      <c r="L552" s="404"/>
      <c r="M552" s="402" t="str">
        <f>VLOOKUP(Table13[[#This Row],[Column1]],[1]Sheet1!$A:$AO,13,FALSE)</f>
        <v>N/A</v>
      </c>
      <c r="N552" s="402" t="str">
        <f>VLOOKUP(Table13[[#This Row],[Column1]],[1]Sheet1!$A:$AO,14,FALSE)</f>
        <v>N/A</v>
      </c>
      <c r="O552" s="402">
        <f>VLOOKUP(Table13[[#This Row],[Column1]],[1]Sheet1!$A:$AO,15,FALSE)</f>
        <v>45344</v>
      </c>
      <c r="P552" s="375"/>
      <c r="Q552" s="375"/>
      <c r="R552" s="376"/>
      <c r="S552" s="583" t="str">
        <f>VLOOKUP(Table13[[#This Row],[Column1]],[1]Sheet1!$A:$AO,19,FALSE)</f>
        <v>N/A</v>
      </c>
      <c r="T552" s="583">
        <f>VLOOKUP(Table13[[#This Row],[Column1]],[1]Sheet1!$A:$AO,20,FALSE)</f>
        <v>45351</v>
      </c>
      <c r="U552" s="583">
        <f>VLOOKUP(Table13[[#This Row],[Column1]],[1]Sheet1!$A:$AO,21,FALSE)</f>
        <v>45352</v>
      </c>
      <c r="V552" s="376"/>
      <c r="W552" s="376"/>
      <c r="X552" s="402"/>
      <c r="Y552" s="402"/>
      <c r="Z552" s="610" t="s">
        <v>1478</v>
      </c>
      <c r="AA552" s="532">
        <f>IF(Table13[[#This Row],[Column2]]="","",SUM(Table13[[#This Row],[Column28]]+Table13[[#This Row],[Column29]]))</f>
        <v>5000</v>
      </c>
      <c r="AB552" s="537">
        <v>5000</v>
      </c>
      <c r="AC552" s="502"/>
      <c r="AD552" s="532">
        <f>IF(Table13[[#This Row],[Column2]]="","",SUM(Table13[[#This Row],[Column31]]+Table13[[#This Row],[Column32]]))</f>
        <v>5000</v>
      </c>
      <c r="AE552" s="501">
        <v>5000</v>
      </c>
      <c r="AF552" s="541"/>
      <c r="AG552" s="405"/>
      <c r="AH552" s="380" t="s">
        <v>1205</v>
      </c>
      <c r="AI552" s="576" t="str">
        <f>VLOOKUP(Table13[[#This Row],[Column1]],[1]Sheet1!$A:$AO,35,FALSE)</f>
        <v>N/A</v>
      </c>
      <c r="AJ552" s="576" t="str">
        <f>VLOOKUP(Table13[[#This Row],[Column1]],[1]Sheet1!$A:$AO,36,FALSE)</f>
        <v>N/A</v>
      </c>
      <c r="AK552" s="576" t="str">
        <f>VLOOKUP(Table13[[#This Row],[Column1]],[1]Sheet1!$A:$AO,37,FALSE)</f>
        <v>N/A</v>
      </c>
      <c r="AL552" s="576" t="str">
        <f>VLOOKUP(Table13[[#This Row],[Column1]],[1]Sheet1!$A:$AO,38,FALSE)</f>
        <v>N/A</v>
      </c>
      <c r="AM552" s="576" t="str">
        <f>VLOOKUP(Table13[[#This Row],[Column1]],[1]Sheet1!$A:$AO,39,FALSE)</f>
        <v>N/A</v>
      </c>
      <c r="AN552" s="576" t="s">
        <v>713</v>
      </c>
      <c r="AO552" s="306" t="s">
        <v>919</v>
      </c>
      <c r="AP552" s="378"/>
      <c r="AQ552" s="237"/>
    </row>
    <row r="553" spans="1:45" s="238" customFormat="1" ht="75" customHeight="1" thickBot="1" x14ac:dyDescent="0.3">
      <c r="A553" s="297" t="s">
        <v>761</v>
      </c>
      <c r="B553" s="627" t="str">
        <f>VLOOKUP(Table13[[#This Row],[Column1]],[1]Sheet1!$A:$AO,2,FALSE)</f>
        <v>PRINTING</v>
      </c>
      <c r="C553" s="298" t="str">
        <f>VLOOKUP(Table13[[#This Row],[Column1]],[1]Sheet1!$A:$AO,3,FALSE)</f>
        <v>PEO</v>
      </c>
      <c r="D553" s="298" t="s">
        <v>712</v>
      </c>
      <c r="E553" s="450" t="str">
        <f>VLOOKUP(Table13[[#This Row],[Column1]],[1]Sheet1!$A:$AO,5,FALSE)</f>
        <v>NP-53.9 - Small Value Procurement</v>
      </c>
      <c r="F553" s="446">
        <f>VLOOKUP(Table13[[#This Row],[Column1]],[1]Sheet1!$A:$AO,6,FALSE)</f>
        <v>45330</v>
      </c>
      <c r="G553" s="402">
        <f>VLOOKUP(Table13[[#This Row],[Column1]],[1]Sheet1!$A:$AO,7,FALSE)</f>
        <v>45335</v>
      </c>
      <c r="H553" s="374"/>
      <c r="I553" s="402" t="str">
        <f>VLOOKUP(Table13[[#This Row],[Column1]],[1]Sheet1!$A:$AO,9,FALSE)</f>
        <v>N/A</v>
      </c>
      <c r="J553" s="402">
        <f>VLOOKUP(Table13[[#This Row],[Column1]],[1]Sheet1!$A:$AO,10,FALSE)</f>
        <v>45342</v>
      </c>
      <c r="K553" s="402">
        <f>VLOOKUP(Table13[[#This Row],[Column1]],[1]Sheet1!$A:$AO,11,FALSE)</f>
        <v>45342</v>
      </c>
      <c r="L553" s="404"/>
      <c r="M553" s="402" t="str">
        <f>VLOOKUP(Table13[[#This Row],[Column1]],[1]Sheet1!$A:$AO,13,FALSE)</f>
        <v>N/A</v>
      </c>
      <c r="N553" s="402" t="str">
        <f>VLOOKUP(Table13[[#This Row],[Column1]],[1]Sheet1!$A:$AO,14,FALSE)</f>
        <v>N/A</v>
      </c>
      <c r="O553" s="402">
        <f>VLOOKUP(Table13[[#This Row],[Column1]],[1]Sheet1!$A:$AO,15,FALSE)</f>
        <v>45344</v>
      </c>
      <c r="P553" s="375"/>
      <c r="Q553" s="375"/>
      <c r="R553" s="376"/>
      <c r="S553" s="583" t="str">
        <f>VLOOKUP(Table13[[#This Row],[Column1]],[1]Sheet1!$A:$AO,19,FALSE)</f>
        <v>N/A</v>
      </c>
      <c r="T553" s="583">
        <f>VLOOKUP(Table13[[#This Row],[Column1]],[1]Sheet1!$A:$AO,20,FALSE)</f>
        <v>45355</v>
      </c>
      <c r="U553" s="583">
        <f>VLOOKUP(Table13[[#This Row],[Column1]],[1]Sheet1!$A:$AO,21,FALSE)</f>
        <v>45357</v>
      </c>
      <c r="V553" s="376"/>
      <c r="W553" s="376"/>
      <c r="X553" s="402"/>
      <c r="Y553" s="402"/>
      <c r="Z553" s="610" t="s">
        <v>1478</v>
      </c>
      <c r="AA553" s="532">
        <f>IF(Table13[[#This Row],[Column2]]="","",SUM(Table13[[#This Row],[Column28]]+Table13[[#This Row],[Column29]]))</f>
        <v>1792</v>
      </c>
      <c r="AB553" s="537"/>
      <c r="AC553" s="502">
        <v>1792</v>
      </c>
      <c r="AD553" s="532">
        <f>IF(Table13[[#This Row],[Column2]]="","",SUM(Table13[[#This Row],[Column31]]+Table13[[#This Row],[Column32]]))</f>
        <v>1792</v>
      </c>
      <c r="AE553" s="501"/>
      <c r="AF553" s="541">
        <v>1792</v>
      </c>
      <c r="AG553" s="405"/>
      <c r="AH553" s="380" t="s">
        <v>1205</v>
      </c>
      <c r="AI553" s="576" t="str">
        <f>VLOOKUP(Table13[[#This Row],[Column1]],[1]Sheet1!$A:$AO,35,FALSE)</f>
        <v>N/A</v>
      </c>
      <c r="AJ553" s="576" t="str">
        <f>VLOOKUP(Table13[[#This Row],[Column1]],[1]Sheet1!$A:$AO,36,FALSE)</f>
        <v>N/A</v>
      </c>
      <c r="AK553" s="576" t="str">
        <f>VLOOKUP(Table13[[#This Row],[Column1]],[1]Sheet1!$A:$AO,37,FALSE)</f>
        <v>N/A</v>
      </c>
      <c r="AL553" s="576" t="str">
        <f>VLOOKUP(Table13[[#This Row],[Column1]],[1]Sheet1!$A:$AO,38,FALSE)</f>
        <v>N/A</v>
      </c>
      <c r="AM553" s="576" t="str">
        <f>VLOOKUP(Table13[[#This Row],[Column1]],[1]Sheet1!$A:$AO,39,FALSE)</f>
        <v>N/A</v>
      </c>
      <c r="AN553" s="576" t="s">
        <v>713</v>
      </c>
      <c r="AO553" s="306" t="s">
        <v>919</v>
      </c>
      <c r="AP553" s="378"/>
      <c r="AQ553" s="237"/>
    </row>
    <row r="554" spans="1:45" s="238" customFormat="1" ht="75" customHeight="1" thickBot="1" x14ac:dyDescent="0.3">
      <c r="A554" s="297" t="s">
        <v>762</v>
      </c>
      <c r="B554" s="627" t="str">
        <f>VLOOKUP(Table13[[#This Row],[Column1]],[1]Sheet1!$A:$AO,2,FALSE)</f>
        <v>FOOD/CATERING SERVICES</v>
      </c>
      <c r="C554" s="298" t="str">
        <f>VLOOKUP(Table13[[#This Row],[Column1]],[1]Sheet1!$A:$AO,3,FALSE)</f>
        <v>PIAO</v>
      </c>
      <c r="D554" s="298" t="s">
        <v>712</v>
      </c>
      <c r="E554" s="450" t="str">
        <f>VLOOKUP(Table13[[#This Row],[Column1]],[1]Sheet1!$A:$AO,5,FALSE)</f>
        <v>NP-53.9 - Small Value Procurement</v>
      </c>
      <c r="F554" s="446" t="str">
        <f>VLOOKUP(Table13[[#This Row],[Column1]],[1]Sheet1!$A:$AO,6,FALSE)</f>
        <v>N/A</v>
      </c>
      <c r="G554" s="402">
        <f>VLOOKUP(Table13[[#This Row],[Column1]],[1]Sheet1!$A:$AO,7,FALSE)</f>
        <v>45324</v>
      </c>
      <c r="H554" s="374"/>
      <c r="I554" s="402" t="str">
        <f>VLOOKUP(Table13[[#This Row],[Column1]],[1]Sheet1!$A:$AO,9,FALSE)</f>
        <v>N/A</v>
      </c>
      <c r="J554" s="402">
        <f>VLOOKUP(Table13[[#This Row],[Column1]],[1]Sheet1!$A:$AO,10,FALSE)</f>
        <v>45356</v>
      </c>
      <c r="K554" s="402">
        <f>VLOOKUP(Table13[[#This Row],[Column1]],[1]Sheet1!$A:$AO,11,FALSE)</f>
        <v>45356</v>
      </c>
      <c r="L554" s="404"/>
      <c r="M554" s="402" t="str">
        <f>VLOOKUP(Table13[[#This Row],[Column1]],[1]Sheet1!$A:$AO,13,FALSE)</f>
        <v>N/A</v>
      </c>
      <c r="N554" s="402" t="str">
        <f>VLOOKUP(Table13[[#This Row],[Column1]],[1]Sheet1!$A:$AO,14,FALSE)</f>
        <v>N/A</v>
      </c>
      <c r="O554" s="402">
        <f>VLOOKUP(Table13[[#This Row],[Column1]],[1]Sheet1!$A:$AO,15,FALSE)</f>
        <v>45357</v>
      </c>
      <c r="P554" s="375"/>
      <c r="Q554" s="375"/>
      <c r="R554" s="376"/>
      <c r="S554" s="583" t="str">
        <f>VLOOKUP(Table13[[#This Row],[Column1]],[1]Sheet1!$A:$AO,19,FALSE)</f>
        <v>N/A</v>
      </c>
      <c r="T554" s="583">
        <f>VLOOKUP(Table13[[#This Row],[Column1]],[1]Sheet1!$A:$AO,20,FALSE)</f>
        <v>45370</v>
      </c>
      <c r="U554" s="583">
        <f>VLOOKUP(Table13[[#This Row],[Column1]],[1]Sheet1!$A:$AO,21,FALSE)</f>
        <v>45376</v>
      </c>
      <c r="V554" s="376"/>
      <c r="W554" s="376"/>
      <c r="X554" s="402"/>
      <c r="Y554" s="402"/>
      <c r="Z554" s="610" t="s">
        <v>1478</v>
      </c>
      <c r="AA554" s="532">
        <f>IF(Table13[[#This Row],[Column2]]="","",SUM(Table13[[#This Row],[Column28]]+Table13[[#This Row],[Column29]]))</f>
        <v>13600</v>
      </c>
      <c r="AB554" s="537">
        <v>13600</v>
      </c>
      <c r="AC554" s="502"/>
      <c r="AD554" s="532">
        <f>IF(Table13[[#This Row],[Column2]]="","",SUM(Table13[[#This Row],[Column31]]+Table13[[#This Row],[Column32]]))</f>
        <v>13440</v>
      </c>
      <c r="AE554" s="501">
        <v>13440</v>
      </c>
      <c r="AF554" s="541"/>
      <c r="AG554" s="405"/>
      <c r="AH554" s="380" t="s">
        <v>1205</v>
      </c>
      <c r="AI554" s="576" t="str">
        <f>VLOOKUP(Table13[[#This Row],[Column1]],[1]Sheet1!$A:$AO,35,FALSE)</f>
        <v>N/A</v>
      </c>
      <c r="AJ554" s="576" t="str">
        <f>VLOOKUP(Table13[[#This Row],[Column1]],[1]Sheet1!$A:$AO,36,FALSE)</f>
        <v>N/A</v>
      </c>
      <c r="AK554" s="576" t="str">
        <f>VLOOKUP(Table13[[#This Row],[Column1]],[1]Sheet1!$A:$AO,37,FALSE)</f>
        <v>N/A</v>
      </c>
      <c r="AL554" s="576" t="str">
        <f>VLOOKUP(Table13[[#This Row],[Column1]],[1]Sheet1!$A:$AO,38,FALSE)</f>
        <v>N/A</v>
      </c>
      <c r="AM554" s="576" t="str">
        <f>VLOOKUP(Table13[[#This Row],[Column1]],[1]Sheet1!$A:$AO,39,FALSE)</f>
        <v>N/A</v>
      </c>
      <c r="AN554" s="576" t="s">
        <v>713</v>
      </c>
      <c r="AO554" s="306" t="s">
        <v>919</v>
      </c>
      <c r="AP554" s="378"/>
      <c r="AQ554" s="237"/>
    </row>
    <row r="555" spans="1:45" s="238" customFormat="1" ht="75" customHeight="1" thickBot="1" x14ac:dyDescent="0.3">
      <c r="A555" s="297" t="s">
        <v>763</v>
      </c>
      <c r="B555" s="627" t="str">
        <f>VLOOKUP(Table13[[#This Row],[Column1]],[1]Sheet1!$A:$AO,2,FALSE)</f>
        <v>WATER</v>
      </c>
      <c r="C555" s="298" t="str">
        <f>VLOOKUP(Table13[[#This Row],[Column1]],[1]Sheet1!$A:$AO,3,FALSE)</f>
        <v>PDRRMO</v>
      </c>
      <c r="D555" s="298" t="s">
        <v>712</v>
      </c>
      <c r="E555" s="450" t="str">
        <f>VLOOKUP(Table13[[#This Row],[Column1]],[1]Sheet1!$A:$AO,5,FALSE)</f>
        <v>NP-53.9 - Small Value Procurement</v>
      </c>
      <c r="F555" s="446" t="str">
        <f>VLOOKUP(Table13[[#This Row],[Column1]],[1]Sheet1!$A:$AO,6,FALSE)</f>
        <v>N/A</v>
      </c>
      <c r="G555" s="402">
        <f>VLOOKUP(Table13[[#This Row],[Column1]],[1]Sheet1!$A:$AO,7,FALSE)</f>
        <v>45331</v>
      </c>
      <c r="H555" s="374"/>
      <c r="I555" s="402" t="str">
        <f>VLOOKUP(Table13[[#This Row],[Column1]],[1]Sheet1!$A:$AO,9,FALSE)</f>
        <v>N/A</v>
      </c>
      <c r="J555" s="402">
        <f>VLOOKUP(Table13[[#This Row],[Column1]],[1]Sheet1!$A:$AO,10,FALSE)</f>
        <v>45356</v>
      </c>
      <c r="K555" s="402">
        <f>VLOOKUP(Table13[[#This Row],[Column1]],[1]Sheet1!$A:$AO,11,FALSE)</f>
        <v>45356</v>
      </c>
      <c r="L555" s="404"/>
      <c r="M555" s="402" t="str">
        <f>VLOOKUP(Table13[[#This Row],[Column1]],[1]Sheet1!$A:$AO,13,FALSE)</f>
        <v>N/A</v>
      </c>
      <c r="N555" s="402" t="str">
        <f>VLOOKUP(Table13[[#This Row],[Column1]],[1]Sheet1!$A:$AO,14,FALSE)</f>
        <v>N/A</v>
      </c>
      <c r="O555" s="402">
        <f>VLOOKUP(Table13[[#This Row],[Column1]],[1]Sheet1!$A:$AO,15,FALSE)</f>
        <v>45357</v>
      </c>
      <c r="P555" s="375"/>
      <c r="Q555" s="375"/>
      <c r="R555" s="376"/>
      <c r="S555" s="583" t="str">
        <f>VLOOKUP(Table13[[#This Row],[Column1]],[1]Sheet1!$A:$AO,19,FALSE)</f>
        <v>N/A</v>
      </c>
      <c r="T555" s="583">
        <f>VLOOKUP(Table13[[#This Row],[Column1]],[1]Sheet1!$A:$AO,20,FALSE)</f>
        <v>45372</v>
      </c>
      <c r="U555" s="583">
        <f>VLOOKUP(Table13[[#This Row],[Column1]],[1]Sheet1!$A:$AO,21,FALSE)</f>
        <v>45377</v>
      </c>
      <c r="V555" s="376"/>
      <c r="W555" s="376"/>
      <c r="X555" s="402"/>
      <c r="Y555" s="402"/>
      <c r="Z555" s="610" t="s">
        <v>1478</v>
      </c>
      <c r="AA555" s="532">
        <f>IF(Table13[[#This Row],[Column2]]="","",SUM(Table13[[#This Row],[Column28]]+Table13[[#This Row],[Column29]]))</f>
        <v>9963</v>
      </c>
      <c r="AB555" s="537"/>
      <c r="AC555" s="502">
        <v>9963</v>
      </c>
      <c r="AD555" s="532">
        <f>IF(Table13[[#This Row],[Column2]]="","",SUM(Table13[[#This Row],[Column31]]+Table13[[#This Row],[Column32]]))</f>
        <v>9720</v>
      </c>
      <c r="AE555" s="501"/>
      <c r="AF555" s="541">
        <v>9720</v>
      </c>
      <c r="AG555" s="405"/>
      <c r="AH555" s="380" t="s">
        <v>1205</v>
      </c>
      <c r="AI555" s="576" t="str">
        <f>VLOOKUP(Table13[[#This Row],[Column1]],[1]Sheet1!$A:$AO,35,FALSE)</f>
        <v>N/A</v>
      </c>
      <c r="AJ555" s="576" t="str">
        <f>VLOOKUP(Table13[[#This Row],[Column1]],[1]Sheet1!$A:$AO,36,FALSE)</f>
        <v>N/A</v>
      </c>
      <c r="AK555" s="576" t="str">
        <f>VLOOKUP(Table13[[#This Row],[Column1]],[1]Sheet1!$A:$AO,37,FALSE)</f>
        <v>N/A</v>
      </c>
      <c r="AL555" s="576" t="str">
        <f>VLOOKUP(Table13[[#This Row],[Column1]],[1]Sheet1!$A:$AO,38,FALSE)</f>
        <v>N/A</v>
      </c>
      <c r="AM555" s="576" t="str">
        <f>VLOOKUP(Table13[[#This Row],[Column1]],[1]Sheet1!$A:$AO,39,FALSE)</f>
        <v>N/A</v>
      </c>
      <c r="AN555" s="576" t="s">
        <v>713</v>
      </c>
      <c r="AO555" s="306" t="s">
        <v>919</v>
      </c>
      <c r="AP555" s="378"/>
      <c r="AQ555" s="237"/>
    </row>
    <row r="556" spans="1:45" s="238" customFormat="1" ht="75" customHeight="1" thickBot="1" x14ac:dyDescent="0.3">
      <c r="A556" s="297" t="s">
        <v>764</v>
      </c>
      <c r="B556" s="627" t="str">
        <f>VLOOKUP(Table13[[#This Row],[Column1]],[1]Sheet1!$A:$AO,2,FALSE)</f>
        <v>MINERAL WATER</v>
      </c>
      <c r="C556" s="298" t="str">
        <f>VLOOKUP(Table13[[#This Row],[Column1]],[1]Sheet1!$A:$AO,3,FALSE)</f>
        <v>PEEMO</v>
      </c>
      <c r="D556" s="298" t="s">
        <v>712</v>
      </c>
      <c r="E556" s="450" t="str">
        <f>VLOOKUP(Table13[[#This Row],[Column1]],[1]Sheet1!$A:$AO,5,FALSE)</f>
        <v>NP-53.9 - Small Value Procurement</v>
      </c>
      <c r="F556" s="446" t="str">
        <f>VLOOKUP(Table13[[#This Row],[Column1]],[1]Sheet1!$A:$AO,6,FALSE)</f>
        <v>N/A</v>
      </c>
      <c r="G556" s="402">
        <f>VLOOKUP(Table13[[#This Row],[Column1]],[1]Sheet1!$A:$AO,7,FALSE)</f>
        <v>45338</v>
      </c>
      <c r="H556" s="374"/>
      <c r="I556" s="402" t="str">
        <f>VLOOKUP(Table13[[#This Row],[Column1]],[1]Sheet1!$A:$AO,9,FALSE)</f>
        <v>N/A</v>
      </c>
      <c r="J556" s="402">
        <f>VLOOKUP(Table13[[#This Row],[Column1]],[1]Sheet1!$A:$AO,10,FALSE)</f>
        <v>45356</v>
      </c>
      <c r="K556" s="402">
        <f>VLOOKUP(Table13[[#This Row],[Column1]],[1]Sheet1!$A:$AO,11,FALSE)</f>
        <v>45356</v>
      </c>
      <c r="L556" s="404"/>
      <c r="M556" s="402" t="str">
        <f>VLOOKUP(Table13[[#This Row],[Column1]],[1]Sheet1!$A:$AO,13,FALSE)</f>
        <v>N/A</v>
      </c>
      <c r="N556" s="402" t="str">
        <f>VLOOKUP(Table13[[#This Row],[Column1]],[1]Sheet1!$A:$AO,14,FALSE)</f>
        <v>N/A</v>
      </c>
      <c r="O556" s="402">
        <f>VLOOKUP(Table13[[#This Row],[Column1]],[1]Sheet1!$A:$AO,15,FALSE)</f>
        <v>45357</v>
      </c>
      <c r="P556" s="375"/>
      <c r="Q556" s="375"/>
      <c r="R556" s="376"/>
      <c r="S556" s="583">
        <f>VLOOKUP(Table13[[#This Row],[Column1]],[1]Sheet1!$A:$AO,19,FALSE)</f>
        <v>45357</v>
      </c>
      <c r="T556" s="583">
        <f>VLOOKUP(Table13[[#This Row],[Column1]],[1]Sheet1!$A:$AO,20,FALSE)</f>
        <v>45372</v>
      </c>
      <c r="U556" s="583">
        <f>VLOOKUP(Table13[[#This Row],[Column1]],[1]Sheet1!$A:$AO,21,FALSE)</f>
        <v>45377</v>
      </c>
      <c r="V556" s="376"/>
      <c r="W556" s="376"/>
      <c r="X556" s="402"/>
      <c r="Y556" s="402"/>
      <c r="Z556" s="610" t="s">
        <v>1478</v>
      </c>
      <c r="AA556" s="532">
        <f>IF(Table13[[#This Row],[Column2]]="","",SUM(Table13[[#This Row],[Column28]]+Table13[[#This Row],[Column29]]))</f>
        <v>50430</v>
      </c>
      <c r="AB556" s="537">
        <v>50430</v>
      </c>
      <c r="AC556" s="502"/>
      <c r="AD556" s="532">
        <f>IF(Table13[[#This Row],[Column2]]="","",SUM(Table13[[#This Row],[Column31]]+Table13[[#This Row],[Column32]]))</f>
        <v>49200</v>
      </c>
      <c r="AE556" s="501">
        <v>49200</v>
      </c>
      <c r="AF556" s="541"/>
      <c r="AG556" s="405"/>
      <c r="AH556" s="380" t="s">
        <v>1205</v>
      </c>
      <c r="AI556" s="576" t="str">
        <f>VLOOKUP(Table13[[#This Row],[Column1]],[1]Sheet1!$A:$AO,35,FALSE)</f>
        <v>N/A</v>
      </c>
      <c r="AJ556" s="576" t="str">
        <f>VLOOKUP(Table13[[#This Row],[Column1]],[1]Sheet1!$A:$AO,36,FALSE)</f>
        <v>N/A</v>
      </c>
      <c r="AK556" s="576" t="str">
        <f>VLOOKUP(Table13[[#This Row],[Column1]],[1]Sheet1!$A:$AO,37,FALSE)</f>
        <v>N/A</v>
      </c>
      <c r="AL556" s="576" t="str">
        <f>VLOOKUP(Table13[[#This Row],[Column1]],[1]Sheet1!$A:$AO,38,FALSE)</f>
        <v>N/A</v>
      </c>
      <c r="AM556" s="576" t="str">
        <f>VLOOKUP(Table13[[#This Row],[Column1]],[1]Sheet1!$A:$AO,39,FALSE)</f>
        <v>N/A</v>
      </c>
      <c r="AN556" s="576" t="s">
        <v>713</v>
      </c>
      <c r="AO556" s="306" t="s">
        <v>919</v>
      </c>
      <c r="AP556" s="378"/>
      <c r="AQ556" s="237"/>
    </row>
    <row r="557" spans="1:45" s="238" customFormat="1" ht="75" customHeight="1" thickBot="1" x14ac:dyDescent="0.3">
      <c r="A557" s="297" t="s">
        <v>765</v>
      </c>
      <c r="B557" s="627" t="str">
        <f>VLOOKUP(Table13[[#This Row],[Column1]],[1]Sheet1!$A:$AO,2,FALSE)</f>
        <v>FOOD/CATERING SERVICES</v>
      </c>
      <c r="C557" s="298" t="str">
        <f>VLOOKUP(Table13[[#This Row],[Column1]],[1]Sheet1!$A:$AO,3,FALSE)</f>
        <v>PGO</v>
      </c>
      <c r="D557" s="298" t="s">
        <v>712</v>
      </c>
      <c r="E557" s="450" t="str">
        <f>VLOOKUP(Table13[[#This Row],[Column1]],[1]Sheet1!$A:$AO,5,FALSE)</f>
        <v>NP-53.9 - Small Value Procurement</v>
      </c>
      <c r="F557" s="446" t="str">
        <f>VLOOKUP(Table13[[#This Row],[Column1]],[1]Sheet1!$A:$AO,6,FALSE)</f>
        <v>N/A</v>
      </c>
      <c r="G557" s="402">
        <f>VLOOKUP(Table13[[#This Row],[Column1]],[1]Sheet1!$A:$AO,7,FALSE)</f>
        <v>45344</v>
      </c>
      <c r="H557" s="374"/>
      <c r="I557" s="402" t="str">
        <f>VLOOKUP(Table13[[#This Row],[Column1]],[1]Sheet1!$A:$AO,9,FALSE)</f>
        <v>N/A</v>
      </c>
      <c r="J557" s="402">
        <f>VLOOKUP(Table13[[#This Row],[Column1]],[1]Sheet1!$A:$AO,10,FALSE)</f>
        <v>45356</v>
      </c>
      <c r="K557" s="402">
        <f>VLOOKUP(Table13[[#This Row],[Column1]],[1]Sheet1!$A:$AO,11,FALSE)</f>
        <v>45356</v>
      </c>
      <c r="L557" s="404"/>
      <c r="M557" s="402" t="str">
        <f>VLOOKUP(Table13[[#This Row],[Column1]],[1]Sheet1!$A:$AO,13,FALSE)</f>
        <v>N/A</v>
      </c>
      <c r="N557" s="402" t="str">
        <f>VLOOKUP(Table13[[#This Row],[Column1]],[1]Sheet1!$A:$AO,14,FALSE)</f>
        <v>N/A</v>
      </c>
      <c r="O557" s="402">
        <f>VLOOKUP(Table13[[#This Row],[Column1]],[1]Sheet1!$A:$AO,15,FALSE)</f>
        <v>45357</v>
      </c>
      <c r="P557" s="375"/>
      <c r="Q557" s="375"/>
      <c r="R557" s="376"/>
      <c r="S557" s="583">
        <f>VLOOKUP(Table13[[#This Row],[Column1]],[1]Sheet1!$A:$AO,19,FALSE)</f>
        <v>45357</v>
      </c>
      <c r="T557" s="583">
        <f>VLOOKUP(Table13[[#This Row],[Column1]],[1]Sheet1!$A:$AO,20,FALSE)</f>
        <v>45364</v>
      </c>
      <c r="U557" s="583">
        <f>VLOOKUP(Table13[[#This Row],[Column1]],[1]Sheet1!$A:$AO,21,FALSE)</f>
        <v>45364</v>
      </c>
      <c r="V557" s="376"/>
      <c r="W557" s="376"/>
      <c r="X557" s="402"/>
      <c r="Y557" s="402"/>
      <c r="Z557" s="610" t="s">
        <v>1478</v>
      </c>
      <c r="AA557" s="532">
        <f>IF(Table13[[#This Row],[Column2]]="","",SUM(Table13[[#This Row],[Column28]]+Table13[[#This Row],[Column29]]))</f>
        <v>150000</v>
      </c>
      <c r="AB557" s="537"/>
      <c r="AC557" s="502">
        <v>150000</v>
      </c>
      <c r="AD557" s="532">
        <f>IF(Table13[[#This Row],[Column2]]="","",SUM(Table13[[#This Row],[Column31]]+Table13[[#This Row],[Column32]]))</f>
        <v>149908.79999999999</v>
      </c>
      <c r="AE557" s="501"/>
      <c r="AF557" s="541">
        <v>149908.79999999999</v>
      </c>
      <c r="AG557" s="405"/>
      <c r="AH557" s="380" t="s">
        <v>1205</v>
      </c>
      <c r="AI557" s="576" t="str">
        <f>VLOOKUP(Table13[[#This Row],[Column1]],[1]Sheet1!$A:$AO,35,FALSE)</f>
        <v>N/A</v>
      </c>
      <c r="AJ557" s="576" t="str">
        <f>VLOOKUP(Table13[[#This Row],[Column1]],[1]Sheet1!$A:$AO,36,FALSE)</f>
        <v>N/A</v>
      </c>
      <c r="AK557" s="576" t="str">
        <f>VLOOKUP(Table13[[#This Row],[Column1]],[1]Sheet1!$A:$AO,37,FALSE)</f>
        <v>N/A</v>
      </c>
      <c r="AL557" s="576" t="str">
        <f>VLOOKUP(Table13[[#This Row],[Column1]],[1]Sheet1!$A:$AO,38,FALSE)</f>
        <v>N/A</v>
      </c>
      <c r="AM557" s="576" t="str">
        <f>VLOOKUP(Table13[[#This Row],[Column1]],[1]Sheet1!$A:$AO,39,FALSE)</f>
        <v>N/A</v>
      </c>
      <c r="AN557" s="576" t="s">
        <v>713</v>
      </c>
      <c r="AO557" s="306" t="s">
        <v>919</v>
      </c>
      <c r="AP557" s="378"/>
      <c r="AQ557" s="237"/>
    </row>
    <row r="558" spans="1:45" s="238" customFormat="1" ht="75" customHeight="1" thickBot="1" x14ac:dyDescent="0.3">
      <c r="A558" s="297" t="s">
        <v>766</v>
      </c>
      <c r="B558" s="627" t="str">
        <f>VLOOKUP(Table13[[#This Row],[Column1]],[1]Sheet1!$A:$AO,2,FALSE)</f>
        <v>TARPAULIN</v>
      </c>
      <c r="C558" s="298" t="str">
        <f>VLOOKUP(Table13[[#This Row],[Column1]],[1]Sheet1!$A:$AO,3,FALSE)</f>
        <v>PHRMDO</v>
      </c>
      <c r="D558" s="298" t="s">
        <v>712</v>
      </c>
      <c r="E558" s="450" t="str">
        <f>VLOOKUP(Table13[[#This Row],[Column1]],[1]Sheet1!$A:$AO,5,FALSE)</f>
        <v>NP-53.9 - Small Value Procurement</v>
      </c>
      <c r="F558" s="446" t="str">
        <f>VLOOKUP(Table13[[#This Row],[Column1]],[1]Sheet1!$A:$AO,6,FALSE)</f>
        <v>N/A</v>
      </c>
      <c r="G558" s="402">
        <f>VLOOKUP(Table13[[#This Row],[Column1]],[1]Sheet1!$A:$AO,7,FALSE)</f>
        <v>45344</v>
      </c>
      <c r="H558" s="374"/>
      <c r="I558" s="402" t="str">
        <f>VLOOKUP(Table13[[#This Row],[Column1]],[1]Sheet1!$A:$AO,9,FALSE)</f>
        <v>N/A</v>
      </c>
      <c r="J558" s="402">
        <f>VLOOKUP(Table13[[#This Row],[Column1]],[1]Sheet1!$A:$AO,10,FALSE)</f>
        <v>45356</v>
      </c>
      <c r="K558" s="402">
        <f>VLOOKUP(Table13[[#This Row],[Column1]],[1]Sheet1!$A:$AO,11,FALSE)</f>
        <v>45356</v>
      </c>
      <c r="L558" s="404"/>
      <c r="M558" s="402" t="str">
        <f>VLOOKUP(Table13[[#This Row],[Column1]],[1]Sheet1!$A:$AO,13,FALSE)</f>
        <v>N/A</v>
      </c>
      <c r="N558" s="402" t="str">
        <f>VLOOKUP(Table13[[#This Row],[Column1]],[1]Sheet1!$A:$AO,14,FALSE)</f>
        <v>N/A</v>
      </c>
      <c r="O558" s="402">
        <f>VLOOKUP(Table13[[#This Row],[Column1]],[1]Sheet1!$A:$AO,15,FALSE)</f>
        <v>45357</v>
      </c>
      <c r="P558" s="375"/>
      <c r="Q558" s="375"/>
      <c r="R558" s="376"/>
      <c r="S558" s="583" t="str">
        <f>VLOOKUP(Table13[[#This Row],[Column1]],[1]Sheet1!$A:$AO,19,FALSE)</f>
        <v>N/A</v>
      </c>
      <c r="T558" s="583">
        <f>VLOOKUP(Table13[[#This Row],[Column1]],[1]Sheet1!$A:$AO,20,FALSE)</f>
        <v>45366</v>
      </c>
      <c r="U558" s="583">
        <f>VLOOKUP(Table13[[#This Row],[Column1]],[1]Sheet1!$A:$AO,21,FALSE)</f>
        <v>45370</v>
      </c>
      <c r="V558" s="376"/>
      <c r="W558" s="376"/>
      <c r="X558" s="402"/>
      <c r="Y558" s="402"/>
      <c r="Z558" s="610" t="s">
        <v>1478</v>
      </c>
      <c r="AA558" s="532">
        <f>IF(Table13[[#This Row],[Column2]]="","",SUM(Table13[[#This Row],[Column28]]+Table13[[#This Row],[Column29]]))</f>
        <v>49840</v>
      </c>
      <c r="AB558" s="537"/>
      <c r="AC558" s="502">
        <v>49840</v>
      </c>
      <c r="AD558" s="532">
        <f>IF(Table13[[#This Row],[Column2]]="","",SUM(Table13[[#This Row],[Column31]]+Table13[[#This Row],[Column32]]))</f>
        <v>48060</v>
      </c>
      <c r="AE558" s="501"/>
      <c r="AF558" s="541">
        <v>48060</v>
      </c>
      <c r="AG558" s="405"/>
      <c r="AH558" s="380" t="s">
        <v>1205</v>
      </c>
      <c r="AI558" s="576" t="str">
        <f>VLOOKUP(Table13[[#This Row],[Column1]],[1]Sheet1!$A:$AO,35,FALSE)</f>
        <v>N/A</v>
      </c>
      <c r="AJ558" s="576" t="str">
        <f>VLOOKUP(Table13[[#This Row],[Column1]],[1]Sheet1!$A:$AO,36,FALSE)</f>
        <v>N/A</v>
      </c>
      <c r="AK558" s="576" t="str">
        <f>VLOOKUP(Table13[[#This Row],[Column1]],[1]Sheet1!$A:$AO,37,FALSE)</f>
        <v>N/A</v>
      </c>
      <c r="AL558" s="576" t="str">
        <f>VLOOKUP(Table13[[#This Row],[Column1]],[1]Sheet1!$A:$AO,38,FALSE)</f>
        <v>N/A</v>
      </c>
      <c r="AM558" s="576" t="str">
        <f>VLOOKUP(Table13[[#This Row],[Column1]],[1]Sheet1!$A:$AO,39,FALSE)</f>
        <v>N/A</v>
      </c>
      <c r="AN558" s="576" t="s">
        <v>713</v>
      </c>
      <c r="AO558" s="306" t="s">
        <v>919</v>
      </c>
      <c r="AP558" s="378"/>
      <c r="AQ558" s="237"/>
    </row>
    <row r="559" spans="1:45" s="238" customFormat="1" ht="75" customHeight="1" thickBot="1" x14ac:dyDescent="0.3">
      <c r="A559" s="297" t="s">
        <v>767</v>
      </c>
      <c r="B559" s="627" t="str">
        <f>VLOOKUP(Table13[[#This Row],[Column1]],[1]Sheet1!$A:$AO,2,FALSE)</f>
        <v>AGRICULTURAL SUPPLIES</v>
      </c>
      <c r="C559" s="298" t="str">
        <f>VLOOKUP(Table13[[#This Row],[Column1]],[1]Sheet1!$A:$AO,3,FALSE)</f>
        <v>PENRO</v>
      </c>
      <c r="D559" s="298" t="s">
        <v>712</v>
      </c>
      <c r="E559" s="450" t="str">
        <f>VLOOKUP(Table13[[#This Row],[Column1]],[1]Sheet1!$A:$AO,5,FALSE)</f>
        <v>NP-53.9 - Small Value Procurement</v>
      </c>
      <c r="F559" s="446" t="str">
        <f>VLOOKUP(Table13[[#This Row],[Column1]],[1]Sheet1!$A:$AO,6,FALSE)</f>
        <v>N/A</v>
      </c>
      <c r="G559" s="402">
        <f>VLOOKUP(Table13[[#This Row],[Column1]],[1]Sheet1!$A:$AO,7,FALSE)</f>
        <v>45344</v>
      </c>
      <c r="H559" s="374"/>
      <c r="I559" s="402" t="str">
        <f>VLOOKUP(Table13[[#This Row],[Column1]],[1]Sheet1!$A:$AO,9,FALSE)</f>
        <v>N/A</v>
      </c>
      <c r="J559" s="402">
        <f>VLOOKUP(Table13[[#This Row],[Column1]],[1]Sheet1!$A:$AO,10,FALSE)</f>
        <v>45356</v>
      </c>
      <c r="K559" s="402">
        <f>VLOOKUP(Table13[[#This Row],[Column1]],[1]Sheet1!$A:$AO,11,FALSE)</f>
        <v>45356</v>
      </c>
      <c r="L559" s="404"/>
      <c r="M559" s="402" t="str">
        <f>VLOOKUP(Table13[[#This Row],[Column1]],[1]Sheet1!$A:$AO,13,FALSE)</f>
        <v>N/A</v>
      </c>
      <c r="N559" s="402" t="str">
        <f>VLOOKUP(Table13[[#This Row],[Column1]],[1]Sheet1!$A:$AO,14,FALSE)</f>
        <v>N/A</v>
      </c>
      <c r="O559" s="402">
        <f>VLOOKUP(Table13[[#This Row],[Column1]],[1]Sheet1!$A:$AO,15,FALSE)</f>
        <v>45357</v>
      </c>
      <c r="P559" s="375"/>
      <c r="Q559" s="375"/>
      <c r="R559" s="376"/>
      <c r="S559" s="583" t="str">
        <f>VLOOKUP(Table13[[#This Row],[Column1]],[1]Sheet1!$A:$AO,19,FALSE)</f>
        <v>N/A</v>
      </c>
      <c r="T559" s="583">
        <f>VLOOKUP(Table13[[#This Row],[Column1]],[1]Sheet1!$A:$AO,20,FALSE)</f>
        <v>45372</v>
      </c>
      <c r="U559" s="583">
        <f>VLOOKUP(Table13[[#This Row],[Column1]],[1]Sheet1!$A:$AO,21,FALSE)</f>
        <v>45373</v>
      </c>
      <c r="V559" s="376"/>
      <c r="W559" s="376"/>
      <c r="X559" s="402"/>
      <c r="Y559" s="402"/>
      <c r="Z559" s="610" t="s">
        <v>1478</v>
      </c>
      <c r="AA559" s="532">
        <f>IF(Table13[[#This Row],[Column2]]="","",SUM(Table13[[#This Row],[Column28]]+Table13[[#This Row],[Column29]]))</f>
        <v>6348</v>
      </c>
      <c r="AB559" s="537"/>
      <c r="AC559" s="502">
        <v>6348</v>
      </c>
      <c r="AD559" s="532">
        <f>IF(Table13[[#This Row],[Column2]]="","",SUM(Table13[[#This Row],[Column31]]+Table13[[#This Row],[Column32]]))</f>
        <v>6320</v>
      </c>
      <c r="AE559" s="501"/>
      <c r="AF559" s="541">
        <v>6320</v>
      </c>
      <c r="AG559" s="405"/>
      <c r="AH559" s="380" t="s">
        <v>1205</v>
      </c>
      <c r="AI559" s="576" t="str">
        <f>VLOOKUP(Table13[[#This Row],[Column1]],[1]Sheet1!$A:$AO,35,FALSE)</f>
        <v>N/A</v>
      </c>
      <c r="AJ559" s="576" t="str">
        <f>VLOOKUP(Table13[[#This Row],[Column1]],[1]Sheet1!$A:$AO,36,FALSE)</f>
        <v>N/A</v>
      </c>
      <c r="AK559" s="576" t="str">
        <f>VLOOKUP(Table13[[#This Row],[Column1]],[1]Sheet1!$A:$AO,37,FALSE)</f>
        <v>N/A</v>
      </c>
      <c r="AL559" s="576" t="str">
        <f>VLOOKUP(Table13[[#This Row],[Column1]],[1]Sheet1!$A:$AO,38,FALSE)</f>
        <v>N/A</v>
      </c>
      <c r="AM559" s="576" t="str">
        <f>VLOOKUP(Table13[[#This Row],[Column1]],[1]Sheet1!$A:$AO,39,FALSE)</f>
        <v>N/A</v>
      </c>
      <c r="AN559" s="576" t="s">
        <v>713</v>
      </c>
      <c r="AO559" s="306" t="s">
        <v>919</v>
      </c>
      <c r="AP559" s="378"/>
      <c r="AQ559" s="237"/>
    </row>
    <row r="560" spans="1:45" s="238" customFormat="1" ht="75" customHeight="1" thickBot="1" x14ac:dyDescent="0.3">
      <c r="A560" s="297" t="s">
        <v>768</v>
      </c>
      <c r="B560" s="627" t="str">
        <f>VLOOKUP(Table13[[#This Row],[Column1]],[1]Sheet1!$A:$AO,2,FALSE)</f>
        <v>WATER</v>
      </c>
      <c r="C560" s="298" t="str">
        <f>VLOOKUP(Table13[[#This Row],[Column1]],[1]Sheet1!$A:$AO,3,FALSE)</f>
        <v>SPO</v>
      </c>
      <c r="D560" s="298" t="s">
        <v>712</v>
      </c>
      <c r="E560" s="450" t="str">
        <f>VLOOKUP(Table13[[#This Row],[Column1]],[1]Sheet1!$A:$AO,5,FALSE)</f>
        <v>NP-53.9 - Small Value Procurement</v>
      </c>
      <c r="F560" s="446" t="str">
        <f>VLOOKUP(Table13[[#This Row],[Column1]],[1]Sheet1!$A:$AO,6,FALSE)</f>
        <v>N/A</v>
      </c>
      <c r="G560" s="402">
        <f>VLOOKUP(Table13[[#This Row],[Column1]],[1]Sheet1!$A:$AO,7,FALSE)</f>
        <v>45337</v>
      </c>
      <c r="H560" s="374"/>
      <c r="I560" s="402" t="str">
        <f>VLOOKUP(Table13[[#This Row],[Column1]],[1]Sheet1!$A:$AO,9,FALSE)</f>
        <v>N/A</v>
      </c>
      <c r="J560" s="402">
        <f>VLOOKUP(Table13[[#This Row],[Column1]],[1]Sheet1!$A:$AO,10,FALSE)</f>
        <v>45356</v>
      </c>
      <c r="K560" s="402">
        <f>VLOOKUP(Table13[[#This Row],[Column1]],[1]Sheet1!$A:$AO,11,FALSE)</f>
        <v>45356</v>
      </c>
      <c r="L560" s="404"/>
      <c r="M560" s="402" t="str">
        <f>VLOOKUP(Table13[[#This Row],[Column1]],[1]Sheet1!$A:$AO,13,FALSE)</f>
        <v>N/A</v>
      </c>
      <c r="N560" s="402" t="str">
        <f>VLOOKUP(Table13[[#This Row],[Column1]],[1]Sheet1!$A:$AO,14,FALSE)</f>
        <v>N/A</v>
      </c>
      <c r="O560" s="402">
        <f>VLOOKUP(Table13[[#This Row],[Column1]],[1]Sheet1!$A:$AO,15,FALSE)</f>
        <v>45357</v>
      </c>
      <c r="P560" s="375"/>
      <c r="Q560" s="375"/>
      <c r="R560" s="376"/>
      <c r="S560" s="583" t="str">
        <f>VLOOKUP(Table13[[#This Row],[Column1]],[1]Sheet1!$A:$AO,19,FALSE)</f>
        <v>N/A</v>
      </c>
      <c r="T560" s="583">
        <f>VLOOKUP(Table13[[#This Row],[Column1]],[1]Sheet1!$A:$AO,20,FALSE)</f>
        <v>45372</v>
      </c>
      <c r="U560" s="583">
        <f>VLOOKUP(Table13[[#This Row],[Column1]],[1]Sheet1!$A:$AO,21,FALSE)</f>
        <v>45420</v>
      </c>
      <c r="V560" s="376"/>
      <c r="W560" s="376"/>
      <c r="X560" s="402"/>
      <c r="Y560" s="402"/>
      <c r="Z560" s="610" t="s">
        <v>1478</v>
      </c>
      <c r="AA560" s="532">
        <f>IF(Table13[[#This Row],[Column2]]="","",SUM(Table13[[#This Row],[Column28]]+Table13[[#This Row],[Column29]]))</f>
        <v>4961</v>
      </c>
      <c r="AB560" s="537">
        <v>4961</v>
      </c>
      <c r="AC560" s="502"/>
      <c r="AD560" s="532">
        <f>IF(Table13[[#This Row],[Column2]]="","",SUM(Table13[[#This Row],[Column31]]+Table13[[#This Row],[Column32]]))</f>
        <v>4840</v>
      </c>
      <c r="AE560" s="501">
        <v>4840</v>
      </c>
      <c r="AF560" s="541"/>
      <c r="AG560" s="405"/>
      <c r="AH560" s="380" t="s">
        <v>1205</v>
      </c>
      <c r="AI560" s="576" t="str">
        <f>VLOOKUP(Table13[[#This Row],[Column1]],[1]Sheet1!$A:$AO,35,FALSE)</f>
        <v>N/A</v>
      </c>
      <c r="AJ560" s="576" t="str">
        <f>VLOOKUP(Table13[[#This Row],[Column1]],[1]Sheet1!$A:$AO,36,FALSE)</f>
        <v>N/A</v>
      </c>
      <c r="AK560" s="576" t="str">
        <f>VLOOKUP(Table13[[#This Row],[Column1]],[1]Sheet1!$A:$AO,37,FALSE)</f>
        <v>N/A</v>
      </c>
      <c r="AL560" s="576" t="str">
        <f>VLOOKUP(Table13[[#This Row],[Column1]],[1]Sheet1!$A:$AO,38,FALSE)</f>
        <v>N/A</v>
      </c>
      <c r="AM560" s="576" t="str">
        <f>VLOOKUP(Table13[[#This Row],[Column1]],[1]Sheet1!$A:$AO,39,FALSE)</f>
        <v>N/A</v>
      </c>
      <c r="AN560" s="576" t="s">
        <v>713</v>
      </c>
      <c r="AO560" s="306" t="s">
        <v>919</v>
      </c>
      <c r="AP560" s="378"/>
      <c r="AQ560" s="237"/>
    </row>
    <row r="561" spans="1:43" s="238" customFormat="1" ht="75" customHeight="1" thickBot="1" x14ac:dyDescent="0.3">
      <c r="A561" s="297" t="s">
        <v>769</v>
      </c>
      <c r="B561" s="627" t="str">
        <f>VLOOKUP(Table13[[#This Row],[Column1]],[1]Sheet1!$A:$AO,2,FALSE)</f>
        <v>OFFICE SUPPLIES</v>
      </c>
      <c r="C561" s="298" t="str">
        <f>VLOOKUP(Table13[[#This Row],[Column1]],[1]Sheet1!$A:$AO,3,FALSE)</f>
        <v>COA</v>
      </c>
      <c r="D561" s="298" t="s">
        <v>712</v>
      </c>
      <c r="E561" s="450" t="str">
        <f>VLOOKUP(Table13[[#This Row],[Column1]],[1]Sheet1!$A:$AO,5,FALSE)</f>
        <v>Shopping 52.1(b) - Regular Office Supplies and Equipment no available in PS</v>
      </c>
      <c r="F561" s="446">
        <f>VLOOKUP(Table13[[#This Row],[Column1]],[1]Sheet1!$A:$AO,6,FALSE)</f>
        <v>45330</v>
      </c>
      <c r="G561" s="402">
        <f>VLOOKUP(Table13[[#This Row],[Column1]],[1]Sheet1!$A:$AO,7,FALSE)</f>
        <v>45335</v>
      </c>
      <c r="H561" s="374"/>
      <c r="I561" s="402" t="str">
        <f>VLOOKUP(Table13[[#This Row],[Column1]],[1]Sheet1!$A:$AO,9,FALSE)</f>
        <v>N/A</v>
      </c>
      <c r="J561" s="402">
        <f>VLOOKUP(Table13[[#This Row],[Column1]],[1]Sheet1!$A:$AO,10,FALSE)</f>
        <v>45356</v>
      </c>
      <c r="K561" s="402">
        <f>VLOOKUP(Table13[[#This Row],[Column1]],[1]Sheet1!$A:$AO,11,FALSE)</f>
        <v>45356</v>
      </c>
      <c r="L561" s="404"/>
      <c r="M561" s="402" t="str">
        <f>VLOOKUP(Table13[[#This Row],[Column1]],[1]Sheet1!$A:$AO,13,FALSE)</f>
        <v>N/A</v>
      </c>
      <c r="N561" s="402" t="str">
        <f>VLOOKUP(Table13[[#This Row],[Column1]],[1]Sheet1!$A:$AO,14,FALSE)</f>
        <v>N/A</v>
      </c>
      <c r="O561" s="402">
        <f>VLOOKUP(Table13[[#This Row],[Column1]],[1]Sheet1!$A:$AO,15,FALSE)</f>
        <v>45357</v>
      </c>
      <c r="P561" s="375"/>
      <c r="Q561" s="375"/>
      <c r="R561" s="376"/>
      <c r="S561" s="583" t="str">
        <f>VLOOKUP(Table13[[#This Row],[Column1]],[1]Sheet1!$A:$AO,19,FALSE)</f>
        <v>N/A</v>
      </c>
      <c r="T561" s="583">
        <f>VLOOKUP(Table13[[#This Row],[Column1]],[1]Sheet1!$A:$AO,20,FALSE)</f>
        <v>45385</v>
      </c>
      <c r="U561" s="583">
        <f>VLOOKUP(Table13[[#This Row],[Column1]],[1]Sheet1!$A:$AO,21,FALSE)</f>
        <v>45384</v>
      </c>
      <c r="V561" s="376"/>
      <c r="W561" s="376"/>
      <c r="X561" s="402"/>
      <c r="Y561" s="402"/>
      <c r="Z561" s="610" t="s">
        <v>1478</v>
      </c>
      <c r="AA561" s="532">
        <f>IF(Table13[[#This Row],[Column2]]="","",SUM(Table13[[#This Row],[Column28]]+Table13[[#This Row],[Column29]]))</f>
        <v>25130</v>
      </c>
      <c r="AB561" s="537">
        <v>25130</v>
      </c>
      <c r="AC561" s="502"/>
      <c r="AD561" s="532">
        <f>IF(Table13[[#This Row],[Column2]]="","",SUM(Table13[[#This Row],[Column31]]+Table13[[#This Row],[Column32]]))</f>
        <v>25130</v>
      </c>
      <c r="AE561" s="501">
        <v>25130</v>
      </c>
      <c r="AF561" s="541"/>
      <c r="AG561" s="405"/>
      <c r="AH561" s="380" t="s">
        <v>1205</v>
      </c>
      <c r="AI561" s="576" t="str">
        <f>VLOOKUP(Table13[[#This Row],[Column1]],[1]Sheet1!$A:$AO,35,FALSE)</f>
        <v>N/A</v>
      </c>
      <c r="AJ561" s="576" t="str">
        <f>VLOOKUP(Table13[[#This Row],[Column1]],[1]Sheet1!$A:$AO,36,FALSE)</f>
        <v>N/A</v>
      </c>
      <c r="AK561" s="576" t="str">
        <f>VLOOKUP(Table13[[#This Row],[Column1]],[1]Sheet1!$A:$AO,37,FALSE)</f>
        <v>N/A</v>
      </c>
      <c r="AL561" s="576" t="str">
        <f>VLOOKUP(Table13[[#This Row],[Column1]],[1]Sheet1!$A:$AO,38,FALSE)</f>
        <v>N/A</v>
      </c>
      <c r="AM561" s="576" t="str">
        <f>VLOOKUP(Table13[[#This Row],[Column1]],[1]Sheet1!$A:$AO,39,FALSE)</f>
        <v>N/A</v>
      </c>
      <c r="AN561" s="576" t="s">
        <v>713</v>
      </c>
      <c r="AO561" s="306" t="s">
        <v>919</v>
      </c>
      <c r="AP561" s="378"/>
      <c r="AQ561" s="237"/>
    </row>
    <row r="562" spans="1:43" s="238" customFormat="1" ht="75" customHeight="1" thickBot="1" x14ac:dyDescent="0.3">
      <c r="A562" s="297" t="s">
        <v>770</v>
      </c>
      <c r="B562" s="627" t="str">
        <f>VLOOKUP(Table13[[#This Row],[Column1]],[1]Sheet1!$A:$AO,2,FALSE)</f>
        <v>GAS</v>
      </c>
      <c r="C562" s="298" t="str">
        <f>VLOOKUP(Table13[[#This Row],[Column1]],[1]Sheet1!$A:$AO,3,FALSE)</f>
        <v>PEO-GA</v>
      </c>
      <c r="D562" s="298" t="s">
        <v>712</v>
      </c>
      <c r="E562" s="450" t="str">
        <f>VLOOKUP(Table13[[#This Row],[Column1]],[1]Sheet1!$A:$AO,5,FALSE)</f>
        <v>Direct Contracting</v>
      </c>
      <c r="F562" s="446">
        <f>VLOOKUP(Table13[[#This Row],[Column1]],[1]Sheet1!$A:$AO,6,FALSE)</f>
        <v>45335</v>
      </c>
      <c r="G562" s="402">
        <f>VLOOKUP(Table13[[#This Row],[Column1]],[1]Sheet1!$A:$AO,7,FALSE)</f>
        <v>45337</v>
      </c>
      <c r="H562" s="374"/>
      <c r="I562" s="402" t="str">
        <f>VLOOKUP(Table13[[#This Row],[Column1]],[1]Sheet1!$A:$AO,9,FALSE)</f>
        <v>N/A</v>
      </c>
      <c r="J562" s="402">
        <f>VLOOKUP(Table13[[#This Row],[Column1]],[1]Sheet1!$A:$AO,10,FALSE)</f>
        <v>45356</v>
      </c>
      <c r="K562" s="402">
        <f>VLOOKUP(Table13[[#This Row],[Column1]],[1]Sheet1!$A:$AO,11,FALSE)</f>
        <v>45356</v>
      </c>
      <c r="L562" s="404"/>
      <c r="M562" s="402" t="str">
        <f>VLOOKUP(Table13[[#This Row],[Column1]],[1]Sheet1!$A:$AO,13,FALSE)</f>
        <v>N/A</v>
      </c>
      <c r="N562" s="402" t="str">
        <f>VLOOKUP(Table13[[#This Row],[Column1]],[1]Sheet1!$A:$AO,14,FALSE)</f>
        <v>N/A</v>
      </c>
      <c r="O562" s="402">
        <f>VLOOKUP(Table13[[#This Row],[Column1]],[1]Sheet1!$A:$AO,15,FALSE)</f>
        <v>45357</v>
      </c>
      <c r="P562" s="375"/>
      <c r="Q562" s="375"/>
      <c r="R562" s="376"/>
      <c r="S562" s="583" t="str">
        <f>VLOOKUP(Table13[[#This Row],[Column1]],[1]Sheet1!$A:$AO,19,FALSE)</f>
        <v>N/A</v>
      </c>
      <c r="T562" s="583">
        <f>VLOOKUP(Table13[[#This Row],[Column1]],[1]Sheet1!$A:$AO,20,FALSE)</f>
        <v>45376</v>
      </c>
      <c r="U562" s="583">
        <f>VLOOKUP(Table13[[#This Row],[Column1]],[1]Sheet1!$A:$AO,21,FALSE)</f>
        <v>45385</v>
      </c>
      <c r="V562" s="376"/>
      <c r="W562" s="376"/>
      <c r="X562" s="402"/>
      <c r="Y562" s="402"/>
      <c r="Z562" s="610" t="s">
        <v>1478</v>
      </c>
      <c r="AA562" s="532">
        <f>IF(Table13[[#This Row],[Column2]]="","",SUM(Table13[[#This Row],[Column28]]+Table13[[#This Row],[Column29]]))</f>
        <v>36060</v>
      </c>
      <c r="AB562" s="537">
        <v>36060</v>
      </c>
      <c r="AC562" s="502"/>
      <c r="AD562" s="532">
        <f>IF(Table13[[#This Row],[Column2]]="","",SUM(Table13[[#This Row],[Column31]]+Table13[[#This Row],[Column32]]))</f>
        <v>36060</v>
      </c>
      <c r="AE562" s="501">
        <v>36060</v>
      </c>
      <c r="AF562" s="541"/>
      <c r="AG562" s="405"/>
      <c r="AH562" s="380" t="s">
        <v>1205</v>
      </c>
      <c r="AI562" s="576" t="str">
        <f>VLOOKUP(Table13[[#This Row],[Column1]],[1]Sheet1!$A:$AO,35,FALSE)</f>
        <v>N/A</v>
      </c>
      <c r="AJ562" s="576" t="str">
        <f>VLOOKUP(Table13[[#This Row],[Column1]],[1]Sheet1!$A:$AO,36,FALSE)</f>
        <v>N/A</v>
      </c>
      <c r="AK562" s="576" t="str">
        <f>VLOOKUP(Table13[[#This Row],[Column1]],[1]Sheet1!$A:$AO,37,FALSE)</f>
        <v>N/A</v>
      </c>
      <c r="AL562" s="576" t="str">
        <f>VLOOKUP(Table13[[#This Row],[Column1]],[1]Sheet1!$A:$AO,38,FALSE)</f>
        <v>N/A</v>
      </c>
      <c r="AM562" s="576" t="str">
        <f>VLOOKUP(Table13[[#This Row],[Column1]],[1]Sheet1!$A:$AO,39,FALSE)</f>
        <v>N/A</v>
      </c>
      <c r="AN562" s="576" t="s">
        <v>713</v>
      </c>
      <c r="AO562" s="306" t="s">
        <v>919</v>
      </c>
      <c r="AP562" s="378"/>
      <c r="AQ562" s="237"/>
    </row>
    <row r="563" spans="1:43" s="238" customFormat="1" ht="75" customHeight="1" thickBot="1" x14ac:dyDescent="0.3">
      <c r="A563" s="297" t="s">
        <v>771</v>
      </c>
      <c r="B563" s="627" t="str">
        <f>VLOOKUP(Table13[[#This Row],[Column1]],[1]Sheet1!$A:$AO,2,FALSE)</f>
        <v>SPAREPARTS (MOTORCYCLE)</v>
      </c>
      <c r="C563" s="298" t="str">
        <f>VLOOKUP(Table13[[#This Row],[Column1]],[1]Sheet1!$A:$AO,3,FALSE)</f>
        <v>PGSO</v>
      </c>
      <c r="D563" s="298" t="s">
        <v>712</v>
      </c>
      <c r="E563" s="450" t="str">
        <f>VLOOKUP(Table13[[#This Row],[Column1]],[1]Sheet1!$A:$AO,5,FALSE)</f>
        <v>Shopping 52.1(a) - Unforeseen Contingency</v>
      </c>
      <c r="F563" s="446" t="str">
        <f>VLOOKUP(Table13[[#This Row],[Column1]],[1]Sheet1!$A:$AO,6,FALSE)</f>
        <v>N/A</v>
      </c>
      <c r="G563" s="402">
        <f>VLOOKUP(Table13[[#This Row],[Column1]],[1]Sheet1!$A:$AO,7,FALSE)</f>
        <v>45352</v>
      </c>
      <c r="H563" s="374"/>
      <c r="I563" s="402" t="str">
        <f>VLOOKUP(Table13[[#This Row],[Column1]],[1]Sheet1!$A:$AO,9,FALSE)</f>
        <v>N/A</v>
      </c>
      <c r="J563" s="402">
        <f>VLOOKUP(Table13[[#This Row],[Column1]],[1]Sheet1!$A:$AO,10,FALSE)</f>
        <v>45370</v>
      </c>
      <c r="K563" s="402">
        <f>VLOOKUP(Table13[[#This Row],[Column1]],[1]Sheet1!$A:$AO,11,FALSE)</f>
        <v>45370</v>
      </c>
      <c r="L563" s="404"/>
      <c r="M563" s="402" t="str">
        <f>VLOOKUP(Table13[[#This Row],[Column1]],[1]Sheet1!$A:$AO,13,FALSE)</f>
        <v>N/A</v>
      </c>
      <c r="N563" s="402" t="str">
        <f>VLOOKUP(Table13[[#This Row],[Column1]],[1]Sheet1!$A:$AO,14,FALSE)</f>
        <v>N/A</v>
      </c>
      <c r="O563" s="402">
        <f>VLOOKUP(Table13[[#This Row],[Column1]],[1]Sheet1!$A:$AO,15,FALSE)</f>
        <v>45372</v>
      </c>
      <c r="P563" s="375"/>
      <c r="Q563" s="375"/>
      <c r="R563" s="376"/>
      <c r="S563" s="583" t="str">
        <f>VLOOKUP(Table13[[#This Row],[Column1]],[1]Sheet1!$A:$AO,19,FALSE)</f>
        <v>N/A</v>
      </c>
      <c r="T563" s="583">
        <f>VLOOKUP(Table13[[#This Row],[Column1]],[1]Sheet1!$A:$AO,20,FALSE)</f>
        <v>45407</v>
      </c>
      <c r="U563" s="583">
        <f>VLOOKUP(Table13[[#This Row],[Column1]],[1]Sheet1!$A:$AO,21,FALSE)</f>
        <v>45412</v>
      </c>
      <c r="V563" s="376"/>
      <c r="W563" s="376"/>
      <c r="X563" s="402"/>
      <c r="Y563" s="402"/>
      <c r="Z563" s="610" t="s">
        <v>1478</v>
      </c>
      <c r="AA563" s="532">
        <f>IF(Table13[[#This Row],[Column2]]="","",SUM(Table13[[#This Row],[Column28]]+Table13[[#This Row],[Column29]]))</f>
        <v>14985</v>
      </c>
      <c r="AB563" s="537">
        <v>14985</v>
      </c>
      <c r="AC563" s="502"/>
      <c r="AD563" s="532">
        <f>IF(Table13[[#This Row],[Column2]]="","",SUM(Table13[[#This Row],[Column31]]+Table13[[#This Row],[Column32]]))</f>
        <v>14985</v>
      </c>
      <c r="AE563" s="501">
        <v>14985</v>
      </c>
      <c r="AF563" s="541"/>
      <c r="AG563" s="405"/>
      <c r="AH563" s="380" t="s">
        <v>1205</v>
      </c>
      <c r="AI563" s="576" t="str">
        <f>VLOOKUP(Table13[[#This Row],[Column1]],[1]Sheet1!$A:$AO,35,FALSE)</f>
        <v>N/A</v>
      </c>
      <c r="AJ563" s="576" t="str">
        <f>VLOOKUP(Table13[[#This Row],[Column1]],[1]Sheet1!$A:$AO,36,FALSE)</f>
        <v>N/A</v>
      </c>
      <c r="AK563" s="576" t="str">
        <f>VLOOKUP(Table13[[#This Row],[Column1]],[1]Sheet1!$A:$AO,37,FALSE)</f>
        <v>N/A</v>
      </c>
      <c r="AL563" s="576" t="str">
        <f>VLOOKUP(Table13[[#This Row],[Column1]],[1]Sheet1!$A:$AO,38,FALSE)</f>
        <v>N/A</v>
      </c>
      <c r="AM563" s="576" t="str">
        <f>VLOOKUP(Table13[[#This Row],[Column1]],[1]Sheet1!$A:$AO,39,FALSE)</f>
        <v>N/A</v>
      </c>
      <c r="AN563" s="576" t="s">
        <v>713</v>
      </c>
      <c r="AO563" s="306" t="s">
        <v>919</v>
      </c>
      <c r="AP563" s="378"/>
      <c r="AQ563" s="237"/>
    </row>
    <row r="564" spans="1:43" s="238" customFormat="1" ht="75" customHeight="1" thickBot="1" x14ac:dyDescent="0.3">
      <c r="A564" s="297" t="s">
        <v>772</v>
      </c>
      <c r="B564" s="627" t="str">
        <f>VLOOKUP(Table13[[#This Row],[Column1]],[1]Sheet1!$A:$AO,2,FALSE)</f>
        <v>SPAREPARTS (LIGHT VEHICLES)</v>
      </c>
      <c r="C564" s="298" t="str">
        <f>VLOOKUP(Table13[[#This Row],[Column1]],[1]Sheet1!$A:$AO,3,FALSE)</f>
        <v>PGSO</v>
      </c>
      <c r="D564" s="298" t="s">
        <v>712</v>
      </c>
      <c r="E564" s="450" t="str">
        <f>VLOOKUP(Table13[[#This Row],[Column1]],[1]Sheet1!$A:$AO,5,FALSE)</f>
        <v>Shopping 52.1(a) - Unforeseen Contingency</v>
      </c>
      <c r="F564" s="446" t="str">
        <f>VLOOKUP(Table13[[#This Row],[Column1]],[1]Sheet1!$A:$AO,6,FALSE)</f>
        <v>N/A</v>
      </c>
      <c r="G564" s="402">
        <f>VLOOKUP(Table13[[#This Row],[Column1]],[1]Sheet1!$A:$AO,7,FALSE)</f>
        <v>45352</v>
      </c>
      <c r="H564" s="374"/>
      <c r="I564" s="402" t="str">
        <f>VLOOKUP(Table13[[#This Row],[Column1]],[1]Sheet1!$A:$AO,9,FALSE)</f>
        <v>N/A</v>
      </c>
      <c r="J564" s="402">
        <f>VLOOKUP(Table13[[#This Row],[Column1]],[1]Sheet1!$A:$AO,10,FALSE)</f>
        <v>45370</v>
      </c>
      <c r="K564" s="402">
        <f>VLOOKUP(Table13[[#This Row],[Column1]],[1]Sheet1!$A:$AO,11,FALSE)</f>
        <v>45370</v>
      </c>
      <c r="L564" s="404"/>
      <c r="M564" s="402" t="str">
        <f>VLOOKUP(Table13[[#This Row],[Column1]],[1]Sheet1!$A:$AO,13,FALSE)</f>
        <v>N/A</v>
      </c>
      <c r="N564" s="402" t="str">
        <f>VLOOKUP(Table13[[#This Row],[Column1]],[1]Sheet1!$A:$AO,14,FALSE)</f>
        <v>N/A</v>
      </c>
      <c r="O564" s="402">
        <f>VLOOKUP(Table13[[#This Row],[Column1]],[1]Sheet1!$A:$AO,15,FALSE)</f>
        <v>45372</v>
      </c>
      <c r="P564" s="375"/>
      <c r="Q564" s="375"/>
      <c r="R564" s="376"/>
      <c r="S564" s="583" t="str">
        <f>VLOOKUP(Table13[[#This Row],[Column1]],[1]Sheet1!$A:$AO,19,FALSE)</f>
        <v>N/A</v>
      </c>
      <c r="T564" s="583">
        <f>VLOOKUP(Table13[[#This Row],[Column1]],[1]Sheet1!$A:$AO,20,FALSE)</f>
        <v>45405</v>
      </c>
      <c r="U564" s="583">
        <f>VLOOKUP(Table13[[#This Row],[Column1]],[1]Sheet1!$A:$AO,21,FALSE)</f>
        <v>45407</v>
      </c>
      <c r="V564" s="376"/>
      <c r="W564" s="376"/>
      <c r="X564" s="402"/>
      <c r="Y564" s="402"/>
      <c r="Z564" s="610" t="s">
        <v>1478</v>
      </c>
      <c r="AA564" s="532">
        <f>IF(Table13[[#This Row],[Column2]]="","",SUM(Table13[[#This Row],[Column28]]+Table13[[#This Row],[Column29]]))</f>
        <v>11000</v>
      </c>
      <c r="AB564" s="537">
        <v>11000</v>
      </c>
      <c r="AC564" s="502"/>
      <c r="AD564" s="532">
        <f>IF(Table13[[#This Row],[Column2]]="","",SUM(Table13[[#This Row],[Column31]]+Table13[[#This Row],[Column32]]))</f>
        <v>11000</v>
      </c>
      <c r="AE564" s="501">
        <v>11000</v>
      </c>
      <c r="AF564" s="541"/>
      <c r="AG564" s="405"/>
      <c r="AH564" s="380" t="s">
        <v>1205</v>
      </c>
      <c r="AI564" s="576" t="str">
        <f>VLOOKUP(Table13[[#This Row],[Column1]],[1]Sheet1!$A:$AO,35,FALSE)</f>
        <v>N/A</v>
      </c>
      <c r="AJ564" s="576" t="str">
        <f>VLOOKUP(Table13[[#This Row],[Column1]],[1]Sheet1!$A:$AO,36,FALSE)</f>
        <v>N/A</v>
      </c>
      <c r="AK564" s="576" t="str">
        <f>VLOOKUP(Table13[[#This Row],[Column1]],[1]Sheet1!$A:$AO,37,FALSE)</f>
        <v>N/A</v>
      </c>
      <c r="AL564" s="576" t="str">
        <f>VLOOKUP(Table13[[#This Row],[Column1]],[1]Sheet1!$A:$AO,38,FALSE)</f>
        <v>N/A</v>
      </c>
      <c r="AM564" s="576" t="str">
        <f>VLOOKUP(Table13[[#This Row],[Column1]],[1]Sheet1!$A:$AO,39,FALSE)</f>
        <v>N/A</v>
      </c>
      <c r="AN564" s="576" t="s">
        <v>713</v>
      </c>
      <c r="AO564" s="306" t="s">
        <v>919</v>
      </c>
      <c r="AP564" s="378"/>
      <c r="AQ564" s="237"/>
    </row>
    <row r="565" spans="1:43" s="238" customFormat="1" ht="75" customHeight="1" thickBot="1" x14ac:dyDescent="0.3">
      <c r="A565" s="297" t="s">
        <v>773</v>
      </c>
      <c r="B565" s="627" t="str">
        <f>VLOOKUP(Table13[[#This Row],[Column1]],[1]Sheet1!$A:$AO,2,FALSE)</f>
        <v>SPAREPARTS (LIGHT VEHICLES)</v>
      </c>
      <c r="C565" s="298" t="str">
        <f>VLOOKUP(Table13[[#This Row],[Column1]],[1]Sheet1!$A:$AO,3,FALSE)</f>
        <v>SPO</v>
      </c>
      <c r="D565" s="298" t="s">
        <v>712</v>
      </c>
      <c r="E565" s="450" t="str">
        <f>VLOOKUP(Table13[[#This Row],[Column1]],[1]Sheet1!$A:$AO,5,FALSE)</f>
        <v>Shopping 52.1(a) - Unforeseen Contingency</v>
      </c>
      <c r="F565" s="446">
        <f>VLOOKUP(Table13[[#This Row],[Column1]],[1]Sheet1!$A:$AO,6,FALSE)</f>
        <v>45356</v>
      </c>
      <c r="G565" s="402">
        <f>VLOOKUP(Table13[[#This Row],[Column1]],[1]Sheet1!$A:$AO,7,FALSE)</f>
        <v>45359</v>
      </c>
      <c r="H565" s="374"/>
      <c r="I565" s="402" t="str">
        <f>VLOOKUP(Table13[[#This Row],[Column1]],[1]Sheet1!$A:$AO,9,FALSE)</f>
        <v>N/A</v>
      </c>
      <c r="J565" s="402">
        <f>VLOOKUP(Table13[[#This Row],[Column1]],[1]Sheet1!$A:$AO,10,FALSE)</f>
        <v>45370</v>
      </c>
      <c r="K565" s="402">
        <f>VLOOKUP(Table13[[#This Row],[Column1]],[1]Sheet1!$A:$AO,11,FALSE)</f>
        <v>45370</v>
      </c>
      <c r="L565" s="404"/>
      <c r="M565" s="402" t="str">
        <f>VLOOKUP(Table13[[#This Row],[Column1]],[1]Sheet1!$A:$AO,13,FALSE)</f>
        <v>N/A</v>
      </c>
      <c r="N565" s="402" t="str">
        <f>VLOOKUP(Table13[[#This Row],[Column1]],[1]Sheet1!$A:$AO,14,FALSE)</f>
        <v>N/A</v>
      </c>
      <c r="O565" s="402">
        <f>VLOOKUP(Table13[[#This Row],[Column1]],[1]Sheet1!$A:$AO,15,FALSE)</f>
        <v>45372</v>
      </c>
      <c r="P565" s="375"/>
      <c r="Q565" s="375"/>
      <c r="R565" s="376"/>
      <c r="S565" s="583" t="str">
        <f>VLOOKUP(Table13[[#This Row],[Column1]],[1]Sheet1!$A:$AO,19,FALSE)</f>
        <v>N/A</v>
      </c>
      <c r="T565" s="583">
        <f>VLOOKUP(Table13[[#This Row],[Column1]],[1]Sheet1!$A:$AO,20,FALSE)</f>
        <v>45467</v>
      </c>
      <c r="U565" s="583">
        <f>VLOOKUP(Table13[[#This Row],[Column1]],[1]Sheet1!$A:$AO,21,FALSE)</f>
        <v>45446</v>
      </c>
      <c r="V565" s="376"/>
      <c r="W565" s="376"/>
      <c r="X565" s="402"/>
      <c r="Y565" s="402"/>
      <c r="Z565" s="610" t="s">
        <v>1478</v>
      </c>
      <c r="AA565" s="532">
        <f>IF(Table13[[#This Row],[Column2]]="","",SUM(Table13[[#This Row],[Column28]]+Table13[[#This Row],[Column29]]))</f>
        <v>55150</v>
      </c>
      <c r="AB565" s="537">
        <v>55150</v>
      </c>
      <c r="AC565" s="502"/>
      <c r="AD565" s="532">
        <f>IF(Table13[[#This Row],[Column2]]="","",SUM(Table13[[#This Row],[Column31]]+Table13[[#This Row],[Column32]]))</f>
        <v>55150</v>
      </c>
      <c r="AE565" s="501">
        <v>55150</v>
      </c>
      <c r="AF565" s="541"/>
      <c r="AG565" s="405"/>
      <c r="AH565" s="380" t="s">
        <v>1205</v>
      </c>
      <c r="AI565" s="576" t="str">
        <f>VLOOKUP(Table13[[#This Row],[Column1]],[1]Sheet1!$A:$AO,35,FALSE)</f>
        <v>N/A</v>
      </c>
      <c r="AJ565" s="576" t="str">
        <f>VLOOKUP(Table13[[#This Row],[Column1]],[1]Sheet1!$A:$AO,36,FALSE)</f>
        <v>N/A</v>
      </c>
      <c r="AK565" s="576" t="str">
        <f>VLOOKUP(Table13[[#This Row],[Column1]],[1]Sheet1!$A:$AO,37,FALSE)</f>
        <v>N/A</v>
      </c>
      <c r="AL565" s="576" t="str">
        <f>VLOOKUP(Table13[[#This Row],[Column1]],[1]Sheet1!$A:$AO,38,FALSE)</f>
        <v>N/A</v>
      </c>
      <c r="AM565" s="576" t="str">
        <f>VLOOKUP(Table13[[#This Row],[Column1]],[1]Sheet1!$A:$AO,39,FALSE)</f>
        <v>N/A</v>
      </c>
      <c r="AN565" s="576" t="s">
        <v>713</v>
      </c>
      <c r="AO565" s="306" t="s">
        <v>919</v>
      </c>
      <c r="AP565" s="378"/>
      <c r="AQ565" s="237"/>
    </row>
    <row r="566" spans="1:43" s="238" customFormat="1" ht="75" customHeight="1" thickBot="1" x14ac:dyDescent="0.3">
      <c r="A566" s="297" t="s">
        <v>774</v>
      </c>
      <c r="B566" s="627" t="str">
        <f>VLOOKUP(Table13[[#This Row],[Column1]],[1]Sheet1!$A:$AO,2,FALSE)</f>
        <v>FOOD/CATERING SERVICES</v>
      </c>
      <c r="C566" s="298" t="str">
        <f>VLOOKUP(Table13[[#This Row],[Column1]],[1]Sheet1!$A:$AO,3,FALSE)</f>
        <v>PDRRMO</v>
      </c>
      <c r="D566" s="298" t="s">
        <v>712</v>
      </c>
      <c r="E566" s="450" t="str">
        <f>VLOOKUP(Table13[[#This Row],[Column1]],[1]Sheet1!$A:$AO,5,FALSE)</f>
        <v>NP-53.9 - Small Value Procurement</v>
      </c>
      <c r="F566" s="446" t="str">
        <f>VLOOKUP(Table13[[#This Row],[Column1]],[1]Sheet1!$A:$AO,6,FALSE)</f>
        <v>N/A</v>
      </c>
      <c r="G566" s="402">
        <f>VLOOKUP(Table13[[#This Row],[Column1]],[1]Sheet1!$A:$AO,7,FALSE)</f>
        <v>45352</v>
      </c>
      <c r="H566" s="374"/>
      <c r="I566" s="402" t="str">
        <f>VLOOKUP(Table13[[#This Row],[Column1]],[1]Sheet1!$A:$AO,9,FALSE)</f>
        <v>N/A</v>
      </c>
      <c r="J566" s="402">
        <f>VLOOKUP(Table13[[#This Row],[Column1]],[1]Sheet1!$A:$AO,10,FALSE)</f>
        <v>45370</v>
      </c>
      <c r="K566" s="402">
        <f>VLOOKUP(Table13[[#This Row],[Column1]],[1]Sheet1!$A:$AO,11,FALSE)</f>
        <v>45370</v>
      </c>
      <c r="L566" s="404"/>
      <c r="M566" s="402" t="str">
        <f>VLOOKUP(Table13[[#This Row],[Column1]],[1]Sheet1!$A:$AO,13,FALSE)</f>
        <v>N/A</v>
      </c>
      <c r="N566" s="402" t="str">
        <f>VLOOKUP(Table13[[#This Row],[Column1]],[1]Sheet1!$A:$AO,14,FALSE)</f>
        <v>N/A</v>
      </c>
      <c r="O566" s="402">
        <f>VLOOKUP(Table13[[#This Row],[Column1]],[1]Sheet1!$A:$AO,15,FALSE)</f>
        <v>45372</v>
      </c>
      <c r="P566" s="375"/>
      <c r="Q566" s="375"/>
      <c r="R566" s="376"/>
      <c r="S566" s="583">
        <f>VLOOKUP(Table13[[#This Row],[Column1]],[1]Sheet1!$A:$AO,19,FALSE)</f>
        <v>45378</v>
      </c>
      <c r="T566" s="583">
        <f>VLOOKUP(Table13[[#This Row],[Column1]],[1]Sheet1!$A:$AO,20,FALSE)</f>
        <v>45386</v>
      </c>
      <c r="U566" s="583">
        <f>VLOOKUP(Table13[[#This Row],[Column1]],[1]Sheet1!$A:$AO,21,FALSE)</f>
        <v>45394</v>
      </c>
      <c r="V566" s="376"/>
      <c r="W566" s="376"/>
      <c r="X566" s="402"/>
      <c r="Y566" s="402"/>
      <c r="Z566" s="610" t="s">
        <v>1478</v>
      </c>
      <c r="AA566" s="532">
        <f>IF(Table13[[#This Row],[Column2]]="","",SUM(Table13[[#This Row],[Column28]]+Table13[[#This Row],[Column29]]))</f>
        <v>55000</v>
      </c>
      <c r="AB566" s="537"/>
      <c r="AC566" s="502">
        <v>55000</v>
      </c>
      <c r="AD566" s="532">
        <v>53900</v>
      </c>
      <c r="AE566" s="501"/>
      <c r="AF566" s="541">
        <v>53900</v>
      </c>
      <c r="AG566" s="405"/>
      <c r="AH566" s="380" t="s">
        <v>1205</v>
      </c>
      <c r="AI566" s="576" t="str">
        <f>VLOOKUP(Table13[[#This Row],[Column1]],[1]Sheet1!$A:$AO,35,FALSE)</f>
        <v>N/A</v>
      </c>
      <c r="AJ566" s="576" t="str">
        <f>VLOOKUP(Table13[[#This Row],[Column1]],[1]Sheet1!$A:$AO,36,FALSE)</f>
        <v>N/A</v>
      </c>
      <c r="AK566" s="576" t="str">
        <f>VLOOKUP(Table13[[#This Row],[Column1]],[1]Sheet1!$A:$AO,37,FALSE)</f>
        <v>N/A</v>
      </c>
      <c r="AL566" s="576" t="str">
        <f>VLOOKUP(Table13[[#This Row],[Column1]],[1]Sheet1!$A:$AO,38,FALSE)</f>
        <v>N/A</v>
      </c>
      <c r="AM566" s="576" t="str">
        <f>VLOOKUP(Table13[[#This Row],[Column1]],[1]Sheet1!$A:$AO,39,FALSE)</f>
        <v>N/A</v>
      </c>
      <c r="AN566" s="576" t="s">
        <v>713</v>
      </c>
      <c r="AO566" s="306" t="s">
        <v>919</v>
      </c>
      <c r="AP566" s="378"/>
      <c r="AQ566" s="237"/>
    </row>
    <row r="567" spans="1:43" s="238" customFormat="1" ht="75" customHeight="1" thickBot="1" x14ac:dyDescent="0.3">
      <c r="A567" s="297" t="s">
        <v>775</v>
      </c>
      <c r="B567" s="627" t="str">
        <f>VLOOKUP(Table13[[#This Row],[Column1]],[1]Sheet1!$A:$AO,2,FALSE)</f>
        <v>ELECTRICAL SUPPLIES</v>
      </c>
      <c r="C567" s="298" t="str">
        <f>VLOOKUP(Table13[[#This Row],[Column1]],[1]Sheet1!$A:$AO,3,FALSE)</f>
        <v>PEO-Motorpool</v>
      </c>
      <c r="D567" s="298" t="s">
        <v>712</v>
      </c>
      <c r="E567" s="450" t="str">
        <f>VLOOKUP(Table13[[#This Row],[Column1]],[1]Sheet1!$A:$AO,5,FALSE)</f>
        <v>NP-53.9 - Small Value Procurement</v>
      </c>
      <c r="F567" s="446" t="str">
        <f>VLOOKUP(Table13[[#This Row],[Column1]],[1]Sheet1!$A:$AO,6,FALSE)</f>
        <v>N/A</v>
      </c>
      <c r="G567" s="402">
        <f>VLOOKUP(Table13[[#This Row],[Column1]],[1]Sheet1!$A:$AO,7,FALSE)</f>
        <v>45352</v>
      </c>
      <c r="H567" s="374"/>
      <c r="I567" s="402" t="str">
        <f>VLOOKUP(Table13[[#This Row],[Column1]],[1]Sheet1!$A:$AO,9,FALSE)</f>
        <v>N/A</v>
      </c>
      <c r="J567" s="402">
        <f>VLOOKUP(Table13[[#This Row],[Column1]],[1]Sheet1!$A:$AO,10,FALSE)</f>
        <v>45370</v>
      </c>
      <c r="K567" s="402">
        <f>VLOOKUP(Table13[[#This Row],[Column1]],[1]Sheet1!$A:$AO,11,FALSE)</f>
        <v>45370</v>
      </c>
      <c r="L567" s="404"/>
      <c r="M567" s="402" t="str">
        <f>VLOOKUP(Table13[[#This Row],[Column1]],[1]Sheet1!$A:$AO,13,FALSE)</f>
        <v>N/A</v>
      </c>
      <c r="N567" s="402" t="str">
        <f>VLOOKUP(Table13[[#This Row],[Column1]],[1]Sheet1!$A:$AO,14,FALSE)</f>
        <v>N/A</v>
      </c>
      <c r="O567" s="402">
        <f>VLOOKUP(Table13[[#This Row],[Column1]],[1]Sheet1!$A:$AO,15,FALSE)</f>
        <v>45372</v>
      </c>
      <c r="P567" s="375"/>
      <c r="Q567" s="375"/>
      <c r="R567" s="376"/>
      <c r="S567" s="583" t="str">
        <f>VLOOKUP(Table13[[#This Row],[Column1]],[1]Sheet1!$A:$AO,19,FALSE)</f>
        <v>N/A</v>
      </c>
      <c r="T567" s="583">
        <f>VLOOKUP(Table13[[#This Row],[Column1]],[1]Sheet1!$A:$AO,20,FALSE)</f>
        <v>45394</v>
      </c>
      <c r="U567" s="583">
        <f>VLOOKUP(Table13[[#This Row],[Column1]],[1]Sheet1!$A:$AO,21,FALSE)</f>
        <v>45412</v>
      </c>
      <c r="V567" s="376"/>
      <c r="W567" s="376"/>
      <c r="X567" s="402"/>
      <c r="Y567" s="402"/>
      <c r="Z567" s="610" t="s">
        <v>1478</v>
      </c>
      <c r="AA567" s="532">
        <f>IF(Table13[[#This Row],[Column2]]="","",SUM(Table13[[#This Row],[Column28]]+Table13[[#This Row],[Column29]]))</f>
        <v>15280</v>
      </c>
      <c r="AB567" s="537">
        <v>15280</v>
      </c>
      <c r="AC567" s="502"/>
      <c r="AD567" s="532">
        <f>IF(Table13[[#This Row],[Column2]]="","",SUM(Table13[[#This Row],[Column31]]+Table13[[#This Row],[Column32]]))</f>
        <v>15260</v>
      </c>
      <c r="AE567" s="501">
        <v>15260</v>
      </c>
      <c r="AF567" s="541"/>
      <c r="AG567" s="405"/>
      <c r="AH567" s="380" t="s">
        <v>1205</v>
      </c>
      <c r="AI567" s="576" t="str">
        <f>VLOOKUP(Table13[[#This Row],[Column1]],[1]Sheet1!$A:$AO,35,FALSE)</f>
        <v>N/A</v>
      </c>
      <c r="AJ567" s="576" t="str">
        <f>VLOOKUP(Table13[[#This Row],[Column1]],[1]Sheet1!$A:$AO,36,FALSE)</f>
        <v>N/A</v>
      </c>
      <c r="AK567" s="576" t="str">
        <f>VLOOKUP(Table13[[#This Row],[Column1]],[1]Sheet1!$A:$AO,37,FALSE)</f>
        <v>N/A</v>
      </c>
      <c r="AL567" s="576" t="str">
        <f>VLOOKUP(Table13[[#This Row],[Column1]],[1]Sheet1!$A:$AO,38,FALSE)</f>
        <v>N/A</v>
      </c>
      <c r="AM567" s="576" t="str">
        <f>VLOOKUP(Table13[[#This Row],[Column1]],[1]Sheet1!$A:$AO,39,FALSE)</f>
        <v>N/A</v>
      </c>
      <c r="AN567" s="576" t="s">
        <v>713</v>
      </c>
      <c r="AO567" s="306" t="s">
        <v>919</v>
      </c>
      <c r="AP567" s="378"/>
      <c r="AQ567" s="237"/>
    </row>
    <row r="568" spans="1:43" s="238" customFormat="1" ht="75" customHeight="1" thickBot="1" x14ac:dyDescent="0.3">
      <c r="A568" s="297" t="s">
        <v>776</v>
      </c>
      <c r="B568" s="627" t="str">
        <f>VLOOKUP(Table13[[#This Row],[Column1]],[1]Sheet1!$A:$AO,2,FALSE)</f>
        <v>FOOD/CATERING SERVICES</v>
      </c>
      <c r="C568" s="298" t="str">
        <f>VLOOKUP(Table13[[#This Row],[Column1]],[1]Sheet1!$A:$AO,3,FALSE)</f>
        <v>PGO</v>
      </c>
      <c r="D568" s="298" t="s">
        <v>712</v>
      </c>
      <c r="E568" s="450" t="str">
        <f>VLOOKUP(Table13[[#This Row],[Column1]],[1]Sheet1!$A:$AO,5,FALSE)</f>
        <v>NP-53.9 - Small Value Procurement</v>
      </c>
      <c r="F568" s="446" t="str">
        <f>VLOOKUP(Table13[[#This Row],[Column1]],[1]Sheet1!$A:$AO,6,FALSE)</f>
        <v>N/A</v>
      </c>
      <c r="G568" s="402">
        <f>VLOOKUP(Table13[[#This Row],[Column1]],[1]Sheet1!$A:$AO,7,FALSE)</f>
        <v>45352</v>
      </c>
      <c r="H568" s="374"/>
      <c r="I568" s="402" t="str">
        <f>VLOOKUP(Table13[[#This Row],[Column1]],[1]Sheet1!$A:$AO,9,FALSE)</f>
        <v>N/A</v>
      </c>
      <c r="J568" s="402">
        <f>VLOOKUP(Table13[[#This Row],[Column1]],[1]Sheet1!$A:$AO,10,FALSE)</f>
        <v>45370</v>
      </c>
      <c r="K568" s="402">
        <f>VLOOKUP(Table13[[#This Row],[Column1]],[1]Sheet1!$A:$AO,11,FALSE)</f>
        <v>45370</v>
      </c>
      <c r="L568" s="404"/>
      <c r="M568" s="402" t="str">
        <f>VLOOKUP(Table13[[#This Row],[Column1]],[1]Sheet1!$A:$AO,13,FALSE)</f>
        <v>N/A</v>
      </c>
      <c r="N568" s="402" t="str">
        <f>VLOOKUP(Table13[[#This Row],[Column1]],[1]Sheet1!$A:$AO,14,FALSE)</f>
        <v>N/A</v>
      </c>
      <c r="O568" s="402">
        <f>VLOOKUP(Table13[[#This Row],[Column1]],[1]Sheet1!$A:$AO,15,FALSE)</f>
        <v>45372</v>
      </c>
      <c r="P568" s="375"/>
      <c r="Q568" s="375"/>
      <c r="R568" s="376"/>
      <c r="S568" s="583" t="str">
        <f>VLOOKUP(Table13[[#This Row],[Column1]],[1]Sheet1!$A:$AO,19,FALSE)</f>
        <v>N/A</v>
      </c>
      <c r="T568" s="583">
        <f>VLOOKUP(Table13[[#This Row],[Column1]],[1]Sheet1!$A:$AO,20,FALSE)</f>
        <v>45387</v>
      </c>
      <c r="U568" s="583">
        <f>VLOOKUP(Table13[[#This Row],[Column1]],[1]Sheet1!$A:$AO,21,FALSE)</f>
        <v>45397</v>
      </c>
      <c r="V568" s="376"/>
      <c r="W568" s="376"/>
      <c r="X568" s="402"/>
      <c r="Y568" s="402"/>
      <c r="Z568" s="610" t="s">
        <v>1478</v>
      </c>
      <c r="AA568" s="532">
        <f>IF(Table13[[#This Row],[Column2]]="","",SUM(Table13[[#This Row],[Column28]]+Table13[[#This Row],[Column29]]))</f>
        <v>32500</v>
      </c>
      <c r="AB568" s="537"/>
      <c r="AC568" s="502">
        <v>32500</v>
      </c>
      <c r="AD568" s="532">
        <f>IF(Table13[[#This Row],[Column2]]="","",SUM(Table13[[#This Row],[Column31]]+Table13[[#This Row],[Column32]]))</f>
        <v>32435</v>
      </c>
      <c r="AE568" s="501"/>
      <c r="AF568" s="541">
        <v>32435</v>
      </c>
      <c r="AG568" s="405"/>
      <c r="AH568" s="380" t="s">
        <v>1205</v>
      </c>
      <c r="AI568" s="576" t="str">
        <f>VLOOKUP(Table13[[#This Row],[Column1]],[1]Sheet1!$A:$AO,35,FALSE)</f>
        <v>N/A</v>
      </c>
      <c r="AJ568" s="576" t="str">
        <f>VLOOKUP(Table13[[#This Row],[Column1]],[1]Sheet1!$A:$AO,36,FALSE)</f>
        <v>N/A</v>
      </c>
      <c r="AK568" s="576" t="str">
        <f>VLOOKUP(Table13[[#This Row],[Column1]],[1]Sheet1!$A:$AO,37,FALSE)</f>
        <v>N/A</v>
      </c>
      <c r="AL568" s="576" t="str">
        <f>VLOOKUP(Table13[[#This Row],[Column1]],[1]Sheet1!$A:$AO,38,FALSE)</f>
        <v>N/A</v>
      </c>
      <c r="AM568" s="576" t="str">
        <f>VLOOKUP(Table13[[#This Row],[Column1]],[1]Sheet1!$A:$AO,39,FALSE)</f>
        <v>N/A</v>
      </c>
      <c r="AN568" s="576" t="s">
        <v>713</v>
      </c>
      <c r="AO568" s="306" t="s">
        <v>919</v>
      </c>
      <c r="AP568" s="378"/>
      <c r="AQ568" s="237"/>
    </row>
    <row r="569" spans="1:43" s="238" customFormat="1" ht="75" customHeight="1" thickBot="1" x14ac:dyDescent="0.3">
      <c r="A569" s="297" t="s">
        <v>777</v>
      </c>
      <c r="B569" s="627" t="str">
        <f>VLOOKUP(Table13[[#This Row],[Column1]],[1]Sheet1!$A:$AO,2,FALSE)</f>
        <v>FOOD/CATERING SERVICES</v>
      </c>
      <c r="C569" s="298" t="str">
        <f>VLOOKUP(Table13[[#This Row],[Column1]],[1]Sheet1!$A:$AO,3,FALSE)</f>
        <v>PGO</v>
      </c>
      <c r="D569" s="298" t="s">
        <v>712</v>
      </c>
      <c r="E569" s="450" t="str">
        <f>VLOOKUP(Table13[[#This Row],[Column1]],[1]Sheet1!$A:$AO,5,FALSE)</f>
        <v>NP-53.9 - Small Value Procurement</v>
      </c>
      <c r="F569" s="446" t="str">
        <f>VLOOKUP(Table13[[#This Row],[Column1]],[1]Sheet1!$A:$AO,6,FALSE)</f>
        <v>N/A</v>
      </c>
      <c r="G569" s="402">
        <f>VLOOKUP(Table13[[#This Row],[Column1]],[1]Sheet1!$A:$AO,7,FALSE)</f>
        <v>45352</v>
      </c>
      <c r="H569" s="374"/>
      <c r="I569" s="402" t="str">
        <f>VLOOKUP(Table13[[#This Row],[Column1]],[1]Sheet1!$A:$AO,9,FALSE)</f>
        <v>N/A</v>
      </c>
      <c r="J569" s="402">
        <f>VLOOKUP(Table13[[#This Row],[Column1]],[1]Sheet1!$A:$AO,10,FALSE)</f>
        <v>45370</v>
      </c>
      <c r="K569" s="402">
        <f>VLOOKUP(Table13[[#This Row],[Column1]],[1]Sheet1!$A:$AO,11,FALSE)</f>
        <v>45370</v>
      </c>
      <c r="L569" s="404"/>
      <c r="M569" s="402" t="str">
        <f>VLOOKUP(Table13[[#This Row],[Column1]],[1]Sheet1!$A:$AO,13,FALSE)</f>
        <v>N/A</v>
      </c>
      <c r="N569" s="402" t="str">
        <f>VLOOKUP(Table13[[#This Row],[Column1]],[1]Sheet1!$A:$AO,14,FALSE)</f>
        <v>N/A</v>
      </c>
      <c r="O569" s="402">
        <f>VLOOKUP(Table13[[#This Row],[Column1]],[1]Sheet1!$A:$AO,15,FALSE)</f>
        <v>45372</v>
      </c>
      <c r="P569" s="375"/>
      <c r="Q569" s="375"/>
      <c r="R569" s="376"/>
      <c r="S569" s="583">
        <f>VLOOKUP(Table13[[#This Row],[Column1]],[1]Sheet1!$A:$AO,19,FALSE)</f>
        <v>45376</v>
      </c>
      <c r="T569" s="583">
        <f>VLOOKUP(Table13[[#This Row],[Column1]],[1]Sheet1!$A:$AO,20,FALSE)</f>
        <v>45386</v>
      </c>
      <c r="U569" s="583">
        <f>VLOOKUP(Table13[[#This Row],[Column1]],[1]Sheet1!$A:$AO,21,FALSE)</f>
        <v>45397</v>
      </c>
      <c r="V569" s="376"/>
      <c r="W569" s="376"/>
      <c r="X569" s="402"/>
      <c r="Y569" s="402"/>
      <c r="Z569" s="610" t="s">
        <v>1478</v>
      </c>
      <c r="AA569" s="532">
        <f>IF(Table13[[#This Row],[Column2]]="","",SUM(Table13[[#This Row],[Column28]]+Table13[[#This Row],[Column29]]))</f>
        <v>129000</v>
      </c>
      <c r="AB569" s="537"/>
      <c r="AC569" s="502">
        <v>129000</v>
      </c>
      <c r="AD569" s="532">
        <f>IF(Table13[[#This Row],[Column2]]="","",SUM(Table13[[#This Row],[Column31]]+Table13[[#This Row],[Column32]]))</f>
        <v>128625</v>
      </c>
      <c r="AE569" s="501"/>
      <c r="AF569" s="541">
        <v>128625</v>
      </c>
      <c r="AG569" s="405"/>
      <c r="AH569" s="380" t="s">
        <v>1205</v>
      </c>
      <c r="AI569" s="576" t="str">
        <f>VLOOKUP(Table13[[#This Row],[Column1]],[1]Sheet1!$A:$AO,35,FALSE)</f>
        <v>N/A</v>
      </c>
      <c r="AJ569" s="576" t="str">
        <f>VLOOKUP(Table13[[#This Row],[Column1]],[1]Sheet1!$A:$AO,36,FALSE)</f>
        <v>N/A</v>
      </c>
      <c r="AK569" s="576" t="str">
        <f>VLOOKUP(Table13[[#This Row],[Column1]],[1]Sheet1!$A:$AO,37,FALSE)</f>
        <v>N/A</v>
      </c>
      <c r="AL569" s="576" t="str">
        <f>VLOOKUP(Table13[[#This Row],[Column1]],[1]Sheet1!$A:$AO,38,FALSE)</f>
        <v>N/A</v>
      </c>
      <c r="AM569" s="576" t="str">
        <f>VLOOKUP(Table13[[#This Row],[Column1]],[1]Sheet1!$A:$AO,39,FALSE)</f>
        <v>N/A</v>
      </c>
      <c r="AN569" s="576" t="s">
        <v>713</v>
      </c>
      <c r="AO569" s="306" t="s">
        <v>919</v>
      </c>
      <c r="AP569" s="378"/>
      <c r="AQ569" s="237"/>
    </row>
    <row r="570" spans="1:43" s="238" customFormat="1" ht="75" customHeight="1" thickBot="1" x14ac:dyDescent="0.3">
      <c r="A570" s="297" t="s">
        <v>778</v>
      </c>
      <c r="B570" s="627" t="str">
        <f>VLOOKUP(Table13[[#This Row],[Column1]],[1]Sheet1!$A:$AO,2,FALSE)</f>
        <v>FOOD/CATERING SERVICES</v>
      </c>
      <c r="C570" s="298" t="str">
        <f>VLOOKUP(Table13[[#This Row],[Column1]],[1]Sheet1!$A:$AO,3,FALSE)</f>
        <v>PGO</v>
      </c>
      <c r="D570" s="298" t="s">
        <v>712</v>
      </c>
      <c r="E570" s="450" t="str">
        <f>VLOOKUP(Table13[[#This Row],[Column1]],[1]Sheet1!$A:$AO,5,FALSE)</f>
        <v>NP-53.9 - Small Value Procurement</v>
      </c>
      <c r="F570" s="446" t="str">
        <f>VLOOKUP(Table13[[#This Row],[Column1]],[1]Sheet1!$A:$AO,6,FALSE)</f>
        <v>N/A</v>
      </c>
      <c r="G570" s="402">
        <f>VLOOKUP(Table13[[#This Row],[Column1]],[1]Sheet1!$A:$AO,7,FALSE)</f>
        <v>45352</v>
      </c>
      <c r="H570" s="374"/>
      <c r="I570" s="402" t="str">
        <f>VLOOKUP(Table13[[#This Row],[Column1]],[1]Sheet1!$A:$AO,9,FALSE)</f>
        <v>N/A</v>
      </c>
      <c r="J570" s="402">
        <f>VLOOKUP(Table13[[#This Row],[Column1]],[1]Sheet1!$A:$AO,10,FALSE)</f>
        <v>45370</v>
      </c>
      <c r="K570" s="402">
        <f>VLOOKUP(Table13[[#This Row],[Column1]],[1]Sheet1!$A:$AO,11,FALSE)</f>
        <v>45370</v>
      </c>
      <c r="L570" s="404"/>
      <c r="M570" s="402" t="str">
        <f>VLOOKUP(Table13[[#This Row],[Column1]],[1]Sheet1!$A:$AO,13,FALSE)</f>
        <v>N/A</v>
      </c>
      <c r="N570" s="402" t="str">
        <f>VLOOKUP(Table13[[#This Row],[Column1]],[1]Sheet1!$A:$AO,14,FALSE)</f>
        <v>N/A</v>
      </c>
      <c r="O570" s="402">
        <f>VLOOKUP(Table13[[#This Row],[Column1]],[1]Sheet1!$A:$AO,15,FALSE)</f>
        <v>45372</v>
      </c>
      <c r="P570" s="375"/>
      <c r="Q570" s="375"/>
      <c r="R570" s="376"/>
      <c r="S570" s="583" t="str">
        <f>VLOOKUP(Table13[[#This Row],[Column1]],[1]Sheet1!$A:$AO,19,FALSE)</f>
        <v>N/A</v>
      </c>
      <c r="T570" s="583">
        <f>VLOOKUP(Table13[[#This Row],[Column1]],[1]Sheet1!$A:$AO,20,FALSE)</f>
        <v>45386</v>
      </c>
      <c r="U570" s="583">
        <f>VLOOKUP(Table13[[#This Row],[Column1]],[1]Sheet1!$A:$AO,21,FALSE)</f>
        <v>45397</v>
      </c>
      <c r="V570" s="376"/>
      <c r="W570" s="376"/>
      <c r="X570" s="402"/>
      <c r="Y570" s="402"/>
      <c r="Z570" s="610" t="s">
        <v>1478</v>
      </c>
      <c r="AA570" s="532">
        <f>IF(Table13[[#This Row],[Column2]]="","",SUM(Table13[[#This Row],[Column28]]+Table13[[#This Row],[Column29]]))</f>
        <v>16350</v>
      </c>
      <c r="AB570" s="537"/>
      <c r="AC570" s="502">
        <v>16350</v>
      </c>
      <c r="AD570" s="532">
        <f>IF(Table13[[#This Row],[Column2]]="","",SUM(Table13[[#This Row],[Column31]]+Table13[[#This Row],[Column32]]))</f>
        <v>16329.75</v>
      </c>
      <c r="AE570" s="501"/>
      <c r="AF570" s="541">
        <v>16329.75</v>
      </c>
      <c r="AG570" s="405"/>
      <c r="AH570" s="380" t="s">
        <v>1205</v>
      </c>
      <c r="AI570" s="576" t="str">
        <f>VLOOKUP(Table13[[#This Row],[Column1]],[1]Sheet1!$A:$AO,35,FALSE)</f>
        <v>N/A</v>
      </c>
      <c r="AJ570" s="576" t="str">
        <f>VLOOKUP(Table13[[#This Row],[Column1]],[1]Sheet1!$A:$AO,36,FALSE)</f>
        <v>N/A</v>
      </c>
      <c r="AK570" s="576" t="str">
        <f>VLOOKUP(Table13[[#This Row],[Column1]],[1]Sheet1!$A:$AO,37,FALSE)</f>
        <v>N/A</v>
      </c>
      <c r="AL570" s="576" t="str">
        <f>VLOOKUP(Table13[[#This Row],[Column1]],[1]Sheet1!$A:$AO,38,FALSE)</f>
        <v>N/A</v>
      </c>
      <c r="AM570" s="576" t="str">
        <f>VLOOKUP(Table13[[#This Row],[Column1]],[1]Sheet1!$A:$AO,39,FALSE)</f>
        <v>N/A</v>
      </c>
      <c r="AN570" s="576" t="s">
        <v>713</v>
      </c>
      <c r="AO570" s="306" t="s">
        <v>919</v>
      </c>
      <c r="AP570" s="378"/>
      <c r="AQ570" s="237"/>
    </row>
    <row r="571" spans="1:43" s="238" customFormat="1" ht="75" customHeight="1" thickBot="1" x14ac:dyDescent="0.3">
      <c r="A571" s="297" t="s">
        <v>779</v>
      </c>
      <c r="B571" s="627" t="str">
        <f>VLOOKUP(Table13[[#This Row],[Column1]],[1]Sheet1!$A:$AO,2,FALSE)</f>
        <v>FOOD/CATERING SERVICES</v>
      </c>
      <c r="C571" s="298" t="str">
        <f>VLOOKUP(Table13[[#This Row],[Column1]],[1]Sheet1!$A:$AO,3,FALSE)</f>
        <v>PGO</v>
      </c>
      <c r="D571" s="298" t="s">
        <v>712</v>
      </c>
      <c r="E571" s="450" t="str">
        <f>VLOOKUP(Table13[[#This Row],[Column1]],[1]Sheet1!$A:$AO,5,FALSE)</f>
        <v>NP-53.9 - Small Value Procurement</v>
      </c>
      <c r="F571" s="446" t="str">
        <f>VLOOKUP(Table13[[#This Row],[Column1]],[1]Sheet1!$A:$AO,6,FALSE)</f>
        <v>N/A</v>
      </c>
      <c r="G571" s="402">
        <f>VLOOKUP(Table13[[#This Row],[Column1]],[1]Sheet1!$A:$AO,7,FALSE)</f>
        <v>45352</v>
      </c>
      <c r="H571" s="374"/>
      <c r="I571" s="402" t="str">
        <f>VLOOKUP(Table13[[#This Row],[Column1]],[1]Sheet1!$A:$AO,9,FALSE)</f>
        <v>N/A</v>
      </c>
      <c r="J571" s="402">
        <f>VLOOKUP(Table13[[#This Row],[Column1]],[1]Sheet1!$A:$AO,10,FALSE)</f>
        <v>45370</v>
      </c>
      <c r="K571" s="402">
        <f>VLOOKUP(Table13[[#This Row],[Column1]],[1]Sheet1!$A:$AO,11,FALSE)</f>
        <v>45370</v>
      </c>
      <c r="L571" s="404"/>
      <c r="M571" s="402" t="str">
        <f>VLOOKUP(Table13[[#This Row],[Column1]],[1]Sheet1!$A:$AO,13,FALSE)</f>
        <v>N/A</v>
      </c>
      <c r="N571" s="402" t="str">
        <f>VLOOKUP(Table13[[#This Row],[Column1]],[1]Sheet1!$A:$AO,14,FALSE)</f>
        <v>N/A</v>
      </c>
      <c r="O571" s="402">
        <f>VLOOKUP(Table13[[#This Row],[Column1]],[1]Sheet1!$A:$AO,15,FALSE)</f>
        <v>45372</v>
      </c>
      <c r="P571" s="375"/>
      <c r="Q571" s="375"/>
      <c r="R571" s="376"/>
      <c r="S571" s="583" t="str">
        <f>VLOOKUP(Table13[[#This Row],[Column1]],[1]Sheet1!$A:$AO,19,FALSE)</f>
        <v>N/A</v>
      </c>
      <c r="T571" s="583">
        <f>VLOOKUP(Table13[[#This Row],[Column1]],[1]Sheet1!$A:$AO,20,FALSE)</f>
        <v>45387</v>
      </c>
      <c r="U571" s="583">
        <f>VLOOKUP(Table13[[#This Row],[Column1]],[1]Sheet1!$A:$AO,21,FALSE)</f>
        <v>45397</v>
      </c>
      <c r="V571" s="376"/>
      <c r="W571" s="376"/>
      <c r="X571" s="402"/>
      <c r="Y571" s="402"/>
      <c r="Z571" s="610" t="s">
        <v>1478</v>
      </c>
      <c r="AA571" s="532">
        <f>IF(Table13[[#This Row],[Column2]]="","",SUM(Table13[[#This Row],[Column28]]+Table13[[#This Row],[Column29]]))</f>
        <v>39520</v>
      </c>
      <c r="AB571" s="537"/>
      <c r="AC571" s="502">
        <v>39520</v>
      </c>
      <c r="AD571" s="532">
        <f>IF(Table13[[#This Row],[Column2]]="","",SUM(Table13[[#This Row],[Column31]]+Table13[[#This Row],[Column32]]))</f>
        <v>39460</v>
      </c>
      <c r="AE571" s="501"/>
      <c r="AF571" s="541">
        <v>39460</v>
      </c>
      <c r="AG571" s="405"/>
      <c r="AH571" s="380" t="s">
        <v>1205</v>
      </c>
      <c r="AI571" s="576" t="str">
        <f>VLOOKUP(Table13[[#This Row],[Column1]],[1]Sheet1!$A:$AO,35,FALSE)</f>
        <v>N/A</v>
      </c>
      <c r="AJ571" s="576" t="str">
        <f>VLOOKUP(Table13[[#This Row],[Column1]],[1]Sheet1!$A:$AO,36,FALSE)</f>
        <v>N/A</v>
      </c>
      <c r="AK571" s="576" t="str">
        <f>VLOOKUP(Table13[[#This Row],[Column1]],[1]Sheet1!$A:$AO,37,FALSE)</f>
        <v>N/A</v>
      </c>
      <c r="AL571" s="576" t="str">
        <f>VLOOKUP(Table13[[#This Row],[Column1]],[1]Sheet1!$A:$AO,38,FALSE)</f>
        <v>N/A</v>
      </c>
      <c r="AM571" s="576" t="str">
        <f>VLOOKUP(Table13[[#This Row],[Column1]],[1]Sheet1!$A:$AO,39,FALSE)</f>
        <v>N/A</v>
      </c>
      <c r="AN571" s="576" t="s">
        <v>713</v>
      </c>
      <c r="AO571" s="306" t="s">
        <v>919</v>
      </c>
      <c r="AP571" s="378"/>
      <c r="AQ571" s="237"/>
    </row>
    <row r="572" spans="1:43" s="238" customFormat="1" ht="75" customHeight="1" thickBot="1" x14ac:dyDescent="0.3">
      <c r="A572" s="297" t="s">
        <v>780</v>
      </c>
      <c r="B572" s="627" t="str">
        <f>VLOOKUP(Table13[[#This Row],[Column1]],[1]Sheet1!$A:$AO,2,FALSE)</f>
        <v>TARPAULIN</v>
      </c>
      <c r="C572" s="298" t="str">
        <f>VLOOKUP(Table13[[#This Row],[Column1]],[1]Sheet1!$A:$AO,3,FALSE)</f>
        <v>PBO</v>
      </c>
      <c r="D572" s="298" t="s">
        <v>712</v>
      </c>
      <c r="E572" s="450" t="str">
        <f>VLOOKUP(Table13[[#This Row],[Column1]],[1]Sheet1!$A:$AO,5,FALSE)</f>
        <v>NP-53.9 - Small Value Procurement</v>
      </c>
      <c r="F572" s="446" t="str">
        <f>VLOOKUP(Table13[[#This Row],[Column1]],[1]Sheet1!$A:$AO,6,FALSE)</f>
        <v>N/A</v>
      </c>
      <c r="G572" s="402">
        <f>VLOOKUP(Table13[[#This Row],[Column1]],[1]Sheet1!$A:$AO,7,FALSE)</f>
        <v>45352</v>
      </c>
      <c r="H572" s="374"/>
      <c r="I572" s="402" t="str">
        <f>VLOOKUP(Table13[[#This Row],[Column1]],[1]Sheet1!$A:$AO,9,FALSE)</f>
        <v>N/A</v>
      </c>
      <c r="J572" s="402">
        <f>VLOOKUP(Table13[[#This Row],[Column1]],[1]Sheet1!$A:$AO,10,FALSE)</f>
        <v>45370</v>
      </c>
      <c r="K572" s="402">
        <f>VLOOKUP(Table13[[#This Row],[Column1]],[1]Sheet1!$A:$AO,11,FALSE)</f>
        <v>45370</v>
      </c>
      <c r="L572" s="404"/>
      <c r="M572" s="402" t="str">
        <f>VLOOKUP(Table13[[#This Row],[Column1]],[1]Sheet1!$A:$AO,13,FALSE)</f>
        <v>N/A</v>
      </c>
      <c r="N572" s="402" t="str">
        <f>VLOOKUP(Table13[[#This Row],[Column1]],[1]Sheet1!$A:$AO,14,FALSE)</f>
        <v>N/A</v>
      </c>
      <c r="O572" s="402">
        <f>VLOOKUP(Table13[[#This Row],[Column1]],[1]Sheet1!$A:$AO,15,FALSE)</f>
        <v>45372</v>
      </c>
      <c r="P572" s="375"/>
      <c r="Q572" s="375"/>
      <c r="R572" s="376"/>
      <c r="S572" s="583" t="str">
        <f>VLOOKUP(Table13[[#This Row],[Column1]],[1]Sheet1!$A:$AO,19,FALSE)</f>
        <v>N/A</v>
      </c>
      <c r="T572" s="583">
        <f>VLOOKUP(Table13[[#This Row],[Column1]],[1]Sheet1!$A:$AO,20,FALSE)</f>
        <v>45390</v>
      </c>
      <c r="U572" s="583">
        <f>VLOOKUP(Table13[[#This Row],[Column1]],[1]Sheet1!$A:$AO,21,FALSE)</f>
        <v>45394</v>
      </c>
      <c r="V572" s="376"/>
      <c r="W572" s="376"/>
      <c r="X572" s="402"/>
      <c r="Y572" s="402"/>
      <c r="Z572" s="610" t="s">
        <v>1478</v>
      </c>
      <c r="AA572" s="532">
        <f>IF(Table13[[#This Row],[Column2]]="","",SUM(Table13[[#This Row],[Column28]]+Table13[[#This Row],[Column29]]))</f>
        <v>2800</v>
      </c>
      <c r="AB572" s="537">
        <v>2800</v>
      </c>
      <c r="AC572" s="502"/>
      <c r="AD572" s="532">
        <f>IF(Table13[[#This Row],[Column2]]="","",SUM(Table13[[#This Row],[Column31]]+Table13[[#This Row],[Column32]]))</f>
        <v>2800</v>
      </c>
      <c r="AE572" s="501">
        <v>2800</v>
      </c>
      <c r="AF572" s="541"/>
      <c r="AG572" s="405"/>
      <c r="AH572" s="380" t="s">
        <v>1205</v>
      </c>
      <c r="AI572" s="576" t="str">
        <f>VLOOKUP(Table13[[#This Row],[Column1]],[1]Sheet1!$A:$AO,35,FALSE)</f>
        <v>N/A</v>
      </c>
      <c r="AJ572" s="576" t="str">
        <f>VLOOKUP(Table13[[#This Row],[Column1]],[1]Sheet1!$A:$AO,36,FALSE)</f>
        <v>N/A</v>
      </c>
      <c r="AK572" s="576" t="str">
        <f>VLOOKUP(Table13[[#This Row],[Column1]],[1]Sheet1!$A:$AO,37,FALSE)</f>
        <v>N/A</v>
      </c>
      <c r="AL572" s="576" t="str">
        <f>VLOOKUP(Table13[[#This Row],[Column1]],[1]Sheet1!$A:$AO,38,FALSE)</f>
        <v>N/A</v>
      </c>
      <c r="AM572" s="576" t="str">
        <f>VLOOKUP(Table13[[#This Row],[Column1]],[1]Sheet1!$A:$AO,39,FALSE)</f>
        <v>N/A</v>
      </c>
      <c r="AN572" s="576" t="s">
        <v>713</v>
      </c>
      <c r="AO572" s="306" t="s">
        <v>919</v>
      </c>
      <c r="AP572" s="378"/>
      <c r="AQ572" s="237"/>
    </row>
    <row r="573" spans="1:43" s="238" customFormat="1" ht="75" customHeight="1" thickBot="1" x14ac:dyDescent="0.3">
      <c r="A573" s="297" t="s">
        <v>781</v>
      </c>
      <c r="B573" s="627" t="str">
        <f>VLOOKUP(Table13[[#This Row],[Column1]],[1]Sheet1!$A:$AO,2,FALSE)</f>
        <v>PLAQUE/TROPHIES/MEDAL</v>
      </c>
      <c r="C573" s="298" t="str">
        <f>VLOOKUP(Table13[[#This Row],[Column1]],[1]Sheet1!$A:$AO,3,FALSE)</f>
        <v>PDRRMO</v>
      </c>
      <c r="D573" s="298" t="s">
        <v>712</v>
      </c>
      <c r="E573" s="450" t="str">
        <f>VLOOKUP(Table13[[#This Row],[Column1]],[1]Sheet1!$A:$AO,5,FALSE)</f>
        <v>NP-53.9 - Small Value Procurement</v>
      </c>
      <c r="F573" s="446" t="str">
        <f>VLOOKUP(Table13[[#This Row],[Column1]],[1]Sheet1!$A:$AO,6,FALSE)</f>
        <v>N/A</v>
      </c>
      <c r="G573" s="402">
        <f>VLOOKUP(Table13[[#This Row],[Column1]],[1]Sheet1!$A:$AO,7,FALSE)</f>
        <v>45352</v>
      </c>
      <c r="H573" s="374"/>
      <c r="I573" s="402" t="str">
        <f>VLOOKUP(Table13[[#This Row],[Column1]],[1]Sheet1!$A:$AO,9,FALSE)</f>
        <v>N/A</v>
      </c>
      <c r="J573" s="402">
        <f>VLOOKUP(Table13[[#This Row],[Column1]],[1]Sheet1!$A:$AO,10,FALSE)</f>
        <v>45370</v>
      </c>
      <c r="K573" s="402">
        <f>VLOOKUP(Table13[[#This Row],[Column1]],[1]Sheet1!$A:$AO,11,FALSE)</f>
        <v>45370</v>
      </c>
      <c r="L573" s="404"/>
      <c r="M573" s="402" t="str">
        <f>VLOOKUP(Table13[[#This Row],[Column1]],[1]Sheet1!$A:$AO,13,FALSE)</f>
        <v>N/A</v>
      </c>
      <c r="N573" s="402" t="str">
        <f>VLOOKUP(Table13[[#This Row],[Column1]],[1]Sheet1!$A:$AO,14,FALSE)</f>
        <v>N/A</v>
      </c>
      <c r="O573" s="402">
        <f>VLOOKUP(Table13[[#This Row],[Column1]],[1]Sheet1!$A:$AO,15,FALSE)</f>
        <v>45372</v>
      </c>
      <c r="P573" s="375"/>
      <c r="Q573" s="375"/>
      <c r="R573" s="376"/>
      <c r="S573" s="583" t="str">
        <f>VLOOKUP(Table13[[#This Row],[Column1]],[1]Sheet1!$A:$AO,19,FALSE)</f>
        <v>N/A</v>
      </c>
      <c r="T573" s="583">
        <f>VLOOKUP(Table13[[#This Row],[Column1]],[1]Sheet1!$A:$AO,20,FALSE)</f>
        <v>45387</v>
      </c>
      <c r="U573" s="583">
        <f>VLOOKUP(Table13[[#This Row],[Column1]],[1]Sheet1!$A:$AO,21,FALSE)</f>
        <v>45394</v>
      </c>
      <c r="V573" s="376"/>
      <c r="W573" s="376"/>
      <c r="X573" s="402"/>
      <c r="Y573" s="402"/>
      <c r="Z573" s="610" t="s">
        <v>1478</v>
      </c>
      <c r="AA573" s="532">
        <f>IF(Table13[[#This Row],[Column2]]="","",SUM(Table13[[#This Row],[Column28]]+Table13[[#This Row],[Column29]]))</f>
        <v>26400</v>
      </c>
      <c r="AB573" s="537">
        <v>26400</v>
      </c>
      <c r="AC573" s="502"/>
      <c r="AD573" s="532">
        <f>IF(Table13[[#This Row],[Column2]]="","",SUM(Table13[[#This Row],[Column31]]+Table13[[#This Row],[Column32]]))</f>
        <v>26400</v>
      </c>
      <c r="AE573" s="501">
        <v>26400</v>
      </c>
      <c r="AF573" s="541"/>
      <c r="AG573" s="405"/>
      <c r="AH573" s="380" t="s">
        <v>1205</v>
      </c>
      <c r="AI573" s="576" t="str">
        <f>VLOOKUP(Table13[[#This Row],[Column1]],[1]Sheet1!$A:$AO,35,FALSE)</f>
        <v>N/A</v>
      </c>
      <c r="AJ573" s="576" t="str">
        <f>VLOOKUP(Table13[[#This Row],[Column1]],[1]Sheet1!$A:$AO,36,FALSE)</f>
        <v>N/A</v>
      </c>
      <c r="AK573" s="576" t="str">
        <f>VLOOKUP(Table13[[#This Row],[Column1]],[1]Sheet1!$A:$AO,37,FALSE)</f>
        <v>N/A</v>
      </c>
      <c r="AL573" s="576" t="str">
        <f>VLOOKUP(Table13[[#This Row],[Column1]],[1]Sheet1!$A:$AO,38,FALSE)</f>
        <v>N/A</v>
      </c>
      <c r="AM573" s="576" t="str">
        <f>VLOOKUP(Table13[[#This Row],[Column1]],[1]Sheet1!$A:$AO,39,FALSE)</f>
        <v>N/A</v>
      </c>
      <c r="AN573" s="576" t="s">
        <v>713</v>
      </c>
      <c r="AO573" s="306" t="s">
        <v>919</v>
      </c>
      <c r="AP573" s="378"/>
      <c r="AQ573" s="237"/>
    </row>
    <row r="574" spans="1:43" s="238" customFormat="1" ht="75" customHeight="1" thickBot="1" x14ac:dyDescent="0.3">
      <c r="A574" s="297" t="s">
        <v>782</v>
      </c>
      <c r="B574" s="627" t="str">
        <f>VLOOKUP(Table13[[#This Row],[Column1]],[1]Sheet1!$A:$AO,2,FALSE)</f>
        <v>FOOD/CATERING SERVICES</v>
      </c>
      <c r="C574" s="298" t="str">
        <f>VLOOKUP(Table13[[#This Row],[Column1]],[1]Sheet1!$A:$AO,3,FALSE)</f>
        <v>PICTO</v>
      </c>
      <c r="D574" s="298" t="s">
        <v>712</v>
      </c>
      <c r="E574" s="450" t="str">
        <f>VLOOKUP(Table13[[#This Row],[Column1]],[1]Sheet1!$A:$AO,5,FALSE)</f>
        <v>NP-53.9 - Small Value Procurement</v>
      </c>
      <c r="F574" s="446" t="str">
        <f>VLOOKUP(Table13[[#This Row],[Column1]],[1]Sheet1!$A:$AO,6,FALSE)</f>
        <v>N/A</v>
      </c>
      <c r="G574" s="402">
        <f>VLOOKUP(Table13[[#This Row],[Column1]],[1]Sheet1!$A:$AO,7,FALSE)</f>
        <v>45352</v>
      </c>
      <c r="H574" s="374"/>
      <c r="I574" s="402" t="str">
        <f>VLOOKUP(Table13[[#This Row],[Column1]],[1]Sheet1!$A:$AO,9,FALSE)</f>
        <v>N/A</v>
      </c>
      <c r="J574" s="402">
        <f>VLOOKUP(Table13[[#This Row],[Column1]],[1]Sheet1!$A:$AO,10,FALSE)</f>
        <v>45370</v>
      </c>
      <c r="K574" s="402">
        <f>VLOOKUP(Table13[[#This Row],[Column1]],[1]Sheet1!$A:$AO,11,FALSE)</f>
        <v>45370</v>
      </c>
      <c r="L574" s="404"/>
      <c r="M574" s="402" t="str">
        <f>VLOOKUP(Table13[[#This Row],[Column1]],[1]Sheet1!$A:$AO,13,FALSE)</f>
        <v>N/A</v>
      </c>
      <c r="N574" s="402" t="str">
        <f>VLOOKUP(Table13[[#This Row],[Column1]],[1]Sheet1!$A:$AO,14,FALSE)</f>
        <v>N/A</v>
      </c>
      <c r="O574" s="402">
        <f>VLOOKUP(Table13[[#This Row],[Column1]],[1]Sheet1!$A:$AO,15,FALSE)</f>
        <v>45372</v>
      </c>
      <c r="P574" s="375"/>
      <c r="Q574" s="375"/>
      <c r="R574" s="376"/>
      <c r="S574" s="583" t="str">
        <f>VLOOKUP(Table13[[#This Row],[Column1]],[1]Sheet1!$A:$AO,19,FALSE)</f>
        <v>N/A</v>
      </c>
      <c r="T574" s="583">
        <f>VLOOKUP(Table13[[#This Row],[Column1]],[1]Sheet1!$A:$AO,20,FALSE)</f>
        <v>45387</v>
      </c>
      <c r="U574" s="583">
        <f>VLOOKUP(Table13[[#This Row],[Column1]],[1]Sheet1!$A:$AO,21,FALSE)</f>
        <v>45393</v>
      </c>
      <c r="V574" s="376"/>
      <c r="W574" s="376"/>
      <c r="X574" s="402"/>
      <c r="Y574" s="402"/>
      <c r="Z574" s="610" t="s">
        <v>1478</v>
      </c>
      <c r="AA574" s="532">
        <f>IF(Table13[[#This Row],[Column2]]="","",SUM(Table13[[#This Row],[Column28]]+Table13[[#This Row],[Column29]]))</f>
        <v>23400</v>
      </c>
      <c r="AB574" s="537">
        <v>23400</v>
      </c>
      <c r="AC574" s="502"/>
      <c r="AD574" s="532">
        <f>IF(Table13[[#This Row],[Column2]]="","",SUM(Table13[[#This Row],[Column31]]+Table13[[#This Row],[Column32]]))</f>
        <v>22980</v>
      </c>
      <c r="AE574" s="501">
        <v>22980</v>
      </c>
      <c r="AF574" s="541"/>
      <c r="AG574" s="405"/>
      <c r="AH574" s="380" t="s">
        <v>1205</v>
      </c>
      <c r="AI574" s="576" t="str">
        <f>VLOOKUP(Table13[[#This Row],[Column1]],[1]Sheet1!$A:$AO,35,FALSE)</f>
        <v>N/A</v>
      </c>
      <c r="AJ574" s="576" t="str">
        <f>VLOOKUP(Table13[[#This Row],[Column1]],[1]Sheet1!$A:$AO,36,FALSE)</f>
        <v>N/A</v>
      </c>
      <c r="AK574" s="576" t="str">
        <f>VLOOKUP(Table13[[#This Row],[Column1]],[1]Sheet1!$A:$AO,37,FALSE)</f>
        <v>N/A</v>
      </c>
      <c r="AL574" s="576" t="str">
        <f>VLOOKUP(Table13[[#This Row],[Column1]],[1]Sheet1!$A:$AO,38,FALSE)</f>
        <v>N/A</v>
      </c>
      <c r="AM574" s="576" t="str">
        <f>VLOOKUP(Table13[[#This Row],[Column1]],[1]Sheet1!$A:$AO,39,FALSE)</f>
        <v>N/A</v>
      </c>
      <c r="AN574" s="576" t="s">
        <v>713</v>
      </c>
      <c r="AO574" s="306" t="s">
        <v>919</v>
      </c>
      <c r="AP574" s="378"/>
      <c r="AQ574" s="237"/>
    </row>
    <row r="575" spans="1:43" s="238" customFormat="1" ht="75" customHeight="1" thickBot="1" x14ac:dyDescent="0.3">
      <c r="A575" s="297" t="s">
        <v>783</v>
      </c>
      <c r="B575" s="627" t="str">
        <f>VLOOKUP(Table13[[#This Row],[Column1]],[1]Sheet1!$A:$AO,2,FALSE)</f>
        <v>WATER</v>
      </c>
      <c r="C575" s="298" t="str">
        <f>VLOOKUP(Table13[[#This Row],[Column1]],[1]Sheet1!$A:$AO,3,FALSE)</f>
        <v>PGO</v>
      </c>
      <c r="D575" s="298" t="s">
        <v>712</v>
      </c>
      <c r="E575" s="450" t="str">
        <f>VLOOKUP(Table13[[#This Row],[Column1]],[1]Sheet1!$A:$AO,5,FALSE)</f>
        <v>NP-53.9 - Small Value Procurement</v>
      </c>
      <c r="F575" s="446" t="str">
        <f>VLOOKUP(Table13[[#This Row],[Column1]],[1]Sheet1!$A:$AO,6,FALSE)</f>
        <v>N/A</v>
      </c>
      <c r="G575" s="402">
        <f>VLOOKUP(Table13[[#This Row],[Column1]],[1]Sheet1!$A:$AO,7,FALSE)</f>
        <v>45352</v>
      </c>
      <c r="H575" s="374"/>
      <c r="I575" s="402" t="str">
        <f>VLOOKUP(Table13[[#This Row],[Column1]],[1]Sheet1!$A:$AO,9,FALSE)</f>
        <v>N/A</v>
      </c>
      <c r="J575" s="402">
        <f>VLOOKUP(Table13[[#This Row],[Column1]],[1]Sheet1!$A:$AO,10,FALSE)</f>
        <v>45370</v>
      </c>
      <c r="K575" s="402">
        <f>VLOOKUP(Table13[[#This Row],[Column1]],[1]Sheet1!$A:$AO,11,FALSE)</f>
        <v>45370</v>
      </c>
      <c r="L575" s="404"/>
      <c r="M575" s="402" t="str">
        <f>VLOOKUP(Table13[[#This Row],[Column1]],[1]Sheet1!$A:$AO,13,FALSE)</f>
        <v>N/A</v>
      </c>
      <c r="N575" s="402" t="str">
        <f>VLOOKUP(Table13[[#This Row],[Column1]],[1]Sheet1!$A:$AO,14,FALSE)</f>
        <v>N/A</v>
      </c>
      <c r="O575" s="402">
        <f>VLOOKUP(Table13[[#This Row],[Column1]],[1]Sheet1!$A:$AO,15,FALSE)</f>
        <v>45372</v>
      </c>
      <c r="P575" s="375"/>
      <c r="Q575" s="375"/>
      <c r="R575" s="376"/>
      <c r="S575" s="583" t="str">
        <f>VLOOKUP(Table13[[#This Row],[Column1]],[1]Sheet1!$A:$AO,19,FALSE)</f>
        <v>N/A</v>
      </c>
      <c r="T575" s="583">
        <f>VLOOKUP(Table13[[#This Row],[Column1]],[1]Sheet1!$A:$AO,20,FALSE)</f>
        <v>45386</v>
      </c>
      <c r="U575" s="583">
        <f>VLOOKUP(Table13[[#This Row],[Column1]],[1]Sheet1!$A:$AO,21,FALSE)</f>
        <v>45393</v>
      </c>
      <c r="V575" s="376"/>
      <c r="W575" s="376"/>
      <c r="X575" s="402"/>
      <c r="Y575" s="402"/>
      <c r="Z575" s="610" t="s">
        <v>1478</v>
      </c>
      <c r="AA575" s="532">
        <f>IF(Table13[[#This Row],[Column2]]="","",SUM(Table13[[#This Row],[Column28]]+Table13[[#This Row],[Column29]]))</f>
        <v>10575</v>
      </c>
      <c r="AB575" s="537">
        <v>10575</v>
      </c>
      <c r="AC575" s="502"/>
      <c r="AD575" s="532">
        <f>IF(Table13[[#This Row],[Column2]]="","",SUM(Table13[[#This Row],[Column31]]+Table13[[#This Row],[Column32]]))</f>
        <v>10000</v>
      </c>
      <c r="AE575" s="501">
        <v>10000</v>
      </c>
      <c r="AF575" s="541"/>
      <c r="AG575" s="405"/>
      <c r="AH575" s="380" t="s">
        <v>1205</v>
      </c>
      <c r="AI575" s="576" t="str">
        <f>VLOOKUP(Table13[[#This Row],[Column1]],[1]Sheet1!$A:$AO,35,FALSE)</f>
        <v>N/A</v>
      </c>
      <c r="AJ575" s="576" t="str">
        <f>VLOOKUP(Table13[[#This Row],[Column1]],[1]Sheet1!$A:$AO,36,FALSE)</f>
        <v>N/A</v>
      </c>
      <c r="AK575" s="576" t="str">
        <f>VLOOKUP(Table13[[#This Row],[Column1]],[1]Sheet1!$A:$AO,37,FALSE)</f>
        <v>N/A</v>
      </c>
      <c r="AL575" s="576" t="str">
        <f>VLOOKUP(Table13[[#This Row],[Column1]],[1]Sheet1!$A:$AO,38,FALSE)</f>
        <v>N/A</v>
      </c>
      <c r="AM575" s="576" t="str">
        <f>VLOOKUP(Table13[[#This Row],[Column1]],[1]Sheet1!$A:$AO,39,FALSE)</f>
        <v>N/A</v>
      </c>
      <c r="AN575" s="576" t="s">
        <v>713</v>
      </c>
      <c r="AO575" s="306" t="s">
        <v>919</v>
      </c>
      <c r="AP575" s="378"/>
      <c r="AQ575" s="237"/>
    </row>
    <row r="576" spans="1:43" s="238" customFormat="1" ht="75" customHeight="1" thickBot="1" x14ac:dyDescent="0.3">
      <c r="A576" s="297" t="s">
        <v>784</v>
      </c>
      <c r="B576" s="627" t="str">
        <f>VLOOKUP(Table13[[#This Row],[Column1]],[1]Sheet1!$A:$AO,2,FALSE)</f>
        <v>SPAREPARTS (LIGHT VEHICLES)</v>
      </c>
      <c r="C576" s="298" t="str">
        <f>VLOOKUP(Table13[[#This Row],[Column1]],[1]Sheet1!$A:$AO,3,FALSE)</f>
        <v>PVGO</v>
      </c>
      <c r="D576" s="298" t="s">
        <v>712</v>
      </c>
      <c r="E576" s="450" t="str">
        <f>VLOOKUP(Table13[[#This Row],[Column1]],[1]Sheet1!$A:$AO,5,FALSE)</f>
        <v>NP-53.9 - Small Value Procurement</v>
      </c>
      <c r="F576" s="446">
        <f>VLOOKUP(Table13[[#This Row],[Column1]],[1]Sheet1!$A:$AO,6,FALSE)</f>
        <v>45342</v>
      </c>
      <c r="G576" s="402">
        <f>VLOOKUP(Table13[[#This Row],[Column1]],[1]Sheet1!$A:$AO,7,FALSE)</f>
        <v>45344</v>
      </c>
      <c r="H576" s="374"/>
      <c r="I576" s="402" t="str">
        <f>VLOOKUP(Table13[[#This Row],[Column1]],[1]Sheet1!$A:$AO,9,FALSE)</f>
        <v>N/A</v>
      </c>
      <c r="J576" s="402">
        <f>VLOOKUP(Table13[[#This Row],[Column1]],[1]Sheet1!$A:$AO,10,FALSE)</f>
        <v>45370</v>
      </c>
      <c r="K576" s="402">
        <f>VLOOKUP(Table13[[#This Row],[Column1]],[1]Sheet1!$A:$AO,11,FALSE)</f>
        <v>45370</v>
      </c>
      <c r="L576" s="404"/>
      <c r="M576" s="402" t="str">
        <f>VLOOKUP(Table13[[#This Row],[Column1]],[1]Sheet1!$A:$AO,13,FALSE)</f>
        <v>N/A</v>
      </c>
      <c r="N576" s="402" t="str">
        <f>VLOOKUP(Table13[[#This Row],[Column1]],[1]Sheet1!$A:$AO,14,FALSE)</f>
        <v>N/A</v>
      </c>
      <c r="O576" s="402">
        <f>VLOOKUP(Table13[[#This Row],[Column1]],[1]Sheet1!$A:$AO,15,FALSE)</f>
        <v>45372</v>
      </c>
      <c r="P576" s="375"/>
      <c r="Q576" s="375"/>
      <c r="R576" s="376"/>
      <c r="S576" s="583" t="str">
        <f>VLOOKUP(Table13[[#This Row],[Column1]],[1]Sheet1!$A:$AO,19,FALSE)</f>
        <v>N/A</v>
      </c>
      <c r="T576" s="583">
        <f>VLOOKUP(Table13[[#This Row],[Column1]],[1]Sheet1!$A:$AO,20,FALSE)</f>
        <v>45439</v>
      </c>
      <c r="U576" s="583">
        <f>VLOOKUP(Table13[[#This Row],[Column1]],[1]Sheet1!$A:$AO,21,FALSE)</f>
        <v>45447</v>
      </c>
      <c r="V576" s="376"/>
      <c r="W576" s="376"/>
      <c r="X576" s="402"/>
      <c r="Y576" s="402"/>
      <c r="Z576" s="610" t="s">
        <v>1478</v>
      </c>
      <c r="AA576" s="532">
        <f>IF(Table13[[#This Row],[Column2]]="","",SUM(Table13[[#This Row],[Column28]]+Table13[[#This Row],[Column29]]))</f>
        <v>21880</v>
      </c>
      <c r="AB576" s="537">
        <v>21880</v>
      </c>
      <c r="AC576" s="502"/>
      <c r="AD576" s="532">
        <f>IF(Table13[[#This Row],[Column2]]="","",SUM(Table13[[#This Row],[Column31]]+Table13[[#This Row],[Column32]]))</f>
        <v>21600</v>
      </c>
      <c r="AE576" s="501">
        <v>21600</v>
      </c>
      <c r="AF576" s="541"/>
      <c r="AG576" s="405"/>
      <c r="AH576" s="380" t="s">
        <v>1205</v>
      </c>
      <c r="AI576" s="576" t="str">
        <f>VLOOKUP(Table13[[#This Row],[Column1]],[1]Sheet1!$A:$AO,35,FALSE)</f>
        <v>N/A</v>
      </c>
      <c r="AJ576" s="576" t="str">
        <f>VLOOKUP(Table13[[#This Row],[Column1]],[1]Sheet1!$A:$AO,36,FALSE)</f>
        <v>N/A</v>
      </c>
      <c r="AK576" s="576" t="str">
        <f>VLOOKUP(Table13[[#This Row],[Column1]],[1]Sheet1!$A:$AO,37,FALSE)</f>
        <v>N/A</v>
      </c>
      <c r="AL576" s="576" t="str">
        <f>VLOOKUP(Table13[[#This Row],[Column1]],[1]Sheet1!$A:$AO,38,FALSE)</f>
        <v>N/A</v>
      </c>
      <c r="AM576" s="576" t="str">
        <f>VLOOKUP(Table13[[#This Row],[Column1]],[1]Sheet1!$A:$AO,39,FALSE)</f>
        <v>N/A</v>
      </c>
      <c r="AN576" s="576" t="s">
        <v>713</v>
      </c>
      <c r="AO576" s="306" t="s">
        <v>919</v>
      </c>
      <c r="AP576" s="378"/>
      <c r="AQ576" s="237"/>
    </row>
    <row r="577" spans="1:43" s="238" customFormat="1" ht="75" customHeight="1" thickBot="1" x14ac:dyDescent="0.3">
      <c r="A577" s="297" t="s">
        <v>785</v>
      </c>
      <c r="B577" s="627" t="str">
        <f>VLOOKUP(Table13[[#This Row],[Column1]],[1]Sheet1!$A:$AO,2,FALSE)</f>
        <v>WATER</v>
      </c>
      <c r="C577" s="298" t="str">
        <f>VLOOKUP(Table13[[#This Row],[Column1]],[1]Sheet1!$A:$AO,3,FALSE)</f>
        <v>PLO</v>
      </c>
      <c r="D577" s="298" t="s">
        <v>712</v>
      </c>
      <c r="E577" s="450" t="str">
        <f>VLOOKUP(Table13[[#This Row],[Column1]],[1]Sheet1!$A:$AO,5,FALSE)</f>
        <v>NP-53.9 - Small Value Procurement</v>
      </c>
      <c r="F577" s="446" t="str">
        <f>VLOOKUP(Table13[[#This Row],[Column1]],[1]Sheet1!$A:$AO,6,FALSE)</f>
        <v>N/A</v>
      </c>
      <c r="G577" s="402">
        <f>VLOOKUP(Table13[[#This Row],[Column1]],[1]Sheet1!$A:$AO,7,FALSE)</f>
        <v>45359</v>
      </c>
      <c r="H577" s="374"/>
      <c r="I577" s="402" t="str">
        <f>VLOOKUP(Table13[[#This Row],[Column1]],[1]Sheet1!$A:$AO,9,FALSE)</f>
        <v>N/A</v>
      </c>
      <c r="J577" s="402">
        <f>VLOOKUP(Table13[[#This Row],[Column1]],[1]Sheet1!$A:$AO,10,FALSE)</f>
        <v>45370</v>
      </c>
      <c r="K577" s="402">
        <f>VLOOKUP(Table13[[#This Row],[Column1]],[1]Sheet1!$A:$AO,11,FALSE)</f>
        <v>45370</v>
      </c>
      <c r="L577" s="404"/>
      <c r="M577" s="402" t="str">
        <f>VLOOKUP(Table13[[#This Row],[Column1]],[1]Sheet1!$A:$AO,13,FALSE)</f>
        <v>N/A</v>
      </c>
      <c r="N577" s="402" t="str">
        <f>VLOOKUP(Table13[[#This Row],[Column1]],[1]Sheet1!$A:$AO,14,FALSE)</f>
        <v>N/A</v>
      </c>
      <c r="O577" s="402">
        <f>VLOOKUP(Table13[[#This Row],[Column1]],[1]Sheet1!$A:$AO,15,FALSE)</f>
        <v>45372</v>
      </c>
      <c r="P577" s="375"/>
      <c r="Q577" s="375"/>
      <c r="R577" s="376"/>
      <c r="S577" s="583" t="str">
        <f>VLOOKUP(Table13[[#This Row],[Column1]],[1]Sheet1!$A:$AO,19,FALSE)</f>
        <v>N/A</v>
      </c>
      <c r="T577" s="583">
        <f>VLOOKUP(Table13[[#This Row],[Column1]],[1]Sheet1!$A:$AO,20,FALSE)</f>
        <v>45387</v>
      </c>
      <c r="U577" s="583">
        <f>VLOOKUP(Table13[[#This Row],[Column1]],[1]Sheet1!$A:$AO,21,FALSE)</f>
        <v>45393</v>
      </c>
      <c r="V577" s="376"/>
      <c r="W577" s="376"/>
      <c r="X577" s="402"/>
      <c r="Y577" s="402"/>
      <c r="Z577" s="610" t="s">
        <v>1478</v>
      </c>
      <c r="AA577" s="532">
        <f>IF(Table13[[#This Row],[Column2]]="","",SUM(Table13[[#This Row],[Column28]]+Table13[[#This Row],[Column29]]))</f>
        <v>2870</v>
      </c>
      <c r="AB577" s="537">
        <v>2870</v>
      </c>
      <c r="AC577" s="502"/>
      <c r="AD577" s="532">
        <f>IF(Table13[[#This Row],[Column2]]="","",SUM(Table13[[#This Row],[Column31]]+Table13[[#This Row],[Column32]]))</f>
        <v>2800</v>
      </c>
      <c r="AE577" s="501">
        <v>2800</v>
      </c>
      <c r="AF577" s="541"/>
      <c r="AG577" s="405"/>
      <c r="AH577" s="380" t="s">
        <v>1205</v>
      </c>
      <c r="AI577" s="576" t="str">
        <f>VLOOKUP(Table13[[#This Row],[Column1]],[1]Sheet1!$A:$AO,35,FALSE)</f>
        <v>N/A</v>
      </c>
      <c r="AJ577" s="576" t="str">
        <f>VLOOKUP(Table13[[#This Row],[Column1]],[1]Sheet1!$A:$AO,36,FALSE)</f>
        <v>N/A</v>
      </c>
      <c r="AK577" s="576" t="str">
        <f>VLOOKUP(Table13[[#This Row],[Column1]],[1]Sheet1!$A:$AO,37,FALSE)</f>
        <v>N/A</v>
      </c>
      <c r="AL577" s="576" t="str">
        <f>VLOOKUP(Table13[[#This Row],[Column1]],[1]Sheet1!$A:$AO,38,FALSE)</f>
        <v>N/A</v>
      </c>
      <c r="AM577" s="576" t="str">
        <f>VLOOKUP(Table13[[#This Row],[Column1]],[1]Sheet1!$A:$AO,39,FALSE)</f>
        <v>N/A</v>
      </c>
      <c r="AN577" s="576" t="s">
        <v>713</v>
      </c>
      <c r="AO577" s="306" t="s">
        <v>919</v>
      </c>
      <c r="AP577" s="378"/>
      <c r="AQ577" s="237"/>
    </row>
    <row r="578" spans="1:43" s="238" customFormat="1" ht="75" customHeight="1" thickBot="1" x14ac:dyDescent="0.3">
      <c r="A578" s="297" t="s">
        <v>786</v>
      </c>
      <c r="B578" s="627" t="str">
        <f>VLOOKUP(Table13[[#This Row],[Column1]],[1]Sheet1!$A:$AO,2,FALSE)</f>
        <v>MINERAL WATER</v>
      </c>
      <c r="C578" s="298" t="str">
        <f>VLOOKUP(Table13[[#This Row],[Column1]],[1]Sheet1!$A:$AO,3,FALSE)</f>
        <v>PGO</v>
      </c>
      <c r="D578" s="298" t="s">
        <v>712</v>
      </c>
      <c r="E578" s="450" t="str">
        <f>VLOOKUP(Table13[[#This Row],[Column1]],[1]Sheet1!$A:$AO,5,FALSE)</f>
        <v>NP-53.9 - Small Value Procurement</v>
      </c>
      <c r="F578" s="446">
        <f>VLOOKUP(Table13[[#This Row],[Column1]],[1]Sheet1!$A:$AO,6,FALSE)</f>
        <v>45356</v>
      </c>
      <c r="G578" s="402">
        <f>VLOOKUP(Table13[[#This Row],[Column1]],[1]Sheet1!$A:$AO,7,FALSE)</f>
        <v>45359</v>
      </c>
      <c r="H578" s="374"/>
      <c r="I578" s="402" t="str">
        <f>VLOOKUP(Table13[[#This Row],[Column1]],[1]Sheet1!$A:$AO,9,FALSE)</f>
        <v>N/A</v>
      </c>
      <c r="J578" s="402">
        <f>VLOOKUP(Table13[[#This Row],[Column1]],[1]Sheet1!$A:$AO,10,FALSE)</f>
        <v>45370</v>
      </c>
      <c r="K578" s="402">
        <f>VLOOKUP(Table13[[#This Row],[Column1]],[1]Sheet1!$A:$AO,11,FALSE)</f>
        <v>45370</v>
      </c>
      <c r="L578" s="404"/>
      <c r="M578" s="402" t="str">
        <f>VLOOKUP(Table13[[#This Row],[Column1]],[1]Sheet1!$A:$AO,13,FALSE)</f>
        <v>N/A</v>
      </c>
      <c r="N578" s="402" t="str">
        <f>VLOOKUP(Table13[[#This Row],[Column1]],[1]Sheet1!$A:$AO,14,FALSE)</f>
        <v>N/A</v>
      </c>
      <c r="O578" s="402">
        <f>VLOOKUP(Table13[[#This Row],[Column1]],[1]Sheet1!$A:$AO,15,FALSE)</f>
        <v>45372</v>
      </c>
      <c r="P578" s="375"/>
      <c r="Q578" s="375"/>
      <c r="R578" s="376"/>
      <c r="S578" s="583">
        <f>VLOOKUP(Table13[[#This Row],[Column1]],[1]Sheet1!$A:$AO,19,FALSE)</f>
        <v>45376</v>
      </c>
      <c r="T578" s="583">
        <f>VLOOKUP(Table13[[#This Row],[Column1]],[1]Sheet1!$A:$AO,20,FALSE)</f>
        <v>45405</v>
      </c>
      <c r="U578" s="583">
        <f>VLOOKUP(Table13[[#This Row],[Column1]],[1]Sheet1!$A:$AO,21,FALSE)</f>
        <v>45412</v>
      </c>
      <c r="V578" s="376"/>
      <c r="W578" s="376"/>
      <c r="X578" s="402"/>
      <c r="Y578" s="402"/>
      <c r="Z578" s="610" t="s">
        <v>1478</v>
      </c>
      <c r="AA578" s="532">
        <f>IF(Table13[[#This Row],[Column2]]="","",SUM(Table13[[#This Row],[Column28]]+Table13[[#This Row],[Column29]]))</f>
        <v>160802</v>
      </c>
      <c r="AB578" s="537">
        <v>160802</v>
      </c>
      <c r="AC578" s="502"/>
      <c r="AD578" s="532">
        <f>IF(Table13[[#This Row],[Column2]]="","",SUM(Table13[[#This Row],[Column31]]+Table13[[#This Row],[Column32]]))</f>
        <v>156880</v>
      </c>
      <c r="AE578" s="501">
        <v>156880</v>
      </c>
      <c r="AF578" s="541"/>
      <c r="AG578" s="405"/>
      <c r="AH578" s="380" t="s">
        <v>1205</v>
      </c>
      <c r="AI578" s="576" t="str">
        <f>VLOOKUP(Table13[[#This Row],[Column1]],[1]Sheet1!$A:$AO,35,FALSE)</f>
        <v>N/A</v>
      </c>
      <c r="AJ578" s="576" t="str">
        <f>VLOOKUP(Table13[[#This Row],[Column1]],[1]Sheet1!$A:$AO,36,FALSE)</f>
        <v>N/A</v>
      </c>
      <c r="AK578" s="576" t="str">
        <f>VLOOKUP(Table13[[#This Row],[Column1]],[1]Sheet1!$A:$AO,37,FALSE)</f>
        <v>N/A</v>
      </c>
      <c r="AL578" s="576" t="str">
        <f>VLOOKUP(Table13[[#This Row],[Column1]],[1]Sheet1!$A:$AO,38,FALSE)</f>
        <v>N/A</v>
      </c>
      <c r="AM578" s="576" t="str">
        <f>VLOOKUP(Table13[[#This Row],[Column1]],[1]Sheet1!$A:$AO,39,FALSE)</f>
        <v>N/A</v>
      </c>
      <c r="AN578" s="576" t="s">
        <v>713</v>
      </c>
      <c r="AO578" s="306" t="s">
        <v>919</v>
      </c>
      <c r="AP578" s="378"/>
      <c r="AQ578" s="237"/>
    </row>
    <row r="579" spans="1:43" s="238" customFormat="1" ht="75" customHeight="1" thickBot="1" x14ac:dyDescent="0.3">
      <c r="A579" s="297" t="s">
        <v>787</v>
      </c>
      <c r="B579" s="627" t="str">
        <f>VLOOKUP(Table13[[#This Row],[Column1]],[1]Sheet1!$A:$AO,2,FALSE)</f>
        <v>FOOD/CATERING SERVICES</v>
      </c>
      <c r="C579" s="298" t="str">
        <f>VLOOKUP(Table13[[#This Row],[Column1]],[1]Sheet1!$A:$AO,3,FALSE)</f>
        <v>PGSO</v>
      </c>
      <c r="D579" s="298" t="s">
        <v>712</v>
      </c>
      <c r="E579" s="450" t="str">
        <f>VLOOKUP(Table13[[#This Row],[Column1]],[1]Sheet1!$A:$AO,5,FALSE)</f>
        <v>NP-53.9 - Small Value Procurement</v>
      </c>
      <c r="F579" s="446" t="str">
        <f>VLOOKUP(Table13[[#This Row],[Column1]],[1]Sheet1!$A:$AO,6,FALSE)</f>
        <v>N/A</v>
      </c>
      <c r="G579" s="402">
        <f>VLOOKUP(Table13[[#This Row],[Column1]],[1]Sheet1!$A:$AO,7,FALSE)</f>
        <v>45359</v>
      </c>
      <c r="H579" s="374"/>
      <c r="I579" s="402" t="str">
        <f>VLOOKUP(Table13[[#This Row],[Column1]],[1]Sheet1!$A:$AO,9,FALSE)</f>
        <v>N/A</v>
      </c>
      <c r="J579" s="402">
        <f>VLOOKUP(Table13[[#This Row],[Column1]],[1]Sheet1!$A:$AO,10,FALSE)</f>
        <v>45370</v>
      </c>
      <c r="K579" s="402">
        <f>VLOOKUP(Table13[[#This Row],[Column1]],[1]Sheet1!$A:$AO,11,FALSE)</f>
        <v>45370</v>
      </c>
      <c r="L579" s="404"/>
      <c r="M579" s="402" t="str">
        <f>VLOOKUP(Table13[[#This Row],[Column1]],[1]Sheet1!$A:$AO,13,FALSE)</f>
        <v>N/A</v>
      </c>
      <c r="N579" s="402" t="str">
        <f>VLOOKUP(Table13[[#This Row],[Column1]],[1]Sheet1!$A:$AO,14,FALSE)</f>
        <v>N/A</v>
      </c>
      <c r="O579" s="402">
        <f>VLOOKUP(Table13[[#This Row],[Column1]],[1]Sheet1!$A:$AO,15,FALSE)</f>
        <v>45372</v>
      </c>
      <c r="P579" s="375"/>
      <c r="Q579" s="375"/>
      <c r="R579" s="376"/>
      <c r="S579" s="583" t="str">
        <f>VLOOKUP(Table13[[#This Row],[Column1]],[1]Sheet1!$A:$AO,19,FALSE)</f>
        <v>N/A</v>
      </c>
      <c r="T579" s="583">
        <f>VLOOKUP(Table13[[#This Row],[Column1]],[1]Sheet1!$A:$AO,20,FALSE)</f>
        <v>45407</v>
      </c>
      <c r="U579" s="583">
        <f>VLOOKUP(Table13[[#This Row],[Column1]],[1]Sheet1!$A:$AO,21,FALSE)</f>
        <v>45414</v>
      </c>
      <c r="V579" s="376"/>
      <c r="W579" s="376"/>
      <c r="X579" s="402"/>
      <c r="Y579" s="402"/>
      <c r="Z579" s="610" t="s">
        <v>1478</v>
      </c>
      <c r="AA579" s="532">
        <f>IF(Table13[[#This Row],[Column2]]="","",SUM(Table13[[#This Row],[Column28]]+Table13[[#This Row],[Column29]]))</f>
        <v>7500</v>
      </c>
      <c r="AB579" s="537"/>
      <c r="AC579" s="502">
        <v>7500</v>
      </c>
      <c r="AD579" s="532">
        <f>IF(Table13[[#This Row],[Column2]]="","",SUM(Table13[[#This Row],[Column31]]+Table13[[#This Row],[Column32]]))</f>
        <v>7200</v>
      </c>
      <c r="AE579" s="501"/>
      <c r="AF579" s="540">
        <v>7200</v>
      </c>
      <c r="AG579" s="405"/>
      <c r="AH579" s="380" t="s">
        <v>1205</v>
      </c>
      <c r="AI579" s="576" t="str">
        <f>VLOOKUP(Table13[[#This Row],[Column1]],[1]Sheet1!$A:$AO,35,FALSE)</f>
        <v>N/A</v>
      </c>
      <c r="AJ579" s="576" t="str">
        <f>VLOOKUP(Table13[[#This Row],[Column1]],[1]Sheet1!$A:$AO,36,FALSE)</f>
        <v>N/A</v>
      </c>
      <c r="AK579" s="576" t="str">
        <f>VLOOKUP(Table13[[#This Row],[Column1]],[1]Sheet1!$A:$AO,37,FALSE)</f>
        <v>N/A</v>
      </c>
      <c r="AL579" s="576" t="str">
        <f>VLOOKUP(Table13[[#This Row],[Column1]],[1]Sheet1!$A:$AO,38,FALSE)</f>
        <v>N/A</v>
      </c>
      <c r="AM579" s="576" t="str">
        <f>VLOOKUP(Table13[[#This Row],[Column1]],[1]Sheet1!$A:$AO,39,FALSE)</f>
        <v>N/A</v>
      </c>
      <c r="AN579" s="576" t="s">
        <v>713</v>
      </c>
      <c r="AO579" s="306" t="s">
        <v>919</v>
      </c>
      <c r="AP579" s="378"/>
      <c r="AQ579" s="237"/>
    </row>
    <row r="580" spans="1:43" s="238" customFormat="1" ht="75" customHeight="1" thickBot="1" x14ac:dyDescent="0.3">
      <c r="A580" s="297" t="s">
        <v>788</v>
      </c>
      <c r="B580" s="627" t="str">
        <f>VLOOKUP(Table13[[#This Row],[Column1]],[1]Sheet1!$A:$AO,2,FALSE)</f>
        <v>FOOD/CATERING SERVICES</v>
      </c>
      <c r="C580" s="298" t="str">
        <f>VLOOKUP(Table13[[#This Row],[Column1]],[1]Sheet1!$A:$AO,3,FALSE)</f>
        <v>PGO</v>
      </c>
      <c r="D580" s="298" t="s">
        <v>712</v>
      </c>
      <c r="E580" s="450" t="str">
        <f>VLOOKUP(Table13[[#This Row],[Column1]],[1]Sheet1!$A:$AO,5,FALSE)</f>
        <v>NP-53.9 - Small Value Procurement</v>
      </c>
      <c r="F580" s="446" t="str">
        <f>VLOOKUP(Table13[[#This Row],[Column1]],[1]Sheet1!$A:$AO,6,FALSE)</f>
        <v>N/A</v>
      </c>
      <c r="G580" s="402">
        <f>VLOOKUP(Table13[[#This Row],[Column1]],[1]Sheet1!$A:$AO,7,FALSE)</f>
        <v>45359</v>
      </c>
      <c r="H580" s="374"/>
      <c r="I580" s="402" t="str">
        <f>VLOOKUP(Table13[[#This Row],[Column1]],[1]Sheet1!$A:$AO,9,FALSE)</f>
        <v>N/A</v>
      </c>
      <c r="J580" s="402">
        <f>VLOOKUP(Table13[[#This Row],[Column1]],[1]Sheet1!$A:$AO,10,FALSE)</f>
        <v>45370</v>
      </c>
      <c r="K580" s="402">
        <f>VLOOKUP(Table13[[#This Row],[Column1]],[1]Sheet1!$A:$AO,11,FALSE)</f>
        <v>45370</v>
      </c>
      <c r="L580" s="404"/>
      <c r="M580" s="402" t="str">
        <f>VLOOKUP(Table13[[#This Row],[Column1]],[1]Sheet1!$A:$AO,13,FALSE)</f>
        <v>N/A</v>
      </c>
      <c r="N580" s="402" t="str">
        <f>VLOOKUP(Table13[[#This Row],[Column1]],[1]Sheet1!$A:$AO,14,FALSE)</f>
        <v>N/A</v>
      </c>
      <c r="O580" s="402">
        <f>VLOOKUP(Table13[[#This Row],[Column1]],[1]Sheet1!$A:$AO,15,FALSE)</f>
        <v>45372</v>
      </c>
      <c r="P580" s="375"/>
      <c r="Q580" s="375"/>
      <c r="R580" s="376"/>
      <c r="S580" s="583" t="str">
        <f>VLOOKUP(Table13[[#This Row],[Column1]],[1]Sheet1!$A:$AO,19,FALSE)</f>
        <v>N/A</v>
      </c>
      <c r="T580" s="583">
        <f>VLOOKUP(Table13[[#This Row],[Column1]],[1]Sheet1!$A:$AO,20,FALSE)</f>
        <v>45386</v>
      </c>
      <c r="U580" s="583">
        <f>VLOOKUP(Table13[[#This Row],[Column1]],[1]Sheet1!$A:$AO,21,FALSE)</f>
        <v>45390</v>
      </c>
      <c r="V580" s="376"/>
      <c r="W580" s="376"/>
      <c r="X580" s="402"/>
      <c r="Y580" s="402"/>
      <c r="Z580" s="610" t="s">
        <v>1478</v>
      </c>
      <c r="AA580" s="532">
        <f>IF(Table13[[#This Row],[Column2]]="","",SUM(Table13[[#This Row],[Column28]]+Table13[[#This Row],[Column29]]))</f>
        <v>4500</v>
      </c>
      <c r="AB580" s="537"/>
      <c r="AC580" s="502">
        <v>4500</v>
      </c>
      <c r="AD580" s="532">
        <f>IF(Table13[[#This Row],[Column2]]="","",SUM(Table13[[#This Row],[Column31]]+Table13[[#This Row],[Column32]]))</f>
        <v>4477.5</v>
      </c>
      <c r="AE580" s="501"/>
      <c r="AF580" s="540">
        <v>4477.5</v>
      </c>
      <c r="AG580" s="405"/>
      <c r="AH580" s="380" t="s">
        <v>1205</v>
      </c>
      <c r="AI580" s="576" t="str">
        <f>VLOOKUP(Table13[[#This Row],[Column1]],[1]Sheet1!$A:$AO,35,FALSE)</f>
        <v>N/A</v>
      </c>
      <c r="AJ580" s="576" t="str">
        <f>VLOOKUP(Table13[[#This Row],[Column1]],[1]Sheet1!$A:$AO,36,FALSE)</f>
        <v>N/A</v>
      </c>
      <c r="AK580" s="576" t="str">
        <f>VLOOKUP(Table13[[#This Row],[Column1]],[1]Sheet1!$A:$AO,37,FALSE)</f>
        <v>N/A</v>
      </c>
      <c r="AL580" s="576" t="str">
        <f>VLOOKUP(Table13[[#This Row],[Column1]],[1]Sheet1!$A:$AO,38,FALSE)</f>
        <v>N/A</v>
      </c>
      <c r="AM580" s="576" t="str">
        <f>VLOOKUP(Table13[[#This Row],[Column1]],[1]Sheet1!$A:$AO,39,FALSE)</f>
        <v>N/A</v>
      </c>
      <c r="AN580" s="576" t="s">
        <v>713</v>
      </c>
      <c r="AO580" s="306" t="s">
        <v>919</v>
      </c>
      <c r="AP580" s="378"/>
      <c r="AQ580" s="237"/>
    </row>
    <row r="581" spans="1:43" s="238" customFormat="1" ht="75" customHeight="1" thickBot="1" x14ac:dyDescent="0.3">
      <c r="A581" s="297" t="s">
        <v>789</v>
      </c>
      <c r="B581" s="627" t="str">
        <f>VLOOKUP(Table13[[#This Row],[Column1]],[1]Sheet1!$A:$AO,2,FALSE)</f>
        <v>FOOD CATERING/SERVICES</v>
      </c>
      <c r="C581" s="298" t="str">
        <f>VLOOKUP(Table13[[#This Row],[Column1]],[1]Sheet1!$A:$AO,3,FALSE)</f>
        <v>PGO</v>
      </c>
      <c r="D581" s="298" t="s">
        <v>712</v>
      </c>
      <c r="E581" s="450" t="str">
        <f>VLOOKUP(Table13[[#This Row],[Column1]],[1]Sheet1!$A:$AO,5,FALSE)</f>
        <v>NP-53.9 - Small Value Procurement</v>
      </c>
      <c r="F581" s="446">
        <f>VLOOKUP(Table13[[#This Row],[Column1]],[1]Sheet1!$A:$AO,6,FALSE)</f>
        <v>45356</v>
      </c>
      <c r="G581" s="402">
        <f>VLOOKUP(Table13[[#This Row],[Column1]],[1]Sheet1!$A:$AO,7,FALSE)</f>
        <v>45359</v>
      </c>
      <c r="H581" s="374"/>
      <c r="I581" s="402" t="str">
        <f>VLOOKUP(Table13[[#This Row],[Column1]],[1]Sheet1!$A:$AO,9,FALSE)</f>
        <v>N/A</v>
      </c>
      <c r="J581" s="402">
        <f>VLOOKUP(Table13[[#This Row],[Column1]],[1]Sheet1!$A:$AO,10,FALSE)</f>
        <v>45370</v>
      </c>
      <c r="K581" s="402">
        <f>VLOOKUP(Table13[[#This Row],[Column1]],[1]Sheet1!$A:$AO,11,FALSE)</f>
        <v>45370</v>
      </c>
      <c r="L581" s="404"/>
      <c r="M581" s="402" t="str">
        <f>VLOOKUP(Table13[[#This Row],[Column1]],[1]Sheet1!$A:$AO,13,FALSE)</f>
        <v>N/A</v>
      </c>
      <c r="N581" s="402" t="str">
        <f>VLOOKUP(Table13[[#This Row],[Column1]],[1]Sheet1!$A:$AO,14,FALSE)</f>
        <v>N/A</v>
      </c>
      <c r="O581" s="402">
        <f>VLOOKUP(Table13[[#This Row],[Column1]],[1]Sheet1!$A:$AO,15,FALSE)</f>
        <v>45372</v>
      </c>
      <c r="P581" s="375"/>
      <c r="Q581" s="375"/>
      <c r="R581" s="376"/>
      <c r="S581" s="583">
        <f>VLOOKUP(Table13[[#This Row],[Column1]],[1]Sheet1!$A:$AO,19,FALSE)</f>
        <v>45385</v>
      </c>
      <c r="T581" s="583">
        <f>VLOOKUP(Table13[[#This Row],[Column1]],[1]Sheet1!$A:$AO,20,FALSE)</f>
        <v>45386</v>
      </c>
      <c r="U581" s="583">
        <f>VLOOKUP(Table13[[#This Row],[Column1]],[1]Sheet1!$A:$AO,21,FALSE)</f>
        <v>45397</v>
      </c>
      <c r="V581" s="376"/>
      <c r="W581" s="376"/>
      <c r="X581" s="402"/>
      <c r="Y581" s="402"/>
      <c r="Z581" s="610" t="s">
        <v>1478</v>
      </c>
      <c r="AA581" s="532">
        <f>IF(Table13[[#This Row],[Column2]]="","",SUM(Table13[[#This Row],[Column28]]+Table13[[#This Row],[Column29]]))</f>
        <v>52000</v>
      </c>
      <c r="AB581" s="537"/>
      <c r="AC581" s="502">
        <v>52000</v>
      </c>
      <c r="AD581" s="532">
        <f>IF(Table13[[#This Row],[Column2]]="","",SUM(Table13[[#This Row],[Column31]]+Table13[[#This Row],[Column32]]))</f>
        <v>51920</v>
      </c>
      <c r="AE581" s="501"/>
      <c r="AF581" s="540">
        <v>51920</v>
      </c>
      <c r="AG581" s="405"/>
      <c r="AH581" s="380" t="s">
        <v>1205</v>
      </c>
      <c r="AI581" s="576" t="str">
        <f>VLOOKUP(Table13[[#This Row],[Column1]],[1]Sheet1!$A:$AO,35,FALSE)</f>
        <v>N/A</v>
      </c>
      <c r="AJ581" s="576" t="str">
        <f>VLOOKUP(Table13[[#This Row],[Column1]],[1]Sheet1!$A:$AO,36,FALSE)</f>
        <v>N/A</v>
      </c>
      <c r="AK581" s="576" t="str">
        <f>VLOOKUP(Table13[[#This Row],[Column1]],[1]Sheet1!$A:$AO,37,FALSE)</f>
        <v>N/A</v>
      </c>
      <c r="AL581" s="576" t="str">
        <f>VLOOKUP(Table13[[#This Row],[Column1]],[1]Sheet1!$A:$AO,38,FALSE)</f>
        <v>N/A</v>
      </c>
      <c r="AM581" s="576" t="str">
        <f>VLOOKUP(Table13[[#This Row],[Column1]],[1]Sheet1!$A:$AO,39,FALSE)</f>
        <v>N/A</v>
      </c>
      <c r="AN581" s="576" t="s">
        <v>713</v>
      </c>
      <c r="AO581" s="306" t="s">
        <v>919</v>
      </c>
      <c r="AP581" s="378"/>
      <c r="AQ581" s="237"/>
    </row>
    <row r="582" spans="1:43" s="238" customFormat="1" ht="75" customHeight="1" thickBot="1" x14ac:dyDescent="0.3">
      <c r="A582" s="297" t="s">
        <v>790</v>
      </c>
      <c r="B582" s="627" t="str">
        <f>VLOOKUP(Table13[[#This Row],[Column1]],[1]Sheet1!$A:$AO,2,FALSE)</f>
        <v>FOOD CATERING/SERVICES</v>
      </c>
      <c r="C582" s="298" t="str">
        <f>VLOOKUP(Table13[[#This Row],[Column1]],[1]Sheet1!$A:$AO,3,FALSE)</f>
        <v>PHRMDO</v>
      </c>
      <c r="D582" s="298" t="s">
        <v>712</v>
      </c>
      <c r="E582" s="450" t="str">
        <f>VLOOKUP(Table13[[#This Row],[Column1]],[1]Sheet1!$A:$AO,5,FALSE)</f>
        <v>NP-53.9 - Small Value Procurement</v>
      </c>
      <c r="F582" s="446">
        <f>VLOOKUP(Table13[[#This Row],[Column1]],[1]Sheet1!$A:$AO,6,FALSE)</f>
        <v>45356</v>
      </c>
      <c r="G582" s="402">
        <f>VLOOKUP(Table13[[#This Row],[Column1]],[1]Sheet1!$A:$AO,7,FALSE)</f>
        <v>45359</v>
      </c>
      <c r="H582" s="374"/>
      <c r="I582" s="402" t="str">
        <f>VLOOKUP(Table13[[#This Row],[Column1]],[1]Sheet1!$A:$AO,9,FALSE)</f>
        <v>N/A</v>
      </c>
      <c r="J582" s="402">
        <f>VLOOKUP(Table13[[#This Row],[Column1]],[1]Sheet1!$A:$AO,10,FALSE)</f>
        <v>45370</v>
      </c>
      <c r="K582" s="402">
        <f>VLOOKUP(Table13[[#This Row],[Column1]],[1]Sheet1!$A:$AO,11,FALSE)</f>
        <v>45370</v>
      </c>
      <c r="L582" s="404"/>
      <c r="M582" s="402" t="str">
        <f>VLOOKUP(Table13[[#This Row],[Column1]],[1]Sheet1!$A:$AO,13,FALSE)</f>
        <v>N/A</v>
      </c>
      <c r="N582" s="402" t="str">
        <f>VLOOKUP(Table13[[#This Row],[Column1]],[1]Sheet1!$A:$AO,14,FALSE)</f>
        <v>N/A</v>
      </c>
      <c r="O582" s="402">
        <f>VLOOKUP(Table13[[#This Row],[Column1]],[1]Sheet1!$A:$AO,15,FALSE)</f>
        <v>45372</v>
      </c>
      <c r="P582" s="375"/>
      <c r="Q582" s="375"/>
      <c r="R582" s="376"/>
      <c r="S582" s="583">
        <f>VLOOKUP(Table13[[#This Row],[Column1]],[1]Sheet1!$A:$AO,19,FALSE)</f>
        <v>45376</v>
      </c>
      <c r="T582" s="583">
        <f>VLOOKUP(Table13[[#This Row],[Column1]],[1]Sheet1!$A:$AO,20,FALSE)</f>
        <v>45378</v>
      </c>
      <c r="U582" s="583">
        <f>VLOOKUP(Table13[[#This Row],[Column1]],[1]Sheet1!$A:$AO,21,FALSE)</f>
        <v>45384</v>
      </c>
      <c r="V582" s="376"/>
      <c r="W582" s="376"/>
      <c r="X582" s="402"/>
      <c r="Y582" s="402"/>
      <c r="Z582" s="610" t="s">
        <v>1478</v>
      </c>
      <c r="AA582" s="532">
        <f>IF(Table13[[#This Row],[Column2]]="","",SUM(Table13[[#This Row],[Column28]]+Table13[[#This Row],[Column29]]))</f>
        <v>115800</v>
      </c>
      <c r="AB582" s="537"/>
      <c r="AC582" s="502">
        <v>115800</v>
      </c>
      <c r="AD582" s="532">
        <f>IF(Table13[[#This Row],[Column2]]="","",SUM(Table13[[#This Row],[Column31]]+Table13[[#This Row],[Column32]]))</f>
        <v>111360</v>
      </c>
      <c r="AE582" s="501"/>
      <c r="AF582" s="540">
        <v>111360</v>
      </c>
      <c r="AG582" s="405"/>
      <c r="AH582" s="380" t="s">
        <v>1205</v>
      </c>
      <c r="AI582" s="576" t="str">
        <f>VLOOKUP(Table13[[#This Row],[Column1]],[1]Sheet1!$A:$AO,35,FALSE)</f>
        <v>N/A</v>
      </c>
      <c r="AJ582" s="576" t="str">
        <f>VLOOKUP(Table13[[#This Row],[Column1]],[1]Sheet1!$A:$AO,36,FALSE)</f>
        <v>N/A</v>
      </c>
      <c r="AK582" s="576" t="str">
        <f>VLOOKUP(Table13[[#This Row],[Column1]],[1]Sheet1!$A:$AO,37,FALSE)</f>
        <v>N/A</v>
      </c>
      <c r="AL582" s="576" t="str">
        <f>VLOOKUP(Table13[[#This Row],[Column1]],[1]Sheet1!$A:$AO,38,FALSE)</f>
        <v>N/A</v>
      </c>
      <c r="AM582" s="576" t="str">
        <f>VLOOKUP(Table13[[#This Row],[Column1]],[1]Sheet1!$A:$AO,39,FALSE)</f>
        <v>N/A</v>
      </c>
      <c r="AN582" s="576" t="s">
        <v>713</v>
      </c>
      <c r="AO582" s="306" t="s">
        <v>919</v>
      </c>
      <c r="AP582" s="378"/>
      <c r="AQ582" s="237"/>
    </row>
    <row r="583" spans="1:43" s="238" customFormat="1" ht="75" customHeight="1" thickBot="1" x14ac:dyDescent="0.3">
      <c r="A583" s="297" t="s">
        <v>791</v>
      </c>
      <c r="B583" s="627" t="str">
        <f>VLOOKUP(Table13[[#This Row],[Column1]],[1]Sheet1!$A:$AO,2,FALSE)</f>
        <v>FOOD/CATERING SERVICES</v>
      </c>
      <c r="C583" s="298" t="str">
        <f>VLOOKUP(Table13[[#This Row],[Column1]],[1]Sheet1!$A:$AO,3,FALSE)</f>
        <v>PHO</v>
      </c>
      <c r="D583" s="298" t="s">
        <v>712</v>
      </c>
      <c r="E583" s="450" t="str">
        <f>VLOOKUP(Table13[[#This Row],[Column1]],[1]Sheet1!$A:$AO,5,FALSE)</f>
        <v>NP-53.9 - Small Value Procurement</v>
      </c>
      <c r="F583" s="446" t="str">
        <f>VLOOKUP(Table13[[#This Row],[Column1]],[1]Sheet1!$A:$AO,6,FALSE)</f>
        <v>N/A</v>
      </c>
      <c r="G583" s="402">
        <f>VLOOKUP(Table13[[#This Row],[Column1]],[1]Sheet1!$A:$AO,7,FALSE)</f>
        <v>45359</v>
      </c>
      <c r="H583" s="374"/>
      <c r="I583" s="402" t="str">
        <f>VLOOKUP(Table13[[#This Row],[Column1]],[1]Sheet1!$A:$AO,9,FALSE)</f>
        <v>N/A</v>
      </c>
      <c r="J583" s="402">
        <f>VLOOKUP(Table13[[#This Row],[Column1]],[1]Sheet1!$A:$AO,10,FALSE)</f>
        <v>45370</v>
      </c>
      <c r="K583" s="402">
        <f>VLOOKUP(Table13[[#This Row],[Column1]],[1]Sheet1!$A:$AO,11,FALSE)</f>
        <v>45370</v>
      </c>
      <c r="L583" s="404"/>
      <c r="M583" s="402" t="str">
        <f>VLOOKUP(Table13[[#This Row],[Column1]],[1]Sheet1!$A:$AO,13,FALSE)</f>
        <v>N/A</v>
      </c>
      <c r="N583" s="402" t="str">
        <f>VLOOKUP(Table13[[#This Row],[Column1]],[1]Sheet1!$A:$AO,14,FALSE)</f>
        <v>N/A</v>
      </c>
      <c r="O583" s="402">
        <f>VLOOKUP(Table13[[#This Row],[Column1]],[1]Sheet1!$A:$AO,15,FALSE)</f>
        <v>45372</v>
      </c>
      <c r="P583" s="375"/>
      <c r="Q583" s="375"/>
      <c r="R583" s="376"/>
      <c r="S583" s="583" t="str">
        <f>VLOOKUP(Table13[[#This Row],[Column1]],[1]Sheet1!$A:$AO,19,FALSE)</f>
        <v>N/A</v>
      </c>
      <c r="T583" s="583">
        <f>VLOOKUP(Table13[[#This Row],[Column1]],[1]Sheet1!$A:$AO,20,FALSE)</f>
        <v>45387</v>
      </c>
      <c r="U583" s="583">
        <f>VLOOKUP(Table13[[#This Row],[Column1]],[1]Sheet1!$A:$AO,21,FALSE)</f>
        <v>45394</v>
      </c>
      <c r="V583" s="376"/>
      <c r="W583" s="376"/>
      <c r="X583" s="402"/>
      <c r="Y583" s="402"/>
      <c r="Z583" s="610" t="s">
        <v>1478</v>
      </c>
      <c r="AA583" s="532">
        <f>IF(Table13[[#This Row],[Column2]]="","",SUM(Table13[[#This Row],[Column28]]+Table13[[#This Row],[Column29]]))</f>
        <v>35000</v>
      </c>
      <c r="AB583" s="537"/>
      <c r="AC583" s="502">
        <v>35000</v>
      </c>
      <c r="AD583" s="532">
        <f>IF(Table13[[#This Row],[Column2]]="","",SUM(Table13[[#This Row],[Column31]]+Table13[[#This Row],[Column32]]))</f>
        <v>32500</v>
      </c>
      <c r="AE583" s="501"/>
      <c r="AF583" s="540">
        <v>32500</v>
      </c>
      <c r="AG583" s="405"/>
      <c r="AH583" s="380" t="s">
        <v>1205</v>
      </c>
      <c r="AI583" s="576" t="str">
        <f>VLOOKUP(Table13[[#This Row],[Column1]],[1]Sheet1!$A:$AO,35,FALSE)</f>
        <v>N/A</v>
      </c>
      <c r="AJ583" s="576" t="str">
        <f>VLOOKUP(Table13[[#This Row],[Column1]],[1]Sheet1!$A:$AO,36,FALSE)</f>
        <v>N/A</v>
      </c>
      <c r="AK583" s="576" t="str">
        <f>VLOOKUP(Table13[[#This Row],[Column1]],[1]Sheet1!$A:$AO,37,FALSE)</f>
        <v>N/A</v>
      </c>
      <c r="AL583" s="576" t="str">
        <f>VLOOKUP(Table13[[#This Row],[Column1]],[1]Sheet1!$A:$AO,38,FALSE)</f>
        <v>N/A</v>
      </c>
      <c r="AM583" s="576" t="str">
        <f>VLOOKUP(Table13[[#This Row],[Column1]],[1]Sheet1!$A:$AO,39,FALSE)</f>
        <v>N/A</v>
      </c>
      <c r="AN583" s="576" t="s">
        <v>713</v>
      </c>
      <c r="AO583" s="306" t="s">
        <v>919</v>
      </c>
      <c r="AP583" s="378"/>
      <c r="AQ583" s="237"/>
    </row>
    <row r="584" spans="1:43" s="238" customFormat="1" ht="75" customHeight="1" thickBot="1" x14ac:dyDescent="0.3">
      <c r="A584" s="297" t="s">
        <v>792</v>
      </c>
      <c r="B584" s="627" t="str">
        <f>VLOOKUP(Table13[[#This Row],[Column1]],[1]Sheet1!$A:$AO,2,FALSE)</f>
        <v>FOOD/CATERING SERVICES</v>
      </c>
      <c r="C584" s="298" t="str">
        <f>VLOOKUP(Table13[[#This Row],[Column1]],[1]Sheet1!$A:$AO,3,FALSE)</f>
        <v>PPDO</v>
      </c>
      <c r="D584" s="298" t="s">
        <v>712</v>
      </c>
      <c r="E584" s="450" t="str">
        <f>VLOOKUP(Table13[[#This Row],[Column1]],[1]Sheet1!$A:$AO,5,FALSE)</f>
        <v>NP-53.9 - Small Value Procurement</v>
      </c>
      <c r="F584" s="446" t="str">
        <f>VLOOKUP(Table13[[#This Row],[Column1]],[1]Sheet1!$A:$AO,6,FALSE)</f>
        <v>N/A</v>
      </c>
      <c r="G584" s="402">
        <f>VLOOKUP(Table13[[#This Row],[Column1]],[1]Sheet1!$A:$AO,7,FALSE)</f>
        <v>45359</v>
      </c>
      <c r="H584" s="374"/>
      <c r="I584" s="402" t="str">
        <f>VLOOKUP(Table13[[#This Row],[Column1]],[1]Sheet1!$A:$AO,9,FALSE)</f>
        <v>N/A</v>
      </c>
      <c r="J584" s="402">
        <f>VLOOKUP(Table13[[#This Row],[Column1]],[1]Sheet1!$A:$AO,10,FALSE)</f>
        <v>45370</v>
      </c>
      <c r="K584" s="402">
        <f>VLOOKUP(Table13[[#This Row],[Column1]],[1]Sheet1!$A:$AO,11,FALSE)</f>
        <v>45370</v>
      </c>
      <c r="L584" s="404"/>
      <c r="M584" s="402" t="str">
        <f>VLOOKUP(Table13[[#This Row],[Column1]],[1]Sheet1!$A:$AO,13,FALSE)</f>
        <v>N/A</v>
      </c>
      <c r="N584" s="402" t="str">
        <f>VLOOKUP(Table13[[#This Row],[Column1]],[1]Sheet1!$A:$AO,14,FALSE)</f>
        <v>N/A</v>
      </c>
      <c r="O584" s="402">
        <f>VLOOKUP(Table13[[#This Row],[Column1]],[1]Sheet1!$A:$AO,15,FALSE)</f>
        <v>45372</v>
      </c>
      <c r="P584" s="375"/>
      <c r="Q584" s="375"/>
      <c r="R584" s="376"/>
      <c r="S584" s="583">
        <f>VLOOKUP(Table13[[#This Row],[Column1]],[1]Sheet1!$A:$AO,19,FALSE)</f>
        <v>45376</v>
      </c>
      <c r="T584" s="583">
        <f>VLOOKUP(Table13[[#This Row],[Column1]],[1]Sheet1!$A:$AO,20,FALSE)</f>
        <v>45390</v>
      </c>
      <c r="U584" s="583">
        <f>VLOOKUP(Table13[[#This Row],[Column1]],[1]Sheet1!$A:$AO,21,FALSE)</f>
        <v>45394</v>
      </c>
      <c r="V584" s="376"/>
      <c r="W584" s="376"/>
      <c r="X584" s="402"/>
      <c r="Y584" s="402"/>
      <c r="Z584" s="610" t="s">
        <v>1478</v>
      </c>
      <c r="AA584" s="532">
        <f>IF(Table13[[#This Row],[Column2]]="","",SUM(Table13[[#This Row],[Column28]]+Table13[[#This Row],[Column29]]))</f>
        <v>52500</v>
      </c>
      <c r="AB584" s="537"/>
      <c r="AC584" s="502">
        <v>52500</v>
      </c>
      <c r="AD584" s="532">
        <f>IF(Table13[[#This Row],[Column2]]="","",SUM(Table13[[#This Row],[Column31]]+Table13[[#This Row],[Column32]]))</f>
        <v>52500</v>
      </c>
      <c r="AE584" s="501"/>
      <c r="AF584" s="540">
        <v>52500</v>
      </c>
      <c r="AG584" s="405"/>
      <c r="AH584" s="380" t="s">
        <v>1205</v>
      </c>
      <c r="AI584" s="576" t="str">
        <f>VLOOKUP(Table13[[#This Row],[Column1]],[1]Sheet1!$A:$AO,35,FALSE)</f>
        <v>N/A</v>
      </c>
      <c r="AJ584" s="576" t="str">
        <f>VLOOKUP(Table13[[#This Row],[Column1]],[1]Sheet1!$A:$AO,36,FALSE)</f>
        <v>N/A</v>
      </c>
      <c r="AK584" s="576" t="str">
        <f>VLOOKUP(Table13[[#This Row],[Column1]],[1]Sheet1!$A:$AO,37,FALSE)</f>
        <v>N/A</v>
      </c>
      <c r="AL584" s="576" t="str">
        <f>VLOOKUP(Table13[[#This Row],[Column1]],[1]Sheet1!$A:$AO,38,FALSE)</f>
        <v>N/A</v>
      </c>
      <c r="AM584" s="576" t="str">
        <f>VLOOKUP(Table13[[#This Row],[Column1]],[1]Sheet1!$A:$AO,39,FALSE)</f>
        <v>N/A</v>
      </c>
      <c r="AN584" s="576" t="s">
        <v>713</v>
      </c>
      <c r="AO584" s="306" t="s">
        <v>919</v>
      </c>
      <c r="AP584" s="378"/>
      <c r="AQ584" s="237"/>
    </row>
    <row r="585" spans="1:43" s="238" customFormat="1" ht="75" customHeight="1" thickBot="1" x14ac:dyDescent="0.3">
      <c r="A585" s="633" t="s">
        <v>461</v>
      </c>
      <c r="B585" s="627" t="str">
        <f>VLOOKUP(Table13[[#This Row],[Column1]],[1]Sheet1!$A:$AO,2,FALSE)</f>
        <v>TARPAULIN</v>
      </c>
      <c r="C585" s="298" t="str">
        <f>VLOOKUP(Table13[[#This Row],[Column1]],[1]Sheet1!$A:$AO,3,FALSE)</f>
        <v>PHO</v>
      </c>
      <c r="D585" s="298" t="s">
        <v>712</v>
      </c>
      <c r="E585" s="450" t="str">
        <f>VLOOKUP(Table13[[#This Row],[Column1]],[1]Sheet1!$A:$AO,5,FALSE)</f>
        <v>NP-53.9 - Small Value Procurement</v>
      </c>
      <c r="F585" s="446" t="str">
        <f>VLOOKUP(Table13[[#This Row],[Column1]],[1]Sheet1!$A:$AO,6,FALSE)</f>
        <v>N/A</v>
      </c>
      <c r="G585" s="402">
        <f>VLOOKUP(Table13[[#This Row],[Column1]],[1]Sheet1!$A:$AO,7,FALSE)</f>
        <v>45371</v>
      </c>
      <c r="H585" s="374"/>
      <c r="I585" s="402" t="str">
        <f>VLOOKUP(Table13[[#This Row],[Column1]],[1]Sheet1!$A:$AO,9,FALSE)</f>
        <v>N/A</v>
      </c>
      <c r="J585" s="402">
        <f>VLOOKUP(Table13[[#This Row],[Column1]],[1]Sheet1!$A:$AO,10,FALSE)</f>
        <v>45385</v>
      </c>
      <c r="K585" s="402">
        <f>VLOOKUP(Table13[[#This Row],[Column1]],[1]Sheet1!$A:$AO,11,FALSE)</f>
        <v>45385</v>
      </c>
      <c r="L585" s="404"/>
      <c r="M585" s="402" t="str">
        <f>VLOOKUP(Table13[[#This Row],[Column1]],[1]Sheet1!$A:$AO,13,FALSE)</f>
        <v>N/A</v>
      </c>
      <c r="N585" s="402" t="str">
        <f>VLOOKUP(Table13[[#This Row],[Column1]],[1]Sheet1!$A:$AO,14,FALSE)</f>
        <v>N/A</v>
      </c>
      <c r="O585" s="402">
        <f>VLOOKUP(Table13[[#This Row],[Column1]],[1]Sheet1!$A:$AO,15,FALSE)</f>
        <v>45386</v>
      </c>
      <c r="P585" s="375"/>
      <c r="Q585" s="375"/>
      <c r="R585" s="376"/>
      <c r="S585" s="583">
        <f>VLOOKUP(Table13[[#This Row],[Column1]],[1]Sheet1!$A:$AO,19,FALSE)</f>
        <v>45393</v>
      </c>
      <c r="T585" s="583">
        <f>VLOOKUP(Table13[[#This Row],[Column1]],[1]Sheet1!$A:$AO,20,FALSE)</f>
        <v>45393</v>
      </c>
      <c r="U585" s="583">
        <v>45422</v>
      </c>
      <c r="V585" s="376"/>
      <c r="W585" s="376"/>
      <c r="X585" s="402"/>
      <c r="Y585" s="402"/>
      <c r="Z585" s="610" t="s">
        <v>1478</v>
      </c>
      <c r="AA585" s="532">
        <f>IF(Table13[[#This Row],[Column2]]="","",SUM(Table13[[#This Row],[Column28]]+Table13[[#This Row],[Column29]]))</f>
        <v>71288</v>
      </c>
      <c r="AB585" s="537"/>
      <c r="AC585" s="502">
        <v>71288</v>
      </c>
      <c r="AD585" s="532">
        <f>Table13[[#This Row],[Column31]]+Table13[[#This Row],[Column32]]</f>
        <v>68232.800000000003</v>
      </c>
      <c r="AE585" s="501"/>
      <c r="AF585" s="541">
        <v>68232.800000000003</v>
      </c>
      <c r="AG585" s="405"/>
      <c r="AH585" s="380" t="s">
        <v>1205</v>
      </c>
      <c r="AI585" s="576" t="str">
        <f>VLOOKUP(Table13[[#This Row],[Column1]],[1]Sheet1!$A:$AO,35,FALSE)</f>
        <v>N/A</v>
      </c>
      <c r="AJ585" s="576" t="str">
        <f>VLOOKUP(Table13[[#This Row],[Column1]],[1]Sheet1!$A:$AO,36,FALSE)</f>
        <v>N/A</v>
      </c>
      <c r="AK585" s="576" t="str">
        <f>VLOOKUP(Table13[[#This Row],[Column1]],[1]Sheet1!$A:$AO,37,FALSE)</f>
        <v>N/A</v>
      </c>
      <c r="AL585" s="576" t="str">
        <f>VLOOKUP(Table13[[#This Row],[Column1]],[1]Sheet1!$A:$AO,38,FALSE)</f>
        <v>N/A</v>
      </c>
      <c r="AM585" s="576" t="str">
        <f>VLOOKUP(Table13[[#This Row],[Column1]],[1]Sheet1!$A:$AO,39,FALSE)</f>
        <v>N/A</v>
      </c>
      <c r="AN585" s="576" t="s">
        <v>713</v>
      </c>
      <c r="AO585" s="306" t="s">
        <v>919</v>
      </c>
      <c r="AP585" s="378"/>
      <c r="AQ585" s="237"/>
    </row>
    <row r="586" spans="1:43" s="238" customFormat="1" ht="75" customHeight="1" thickBot="1" x14ac:dyDescent="0.3">
      <c r="A586" s="297" t="s">
        <v>793</v>
      </c>
      <c r="B586" s="627" t="str">
        <f>VLOOKUP(Table13[[#This Row],[Column1]],[1]Sheet1!$A:$AO,2,FALSE)</f>
        <v>PRINTED FORMS</v>
      </c>
      <c r="C586" s="298" t="str">
        <f>VLOOKUP(Table13[[#This Row],[Column1]],[1]Sheet1!$A:$AO,3,FALSE)</f>
        <v>PTO</v>
      </c>
      <c r="D586" s="298" t="s">
        <v>712</v>
      </c>
      <c r="E586" s="450" t="str">
        <f>VLOOKUP(Table13[[#This Row],[Column1]],[1]Sheet1!$A:$AO,5,FALSE)</f>
        <v>NP-53.5 Agency-to-Agency</v>
      </c>
      <c r="F586" s="446">
        <f>VLOOKUP(Table13[[#This Row],[Column1]],[1]Sheet1!$A:$AO,6,FALSE)</f>
        <v>45342</v>
      </c>
      <c r="G586" s="402">
        <f>VLOOKUP(Table13[[#This Row],[Column1]],[1]Sheet1!$A:$AO,7,FALSE)</f>
        <v>45352</v>
      </c>
      <c r="H586" s="374"/>
      <c r="I586" s="402" t="str">
        <f>VLOOKUP(Table13[[#This Row],[Column1]],[1]Sheet1!$A:$AO,9,FALSE)</f>
        <v>N/A</v>
      </c>
      <c r="J586" s="402">
        <f>VLOOKUP(Table13[[#This Row],[Column1]],[1]Sheet1!$A:$AO,10,FALSE)</f>
        <v>45370</v>
      </c>
      <c r="K586" s="402">
        <f>VLOOKUP(Table13[[#This Row],[Column1]],[1]Sheet1!$A:$AO,11,FALSE)</f>
        <v>45370</v>
      </c>
      <c r="L586" s="404"/>
      <c r="M586" s="402" t="str">
        <f>VLOOKUP(Table13[[#This Row],[Column1]],[1]Sheet1!$A:$AO,13,FALSE)</f>
        <v>N/A</v>
      </c>
      <c r="N586" s="402" t="str">
        <f>VLOOKUP(Table13[[#This Row],[Column1]],[1]Sheet1!$A:$AO,14,FALSE)</f>
        <v>N/A</v>
      </c>
      <c r="O586" s="402">
        <f>VLOOKUP(Table13[[#This Row],[Column1]],[1]Sheet1!$A:$AO,15,FALSE)</f>
        <v>45372</v>
      </c>
      <c r="P586" s="375"/>
      <c r="Q586" s="375"/>
      <c r="R586" s="376"/>
      <c r="S586" s="583">
        <f>VLOOKUP(Table13[[#This Row],[Column1]],[1]Sheet1!$A:$AO,19,FALSE)</f>
        <v>45383</v>
      </c>
      <c r="T586" s="583">
        <f>VLOOKUP(Table13[[#This Row],[Column1]],[1]Sheet1!$A:$AO,20,FALSE)</f>
        <v>45390</v>
      </c>
      <c r="U586" s="583">
        <f>VLOOKUP(Table13[[#This Row],[Column1]],[1]Sheet1!$A:$AO,21,FALSE)</f>
        <v>45412</v>
      </c>
      <c r="V586" s="376"/>
      <c r="W586" s="376"/>
      <c r="X586" s="402"/>
      <c r="Y586" s="402"/>
      <c r="Z586" s="610" t="s">
        <v>1478</v>
      </c>
      <c r="AA586" s="532">
        <f>IF(Table13[[#This Row],[Column2]]="","",SUM(Table13[[#This Row],[Column28]]+Table13[[#This Row],[Column29]]))</f>
        <v>3635000</v>
      </c>
      <c r="AB586" s="537"/>
      <c r="AC586" s="502">
        <v>3635000</v>
      </c>
      <c r="AD586" s="651">
        <f>IF(Table13[[#This Row],[Column2]]="","",SUM(Table13[[#This Row],[Column31]]+Table13[[#This Row],[Column32]]))</f>
        <v>3070000</v>
      </c>
      <c r="AE586" s="501"/>
      <c r="AF586" s="652">
        <v>3070000</v>
      </c>
      <c r="AG586" s="405"/>
      <c r="AH586" s="380" t="s">
        <v>1205</v>
      </c>
      <c r="AI586" s="576" t="str">
        <f>VLOOKUP(Table13[[#This Row],[Column1]],[1]Sheet1!$A:$AO,35,FALSE)</f>
        <v>N/A</v>
      </c>
      <c r="AJ586" s="576" t="str">
        <f>VLOOKUP(Table13[[#This Row],[Column1]],[1]Sheet1!$A:$AO,36,FALSE)</f>
        <v>N/A</v>
      </c>
      <c r="AK586" s="576" t="str">
        <f>VLOOKUP(Table13[[#This Row],[Column1]],[1]Sheet1!$A:$AO,37,FALSE)</f>
        <v>N/A</v>
      </c>
      <c r="AL586" s="576" t="str">
        <f>VLOOKUP(Table13[[#This Row],[Column1]],[1]Sheet1!$A:$AO,38,FALSE)</f>
        <v>N/A</v>
      </c>
      <c r="AM586" s="576" t="str">
        <f>VLOOKUP(Table13[[#This Row],[Column1]],[1]Sheet1!$A:$AO,39,FALSE)</f>
        <v>N/A</v>
      </c>
      <c r="AN586" s="576" t="s">
        <v>713</v>
      </c>
      <c r="AO586" s="306" t="s">
        <v>919</v>
      </c>
      <c r="AP586" s="378"/>
      <c r="AQ586" s="237"/>
    </row>
    <row r="587" spans="1:43" s="238" customFormat="1" ht="75" customHeight="1" thickBot="1" x14ac:dyDescent="0.3">
      <c r="A587" s="297" t="s">
        <v>794</v>
      </c>
      <c r="B587" s="627" t="str">
        <f>VLOOKUP(Table13[[#This Row],[Column1]],[1]Sheet1!$A:$AO,2,FALSE)</f>
        <v>OFFICE SUPPLIES</v>
      </c>
      <c r="C587" s="298" t="str">
        <f>VLOOKUP(Table13[[#This Row],[Column1]],[1]Sheet1!$A:$AO,3,FALSE)</f>
        <v>PVGO</v>
      </c>
      <c r="D587" s="298" t="s">
        <v>712</v>
      </c>
      <c r="E587" s="450" t="str">
        <f>VLOOKUP(Table13[[#This Row],[Column1]],[1]Sheet1!$A:$AO,5,FALSE)</f>
        <v>Shopping 52.1(b) - Regular Office Supplies and Equipment no available in PS</v>
      </c>
      <c r="F587" s="446" t="str">
        <f>VLOOKUP(Table13[[#This Row],[Column1]],[1]Sheet1!$A:$AO,6,FALSE)</f>
        <v>N/A</v>
      </c>
      <c r="G587" s="402">
        <f>VLOOKUP(Table13[[#This Row],[Column1]],[1]Sheet1!$A:$AO,7,FALSE)</f>
        <v>45344</v>
      </c>
      <c r="H587" s="374"/>
      <c r="I587" s="402" t="str">
        <f>VLOOKUP(Table13[[#This Row],[Column1]],[1]Sheet1!$A:$AO,9,FALSE)</f>
        <v>N/A</v>
      </c>
      <c r="J587" s="402">
        <f>VLOOKUP(Table13[[#This Row],[Column1]],[1]Sheet1!$A:$AO,10,FALSE)</f>
        <v>45370</v>
      </c>
      <c r="K587" s="402">
        <f>VLOOKUP(Table13[[#This Row],[Column1]],[1]Sheet1!$A:$AO,11,FALSE)</f>
        <v>45370</v>
      </c>
      <c r="L587" s="404"/>
      <c r="M587" s="402" t="str">
        <f>VLOOKUP(Table13[[#This Row],[Column1]],[1]Sheet1!$A:$AO,13,FALSE)</f>
        <v>N/A</v>
      </c>
      <c r="N587" s="402" t="str">
        <f>VLOOKUP(Table13[[#This Row],[Column1]],[1]Sheet1!$A:$AO,14,FALSE)</f>
        <v>N/A</v>
      </c>
      <c r="O587" s="402">
        <f>VLOOKUP(Table13[[#This Row],[Column1]],[1]Sheet1!$A:$AO,15,FALSE)</f>
        <v>45372</v>
      </c>
      <c r="P587" s="375"/>
      <c r="Q587" s="375"/>
      <c r="R587" s="376"/>
      <c r="S587" s="583" t="str">
        <f>VLOOKUP(Table13[[#This Row],[Column1]],[1]Sheet1!$A:$AO,19,FALSE)</f>
        <v>N/A</v>
      </c>
      <c r="T587" s="583">
        <f>VLOOKUP(Table13[[#This Row],[Column1]],[1]Sheet1!$A:$AO,20,FALSE)</f>
        <v>45442</v>
      </c>
      <c r="U587" s="583">
        <f>VLOOKUP(Table13[[#This Row],[Column1]],[1]Sheet1!$A:$AO,21,FALSE)</f>
        <v>45446</v>
      </c>
      <c r="V587" s="376"/>
      <c r="W587" s="376"/>
      <c r="X587" s="402"/>
      <c r="Y587" s="402"/>
      <c r="Z587" s="610" t="s">
        <v>1478</v>
      </c>
      <c r="AA587" s="532">
        <f>IF(Table13[[#This Row],[Column2]]="","",SUM(Table13[[#This Row],[Column28]]+Table13[[#This Row],[Column29]]))</f>
        <v>39995</v>
      </c>
      <c r="AB587" s="537">
        <v>39995</v>
      </c>
      <c r="AC587" s="502"/>
      <c r="AD587" s="532">
        <f>IF(Table13[[#This Row],[Column2]]="","",SUM(Table13[[#This Row],[Column31]]+Table13[[#This Row],[Column32]]))</f>
        <v>39995</v>
      </c>
      <c r="AE587" s="501">
        <v>39995</v>
      </c>
      <c r="AF587" s="541"/>
      <c r="AG587" s="405"/>
      <c r="AH587" s="380" t="s">
        <v>1205</v>
      </c>
      <c r="AI587" s="576" t="str">
        <f>VLOOKUP(Table13[[#This Row],[Column1]],[1]Sheet1!$A:$AO,35,FALSE)</f>
        <v>N/A</v>
      </c>
      <c r="AJ587" s="576" t="str">
        <f>VLOOKUP(Table13[[#This Row],[Column1]],[1]Sheet1!$A:$AO,36,FALSE)</f>
        <v>N/A</v>
      </c>
      <c r="AK587" s="576" t="str">
        <f>VLOOKUP(Table13[[#This Row],[Column1]],[1]Sheet1!$A:$AO,37,FALSE)</f>
        <v>N/A</v>
      </c>
      <c r="AL587" s="576" t="str">
        <f>VLOOKUP(Table13[[#This Row],[Column1]],[1]Sheet1!$A:$AO,38,FALSE)</f>
        <v>N/A</v>
      </c>
      <c r="AM587" s="576" t="str">
        <f>VLOOKUP(Table13[[#This Row],[Column1]],[1]Sheet1!$A:$AO,39,FALSE)</f>
        <v>N/A</v>
      </c>
      <c r="AN587" s="576" t="s">
        <v>713</v>
      </c>
      <c r="AO587" s="306" t="s">
        <v>919</v>
      </c>
      <c r="AP587" s="378"/>
      <c r="AQ587" s="237"/>
    </row>
    <row r="588" spans="1:43" s="238" customFormat="1" ht="75" customHeight="1" thickBot="1" x14ac:dyDescent="0.3">
      <c r="A588" s="297" t="s">
        <v>729</v>
      </c>
      <c r="B588" s="627" t="str">
        <f>VLOOKUP(Table13[[#This Row],[Column1]],[1]Sheet1!$A:$AO,2,FALSE)</f>
        <v>COMPUTER SUPPLIES</v>
      </c>
      <c r="C588" s="298" t="str">
        <f>VLOOKUP(Table13[[#This Row],[Column1]],[1]Sheet1!$A:$AO,3,FALSE)</f>
        <v>PAO</v>
      </c>
      <c r="D588" s="298" t="s">
        <v>712</v>
      </c>
      <c r="E588" s="450" t="str">
        <f>VLOOKUP(Table13[[#This Row],[Column1]],[1]Sheet1!$A:$AO,5,FALSE)</f>
        <v>NP-53.9 - Small Value Procurement</v>
      </c>
      <c r="F588" s="446" t="str">
        <f>VLOOKUP(Table13[[#This Row],[Column1]],[1]Sheet1!$A:$AO,6,FALSE)</f>
        <v>N/A</v>
      </c>
      <c r="G588" s="402">
        <f>VLOOKUP(Table13[[#This Row],[Column1]],[1]Sheet1!$A:$AO,7,FALSE)</f>
        <v>45363</v>
      </c>
      <c r="H588" s="374"/>
      <c r="I588" s="402" t="str">
        <f>VLOOKUP(Table13[[#This Row],[Column1]],[1]Sheet1!$A:$AO,9,FALSE)</f>
        <v>N/A</v>
      </c>
      <c r="J588" s="402">
        <f>VLOOKUP(Table13[[#This Row],[Column1]],[1]Sheet1!$A:$AO,10,FALSE)</f>
        <v>45373</v>
      </c>
      <c r="K588" s="402">
        <f>VLOOKUP(Table13[[#This Row],[Column1]],[1]Sheet1!$A:$AO,11,FALSE)</f>
        <v>45373</v>
      </c>
      <c r="L588" s="404"/>
      <c r="M588" s="402" t="str">
        <f>VLOOKUP(Table13[[#This Row],[Column1]],[1]Sheet1!$A:$AO,13,FALSE)</f>
        <v>N/A</v>
      </c>
      <c r="N588" s="402" t="str">
        <f>VLOOKUP(Table13[[#This Row],[Column1]],[1]Sheet1!$A:$AO,14,FALSE)</f>
        <v>N/A</v>
      </c>
      <c r="O588" s="402">
        <f>VLOOKUP(Table13[[#This Row],[Column1]],[1]Sheet1!$A:$AO,15,FALSE)</f>
        <v>45376</v>
      </c>
      <c r="P588" s="375"/>
      <c r="Q588" s="375"/>
      <c r="R588" s="376"/>
      <c r="S588" s="583" t="str">
        <f>VLOOKUP(Table13[[#This Row],[Column1]],[1]Sheet1!$A:$AO,19,FALSE)</f>
        <v>N/A</v>
      </c>
      <c r="T588" s="583">
        <f>VLOOKUP(Table13[[#This Row],[Column1]],[1]Sheet1!$A:$AO,20,FALSE)</f>
        <v>45393</v>
      </c>
      <c r="U588" s="583">
        <f>VLOOKUP(Table13[[#This Row],[Column1]],[1]Sheet1!$A:$AO,21,FALSE)</f>
        <v>45397</v>
      </c>
      <c r="V588" s="376"/>
      <c r="W588" s="376"/>
      <c r="X588" s="402"/>
      <c r="Y588" s="402"/>
      <c r="Z588" s="610" t="s">
        <v>1478</v>
      </c>
      <c r="AA588" s="532">
        <f>IF(Table13[[#This Row],[Column2]]="","",SUM(Table13[[#This Row],[Column28]]+Table13[[#This Row],[Column29]]))</f>
        <v>13740</v>
      </c>
      <c r="AB588" s="537"/>
      <c r="AC588" s="502">
        <v>13740</v>
      </c>
      <c r="AD588" s="532">
        <f>IF(Table13[[#This Row],[Column2]]="","",SUM(Table13[[#This Row],[Column31]]+Table13[[#This Row],[Column32]]))</f>
        <v>13690</v>
      </c>
      <c r="AE588" s="501"/>
      <c r="AF588" s="541">
        <v>13690</v>
      </c>
      <c r="AG588" s="405"/>
      <c r="AH588" s="380" t="s">
        <v>1205</v>
      </c>
      <c r="AI588" s="576" t="str">
        <f>VLOOKUP(Table13[[#This Row],[Column1]],[1]Sheet1!$A:$AO,35,FALSE)</f>
        <v>N/A</v>
      </c>
      <c r="AJ588" s="576" t="str">
        <f>VLOOKUP(Table13[[#This Row],[Column1]],[1]Sheet1!$A:$AO,36,FALSE)</f>
        <v>N/A</v>
      </c>
      <c r="AK588" s="576" t="str">
        <f>VLOOKUP(Table13[[#This Row],[Column1]],[1]Sheet1!$A:$AO,37,FALSE)</f>
        <v>N/A</v>
      </c>
      <c r="AL588" s="576" t="str">
        <f>VLOOKUP(Table13[[#This Row],[Column1]],[1]Sheet1!$A:$AO,38,FALSE)</f>
        <v>N/A</v>
      </c>
      <c r="AM588" s="576" t="str">
        <f>VLOOKUP(Table13[[#This Row],[Column1]],[1]Sheet1!$A:$AO,39,FALSE)</f>
        <v>N/A</v>
      </c>
      <c r="AN588" s="576" t="s">
        <v>713</v>
      </c>
      <c r="AO588" s="306" t="s">
        <v>919</v>
      </c>
      <c r="AP588" s="378"/>
      <c r="AQ588" s="237"/>
    </row>
    <row r="589" spans="1:43" s="238" customFormat="1" ht="75" customHeight="1" thickBot="1" x14ac:dyDescent="0.3">
      <c r="A589" s="297" t="s">
        <v>725</v>
      </c>
      <c r="B589" s="627" t="str">
        <f>VLOOKUP(Table13[[#This Row],[Column1]],[1]Sheet1!$A:$AO,2,FALSE)</f>
        <v>MINERAL WATER</v>
      </c>
      <c r="C589" s="298" t="str">
        <f>VLOOKUP(Table13[[#This Row],[Column1]],[1]Sheet1!$A:$AO,3,FALSE)</f>
        <v>PSWDO</v>
      </c>
      <c r="D589" s="298" t="s">
        <v>712</v>
      </c>
      <c r="E589" s="450" t="str">
        <f>VLOOKUP(Table13[[#This Row],[Column1]],[1]Sheet1!$A:$AO,5,FALSE)</f>
        <v>NP-53.9 - Small Value Procurement</v>
      </c>
      <c r="F589" s="446" t="str">
        <f>VLOOKUP(Table13[[#This Row],[Column1]],[1]Sheet1!$A:$AO,6,FALSE)</f>
        <v>N/A</v>
      </c>
      <c r="G589" s="402">
        <f>VLOOKUP(Table13[[#This Row],[Column1]],[1]Sheet1!$A:$AO,7,FALSE)</f>
        <v>45363</v>
      </c>
      <c r="H589" s="374"/>
      <c r="I589" s="402" t="str">
        <f>VLOOKUP(Table13[[#This Row],[Column1]],[1]Sheet1!$A:$AO,9,FALSE)</f>
        <v>N/A</v>
      </c>
      <c r="J589" s="402">
        <f>VLOOKUP(Table13[[#This Row],[Column1]],[1]Sheet1!$A:$AO,10,FALSE)</f>
        <v>45373</v>
      </c>
      <c r="K589" s="402">
        <f>VLOOKUP(Table13[[#This Row],[Column1]],[1]Sheet1!$A:$AO,11,FALSE)</f>
        <v>45373</v>
      </c>
      <c r="L589" s="404"/>
      <c r="M589" s="402" t="str">
        <f>VLOOKUP(Table13[[#This Row],[Column1]],[1]Sheet1!$A:$AO,13,FALSE)</f>
        <v>N/A</v>
      </c>
      <c r="N589" s="402" t="str">
        <f>VLOOKUP(Table13[[#This Row],[Column1]],[1]Sheet1!$A:$AO,14,FALSE)</f>
        <v>N/A</v>
      </c>
      <c r="O589" s="402">
        <f>VLOOKUP(Table13[[#This Row],[Column1]],[1]Sheet1!$A:$AO,15,FALSE)</f>
        <v>45376</v>
      </c>
      <c r="P589" s="375"/>
      <c r="Q589" s="375"/>
      <c r="R589" s="376"/>
      <c r="S589" s="583" t="str">
        <f>VLOOKUP(Table13[[#This Row],[Column1]],[1]Sheet1!$A:$AO,19,FALSE)</f>
        <v>N/A</v>
      </c>
      <c r="T589" s="583">
        <f>VLOOKUP(Table13[[#This Row],[Column1]],[1]Sheet1!$A:$AO,20,FALSE)</f>
        <v>45393</v>
      </c>
      <c r="U589" s="583">
        <f>VLOOKUP(Table13[[#This Row],[Column1]],[1]Sheet1!$A:$AO,21,FALSE)</f>
        <v>45397</v>
      </c>
      <c r="V589" s="376"/>
      <c r="W589" s="376"/>
      <c r="X589" s="402"/>
      <c r="Y589" s="402"/>
      <c r="Z589" s="610" t="s">
        <v>1478</v>
      </c>
      <c r="AA589" s="532">
        <f>IF(Table13[[#This Row],[Column2]]="","",SUM(Table13[[#This Row],[Column28]]+Table13[[#This Row],[Column29]]))</f>
        <v>8979</v>
      </c>
      <c r="AB589" s="537">
        <v>8979</v>
      </c>
      <c r="AC589" s="502"/>
      <c r="AD589" s="532">
        <f>IF(Table13[[#This Row],[Column2]]="","",SUM(Table13[[#This Row],[Column31]]+Table13[[#This Row],[Column32]]))</f>
        <v>8760</v>
      </c>
      <c r="AE589" s="501">
        <v>8760</v>
      </c>
      <c r="AF589" s="541"/>
      <c r="AG589" s="405"/>
      <c r="AH589" s="380" t="s">
        <v>1205</v>
      </c>
      <c r="AI589" s="576" t="str">
        <f>VLOOKUP(Table13[[#This Row],[Column1]],[1]Sheet1!$A:$AO,35,FALSE)</f>
        <v>N/A</v>
      </c>
      <c r="AJ589" s="576" t="str">
        <f>VLOOKUP(Table13[[#This Row],[Column1]],[1]Sheet1!$A:$AO,36,FALSE)</f>
        <v>N/A</v>
      </c>
      <c r="AK589" s="576" t="str">
        <f>VLOOKUP(Table13[[#This Row],[Column1]],[1]Sheet1!$A:$AO,37,FALSE)</f>
        <v>N/A</v>
      </c>
      <c r="AL589" s="576" t="str">
        <f>VLOOKUP(Table13[[#This Row],[Column1]],[1]Sheet1!$A:$AO,38,FALSE)</f>
        <v>N/A</v>
      </c>
      <c r="AM589" s="576" t="str">
        <f>VLOOKUP(Table13[[#This Row],[Column1]],[1]Sheet1!$A:$AO,39,FALSE)</f>
        <v>N/A</v>
      </c>
      <c r="AN589" s="576" t="s">
        <v>713</v>
      </c>
      <c r="AO589" s="306" t="s">
        <v>919</v>
      </c>
      <c r="AP589" s="378"/>
      <c r="AQ589" s="237"/>
    </row>
    <row r="590" spans="1:43" s="238" customFormat="1" ht="75" customHeight="1" thickBot="1" x14ac:dyDescent="0.3">
      <c r="A590" s="297" t="s">
        <v>795</v>
      </c>
      <c r="B590" s="627" t="str">
        <f>VLOOKUP(Table13[[#This Row],[Column1]],[1]Sheet1!$A:$AO,2,FALSE)</f>
        <v>WATER</v>
      </c>
      <c r="C590" s="298" t="str">
        <f>VLOOKUP(Table13[[#This Row],[Column1]],[1]Sheet1!$A:$AO,3,FALSE)</f>
        <v>PGO</v>
      </c>
      <c r="D590" s="298" t="s">
        <v>712</v>
      </c>
      <c r="E590" s="450" t="str">
        <f>VLOOKUP(Table13[[#This Row],[Column1]],[1]Sheet1!$A:$AO,5,FALSE)</f>
        <v>NP-53.9 - Small Value Procurement</v>
      </c>
      <c r="F590" s="446" t="str">
        <f>VLOOKUP(Table13[[#This Row],[Column1]],[1]Sheet1!$A:$AO,6,FALSE)</f>
        <v>N/A</v>
      </c>
      <c r="G590" s="402">
        <f>VLOOKUP(Table13[[#This Row],[Column1]],[1]Sheet1!$A:$AO,7,FALSE)</f>
        <v>45363</v>
      </c>
      <c r="H590" s="374"/>
      <c r="I590" s="402" t="str">
        <f>VLOOKUP(Table13[[#This Row],[Column1]],[1]Sheet1!$A:$AO,9,FALSE)</f>
        <v>N/A</v>
      </c>
      <c r="J590" s="402">
        <f>VLOOKUP(Table13[[#This Row],[Column1]],[1]Sheet1!$A:$AO,10,FALSE)</f>
        <v>45373</v>
      </c>
      <c r="K590" s="402">
        <f>VLOOKUP(Table13[[#This Row],[Column1]],[1]Sheet1!$A:$AO,11,FALSE)</f>
        <v>45373</v>
      </c>
      <c r="L590" s="404"/>
      <c r="M590" s="402" t="str">
        <f>VLOOKUP(Table13[[#This Row],[Column1]],[1]Sheet1!$A:$AO,13,FALSE)</f>
        <v>N/A</v>
      </c>
      <c r="N590" s="402" t="str">
        <f>VLOOKUP(Table13[[#This Row],[Column1]],[1]Sheet1!$A:$AO,14,FALSE)</f>
        <v>N/A</v>
      </c>
      <c r="O590" s="402">
        <f>VLOOKUP(Table13[[#This Row],[Column1]],[1]Sheet1!$A:$AO,15,FALSE)</f>
        <v>45376</v>
      </c>
      <c r="P590" s="375"/>
      <c r="Q590" s="375"/>
      <c r="R590" s="376"/>
      <c r="S590" s="583" t="str">
        <f>VLOOKUP(Table13[[#This Row],[Column1]],[1]Sheet1!$A:$AO,19,FALSE)</f>
        <v>N/A</v>
      </c>
      <c r="T590" s="583">
        <f>VLOOKUP(Table13[[#This Row],[Column1]],[1]Sheet1!$A:$AO,20,FALSE)</f>
        <v>45387</v>
      </c>
      <c r="U590" s="583">
        <f>VLOOKUP(Table13[[#This Row],[Column1]],[1]Sheet1!$A:$AO,21,FALSE)</f>
        <v>45393</v>
      </c>
      <c r="V590" s="376"/>
      <c r="W590" s="376"/>
      <c r="X590" s="402"/>
      <c r="Y590" s="402"/>
      <c r="Z590" s="610" t="s">
        <v>1478</v>
      </c>
      <c r="AA590" s="532">
        <f>IF(Table13[[#This Row],[Column2]]="","",SUM(Table13[[#This Row],[Column28]]+Table13[[#This Row],[Column29]]))</f>
        <v>1845</v>
      </c>
      <c r="AB590" s="537"/>
      <c r="AC590" s="502">
        <v>1845</v>
      </c>
      <c r="AD590" s="532">
        <f>IF(Table13[[#This Row],[Column2]]="","",SUM(Table13[[#This Row],[Column31]]+Table13[[#This Row],[Column32]]))</f>
        <v>0</v>
      </c>
      <c r="AE590" s="501"/>
      <c r="AF590" s="541"/>
      <c r="AG590" s="405"/>
      <c r="AH590" s="380" t="s">
        <v>1205</v>
      </c>
      <c r="AI590" s="576" t="str">
        <f>VLOOKUP(Table13[[#This Row],[Column1]],[1]Sheet1!$A:$AO,35,FALSE)</f>
        <v>N/A</v>
      </c>
      <c r="AJ590" s="576" t="str">
        <f>VLOOKUP(Table13[[#This Row],[Column1]],[1]Sheet1!$A:$AO,36,FALSE)</f>
        <v>N/A</v>
      </c>
      <c r="AK590" s="576" t="str">
        <f>VLOOKUP(Table13[[#This Row],[Column1]],[1]Sheet1!$A:$AO,37,FALSE)</f>
        <v>N/A</v>
      </c>
      <c r="AL590" s="576" t="str">
        <f>VLOOKUP(Table13[[#This Row],[Column1]],[1]Sheet1!$A:$AO,38,FALSE)</f>
        <v>N/A</v>
      </c>
      <c r="AM590" s="576" t="str">
        <f>VLOOKUP(Table13[[#This Row],[Column1]],[1]Sheet1!$A:$AO,39,FALSE)</f>
        <v>N/A</v>
      </c>
      <c r="AN590" s="576" t="s">
        <v>713</v>
      </c>
      <c r="AO590" s="306" t="s">
        <v>919</v>
      </c>
      <c r="AP590" s="378"/>
      <c r="AQ590" s="237"/>
    </row>
    <row r="591" spans="1:43" s="238" customFormat="1" ht="75" customHeight="1" thickBot="1" x14ac:dyDescent="0.3">
      <c r="A591" s="297" t="s">
        <v>796</v>
      </c>
      <c r="B591" s="627" t="str">
        <f>VLOOKUP(Table13[[#This Row],[Column1]],[1]Sheet1!$A:$AO,2,FALSE)</f>
        <v>GEMELINA LUMBER</v>
      </c>
      <c r="C591" s="298" t="str">
        <f>VLOOKUP(Table13[[#This Row],[Column1]],[1]Sheet1!$A:$AO,3,FALSE)</f>
        <v>PEO-GA</v>
      </c>
      <c r="D591" s="298" t="s">
        <v>712</v>
      </c>
      <c r="E591" s="450" t="str">
        <f>VLOOKUP(Table13[[#This Row],[Column1]],[1]Sheet1!$A:$AO,5,FALSE)</f>
        <v>NP-53.9 - Small Value Procurement</v>
      </c>
      <c r="F591" s="446">
        <f>VLOOKUP(Table13[[#This Row],[Column1]],[1]Sheet1!$A:$AO,6,FALSE)</f>
        <v>45356</v>
      </c>
      <c r="G591" s="402">
        <f>VLOOKUP(Table13[[#This Row],[Column1]],[1]Sheet1!$A:$AO,7,FALSE)</f>
        <v>45359</v>
      </c>
      <c r="H591" s="374"/>
      <c r="I591" s="402" t="str">
        <f>VLOOKUP(Table13[[#This Row],[Column1]],[1]Sheet1!$A:$AO,9,FALSE)</f>
        <v>N/A</v>
      </c>
      <c r="J591" s="402">
        <f>VLOOKUP(Table13[[#This Row],[Column1]],[1]Sheet1!$A:$AO,10,FALSE)</f>
        <v>45373</v>
      </c>
      <c r="K591" s="402">
        <f>VLOOKUP(Table13[[#This Row],[Column1]],[1]Sheet1!$A:$AO,11,FALSE)</f>
        <v>45373</v>
      </c>
      <c r="L591" s="404"/>
      <c r="M591" s="402" t="str">
        <f>VLOOKUP(Table13[[#This Row],[Column1]],[1]Sheet1!$A:$AO,13,FALSE)</f>
        <v>N/A</v>
      </c>
      <c r="N591" s="402" t="str">
        <f>VLOOKUP(Table13[[#This Row],[Column1]],[1]Sheet1!$A:$AO,14,FALSE)</f>
        <v>N/A</v>
      </c>
      <c r="O591" s="402">
        <f>VLOOKUP(Table13[[#This Row],[Column1]],[1]Sheet1!$A:$AO,15,FALSE)</f>
        <v>45376</v>
      </c>
      <c r="P591" s="375"/>
      <c r="Q591" s="375"/>
      <c r="R591" s="376"/>
      <c r="S591" s="583" t="str">
        <f>VLOOKUP(Table13[[#This Row],[Column1]],[1]Sheet1!$A:$AO,19,FALSE)</f>
        <v>N/A</v>
      </c>
      <c r="T591" s="583">
        <f>VLOOKUP(Table13[[#This Row],[Column1]],[1]Sheet1!$A:$AO,20,FALSE)</f>
        <v>45394</v>
      </c>
      <c r="U591" s="583">
        <f>VLOOKUP(Table13[[#This Row],[Column1]],[1]Sheet1!$A:$AO,21,FALSE)</f>
        <v>45407</v>
      </c>
      <c r="V591" s="376"/>
      <c r="W591" s="376"/>
      <c r="X591" s="402"/>
      <c r="Y591" s="402"/>
      <c r="Z591" s="610" t="s">
        <v>1478</v>
      </c>
      <c r="AA591" s="532">
        <f>IF(Table13[[#This Row],[Column2]]="","",SUM(Table13[[#This Row],[Column28]]+Table13[[#This Row],[Column29]]))</f>
        <v>2256</v>
      </c>
      <c r="AB591" s="537"/>
      <c r="AC591" s="502">
        <v>2256</v>
      </c>
      <c r="AD591" s="532">
        <f>IF(Table13[[#This Row],[Column2]]="","",SUM(Table13[[#This Row],[Column31]]+Table13[[#This Row],[Column32]]))</f>
        <v>0</v>
      </c>
      <c r="AE591" s="501"/>
      <c r="AF591" s="541"/>
      <c r="AG591" s="405"/>
      <c r="AH591" s="380" t="s">
        <v>1205</v>
      </c>
      <c r="AI591" s="576" t="str">
        <f>VLOOKUP(Table13[[#This Row],[Column1]],[1]Sheet1!$A:$AO,35,FALSE)</f>
        <v>N/A</v>
      </c>
      <c r="AJ591" s="576" t="str">
        <f>VLOOKUP(Table13[[#This Row],[Column1]],[1]Sheet1!$A:$AO,36,FALSE)</f>
        <v>N/A</v>
      </c>
      <c r="AK591" s="576" t="str">
        <f>VLOOKUP(Table13[[#This Row],[Column1]],[1]Sheet1!$A:$AO,37,FALSE)</f>
        <v>N/A</v>
      </c>
      <c r="AL591" s="576" t="str">
        <f>VLOOKUP(Table13[[#This Row],[Column1]],[1]Sheet1!$A:$AO,38,FALSE)</f>
        <v>N/A</v>
      </c>
      <c r="AM591" s="576" t="str">
        <f>VLOOKUP(Table13[[#This Row],[Column1]],[1]Sheet1!$A:$AO,39,FALSE)</f>
        <v>N/A</v>
      </c>
      <c r="AN591" s="576" t="s">
        <v>713</v>
      </c>
      <c r="AO591" s="306" t="s">
        <v>919</v>
      </c>
      <c r="AP591" s="378"/>
      <c r="AQ591" s="237"/>
    </row>
    <row r="592" spans="1:43" s="238" customFormat="1" ht="75" customHeight="1" thickBot="1" x14ac:dyDescent="0.3">
      <c r="A592" s="297" t="s">
        <v>797</v>
      </c>
      <c r="B592" s="627" t="str">
        <f>VLOOKUP(Table13[[#This Row],[Column1]],[1]Sheet1!$A:$AO,2,FALSE)</f>
        <v>PRINTING</v>
      </c>
      <c r="C592" s="298" t="str">
        <f>VLOOKUP(Table13[[#This Row],[Column1]],[1]Sheet1!$A:$AO,3,FALSE)</f>
        <v>PAO</v>
      </c>
      <c r="D592" s="298" t="s">
        <v>712</v>
      </c>
      <c r="E592" s="450" t="str">
        <f>VLOOKUP(Table13[[#This Row],[Column1]],[1]Sheet1!$A:$AO,5,FALSE)</f>
        <v>NP-53.9 - Small Value Procurement</v>
      </c>
      <c r="F592" s="446" t="str">
        <f>VLOOKUP(Table13[[#This Row],[Column1]],[1]Sheet1!$A:$AO,6,FALSE)</f>
        <v>N/A</v>
      </c>
      <c r="G592" s="402">
        <f>VLOOKUP(Table13[[#This Row],[Column1]],[1]Sheet1!$A:$AO,7,FALSE)</f>
        <v>45371</v>
      </c>
      <c r="H592" s="374"/>
      <c r="I592" s="402" t="str">
        <f>VLOOKUP(Table13[[#This Row],[Column1]],[1]Sheet1!$A:$AO,9,FALSE)</f>
        <v>N/A</v>
      </c>
      <c r="J592" s="402">
        <f>VLOOKUP(Table13[[#This Row],[Column1]],[1]Sheet1!$A:$AO,10,FALSE)</f>
        <v>45384</v>
      </c>
      <c r="K592" s="402">
        <f>VLOOKUP(Table13[[#This Row],[Column1]],[1]Sheet1!$A:$AO,11,FALSE)</f>
        <v>45384</v>
      </c>
      <c r="L592" s="404"/>
      <c r="M592" s="402" t="str">
        <f>VLOOKUP(Table13[[#This Row],[Column1]],[1]Sheet1!$A:$AO,13,FALSE)</f>
        <v>N/A</v>
      </c>
      <c r="N592" s="402" t="str">
        <f>VLOOKUP(Table13[[#This Row],[Column1]],[1]Sheet1!$A:$AO,14,FALSE)</f>
        <v>N/A</v>
      </c>
      <c r="O592" s="402">
        <f>VLOOKUP(Table13[[#This Row],[Column1]],[1]Sheet1!$A:$AO,15,FALSE)</f>
        <v>45386</v>
      </c>
      <c r="P592" s="375"/>
      <c r="Q592" s="375"/>
      <c r="R592" s="376"/>
      <c r="S592" s="583">
        <f>VLOOKUP(Table13[[#This Row],[Column1]],[1]Sheet1!$A:$AO,19,FALSE)</f>
        <v>45387</v>
      </c>
      <c r="T592" s="583">
        <f>VLOOKUP(Table13[[#This Row],[Column1]],[1]Sheet1!$A:$AO,20,FALSE)</f>
        <v>45406</v>
      </c>
      <c r="U592" s="583">
        <f>VLOOKUP(Table13[[#This Row],[Column1]],[1]Sheet1!$A:$AO,21,FALSE)</f>
        <v>45422</v>
      </c>
      <c r="V592" s="376"/>
      <c r="W592" s="376"/>
      <c r="X592" s="402"/>
      <c r="Y592" s="402"/>
      <c r="Z592" s="610" t="s">
        <v>1478</v>
      </c>
      <c r="AA592" s="532">
        <f>IF(Table13[[#This Row],[Column2]]="","",SUM(Table13[[#This Row],[Column28]]+Table13[[#This Row],[Column29]]))</f>
        <v>120000</v>
      </c>
      <c r="AB592" s="537"/>
      <c r="AC592" s="502">
        <v>120000</v>
      </c>
      <c r="AD592" s="532">
        <f>IF(Table13[[#This Row],[Column2]]="","",SUM(Table13[[#This Row],[Column31]]+Table13[[#This Row],[Column32]]))</f>
        <v>0</v>
      </c>
      <c r="AE592" s="501"/>
      <c r="AF592" s="541"/>
      <c r="AG592" s="405"/>
      <c r="AH592" s="380" t="s">
        <v>1205</v>
      </c>
      <c r="AI592" s="576" t="str">
        <f>VLOOKUP(Table13[[#This Row],[Column1]],[1]Sheet1!$A:$AO,35,FALSE)</f>
        <v>N/A</v>
      </c>
      <c r="AJ592" s="576" t="str">
        <f>VLOOKUP(Table13[[#This Row],[Column1]],[1]Sheet1!$A:$AO,36,FALSE)</f>
        <v>N/A</v>
      </c>
      <c r="AK592" s="576" t="str">
        <f>VLOOKUP(Table13[[#This Row],[Column1]],[1]Sheet1!$A:$AO,37,FALSE)</f>
        <v>N/A</v>
      </c>
      <c r="AL592" s="576" t="str">
        <f>VLOOKUP(Table13[[#This Row],[Column1]],[1]Sheet1!$A:$AO,38,FALSE)</f>
        <v>N/A</v>
      </c>
      <c r="AM592" s="576" t="str">
        <f>VLOOKUP(Table13[[#This Row],[Column1]],[1]Sheet1!$A:$AO,39,FALSE)</f>
        <v>N/A</v>
      </c>
      <c r="AN592" s="576" t="s">
        <v>713</v>
      </c>
      <c r="AO592" s="306" t="s">
        <v>919</v>
      </c>
      <c r="AP592" s="378"/>
      <c r="AQ592" s="237"/>
    </row>
    <row r="593" spans="1:43" s="238" customFormat="1" ht="75" customHeight="1" thickBot="1" x14ac:dyDescent="0.3">
      <c r="A593" s="297" t="s">
        <v>798</v>
      </c>
      <c r="B593" s="627" t="str">
        <f>VLOOKUP(Table13[[#This Row],[Column1]],[1]Sheet1!$A:$AO,2,FALSE)</f>
        <v>PLAQUE/TROPHIES/MEDAL</v>
      </c>
      <c r="C593" s="298" t="str">
        <f>VLOOKUP(Table13[[#This Row],[Column1]],[1]Sheet1!$A:$AO,3,FALSE)</f>
        <v>PAGRO</v>
      </c>
      <c r="D593" s="298" t="s">
        <v>712</v>
      </c>
      <c r="E593" s="450" t="str">
        <f>VLOOKUP(Table13[[#This Row],[Column1]],[1]Sheet1!$A:$AO,5,FALSE)</f>
        <v>NP-53.9 - Small Value Procurement</v>
      </c>
      <c r="F593" s="446" t="str">
        <f>VLOOKUP(Table13[[#This Row],[Column1]],[1]Sheet1!$A:$AO,6,FALSE)</f>
        <v>N/A</v>
      </c>
      <c r="G593" s="402">
        <f>VLOOKUP(Table13[[#This Row],[Column1]],[1]Sheet1!$A:$AO,7,FALSE)</f>
        <v>45371</v>
      </c>
      <c r="H593" s="374"/>
      <c r="I593" s="402" t="str">
        <f>VLOOKUP(Table13[[#This Row],[Column1]],[1]Sheet1!$A:$AO,9,FALSE)</f>
        <v>N/A</v>
      </c>
      <c r="J593" s="402">
        <f>VLOOKUP(Table13[[#This Row],[Column1]],[1]Sheet1!$A:$AO,10,FALSE)</f>
        <v>45384</v>
      </c>
      <c r="K593" s="402">
        <f>VLOOKUP(Table13[[#This Row],[Column1]],[1]Sheet1!$A:$AO,11,FALSE)</f>
        <v>45384</v>
      </c>
      <c r="L593" s="404"/>
      <c r="M593" s="402" t="str">
        <f>VLOOKUP(Table13[[#This Row],[Column1]],[1]Sheet1!$A:$AO,13,FALSE)</f>
        <v>N/A</v>
      </c>
      <c r="N593" s="402" t="str">
        <f>VLOOKUP(Table13[[#This Row],[Column1]],[1]Sheet1!$A:$AO,14,FALSE)</f>
        <v>N/A</v>
      </c>
      <c r="O593" s="402">
        <f>VLOOKUP(Table13[[#This Row],[Column1]],[1]Sheet1!$A:$AO,15,FALSE)</f>
        <v>45386</v>
      </c>
      <c r="P593" s="375"/>
      <c r="Q593" s="375"/>
      <c r="R593" s="376"/>
      <c r="S593" s="583" t="str">
        <f>VLOOKUP(Table13[[#This Row],[Column1]],[1]Sheet1!$A:$AO,19,FALSE)</f>
        <v>N/A</v>
      </c>
      <c r="T593" s="583">
        <f>VLOOKUP(Table13[[#This Row],[Column1]],[1]Sheet1!$A:$AO,20,FALSE)</f>
        <v>45406</v>
      </c>
      <c r="U593" s="583">
        <f>VLOOKUP(Table13[[#This Row],[Column1]],[1]Sheet1!$A:$AO,21,FALSE)</f>
        <v>45412</v>
      </c>
      <c r="V593" s="376"/>
      <c r="W593" s="376"/>
      <c r="X593" s="402"/>
      <c r="Y593" s="402"/>
      <c r="Z593" s="610" t="s">
        <v>1478</v>
      </c>
      <c r="AA593" s="532">
        <f>IF(Table13[[#This Row],[Column2]]="","",SUM(Table13[[#This Row],[Column28]]+Table13[[#This Row],[Column29]]))</f>
        <v>8250</v>
      </c>
      <c r="AB593" s="537"/>
      <c r="AC593" s="502">
        <v>8250</v>
      </c>
      <c r="AD593" s="532">
        <f>IF(Table13[[#This Row],[Column2]]="","",SUM(Table13[[#This Row],[Column31]]+Table13[[#This Row],[Column32]]))</f>
        <v>0</v>
      </c>
      <c r="AE593" s="501"/>
      <c r="AF593" s="541"/>
      <c r="AG593" s="405"/>
      <c r="AH593" s="380" t="s">
        <v>1205</v>
      </c>
      <c r="AI593" s="576" t="str">
        <f>VLOOKUP(Table13[[#This Row],[Column1]],[1]Sheet1!$A:$AO,35,FALSE)</f>
        <v>N/A</v>
      </c>
      <c r="AJ593" s="576" t="str">
        <f>VLOOKUP(Table13[[#This Row],[Column1]],[1]Sheet1!$A:$AO,36,FALSE)</f>
        <v>N/A</v>
      </c>
      <c r="AK593" s="576" t="str">
        <f>VLOOKUP(Table13[[#This Row],[Column1]],[1]Sheet1!$A:$AO,37,FALSE)</f>
        <v>N/A</v>
      </c>
      <c r="AL593" s="576" t="str">
        <f>VLOOKUP(Table13[[#This Row],[Column1]],[1]Sheet1!$A:$AO,38,FALSE)</f>
        <v>N/A</v>
      </c>
      <c r="AM593" s="576" t="str">
        <f>VLOOKUP(Table13[[#This Row],[Column1]],[1]Sheet1!$A:$AO,39,FALSE)</f>
        <v>N/A</v>
      </c>
      <c r="AN593" s="576" t="s">
        <v>713</v>
      </c>
      <c r="AO593" s="306" t="s">
        <v>919</v>
      </c>
      <c r="AP593" s="378"/>
      <c r="AQ593" s="237"/>
    </row>
    <row r="594" spans="1:43" s="238" customFormat="1" ht="75" customHeight="1" thickBot="1" x14ac:dyDescent="0.3">
      <c r="A594" s="297" t="s">
        <v>799</v>
      </c>
      <c r="B594" s="627" t="str">
        <f>VLOOKUP(Table13[[#This Row],[Column1]],[1]Sheet1!$A:$AO,2,FALSE)</f>
        <v>PRINTING</v>
      </c>
      <c r="C594" s="298" t="str">
        <f>VLOOKUP(Table13[[#This Row],[Column1]],[1]Sheet1!$A:$AO,3,FALSE)</f>
        <v>PAGRO</v>
      </c>
      <c r="D594" s="298" t="s">
        <v>712</v>
      </c>
      <c r="E594" s="450" t="str">
        <f>VLOOKUP(Table13[[#This Row],[Column1]],[1]Sheet1!$A:$AO,5,FALSE)</f>
        <v>NP-53.9 - Small Value Procurement</v>
      </c>
      <c r="F594" s="446" t="str">
        <f>VLOOKUP(Table13[[#This Row],[Column1]],[1]Sheet1!$A:$AO,6,FALSE)</f>
        <v>N/A</v>
      </c>
      <c r="G594" s="402">
        <f>VLOOKUP(Table13[[#This Row],[Column1]],[1]Sheet1!$A:$AO,7,FALSE)</f>
        <v>45371</v>
      </c>
      <c r="H594" s="374"/>
      <c r="I594" s="402" t="str">
        <f>VLOOKUP(Table13[[#This Row],[Column1]],[1]Sheet1!$A:$AO,9,FALSE)</f>
        <v>N/A</v>
      </c>
      <c r="J594" s="402">
        <f>VLOOKUP(Table13[[#This Row],[Column1]],[1]Sheet1!$A:$AO,10,FALSE)</f>
        <v>45384</v>
      </c>
      <c r="K594" s="402">
        <f>VLOOKUP(Table13[[#This Row],[Column1]],[1]Sheet1!$A:$AO,11,FALSE)</f>
        <v>45384</v>
      </c>
      <c r="L594" s="404"/>
      <c r="M594" s="402" t="str">
        <f>VLOOKUP(Table13[[#This Row],[Column1]],[1]Sheet1!$A:$AO,13,FALSE)</f>
        <v>N/A</v>
      </c>
      <c r="N594" s="402" t="str">
        <f>VLOOKUP(Table13[[#This Row],[Column1]],[1]Sheet1!$A:$AO,14,FALSE)</f>
        <v>N/A</v>
      </c>
      <c r="O594" s="402">
        <f>VLOOKUP(Table13[[#This Row],[Column1]],[1]Sheet1!$A:$AO,15,FALSE)</f>
        <v>45386</v>
      </c>
      <c r="P594" s="375"/>
      <c r="Q594" s="375"/>
      <c r="R594" s="376"/>
      <c r="S594" s="583" t="str">
        <f>VLOOKUP(Table13[[#This Row],[Column1]],[1]Sheet1!$A:$AO,19,FALSE)</f>
        <v>N/A</v>
      </c>
      <c r="T594" s="583">
        <f>VLOOKUP(Table13[[#This Row],[Column1]],[1]Sheet1!$A:$AO,20,FALSE)</f>
        <v>45406</v>
      </c>
      <c r="U594" s="583">
        <f>VLOOKUP(Table13[[#This Row],[Column1]],[1]Sheet1!$A:$AO,21,FALSE)</f>
        <v>45412</v>
      </c>
      <c r="V594" s="376"/>
      <c r="W594" s="376"/>
      <c r="X594" s="402"/>
      <c r="Y594" s="402"/>
      <c r="Z594" s="610" t="s">
        <v>1478</v>
      </c>
      <c r="AA594" s="532">
        <f>IF(Table13[[#This Row],[Column2]]="","",SUM(Table13[[#This Row],[Column28]]+Table13[[#This Row],[Column29]]))</f>
        <v>3500</v>
      </c>
      <c r="AB594" s="537"/>
      <c r="AC594" s="502">
        <v>3500</v>
      </c>
      <c r="AD594" s="532">
        <f>IF(Table13[[#This Row],[Column2]]="","",SUM(Table13[[#This Row],[Column31]]+Table13[[#This Row],[Column32]]))</f>
        <v>0</v>
      </c>
      <c r="AE594" s="501"/>
      <c r="AF594" s="541"/>
      <c r="AG594" s="405"/>
      <c r="AH594" s="380" t="s">
        <v>1205</v>
      </c>
      <c r="AI594" s="576" t="str">
        <f>VLOOKUP(Table13[[#This Row],[Column1]],[1]Sheet1!$A:$AO,35,FALSE)</f>
        <v>N/A</v>
      </c>
      <c r="AJ594" s="576" t="str">
        <f>VLOOKUP(Table13[[#This Row],[Column1]],[1]Sheet1!$A:$AO,36,FALSE)</f>
        <v>N/A</v>
      </c>
      <c r="AK594" s="576" t="str">
        <f>VLOOKUP(Table13[[#This Row],[Column1]],[1]Sheet1!$A:$AO,37,FALSE)</f>
        <v>N/A</v>
      </c>
      <c r="AL594" s="576" t="str">
        <f>VLOOKUP(Table13[[#This Row],[Column1]],[1]Sheet1!$A:$AO,38,FALSE)</f>
        <v>N/A</v>
      </c>
      <c r="AM594" s="576" t="str">
        <f>VLOOKUP(Table13[[#This Row],[Column1]],[1]Sheet1!$A:$AO,39,FALSE)</f>
        <v>N/A</v>
      </c>
      <c r="AN594" s="576" t="s">
        <v>713</v>
      </c>
      <c r="AO594" s="306" t="s">
        <v>919</v>
      </c>
      <c r="AP594" s="378"/>
      <c r="AQ594" s="237"/>
    </row>
    <row r="595" spans="1:43" s="238" customFormat="1" ht="75" customHeight="1" thickBot="1" x14ac:dyDescent="0.3">
      <c r="A595" s="297" t="s">
        <v>800</v>
      </c>
      <c r="B595" s="627" t="str">
        <f>VLOOKUP(Table13[[#This Row],[Column1]],[1]Sheet1!$A:$AO,2,FALSE)</f>
        <v>FOOD/CATERING SERVICES</v>
      </c>
      <c r="C595" s="298" t="str">
        <f>VLOOKUP(Table13[[#This Row],[Column1]],[1]Sheet1!$A:$AO,3,FALSE)</f>
        <v>PASSO</v>
      </c>
      <c r="D595" s="298" t="s">
        <v>712</v>
      </c>
      <c r="E595" s="450" t="str">
        <f>VLOOKUP(Table13[[#This Row],[Column1]],[1]Sheet1!$A:$AO,5,FALSE)</f>
        <v>NP-53.9 - Small Value Procurement</v>
      </c>
      <c r="F595" s="446" t="str">
        <f>VLOOKUP(Table13[[#This Row],[Column1]],[1]Sheet1!$A:$AO,6,FALSE)</f>
        <v>N/A</v>
      </c>
      <c r="G595" s="402">
        <f>VLOOKUP(Table13[[#This Row],[Column1]],[1]Sheet1!$A:$AO,7,FALSE)</f>
        <v>45371</v>
      </c>
      <c r="H595" s="374"/>
      <c r="I595" s="402" t="str">
        <f>VLOOKUP(Table13[[#This Row],[Column1]],[1]Sheet1!$A:$AO,9,FALSE)</f>
        <v>N/A</v>
      </c>
      <c r="J595" s="402">
        <f>VLOOKUP(Table13[[#This Row],[Column1]],[1]Sheet1!$A:$AO,10,FALSE)</f>
        <v>45384</v>
      </c>
      <c r="K595" s="402">
        <f>VLOOKUP(Table13[[#This Row],[Column1]],[1]Sheet1!$A:$AO,11,FALSE)</f>
        <v>45384</v>
      </c>
      <c r="L595" s="404"/>
      <c r="M595" s="402" t="str">
        <f>VLOOKUP(Table13[[#This Row],[Column1]],[1]Sheet1!$A:$AO,13,FALSE)</f>
        <v>N/A</v>
      </c>
      <c r="N595" s="402" t="str">
        <f>VLOOKUP(Table13[[#This Row],[Column1]],[1]Sheet1!$A:$AO,14,FALSE)</f>
        <v>N/A</v>
      </c>
      <c r="O595" s="402">
        <f>VLOOKUP(Table13[[#This Row],[Column1]],[1]Sheet1!$A:$AO,15,FALSE)</f>
        <v>45386</v>
      </c>
      <c r="P595" s="375"/>
      <c r="Q595" s="375"/>
      <c r="R595" s="376"/>
      <c r="S595" s="583" t="str">
        <f>VLOOKUP(Table13[[#This Row],[Column1]],[1]Sheet1!$A:$AO,19,FALSE)</f>
        <v>N/A</v>
      </c>
      <c r="T595" s="583">
        <f>VLOOKUP(Table13[[#This Row],[Column1]],[1]Sheet1!$A:$AO,20,FALSE)</f>
        <v>45411</v>
      </c>
      <c r="U595" s="583">
        <f>VLOOKUP(Table13[[#This Row],[Column1]],[1]Sheet1!$A:$AO,21,FALSE)</f>
        <v>45415</v>
      </c>
      <c r="V595" s="376"/>
      <c r="W595" s="376"/>
      <c r="X595" s="402"/>
      <c r="Y595" s="402"/>
      <c r="Z595" s="610" t="s">
        <v>1478</v>
      </c>
      <c r="AA595" s="532">
        <f>IF(Table13[[#This Row],[Column2]]="","",SUM(Table13[[#This Row],[Column28]]+Table13[[#This Row],[Column29]]))</f>
        <v>36250</v>
      </c>
      <c r="AB595" s="537"/>
      <c r="AC595" s="502">
        <v>36250</v>
      </c>
      <c r="AD595" s="532">
        <f>IF(Table13[[#This Row],[Column2]]="","",SUM(Table13[[#This Row],[Column31]]+Table13[[#This Row],[Column32]]))</f>
        <v>0</v>
      </c>
      <c r="AE595" s="501"/>
      <c r="AF595" s="541"/>
      <c r="AG595" s="405"/>
      <c r="AH595" s="380" t="s">
        <v>1205</v>
      </c>
      <c r="AI595" s="576" t="str">
        <f>VLOOKUP(Table13[[#This Row],[Column1]],[1]Sheet1!$A:$AO,35,FALSE)</f>
        <v>N/A</v>
      </c>
      <c r="AJ595" s="576" t="str">
        <f>VLOOKUP(Table13[[#This Row],[Column1]],[1]Sheet1!$A:$AO,36,FALSE)</f>
        <v>N/A</v>
      </c>
      <c r="AK595" s="576" t="str">
        <f>VLOOKUP(Table13[[#This Row],[Column1]],[1]Sheet1!$A:$AO,37,FALSE)</f>
        <v>N/A</v>
      </c>
      <c r="AL595" s="576" t="str">
        <f>VLOOKUP(Table13[[#This Row],[Column1]],[1]Sheet1!$A:$AO,38,FALSE)</f>
        <v>N/A</v>
      </c>
      <c r="AM595" s="576" t="str">
        <f>VLOOKUP(Table13[[#This Row],[Column1]],[1]Sheet1!$A:$AO,39,FALSE)</f>
        <v>N/A</v>
      </c>
      <c r="AN595" s="576" t="s">
        <v>713</v>
      </c>
      <c r="AO595" s="306" t="s">
        <v>919</v>
      </c>
      <c r="AP595" s="378"/>
      <c r="AQ595" s="237"/>
    </row>
    <row r="596" spans="1:43" s="238" customFormat="1" ht="75" customHeight="1" thickBot="1" x14ac:dyDescent="0.3">
      <c r="A596" s="297" t="s">
        <v>801</v>
      </c>
      <c r="B596" s="627" t="str">
        <f>VLOOKUP(Table13[[#This Row],[Column1]],[1]Sheet1!$A:$AO,2,FALSE)</f>
        <v>MATERIAL TESTING APPARATUS/EQUIPMENT</v>
      </c>
      <c r="C596" s="298" t="str">
        <f>VLOOKUP(Table13[[#This Row],[Column1]],[1]Sheet1!$A:$AO,3,FALSE)</f>
        <v>PEO</v>
      </c>
      <c r="D596" s="298" t="s">
        <v>712</v>
      </c>
      <c r="E596" s="450" t="str">
        <f>VLOOKUP(Table13[[#This Row],[Column1]],[1]Sheet1!$A:$AO,5,FALSE)</f>
        <v>NP-53.1 Two Failed Biddings</v>
      </c>
      <c r="F596" s="446" t="str">
        <f>VLOOKUP(Table13[[#This Row],[Column1]],[1]Sheet1!$A:$AO,6,FALSE)</f>
        <v>N/A</v>
      </c>
      <c r="G596" s="402">
        <f>VLOOKUP(Table13[[#This Row],[Column1]],[1]Sheet1!$A:$AO,7,FALSE)</f>
        <v>45309</v>
      </c>
      <c r="H596" s="374"/>
      <c r="I596" s="402" t="str">
        <f>VLOOKUP(Table13[[#This Row],[Column1]],[1]Sheet1!$A:$AO,9,FALSE)</f>
        <v>N/A</v>
      </c>
      <c r="J596" s="402">
        <f>VLOOKUP(Table13[[#This Row],[Column1]],[1]Sheet1!$A:$AO,10,FALSE)</f>
        <v>45384</v>
      </c>
      <c r="K596" s="402">
        <f>VLOOKUP(Table13[[#This Row],[Column1]],[1]Sheet1!$A:$AO,11,FALSE)</f>
        <v>45384</v>
      </c>
      <c r="L596" s="404"/>
      <c r="M596" s="402" t="str">
        <f>VLOOKUP(Table13[[#This Row],[Column1]],[1]Sheet1!$A:$AO,13,FALSE)</f>
        <v>N/A</v>
      </c>
      <c r="N596" s="402" t="str">
        <f>VLOOKUP(Table13[[#This Row],[Column1]],[1]Sheet1!$A:$AO,14,FALSE)</f>
        <v>N/A</v>
      </c>
      <c r="O596" s="402">
        <f>VLOOKUP(Table13[[#This Row],[Column1]],[1]Sheet1!$A:$AO,15,FALSE)</f>
        <v>45386</v>
      </c>
      <c r="P596" s="375"/>
      <c r="Q596" s="375"/>
      <c r="R596" s="376"/>
      <c r="S596" s="583">
        <f>VLOOKUP(Table13[[#This Row],[Column1]],[1]Sheet1!$A:$AO,19,FALSE)</f>
        <v>45387</v>
      </c>
      <c r="T596" s="583">
        <f>VLOOKUP(Table13[[#This Row],[Column1]],[1]Sheet1!$A:$AO,20,FALSE)</f>
        <v>45401</v>
      </c>
      <c r="U596" s="583">
        <f>VLOOKUP(Table13[[#This Row],[Column1]],[1]Sheet1!$A:$AO,21,FALSE)</f>
        <v>45463</v>
      </c>
      <c r="V596" s="376"/>
      <c r="W596" s="376"/>
      <c r="X596" s="402"/>
      <c r="Y596" s="402"/>
      <c r="Z596" s="610" t="s">
        <v>1478</v>
      </c>
      <c r="AA596" s="532">
        <f>IF(Table13[[#This Row],[Column2]]="","",SUM(Table13[[#This Row],[Column28]]+Table13[[#This Row],[Column29]]))</f>
        <v>471715</v>
      </c>
      <c r="AB596" s="537"/>
      <c r="AC596" s="502">
        <v>471715</v>
      </c>
      <c r="AD596" s="532">
        <f>IF(Table13[[#This Row],[Column2]]="","",SUM(Table13[[#This Row],[Column31]]+Table13[[#This Row],[Column32]]))</f>
        <v>0</v>
      </c>
      <c r="AE596" s="501"/>
      <c r="AF596" s="541"/>
      <c r="AG596" s="405"/>
      <c r="AH596" s="380" t="s">
        <v>1205</v>
      </c>
      <c r="AI596" s="576" t="str">
        <f>VLOOKUP(Table13[[#This Row],[Column1]],[1]Sheet1!$A:$AO,35,FALSE)</f>
        <v>N/A</v>
      </c>
      <c r="AJ596" s="576" t="str">
        <f>VLOOKUP(Table13[[#This Row],[Column1]],[1]Sheet1!$A:$AO,36,FALSE)</f>
        <v>N/A</v>
      </c>
      <c r="AK596" s="576" t="str">
        <f>VLOOKUP(Table13[[#This Row],[Column1]],[1]Sheet1!$A:$AO,37,FALSE)</f>
        <v>N/A</v>
      </c>
      <c r="AL596" s="576" t="str">
        <f>VLOOKUP(Table13[[#This Row],[Column1]],[1]Sheet1!$A:$AO,38,FALSE)</f>
        <v>N/A</v>
      </c>
      <c r="AM596" s="576" t="str">
        <f>VLOOKUP(Table13[[#This Row],[Column1]],[1]Sheet1!$A:$AO,39,FALSE)</f>
        <v>N/A</v>
      </c>
      <c r="AN596" s="576" t="s">
        <v>713</v>
      </c>
      <c r="AO596" s="306" t="s">
        <v>919</v>
      </c>
      <c r="AP596" s="378"/>
      <c r="AQ596" s="237"/>
    </row>
    <row r="597" spans="1:43" s="238" customFormat="1" ht="75" customHeight="1" thickBot="1" x14ac:dyDescent="0.3">
      <c r="A597" s="297" t="s">
        <v>802</v>
      </c>
      <c r="B597" s="627" t="str">
        <f>VLOOKUP(Table13[[#This Row],[Column1]],[1]Sheet1!$A:$AO,2,FALSE)</f>
        <v>SUPPLY AND DELIVERY OF SEEDLINGS FOR THE USE OF PENRO</v>
      </c>
      <c r="C597" s="298" t="str">
        <f>VLOOKUP(Table13[[#This Row],[Column1]],[1]Sheet1!$A:$AO,3,FALSE)</f>
        <v>PENRO</v>
      </c>
      <c r="D597" s="298" t="s">
        <v>712</v>
      </c>
      <c r="E597" s="450" t="str">
        <f>VLOOKUP(Table13[[#This Row],[Column1]],[1]Sheet1!$A:$AO,5,FALSE)</f>
        <v>Competitive Bidding</v>
      </c>
      <c r="F597" s="446" t="str">
        <f>VLOOKUP(Table13[[#This Row],[Column1]],[1]Sheet1!$A:$AO,6,FALSE)</f>
        <v>N/A</v>
      </c>
      <c r="G597" s="402">
        <f>VLOOKUP(Table13[[#This Row],[Column1]],[1]Sheet1!$A:$AO,7,FALSE)</f>
        <v>45348</v>
      </c>
      <c r="H597" s="374"/>
      <c r="I597" s="402" t="str">
        <f>VLOOKUP(Table13[[#This Row],[Column1]],[1]Sheet1!$A:$AO,9,FALSE)</f>
        <v>N/A</v>
      </c>
      <c r="J597" s="402">
        <f>VLOOKUP(Table13[[#This Row],[Column1]],[1]Sheet1!$A:$AO,10,FALSE)</f>
        <v>45356</v>
      </c>
      <c r="K597" s="402">
        <f>VLOOKUP(Table13[[#This Row],[Column1]],[1]Sheet1!$A:$AO,11,FALSE)</f>
        <v>45356</v>
      </c>
      <c r="L597" s="404"/>
      <c r="M597" s="402">
        <f>VLOOKUP(Table13[[#This Row],[Column1]],[1]Sheet1!$A:$AO,13,FALSE)</f>
        <v>45356</v>
      </c>
      <c r="N597" s="402">
        <f>VLOOKUP(Table13[[#This Row],[Column1]],[1]Sheet1!$A:$AO,14,FALSE)</f>
        <v>45383</v>
      </c>
      <c r="O597" s="402">
        <f>VLOOKUP(Table13[[#This Row],[Column1]],[1]Sheet1!$A:$AO,15,FALSE)</f>
        <v>45386</v>
      </c>
      <c r="P597" s="375"/>
      <c r="Q597" s="375"/>
      <c r="R597" s="376"/>
      <c r="S597" s="583">
        <f>VLOOKUP(Table13[[#This Row],[Column1]],[1]Sheet1!$A:$AO,19,FALSE)</f>
        <v>45386</v>
      </c>
      <c r="T597" s="583">
        <f>VLOOKUP(Table13[[#This Row],[Column1]],[1]Sheet1!$A:$AO,20,FALSE)</f>
        <v>45406</v>
      </c>
      <c r="U597" s="583">
        <f>VLOOKUP(Table13[[#This Row],[Column1]],[1]Sheet1!$A:$AO,21,FALSE)</f>
        <v>45425</v>
      </c>
      <c r="V597" s="376"/>
      <c r="W597" s="376"/>
      <c r="X597" s="402"/>
      <c r="Y597" s="402"/>
      <c r="Z597" s="610" t="s">
        <v>1478</v>
      </c>
      <c r="AA597" s="532">
        <f>IF(Table13[[#This Row],[Column2]]="","",SUM(Table13[[#This Row],[Column28]]+Table13[[#This Row],[Column29]]))</f>
        <v>879990</v>
      </c>
      <c r="AB597" s="537"/>
      <c r="AC597" s="502">
        <v>879990</v>
      </c>
      <c r="AD597" s="532">
        <f>IF(Table13[[#This Row],[Column2]]="","",SUM(Table13[[#This Row],[Column31]]+Table13[[#This Row],[Column32]]))</f>
        <v>0</v>
      </c>
      <c r="AE597" s="501"/>
      <c r="AF597" s="541"/>
      <c r="AG597" s="405"/>
      <c r="AH597" s="380" t="s">
        <v>1205</v>
      </c>
      <c r="AI597" s="576" t="str">
        <f>VLOOKUP(Table13[[#This Row],[Column1]],[1]Sheet1!$A:$AO,35,FALSE)</f>
        <v>N/A</v>
      </c>
      <c r="AJ597" s="576">
        <f>VLOOKUP(Table13[[#This Row],[Column1]],[1]Sheet1!$A:$AO,36,FALSE)</f>
        <v>45352</v>
      </c>
      <c r="AK597" s="576">
        <f>VLOOKUP(Table13[[#This Row],[Column1]],[1]Sheet1!$A:$AO,37,FALSE)</f>
        <v>45352</v>
      </c>
      <c r="AL597" s="576">
        <f>VLOOKUP(Table13[[#This Row],[Column1]],[1]Sheet1!$A:$AO,38,FALSE)</f>
        <v>45352</v>
      </c>
      <c r="AM597" s="576" t="str">
        <f>VLOOKUP(Table13[[#This Row],[Column1]],[1]Sheet1!$A:$AO,39,FALSE)</f>
        <v>N/A</v>
      </c>
      <c r="AN597" s="576" t="s">
        <v>713</v>
      </c>
      <c r="AO597" s="306" t="s">
        <v>919</v>
      </c>
      <c r="AP597" s="378"/>
      <c r="AQ597" s="237"/>
    </row>
    <row r="598" spans="1:43" s="238" customFormat="1" ht="75" customHeight="1" thickBot="1" x14ac:dyDescent="0.3">
      <c r="A598" s="297" t="s">
        <v>803</v>
      </c>
      <c r="B598" s="627" t="str">
        <f>VLOOKUP(Table13[[#This Row],[Column1]],[1]Sheet1!$A:$AO,2,FALSE)</f>
        <v xml:space="preserve">JOB ORDER (LABOR &amp; MATERIALS) </v>
      </c>
      <c r="C598" s="298" t="str">
        <f>VLOOKUP(Table13[[#This Row],[Column1]],[1]Sheet1!$A:$AO,3,FALSE)</f>
        <v>DDOPH-Montevista</v>
      </c>
      <c r="D598" s="298" t="s">
        <v>712</v>
      </c>
      <c r="E598" s="450" t="str">
        <f>VLOOKUP(Table13[[#This Row],[Column1]],[1]Sheet1!$A:$AO,5,FALSE)</f>
        <v>NP-53.1 Two Failed Biddings</v>
      </c>
      <c r="F598" s="446">
        <f>VLOOKUP(Table13[[#This Row],[Column1]],[1]Sheet1!$A:$AO,6,FALSE)</f>
        <v>45279</v>
      </c>
      <c r="G598" s="402">
        <f>VLOOKUP(Table13[[#This Row],[Column1]],[1]Sheet1!$A:$AO,7,FALSE)</f>
        <v>45359</v>
      </c>
      <c r="H598" s="374"/>
      <c r="I598" s="402" t="str">
        <f>VLOOKUP(Table13[[#This Row],[Column1]],[1]Sheet1!$A:$AO,9,FALSE)</f>
        <v>N/A</v>
      </c>
      <c r="J598" s="402">
        <f>VLOOKUP(Table13[[#This Row],[Column1]],[1]Sheet1!$A:$AO,10,FALSE)</f>
        <v>45387</v>
      </c>
      <c r="K598" s="402">
        <f>VLOOKUP(Table13[[#This Row],[Column1]],[1]Sheet1!$A:$AO,11,FALSE)</f>
        <v>45387</v>
      </c>
      <c r="L598" s="404"/>
      <c r="M598" s="402" t="str">
        <f>VLOOKUP(Table13[[#This Row],[Column1]],[1]Sheet1!$A:$AO,13,FALSE)</f>
        <v>N/A</v>
      </c>
      <c r="N598" s="402" t="str">
        <f>VLOOKUP(Table13[[#This Row],[Column1]],[1]Sheet1!$A:$AO,14,FALSE)</f>
        <v>N/A</v>
      </c>
      <c r="O598" s="402">
        <f>VLOOKUP(Table13[[#This Row],[Column1]],[1]Sheet1!$A:$AO,15,FALSE)</f>
        <v>45394</v>
      </c>
      <c r="P598" s="375"/>
      <c r="Q598" s="375"/>
      <c r="R598" s="376"/>
      <c r="S598" s="583">
        <f>VLOOKUP(Table13[[#This Row],[Column1]],[1]Sheet1!$A:$AO,19,FALSE)</f>
        <v>45394</v>
      </c>
      <c r="T598" s="583">
        <f>VLOOKUP(Table13[[#This Row],[Column1]],[1]Sheet1!$A:$AO,20,FALSE)</f>
        <v>45399</v>
      </c>
      <c r="U598" s="583">
        <f>VLOOKUP(Table13[[#This Row],[Column1]],[1]Sheet1!$A:$AO,21,FALSE)</f>
        <v>45436</v>
      </c>
      <c r="V598" s="376"/>
      <c r="W598" s="376"/>
      <c r="X598" s="402"/>
      <c r="Y598" s="402"/>
      <c r="Z598" s="610" t="s">
        <v>1478</v>
      </c>
      <c r="AA598" s="532">
        <f>IF(Table13[[#This Row],[Column2]]="","",SUM(Table13[[#This Row],[Column28]]+Table13[[#This Row],[Column29]]))</f>
        <v>1500000</v>
      </c>
      <c r="AB598" s="537"/>
      <c r="AC598" s="502">
        <v>1500000</v>
      </c>
      <c r="AD598" s="532">
        <f>IF(Table13[[#This Row],[Column2]]="","",SUM(Table13[[#This Row],[Column31]]+Table13[[#This Row],[Column32]]))</f>
        <v>0</v>
      </c>
      <c r="AE598" s="501"/>
      <c r="AF598" s="541"/>
      <c r="AG598" s="405"/>
      <c r="AH598" s="380" t="s">
        <v>1205</v>
      </c>
      <c r="AI598" s="576" t="str">
        <f>VLOOKUP(Table13[[#This Row],[Column1]],[1]Sheet1!$A:$AO,35,FALSE)</f>
        <v>N/A</v>
      </c>
      <c r="AJ598" s="576" t="str">
        <f>VLOOKUP(Table13[[#This Row],[Column1]],[1]Sheet1!$A:$AO,36,FALSE)</f>
        <v>N/A</v>
      </c>
      <c r="AK598" s="576" t="str">
        <f>VLOOKUP(Table13[[#This Row],[Column1]],[1]Sheet1!$A:$AO,37,FALSE)</f>
        <v>N/A</v>
      </c>
      <c r="AL598" s="576" t="str">
        <f>VLOOKUP(Table13[[#This Row],[Column1]],[1]Sheet1!$A:$AO,38,FALSE)</f>
        <v>N/A</v>
      </c>
      <c r="AM598" s="576" t="str">
        <f>VLOOKUP(Table13[[#This Row],[Column1]],[1]Sheet1!$A:$AO,39,FALSE)</f>
        <v>N/A</v>
      </c>
      <c r="AN598" s="576" t="s">
        <v>713</v>
      </c>
      <c r="AO598" s="306" t="s">
        <v>919</v>
      </c>
      <c r="AP598" s="378"/>
      <c r="AQ598" s="237"/>
    </row>
    <row r="599" spans="1:43" s="238" customFormat="1" ht="75" customHeight="1" thickBot="1" x14ac:dyDescent="0.3">
      <c r="A599" s="297" t="s">
        <v>804</v>
      </c>
      <c r="B599" s="627" t="str">
        <f>VLOOKUP(Table13[[#This Row],[Column1]],[1]Sheet1!$A:$AO,2,FALSE)</f>
        <v>TARPAULIN</v>
      </c>
      <c r="C599" s="298" t="str">
        <f>VLOOKUP(Table13[[#This Row],[Column1]],[1]Sheet1!$A:$AO,3,FALSE)</f>
        <v>PGO</v>
      </c>
      <c r="D599" s="298" t="s">
        <v>712</v>
      </c>
      <c r="E599" s="450" t="str">
        <f>VLOOKUP(Table13[[#This Row],[Column1]],[1]Sheet1!$A:$AO,5,FALSE)</f>
        <v>NP-53.9 - Small Value Procurement</v>
      </c>
      <c r="F599" s="446" t="str">
        <f>VLOOKUP(Table13[[#This Row],[Column1]],[1]Sheet1!$A:$AO,6,FALSE)</f>
        <v>N/A</v>
      </c>
      <c r="G599" s="402">
        <f>VLOOKUP(Table13[[#This Row],[Column1]],[1]Sheet1!$A:$AO,7,FALSE)</f>
        <v>45376</v>
      </c>
      <c r="H599" s="374"/>
      <c r="I599" s="402" t="str">
        <f>VLOOKUP(Table13[[#This Row],[Column1]],[1]Sheet1!$A:$AO,9,FALSE)</f>
        <v>N/A</v>
      </c>
      <c r="J599" s="402">
        <f>VLOOKUP(Table13[[#This Row],[Column1]],[1]Sheet1!$A:$AO,10,FALSE)</f>
        <v>45387</v>
      </c>
      <c r="K599" s="402">
        <f>VLOOKUP(Table13[[#This Row],[Column1]],[1]Sheet1!$A:$AO,11,FALSE)</f>
        <v>45387</v>
      </c>
      <c r="L599" s="404"/>
      <c r="M599" s="402" t="str">
        <f>VLOOKUP(Table13[[#This Row],[Column1]],[1]Sheet1!$A:$AO,13,FALSE)</f>
        <v>N/A</v>
      </c>
      <c r="N599" s="402" t="str">
        <f>VLOOKUP(Table13[[#This Row],[Column1]],[1]Sheet1!$A:$AO,14,FALSE)</f>
        <v>N/A</v>
      </c>
      <c r="O599" s="402">
        <f>VLOOKUP(Table13[[#This Row],[Column1]],[1]Sheet1!$A:$AO,15,FALSE)</f>
        <v>45394</v>
      </c>
      <c r="P599" s="375"/>
      <c r="Q599" s="375"/>
      <c r="R599" s="376"/>
      <c r="S599" s="583" t="str">
        <f>VLOOKUP(Table13[[#This Row],[Column1]],[1]Sheet1!$A:$AO,19,FALSE)</f>
        <v>N/A</v>
      </c>
      <c r="T599" s="583">
        <f>VLOOKUP(Table13[[#This Row],[Column1]],[1]Sheet1!$A:$AO,20,FALSE)</f>
        <v>45405</v>
      </c>
      <c r="U599" s="583">
        <f>VLOOKUP(Table13[[#This Row],[Column1]],[1]Sheet1!$A:$AO,21,FALSE)</f>
        <v>45407</v>
      </c>
      <c r="V599" s="376"/>
      <c r="W599" s="376"/>
      <c r="X599" s="402"/>
      <c r="Y599" s="402"/>
      <c r="Z599" s="610" t="s">
        <v>1478</v>
      </c>
      <c r="AA599" s="532">
        <f>IF(Table13[[#This Row],[Column2]]="","",SUM(Table13[[#This Row],[Column28]]+Table13[[#This Row],[Column29]]))</f>
        <v>4480</v>
      </c>
      <c r="AB599" s="537"/>
      <c r="AC599" s="502">
        <v>4480</v>
      </c>
      <c r="AD599" s="532">
        <f>IF(Table13[[#This Row],[Column2]]="","",SUM(Table13[[#This Row],[Column31]]+Table13[[#This Row],[Column32]]))</f>
        <v>0</v>
      </c>
      <c r="AE599" s="501"/>
      <c r="AF599" s="541"/>
      <c r="AG599" s="405"/>
      <c r="AH599" s="380" t="s">
        <v>1205</v>
      </c>
      <c r="AI599" s="576" t="str">
        <f>VLOOKUP(Table13[[#This Row],[Column1]],[1]Sheet1!$A:$AO,35,FALSE)</f>
        <v>N/A</v>
      </c>
      <c r="AJ599" s="576" t="str">
        <f>VLOOKUP(Table13[[#This Row],[Column1]],[1]Sheet1!$A:$AO,36,FALSE)</f>
        <v>N/A</v>
      </c>
      <c r="AK599" s="576" t="str">
        <f>VLOOKUP(Table13[[#This Row],[Column1]],[1]Sheet1!$A:$AO,37,FALSE)</f>
        <v>N/A</v>
      </c>
      <c r="AL599" s="576" t="str">
        <f>VLOOKUP(Table13[[#This Row],[Column1]],[1]Sheet1!$A:$AO,38,FALSE)</f>
        <v>N/A</v>
      </c>
      <c r="AM599" s="576" t="str">
        <f>VLOOKUP(Table13[[#This Row],[Column1]],[1]Sheet1!$A:$AO,39,FALSE)</f>
        <v>N/A</v>
      </c>
      <c r="AN599" s="576" t="s">
        <v>713</v>
      </c>
      <c r="AO599" s="306" t="s">
        <v>919</v>
      </c>
      <c r="AP599" s="378"/>
      <c r="AQ599" s="237"/>
    </row>
    <row r="600" spans="1:43" s="238" customFormat="1" ht="75" customHeight="1" thickBot="1" x14ac:dyDescent="0.3">
      <c r="A600" s="297" t="s">
        <v>733</v>
      </c>
      <c r="B600" s="627" t="str">
        <f>VLOOKUP(Table13[[#This Row],[Column1]],[1]Sheet1!$A:$AO,2,FALSE)</f>
        <v>FUEL, OIL, AND LUBRICANTS</v>
      </c>
      <c r="C600" s="298" t="str">
        <f>VLOOKUP(Table13[[#This Row],[Column1]],[1]Sheet1!$A:$AO,3,FALSE)</f>
        <v>PDRRMO</v>
      </c>
      <c r="D600" s="298" t="s">
        <v>712</v>
      </c>
      <c r="E600" s="450" t="str">
        <f>VLOOKUP(Table13[[#This Row],[Column1]],[1]Sheet1!$A:$AO,5,FALSE)</f>
        <v>NP-53.9 - Small Value Procurement</v>
      </c>
      <c r="F600" s="446" t="str">
        <f>VLOOKUP(Table13[[#This Row],[Column1]],[1]Sheet1!$A:$AO,6,FALSE)</f>
        <v>N/A</v>
      </c>
      <c r="G600" s="402">
        <f>VLOOKUP(Table13[[#This Row],[Column1]],[1]Sheet1!$A:$AO,7,FALSE)</f>
        <v>45371</v>
      </c>
      <c r="H600" s="374"/>
      <c r="I600" s="402" t="str">
        <f>VLOOKUP(Table13[[#This Row],[Column1]],[1]Sheet1!$A:$AO,9,FALSE)</f>
        <v>N/A</v>
      </c>
      <c r="J600" s="402">
        <f>VLOOKUP(Table13[[#This Row],[Column1]],[1]Sheet1!$A:$AO,10,FALSE)</f>
        <v>45387</v>
      </c>
      <c r="K600" s="402">
        <f>VLOOKUP(Table13[[#This Row],[Column1]],[1]Sheet1!$A:$AO,11,FALSE)</f>
        <v>45387</v>
      </c>
      <c r="L600" s="404"/>
      <c r="M600" s="402" t="str">
        <f>VLOOKUP(Table13[[#This Row],[Column1]],[1]Sheet1!$A:$AO,13,FALSE)</f>
        <v>N/A</v>
      </c>
      <c r="N600" s="402" t="str">
        <f>VLOOKUP(Table13[[#This Row],[Column1]],[1]Sheet1!$A:$AO,14,FALSE)</f>
        <v>N/A</v>
      </c>
      <c r="O600" s="402">
        <f>VLOOKUP(Table13[[#This Row],[Column1]],[1]Sheet1!$A:$AO,15,FALSE)</f>
        <v>45394</v>
      </c>
      <c r="P600" s="375"/>
      <c r="Q600" s="375"/>
      <c r="R600" s="376"/>
      <c r="S600" s="583" t="str">
        <f>VLOOKUP(Table13[[#This Row],[Column1]],[1]Sheet1!$A:$AO,19,FALSE)</f>
        <v>N/A</v>
      </c>
      <c r="T600" s="583">
        <f>VLOOKUP(Table13[[#This Row],[Column1]],[1]Sheet1!$A:$AO,20,FALSE)</f>
        <v>45405</v>
      </c>
      <c r="U600" s="583">
        <f>VLOOKUP(Table13[[#This Row],[Column1]],[1]Sheet1!$A:$AO,21,FALSE)</f>
        <v>45420</v>
      </c>
      <c r="V600" s="376"/>
      <c r="W600" s="376"/>
      <c r="X600" s="402"/>
      <c r="Y600" s="402"/>
      <c r="Z600" s="610" t="s">
        <v>1478</v>
      </c>
      <c r="AA600" s="532">
        <f>IF(Table13[[#This Row],[Column2]]="","",SUM(Table13[[#This Row],[Column28]]+Table13[[#This Row],[Column29]]))</f>
        <v>11253.2</v>
      </c>
      <c r="AB600" s="537"/>
      <c r="AC600" s="502">
        <v>11253.2</v>
      </c>
      <c r="AD600" s="532">
        <f>IF(Table13[[#This Row],[Column2]]="","",SUM(Table13[[#This Row],[Column31]]+Table13[[#This Row],[Column32]]))</f>
        <v>0</v>
      </c>
      <c r="AE600" s="501"/>
      <c r="AF600" s="541"/>
      <c r="AG600" s="405"/>
      <c r="AH600" s="380" t="s">
        <v>1205</v>
      </c>
      <c r="AI600" s="576" t="str">
        <f>VLOOKUP(Table13[[#This Row],[Column1]],[1]Sheet1!$A:$AO,35,FALSE)</f>
        <v>N/A</v>
      </c>
      <c r="AJ600" s="576" t="str">
        <f>VLOOKUP(Table13[[#This Row],[Column1]],[1]Sheet1!$A:$AO,36,FALSE)</f>
        <v>N/A</v>
      </c>
      <c r="AK600" s="576" t="str">
        <f>VLOOKUP(Table13[[#This Row],[Column1]],[1]Sheet1!$A:$AO,37,FALSE)</f>
        <v>N/A</v>
      </c>
      <c r="AL600" s="576" t="str">
        <f>VLOOKUP(Table13[[#This Row],[Column1]],[1]Sheet1!$A:$AO,38,FALSE)</f>
        <v>N/A</v>
      </c>
      <c r="AM600" s="576" t="str">
        <f>VLOOKUP(Table13[[#This Row],[Column1]],[1]Sheet1!$A:$AO,39,FALSE)</f>
        <v>N/A</v>
      </c>
      <c r="AN600" s="576" t="s">
        <v>713</v>
      </c>
      <c r="AO600" s="306" t="s">
        <v>919</v>
      </c>
      <c r="AP600" s="378"/>
      <c r="AQ600" s="237"/>
    </row>
    <row r="601" spans="1:43" s="238" customFormat="1" ht="75" customHeight="1" thickBot="1" x14ac:dyDescent="0.3">
      <c r="A601" s="297" t="s">
        <v>805</v>
      </c>
      <c r="B601" s="627" t="str">
        <f>VLOOKUP(Table13[[#This Row],[Column1]],[1]Sheet1!$A:$AO,2,FALSE)</f>
        <v>WATER</v>
      </c>
      <c r="C601" s="298" t="str">
        <f>VLOOKUP(Table13[[#This Row],[Column1]],[1]Sheet1!$A:$AO,3,FALSE)</f>
        <v>PAO</v>
      </c>
      <c r="D601" s="298" t="s">
        <v>712</v>
      </c>
      <c r="E601" s="450" t="str">
        <f>VLOOKUP(Table13[[#This Row],[Column1]],[1]Sheet1!$A:$AO,5,FALSE)</f>
        <v>NP-53.9 - Small Value Procurement</v>
      </c>
      <c r="F601" s="446" t="str">
        <f>VLOOKUP(Table13[[#This Row],[Column1]],[1]Sheet1!$A:$AO,6,FALSE)</f>
        <v>N/A</v>
      </c>
      <c r="G601" s="402">
        <f>VLOOKUP(Table13[[#This Row],[Column1]],[1]Sheet1!$A:$AO,7,FALSE)</f>
        <v>45371</v>
      </c>
      <c r="H601" s="374"/>
      <c r="I601" s="402" t="str">
        <f>VLOOKUP(Table13[[#This Row],[Column1]],[1]Sheet1!$A:$AO,9,FALSE)</f>
        <v>N/A</v>
      </c>
      <c r="J601" s="402">
        <f>VLOOKUP(Table13[[#This Row],[Column1]],[1]Sheet1!$A:$AO,10,FALSE)</f>
        <v>45387</v>
      </c>
      <c r="K601" s="402">
        <f>VLOOKUP(Table13[[#This Row],[Column1]],[1]Sheet1!$A:$AO,11,FALSE)</f>
        <v>45387</v>
      </c>
      <c r="L601" s="404"/>
      <c r="M601" s="402" t="str">
        <f>VLOOKUP(Table13[[#This Row],[Column1]],[1]Sheet1!$A:$AO,13,FALSE)</f>
        <v>N/A</v>
      </c>
      <c r="N601" s="402" t="str">
        <f>VLOOKUP(Table13[[#This Row],[Column1]],[1]Sheet1!$A:$AO,14,FALSE)</f>
        <v>N/A</v>
      </c>
      <c r="O601" s="402">
        <f>VLOOKUP(Table13[[#This Row],[Column1]],[1]Sheet1!$A:$AO,15,FALSE)</f>
        <v>45394</v>
      </c>
      <c r="P601" s="375"/>
      <c r="Q601" s="375"/>
      <c r="R601" s="376"/>
      <c r="S601" s="583" t="str">
        <f>VLOOKUP(Table13[[#This Row],[Column1]],[1]Sheet1!$A:$AO,19,FALSE)</f>
        <v>N/A</v>
      </c>
      <c r="T601" s="583">
        <f>VLOOKUP(Table13[[#This Row],[Column1]],[1]Sheet1!$A:$AO,20,FALSE)</f>
        <v>45406</v>
      </c>
      <c r="U601" s="583">
        <f>VLOOKUP(Table13[[#This Row],[Column1]],[1]Sheet1!$A:$AO,21,FALSE)</f>
        <v>45412</v>
      </c>
      <c r="V601" s="376"/>
      <c r="W601" s="376"/>
      <c r="X601" s="402"/>
      <c r="Y601" s="402"/>
      <c r="Z601" s="610" t="s">
        <v>1478</v>
      </c>
      <c r="AA601" s="532">
        <f>IF(Table13[[#This Row],[Column2]]="","",SUM(Table13[[#This Row],[Column28]]+Table13[[#This Row],[Column29]]))</f>
        <v>18860</v>
      </c>
      <c r="AB601" s="537">
        <v>18860</v>
      </c>
      <c r="AC601" s="502"/>
      <c r="AD601" s="532">
        <f>IF(Table13[[#This Row],[Column2]]="","",SUM(Table13[[#This Row],[Column31]]+Table13[[#This Row],[Column32]]))</f>
        <v>18400</v>
      </c>
      <c r="AE601" s="501">
        <v>18400</v>
      </c>
      <c r="AF601" s="541"/>
      <c r="AG601" s="405"/>
      <c r="AH601" s="380" t="s">
        <v>1205</v>
      </c>
      <c r="AI601" s="576" t="str">
        <f>VLOOKUP(Table13[[#This Row],[Column1]],[1]Sheet1!$A:$AO,35,FALSE)</f>
        <v>N/A</v>
      </c>
      <c r="AJ601" s="576" t="str">
        <f>VLOOKUP(Table13[[#This Row],[Column1]],[1]Sheet1!$A:$AO,36,FALSE)</f>
        <v>N/A</v>
      </c>
      <c r="AK601" s="576" t="str">
        <f>VLOOKUP(Table13[[#This Row],[Column1]],[1]Sheet1!$A:$AO,37,FALSE)</f>
        <v>N/A</v>
      </c>
      <c r="AL601" s="576" t="str">
        <f>VLOOKUP(Table13[[#This Row],[Column1]],[1]Sheet1!$A:$AO,38,FALSE)</f>
        <v>N/A</v>
      </c>
      <c r="AM601" s="576" t="str">
        <f>VLOOKUP(Table13[[#This Row],[Column1]],[1]Sheet1!$A:$AO,39,FALSE)</f>
        <v>N/A</v>
      </c>
      <c r="AN601" s="576" t="s">
        <v>713</v>
      </c>
      <c r="AO601" s="306" t="s">
        <v>919</v>
      </c>
      <c r="AP601" s="378"/>
      <c r="AQ601" s="237"/>
    </row>
    <row r="602" spans="1:43" s="238" customFormat="1" ht="75" customHeight="1" thickBot="1" x14ac:dyDescent="0.3">
      <c r="A602" s="297" t="s">
        <v>806</v>
      </c>
      <c r="B602" s="627" t="str">
        <f>VLOOKUP(Table13[[#This Row],[Column1]],[1]Sheet1!$A:$AO,2,FALSE)</f>
        <v>WATER</v>
      </c>
      <c r="C602" s="298" t="str">
        <f>VLOOKUP(Table13[[#This Row],[Column1]],[1]Sheet1!$A:$AO,3,FALSE)</f>
        <v>PAO</v>
      </c>
      <c r="D602" s="298" t="s">
        <v>712</v>
      </c>
      <c r="E602" s="450" t="str">
        <f>VLOOKUP(Table13[[#This Row],[Column1]],[1]Sheet1!$A:$AO,5,FALSE)</f>
        <v>NP-53.9 - Small Value Procurement</v>
      </c>
      <c r="F602" s="446" t="str">
        <f>VLOOKUP(Table13[[#This Row],[Column1]],[1]Sheet1!$A:$AO,6,FALSE)</f>
        <v>N/A</v>
      </c>
      <c r="G602" s="402">
        <f>VLOOKUP(Table13[[#This Row],[Column1]],[1]Sheet1!$A:$AO,7,FALSE)</f>
        <v>45371</v>
      </c>
      <c r="H602" s="374"/>
      <c r="I602" s="402" t="str">
        <f>VLOOKUP(Table13[[#This Row],[Column1]],[1]Sheet1!$A:$AO,9,FALSE)</f>
        <v>N/A</v>
      </c>
      <c r="J602" s="402">
        <f>VLOOKUP(Table13[[#This Row],[Column1]],[1]Sheet1!$A:$AO,10,FALSE)</f>
        <v>45387</v>
      </c>
      <c r="K602" s="402">
        <f>VLOOKUP(Table13[[#This Row],[Column1]],[1]Sheet1!$A:$AO,11,FALSE)</f>
        <v>45387</v>
      </c>
      <c r="L602" s="404"/>
      <c r="M602" s="402" t="str">
        <f>VLOOKUP(Table13[[#This Row],[Column1]],[1]Sheet1!$A:$AO,13,FALSE)</f>
        <v>N/A</v>
      </c>
      <c r="N602" s="402" t="str">
        <f>VLOOKUP(Table13[[#This Row],[Column1]],[1]Sheet1!$A:$AO,14,FALSE)</f>
        <v>N/A</v>
      </c>
      <c r="O602" s="402">
        <f>VLOOKUP(Table13[[#This Row],[Column1]],[1]Sheet1!$A:$AO,15,FALSE)</f>
        <v>45394</v>
      </c>
      <c r="P602" s="375"/>
      <c r="Q602" s="375"/>
      <c r="R602" s="376"/>
      <c r="S602" s="583" t="str">
        <f>VLOOKUP(Table13[[#This Row],[Column1]],[1]Sheet1!$A:$AO,19,FALSE)</f>
        <v>N/A</v>
      </c>
      <c r="T602" s="583">
        <f>VLOOKUP(Table13[[#This Row],[Column1]],[1]Sheet1!$A:$AO,20,FALSE)</f>
        <v>45406</v>
      </c>
      <c r="U602" s="583">
        <f>VLOOKUP(Table13[[#This Row],[Column1]],[1]Sheet1!$A:$AO,21,FALSE)</f>
        <v>45412</v>
      </c>
      <c r="V602" s="376"/>
      <c r="W602" s="376"/>
      <c r="X602" s="402"/>
      <c r="Y602" s="402"/>
      <c r="Z602" s="610" t="s">
        <v>1478</v>
      </c>
      <c r="AA602" s="532">
        <f>IF(Table13[[#This Row],[Column2]]="","",SUM(Table13[[#This Row],[Column28]]+Table13[[#This Row],[Column29]]))</f>
        <v>18860</v>
      </c>
      <c r="AB602" s="537">
        <v>18860</v>
      </c>
      <c r="AC602" s="502"/>
      <c r="AD602" s="532">
        <f>IF(Table13[[#This Row],[Column2]]="","",SUM(Table13[[#This Row],[Column31]]+Table13[[#This Row],[Column32]]))</f>
        <v>18400</v>
      </c>
      <c r="AE602" s="501">
        <v>18400</v>
      </c>
      <c r="AF602" s="541"/>
      <c r="AG602" s="405"/>
      <c r="AH602" s="380" t="s">
        <v>1205</v>
      </c>
      <c r="AI602" s="576" t="str">
        <f>VLOOKUP(Table13[[#This Row],[Column1]],[1]Sheet1!$A:$AO,35,FALSE)</f>
        <v>N/A</v>
      </c>
      <c r="AJ602" s="576" t="str">
        <f>VLOOKUP(Table13[[#This Row],[Column1]],[1]Sheet1!$A:$AO,36,FALSE)</f>
        <v>N/A</v>
      </c>
      <c r="AK602" s="576" t="str">
        <f>VLOOKUP(Table13[[#This Row],[Column1]],[1]Sheet1!$A:$AO,37,FALSE)</f>
        <v>N/A</v>
      </c>
      <c r="AL602" s="576" t="str">
        <f>VLOOKUP(Table13[[#This Row],[Column1]],[1]Sheet1!$A:$AO,38,FALSE)</f>
        <v>N/A</v>
      </c>
      <c r="AM602" s="576" t="str">
        <f>VLOOKUP(Table13[[#This Row],[Column1]],[1]Sheet1!$A:$AO,39,FALSE)</f>
        <v>N/A</v>
      </c>
      <c r="AN602" s="576" t="s">
        <v>713</v>
      </c>
      <c r="AO602" s="306" t="s">
        <v>919</v>
      </c>
      <c r="AP602" s="378"/>
      <c r="AQ602" s="237"/>
    </row>
    <row r="603" spans="1:43" s="238" customFormat="1" ht="75" customHeight="1" thickBot="1" x14ac:dyDescent="0.3">
      <c r="A603" s="297" t="s">
        <v>807</v>
      </c>
      <c r="B603" s="627" t="str">
        <f>VLOOKUP(Table13[[#This Row],[Column1]],[1]Sheet1!$A:$AO,2,FALSE)</f>
        <v>FABRICATION AND INSTALLATION OF BILLBOARD</v>
      </c>
      <c r="C603" s="298" t="str">
        <f>VLOOKUP(Table13[[#This Row],[Column1]],[1]Sheet1!$A:$AO,3,FALSE)</f>
        <v>PDRRMO</v>
      </c>
      <c r="D603" s="298" t="s">
        <v>712</v>
      </c>
      <c r="E603" s="450" t="str">
        <f>VLOOKUP(Table13[[#This Row],[Column1]],[1]Sheet1!$A:$AO,5,FALSE)</f>
        <v>NP-53.9 - Small Value Procurement</v>
      </c>
      <c r="F603" s="446">
        <f>VLOOKUP(Table13[[#This Row],[Column1]],[1]Sheet1!$A:$AO,6,FALSE)</f>
        <v>45356</v>
      </c>
      <c r="G603" s="402">
        <f>VLOOKUP(Table13[[#This Row],[Column1]],[1]Sheet1!$A:$AO,7,FALSE)</f>
        <v>45362</v>
      </c>
      <c r="H603" s="374"/>
      <c r="I603" s="402" t="str">
        <f>VLOOKUP(Table13[[#This Row],[Column1]],[1]Sheet1!$A:$AO,9,FALSE)</f>
        <v>N/A</v>
      </c>
      <c r="J603" s="402">
        <f>VLOOKUP(Table13[[#This Row],[Column1]],[1]Sheet1!$A:$AO,10,FALSE)</f>
        <v>45387</v>
      </c>
      <c r="K603" s="402">
        <f>VLOOKUP(Table13[[#This Row],[Column1]],[1]Sheet1!$A:$AO,11,FALSE)</f>
        <v>45387</v>
      </c>
      <c r="L603" s="404"/>
      <c r="M603" s="402" t="str">
        <f>VLOOKUP(Table13[[#This Row],[Column1]],[1]Sheet1!$A:$AO,13,FALSE)</f>
        <v>N/A</v>
      </c>
      <c r="N603" s="402" t="str">
        <f>VLOOKUP(Table13[[#This Row],[Column1]],[1]Sheet1!$A:$AO,14,FALSE)</f>
        <v>N/A</v>
      </c>
      <c r="O603" s="402">
        <f>VLOOKUP(Table13[[#This Row],[Column1]],[1]Sheet1!$A:$AO,15,FALSE)</f>
        <v>45394</v>
      </c>
      <c r="P603" s="375"/>
      <c r="Q603" s="375"/>
      <c r="R603" s="376"/>
      <c r="S603" s="583">
        <f>VLOOKUP(Table13[[#This Row],[Column1]],[1]Sheet1!$A:$AO,19,FALSE)</f>
        <v>45400</v>
      </c>
      <c r="T603" s="583">
        <f>VLOOKUP(Table13[[#This Row],[Column1]],[1]Sheet1!$A:$AO,20,FALSE)</f>
        <v>45405</v>
      </c>
      <c r="U603" s="583">
        <f>VLOOKUP(Table13[[#This Row],[Column1]],[1]Sheet1!$A:$AO,21,FALSE)</f>
        <v>45422</v>
      </c>
      <c r="V603" s="376"/>
      <c r="W603" s="376"/>
      <c r="X603" s="402"/>
      <c r="Y603" s="402"/>
      <c r="Z603" s="610" t="s">
        <v>1478</v>
      </c>
      <c r="AA603" s="532">
        <f>IF(Table13[[#This Row],[Column2]]="","",SUM(Table13[[#This Row],[Column28]]+Table13[[#This Row],[Column29]]))</f>
        <v>272250</v>
      </c>
      <c r="AB603" s="537"/>
      <c r="AC603" s="502">
        <v>272250</v>
      </c>
      <c r="AD603" s="532">
        <f>IF(Table13[[#This Row],[Column2]]="","",SUM(Table13[[#This Row],[Column31]]+Table13[[#This Row],[Column32]]))</f>
        <v>261800</v>
      </c>
      <c r="AE603" s="501"/>
      <c r="AF603" s="540">
        <v>261800</v>
      </c>
      <c r="AG603" s="405"/>
      <c r="AH603" s="380" t="s">
        <v>1205</v>
      </c>
      <c r="AI603" s="576" t="str">
        <f>VLOOKUP(Table13[[#This Row],[Column1]],[1]Sheet1!$A:$AO,35,FALSE)</f>
        <v>N/A</v>
      </c>
      <c r="AJ603" s="576" t="str">
        <f>VLOOKUP(Table13[[#This Row],[Column1]],[1]Sheet1!$A:$AO,36,FALSE)</f>
        <v>N/A</v>
      </c>
      <c r="AK603" s="576" t="str">
        <f>VLOOKUP(Table13[[#This Row],[Column1]],[1]Sheet1!$A:$AO,37,FALSE)</f>
        <v>N/A</v>
      </c>
      <c r="AL603" s="576" t="str">
        <f>VLOOKUP(Table13[[#This Row],[Column1]],[1]Sheet1!$A:$AO,38,FALSE)</f>
        <v>N/A</v>
      </c>
      <c r="AM603" s="576" t="str">
        <f>VLOOKUP(Table13[[#This Row],[Column1]],[1]Sheet1!$A:$AO,39,FALSE)</f>
        <v>N/A</v>
      </c>
      <c r="AN603" s="576" t="s">
        <v>713</v>
      </c>
      <c r="AO603" s="306" t="s">
        <v>919</v>
      </c>
      <c r="AP603" s="378"/>
      <c r="AQ603" s="237"/>
    </row>
    <row r="604" spans="1:43" s="238" customFormat="1" ht="75" customHeight="1" thickBot="1" x14ac:dyDescent="0.3">
      <c r="A604" s="297" t="s">
        <v>808</v>
      </c>
      <c r="B604" s="627" t="str">
        <f>VLOOKUP(Table13[[#This Row],[Column1]],[1]Sheet1!$A:$AO,2,FALSE)</f>
        <v>TARPAULIN</v>
      </c>
      <c r="C604" s="298" t="str">
        <f>VLOOKUP(Table13[[#This Row],[Column1]],[1]Sheet1!$A:$AO,3,FALSE)</f>
        <v>PGO</v>
      </c>
      <c r="D604" s="298" t="s">
        <v>712</v>
      </c>
      <c r="E604" s="450" t="str">
        <f>VLOOKUP(Table13[[#This Row],[Column1]],[1]Sheet1!$A:$AO,5,FALSE)</f>
        <v>NP-53.9 - Small Value Procurement</v>
      </c>
      <c r="F604" s="446" t="str">
        <f>VLOOKUP(Table13[[#This Row],[Column1]],[1]Sheet1!$A:$AO,6,FALSE)</f>
        <v>N/A</v>
      </c>
      <c r="G604" s="402">
        <f>VLOOKUP(Table13[[#This Row],[Column1]],[1]Sheet1!$A:$AO,7,FALSE)</f>
        <v>45384</v>
      </c>
      <c r="H604" s="374"/>
      <c r="I604" s="402" t="str">
        <f>VLOOKUP(Table13[[#This Row],[Column1]],[1]Sheet1!$A:$AO,9,FALSE)</f>
        <v>N/A</v>
      </c>
      <c r="J604" s="402">
        <f>VLOOKUP(Table13[[#This Row],[Column1]],[1]Sheet1!$A:$AO,10,FALSE)</f>
        <v>45387</v>
      </c>
      <c r="K604" s="402">
        <f>VLOOKUP(Table13[[#This Row],[Column1]],[1]Sheet1!$A:$AO,11,FALSE)</f>
        <v>45387</v>
      </c>
      <c r="L604" s="404"/>
      <c r="M604" s="402" t="str">
        <f>VLOOKUP(Table13[[#This Row],[Column1]],[1]Sheet1!$A:$AO,13,FALSE)</f>
        <v>N/A</v>
      </c>
      <c r="N604" s="402" t="str">
        <f>VLOOKUP(Table13[[#This Row],[Column1]],[1]Sheet1!$A:$AO,14,FALSE)</f>
        <v>N/A</v>
      </c>
      <c r="O604" s="402">
        <f>VLOOKUP(Table13[[#This Row],[Column1]],[1]Sheet1!$A:$AO,15,FALSE)</f>
        <v>45394</v>
      </c>
      <c r="P604" s="375"/>
      <c r="Q604" s="375"/>
      <c r="R604" s="376"/>
      <c r="S604" s="583" t="str">
        <f>VLOOKUP(Table13[[#This Row],[Column1]],[1]Sheet1!$A:$AO,19,FALSE)</f>
        <v>N/A</v>
      </c>
      <c r="T604" s="583">
        <f>VLOOKUP(Table13[[#This Row],[Column1]],[1]Sheet1!$A:$AO,20,FALSE)</f>
        <v>45401</v>
      </c>
      <c r="U604" s="583">
        <f>VLOOKUP(Table13[[#This Row],[Column1]],[1]Sheet1!$A:$AO,21,FALSE)</f>
        <v>45426</v>
      </c>
      <c r="V604" s="376"/>
      <c r="W604" s="376"/>
      <c r="X604" s="402"/>
      <c r="Y604" s="402"/>
      <c r="Z604" s="610" t="s">
        <v>1478</v>
      </c>
      <c r="AA604" s="532">
        <f>IF(Table13[[#This Row],[Column2]]="","",SUM(Table13[[#This Row],[Column28]]+Table13[[#This Row],[Column29]]))</f>
        <v>5600</v>
      </c>
      <c r="AB604" s="537"/>
      <c r="AC604" s="502">
        <v>5600</v>
      </c>
      <c r="AD604" s="532">
        <f>IF(Table13[[#This Row],[Column2]]="","",SUM(Table13[[#This Row],[Column31]]+Table13[[#This Row],[Column32]]))</f>
        <v>5600</v>
      </c>
      <c r="AE604" s="501"/>
      <c r="AF604" s="540">
        <v>5600</v>
      </c>
      <c r="AG604" s="405"/>
      <c r="AH604" s="380" t="s">
        <v>1205</v>
      </c>
      <c r="AI604" s="576" t="str">
        <f>VLOOKUP(Table13[[#This Row],[Column1]],[1]Sheet1!$A:$AO,35,FALSE)</f>
        <v>N/A</v>
      </c>
      <c r="AJ604" s="576" t="str">
        <f>VLOOKUP(Table13[[#This Row],[Column1]],[1]Sheet1!$A:$AO,36,FALSE)</f>
        <v>N/A</v>
      </c>
      <c r="AK604" s="576" t="str">
        <f>VLOOKUP(Table13[[#This Row],[Column1]],[1]Sheet1!$A:$AO,37,FALSE)</f>
        <v>N/A</v>
      </c>
      <c r="AL604" s="576" t="str">
        <f>VLOOKUP(Table13[[#This Row],[Column1]],[1]Sheet1!$A:$AO,38,FALSE)</f>
        <v>N/A</v>
      </c>
      <c r="AM604" s="576" t="str">
        <f>VLOOKUP(Table13[[#This Row],[Column1]],[1]Sheet1!$A:$AO,39,FALSE)</f>
        <v>N/A</v>
      </c>
      <c r="AN604" s="576" t="s">
        <v>713</v>
      </c>
      <c r="AO604" s="306" t="s">
        <v>919</v>
      </c>
      <c r="AP604" s="378"/>
      <c r="AQ604" s="237"/>
    </row>
    <row r="605" spans="1:43" s="238" customFormat="1" ht="75" customHeight="1" thickBot="1" x14ac:dyDescent="0.3">
      <c r="A605" s="297" t="s">
        <v>809</v>
      </c>
      <c r="B605" s="627" t="str">
        <f>VLOOKUP(Table13[[#This Row],[Column1]],[1]Sheet1!$A:$AO,2,FALSE)</f>
        <v>TARPAULIN</v>
      </c>
      <c r="C605" s="298" t="str">
        <f>VLOOKUP(Table13[[#This Row],[Column1]],[1]Sheet1!$A:$AO,3,FALSE)</f>
        <v>SEF</v>
      </c>
      <c r="D605" s="298" t="s">
        <v>712</v>
      </c>
      <c r="E605" s="450" t="str">
        <f>VLOOKUP(Table13[[#This Row],[Column1]],[1]Sheet1!$A:$AO,5,FALSE)</f>
        <v>NP-53.9 - Small Value Procurement</v>
      </c>
      <c r="F605" s="446">
        <f>VLOOKUP(Table13[[#This Row],[Column1]],[1]Sheet1!$A:$AO,6,FALSE)</f>
        <v>45373</v>
      </c>
      <c r="G605" s="402">
        <f>VLOOKUP(Table13[[#This Row],[Column1]],[1]Sheet1!$A:$AO,7,FALSE)</f>
        <v>45384</v>
      </c>
      <c r="H605" s="374"/>
      <c r="I605" s="402" t="str">
        <f>VLOOKUP(Table13[[#This Row],[Column1]],[1]Sheet1!$A:$AO,9,FALSE)</f>
        <v>N/A</v>
      </c>
      <c r="J605" s="402">
        <f>VLOOKUP(Table13[[#This Row],[Column1]],[1]Sheet1!$A:$AO,10,FALSE)</f>
        <v>45387</v>
      </c>
      <c r="K605" s="402">
        <f>VLOOKUP(Table13[[#This Row],[Column1]],[1]Sheet1!$A:$AO,11,FALSE)</f>
        <v>45387</v>
      </c>
      <c r="L605" s="404"/>
      <c r="M605" s="402" t="str">
        <f>VLOOKUP(Table13[[#This Row],[Column1]],[1]Sheet1!$A:$AO,13,FALSE)</f>
        <v>N/A</v>
      </c>
      <c r="N605" s="402" t="str">
        <f>VLOOKUP(Table13[[#This Row],[Column1]],[1]Sheet1!$A:$AO,14,FALSE)</f>
        <v>N/A</v>
      </c>
      <c r="O605" s="402">
        <f>VLOOKUP(Table13[[#This Row],[Column1]],[1]Sheet1!$A:$AO,15,FALSE)</f>
        <v>45394</v>
      </c>
      <c r="P605" s="375"/>
      <c r="Q605" s="375"/>
      <c r="R605" s="376"/>
      <c r="S605" s="583" t="str">
        <f>VLOOKUP(Table13[[#This Row],[Column1]],[1]Sheet1!$A:$AO,19,FALSE)</f>
        <v>N/A</v>
      </c>
      <c r="T605" s="583">
        <f>VLOOKUP(Table13[[#This Row],[Column1]],[1]Sheet1!$A:$AO,20,FALSE)</f>
        <v>45408</v>
      </c>
      <c r="U605" s="583">
        <f>VLOOKUP(Table13[[#This Row],[Column1]],[1]Sheet1!$A:$AO,21,FALSE)</f>
        <v>45420</v>
      </c>
      <c r="V605" s="376"/>
      <c r="W605" s="376"/>
      <c r="X605" s="402"/>
      <c r="Y605" s="402"/>
      <c r="Z605" s="610" t="s">
        <v>1478</v>
      </c>
      <c r="AA605" s="532">
        <f>IF(Table13[[#This Row],[Column2]]="","",SUM(Table13[[#This Row],[Column28]]+Table13[[#This Row],[Column29]]))</f>
        <v>1792</v>
      </c>
      <c r="AB605" s="537"/>
      <c r="AC605" s="502">
        <v>1792</v>
      </c>
      <c r="AD605" s="532">
        <f>IF(Table13[[#This Row],[Column2]]="","",SUM(Table13[[#This Row],[Column31]]+Table13[[#This Row],[Column32]]))</f>
        <v>1792</v>
      </c>
      <c r="AE605" s="501"/>
      <c r="AF605" s="540">
        <v>1792</v>
      </c>
      <c r="AG605" s="405"/>
      <c r="AH605" s="380" t="s">
        <v>1205</v>
      </c>
      <c r="AI605" s="576" t="str">
        <f>VLOOKUP(Table13[[#This Row],[Column1]],[1]Sheet1!$A:$AO,35,FALSE)</f>
        <v>N/A</v>
      </c>
      <c r="AJ605" s="576" t="str">
        <f>VLOOKUP(Table13[[#This Row],[Column1]],[1]Sheet1!$A:$AO,36,FALSE)</f>
        <v>N/A</v>
      </c>
      <c r="AK605" s="576" t="str">
        <f>VLOOKUP(Table13[[#This Row],[Column1]],[1]Sheet1!$A:$AO,37,FALSE)</f>
        <v>N/A</v>
      </c>
      <c r="AL605" s="576" t="str">
        <f>VLOOKUP(Table13[[#This Row],[Column1]],[1]Sheet1!$A:$AO,38,FALSE)</f>
        <v>N/A</v>
      </c>
      <c r="AM605" s="576" t="str">
        <f>VLOOKUP(Table13[[#This Row],[Column1]],[1]Sheet1!$A:$AO,39,FALSE)</f>
        <v>N/A</v>
      </c>
      <c r="AN605" s="576" t="s">
        <v>713</v>
      </c>
      <c r="AO605" s="306" t="s">
        <v>919</v>
      </c>
      <c r="AP605" s="378"/>
      <c r="AQ605" s="237"/>
    </row>
    <row r="606" spans="1:43" s="238" customFormat="1" ht="75" customHeight="1" thickBot="1" x14ac:dyDescent="0.3">
      <c r="A606" s="297" t="s">
        <v>810</v>
      </c>
      <c r="B606" s="627" t="str">
        <f>VLOOKUP(Table13[[#This Row],[Column1]],[1]Sheet1!$A:$AO,2,FALSE)</f>
        <v>TARPAULIN</v>
      </c>
      <c r="C606" s="298" t="str">
        <f>VLOOKUP(Table13[[#This Row],[Column1]],[1]Sheet1!$A:$AO,3,FALSE)</f>
        <v>PDRRMO</v>
      </c>
      <c r="D606" s="298" t="s">
        <v>712</v>
      </c>
      <c r="E606" s="450" t="str">
        <f>VLOOKUP(Table13[[#This Row],[Column1]],[1]Sheet1!$A:$AO,5,FALSE)</f>
        <v>NP-53.9 - Small Value Procurement</v>
      </c>
      <c r="F606" s="446" t="str">
        <f>VLOOKUP(Table13[[#This Row],[Column1]],[1]Sheet1!$A:$AO,6,FALSE)</f>
        <v>N/A</v>
      </c>
      <c r="G606" s="402">
        <f>VLOOKUP(Table13[[#This Row],[Column1]],[1]Sheet1!$A:$AO,7,FALSE)</f>
        <v>45363</v>
      </c>
      <c r="H606" s="374"/>
      <c r="I606" s="402" t="str">
        <f>VLOOKUP(Table13[[#This Row],[Column1]],[1]Sheet1!$A:$AO,9,FALSE)</f>
        <v>N/A</v>
      </c>
      <c r="J606" s="402">
        <f>VLOOKUP(Table13[[#This Row],[Column1]],[1]Sheet1!$A:$AO,10,FALSE)</f>
        <v>45387</v>
      </c>
      <c r="K606" s="402">
        <f>VLOOKUP(Table13[[#This Row],[Column1]],[1]Sheet1!$A:$AO,11,FALSE)</f>
        <v>45387</v>
      </c>
      <c r="L606" s="404"/>
      <c r="M606" s="402" t="str">
        <f>VLOOKUP(Table13[[#This Row],[Column1]],[1]Sheet1!$A:$AO,13,FALSE)</f>
        <v>N/A</v>
      </c>
      <c r="N606" s="402" t="str">
        <f>VLOOKUP(Table13[[#This Row],[Column1]],[1]Sheet1!$A:$AO,14,FALSE)</f>
        <v>N/A</v>
      </c>
      <c r="O606" s="402">
        <f>VLOOKUP(Table13[[#This Row],[Column1]],[1]Sheet1!$A:$AO,15,FALSE)</f>
        <v>45394</v>
      </c>
      <c r="P606" s="375"/>
      <c r="Q606" s="375"/>
      <c r="R606" s="376"/>
      <c r="S606" s="583" t="str">
        <f>VLOOKUP(Table13[[#This Row],[Column1]],[1]Sheet1!$A:$AO,19,FALSE)</f>
        <v>N/A</v>
      </c>
      <c r="T606" s="583">
        <f>VLOOKUP(Table13[[#This Row],[Column1]],[1]Sheet1!$A:$AO,20,FALSE)</f>
        <v>45405</v>
      </c>
      <c r="U606" s="583">
        <f>VLOOKUP(Table13[[#This Row],[Column1]],[1]Sheet1!$A:$AO,21,FALSE)</f>
        <v>45420</v>
      </c>
      <c r="V606" s="376"/>
      <c r="W606" s="376"/>
      <c r="X606" s="402"/>
      <c r="Y606" s="402"/>
      <c r="Z606" s="610" t="s">
        <v>1478</v>
      </c>
      <c r="AA606" s="532">
        <f>IF(Table13[[#This Row],[Column2]]="","",SUM(Table13[[#This Row],[Column28]]+Table13[[#This Row],[Column29]]))</f>
        <v>27580</v>
      </c>
      <c r="AB606" s="537"/>
      <c r="AC606" s="502">
        <v>27580</v>
      </c>
      <c r="AD606" s="532">
        <f>IF(Table13[[#This Row],[Column2]]="","",SUM(Table13[[#This Row],[Column31]]+Table13[[#This Row],[Column32]]))</f>
        <v>27383</v>
      </c>
      <c r="AE606" s="501"/>
      <c r="AF606" s="540">
        <v>27383</v>
      </c>
      <c r="AG606" s="405"/>
      <c r="AH606" s="380" t="s">
        <v>1205</v>
      </c>
      <c r="AI606" s="576" t="str">
        <f>VLOOKUP(Table13[[#This Row],[Column1]],[1]Sheet1!$A:$AO,35,FALSE)</f>
        <v>N/A</v>
      </c>
      <c r="AJ606" s="576" t="str">
        <f>VLOOKUP(Table13[[#This Row],[Column1]],[1]Sheet1!$A:$AO,36,FALSE)</f>
        <v>N/A</v>
      </c>
      <c r="AK606" s="576" t="str">
        <f>VLOOKUP(Table13[[#This Row],[Column1]],[1]Sheet1!$A:$AO,37,FALSE)</f>
        <v>N/A</v>
      </c>
      <c r="AL606" s="576" t="str">
        <f>VLOOKUP(Table13[[#This Row],[Column1]],[1]Sheet1!$A:$AO,38,FALSE)</f>
        <v>N/A</v>
      </c>
      <c r="AM606" s="576" t="str">
        <f>VLOOKUP(Table13[[#This Row],[Column1]],[1]Sheet1!$A:$AO,39,FALSE)</f>
        <v>N/A</v>
      </c>
      <c r="AN606" s="576" t="s">
        <v>713</v>
      </c>
      <c r="AO606" s="306" t="s">
        <v>919</v>
      </c>
      <c r="AP606" s="378"/>
      <c r="AQ606" s="237"/>
    </row>
    <row r="607" spans="1:43" s="238" customFormat="1" ht="75" customHeight="1" thickBot="1" x14ac:dyDescent="0.3">
      <c r="A607" s="297" t="s">
        <v>734</v>
      </c>
      <c r="B607" s="627" t="str">
        <f>VLOOKUP(Table13[[#This Row],[Column1]],[1]Sheet1!$A:$AO,2,FALSE)</f>
        <v>MAGAZINE PRINTING &amp; POCKET BROCHURE</v>
      </c>
      <c r="C607" s="298" t="str">
        <f>VLOOKUP(Table13[[#This Row],[Column1]],[1]Sheet1!$A:$AO,3,FALSE)</f>
        <v>PAO</v>
      </c>
      <c r="D607" s="298" t="s">
        <v>712</v>
      </c>
      <c r="E607" s="450" t="str">
        <f>VLOOKUP(Table13[[#This Row],[Column1]],[1]Sheet1!$A:$AO,5,FALSE)</f>
        <v>NP-53.9 - Small Value Procurement</v>
      </c>
      <c r="F607" s="446" t="str">
        <f>VLOOKUP(Table13[[#This Row],[Column1]],[1]Sheet1!$A:$AO,6,FALSE)</f>
        <v>N/A</v>
      </c>
      <c r="G607" s="402">
        <f>VLOOKUP(Table13[[#This Row],[Column1]],[1]Sheet1!$A:$AO,7,FALSE)</f>
        <v>45376</v>
      </c>
      <c r="H607" s="374"/>
      <c r="I607" s="402" t="str">
        <f>VLOOKUP(Table13[[#This Row],[Column1]],[1]Sheet1!$A:$AO,9,FALSE)</f>
        <v>N/A</v>
      </c>
      <c r="J607" s="402">
        <f>VLOOKUP(Table13[[#This Row],[Column1]],[1]Sheet1!$A:$AO,10,FALSE)</f>
        <v>45390</v>
      </c>
      <c r="K607" s="402">
        <f>VLOOKUP(Table13[[#This Row],[Column1]],[1]Sheet1!$A:$AO,11,FALSE)</f>
        <v>45390</v>
      </c>
      <c r="L607" s="404"/>
      <c r="M607" s="402" t="str">
        <f>VLOOKUP(Table13[[#This Row],[Column1]],[1]Sheet1!$A:$AO,13,FALSE)</f>
        <v>N/A</v>
      </c>
      <c r="N607" s="402" t="str">
        <f>VLOOKUP(Table13[[#This Row],[Column1]],[1]Sheet1!$A:$AO,14,FALSE)</f>
        <v>N/A</v>
      </c>
      <c r="O607" s="402">
        <f>VLOOKUP(Table13[[#This Row],[Column1]],[1]Sheet1!$A:$AO,15,FALSE)</f>
        <v>45394</v>
      </c>
      <c r="P607" s="375"/>
      <c r="Q607" s="375"/>
      <c r="R607" s="376"/>
      <c r="S607" s="583">
        <f>VLOOKUP(Table13[[#This Row],[Column1]],[1]Sheet1!$A:$AO,19,FALSE)</f>
        <v>45398</v>
      </c>
      <c r="T607" s="583">
        <f>VLOOKUP(Table13[[#This Row],[Column1]],[1]Sheet1!$A:$AO,20,FALSE)</f>
        <v>45405</v>
      </c>
      <c r="U607" s="583">
        <f>VLOOKUP(Table13[[#This Row],[Column1]],[1]Sheet1!$A:$AO,21,FALSE)</f>
        <v>45420</v>
      </c>
      <c r="V607" s="376"/>
      <c r="W607" s="376"/>
      <c r="X607" s="402"/>
      <c r="Y607" s="402"/>
      <c r="Z607" s="610" t="s">
        <v>1478</v>
      </c>
      <c r="AA607" s="532">
        <f>IF(Table13[[#This Row],[Column2]]="","",SUM(Table13[[#This Row],[Column28]]+Table13[[#This Row],[Column29]]))</f>
        <v>90160</v>
      </c>
      <c r="AB607" s="537"/>
      <c r="AC607" s="502">
        <v>90160</v>
      </c>
      <c r="AD607" s="532">
        <f>IF(Table13[[#This Row],[Column2]]="","",SUM(Table13[[#This Row],[Column31]]+Table13[[#This Row],[Column32]]))</f>
        <v>82025</v>
      </c>
      <c r="AE607" s="501"/>
      <c r="AF607" s="540">
        <v>82025</v>
      </c>
      <c r="AG607" s="405"/>
      <c r="AH607" s="380" t="s">
        <v>1205</v>
      </c>
      <c r="AI607" s="576" t="str">
        <f>VLOOKUP(Table13[[#This Row],[Column1]],[1]Sheet1!$A:$AO,35,FALSE)</f>
        <v>N/A</v>
      </c>
      <c r="AJ607" s="576" t="str">
        <f>VLOOKUP(Table13[[#This Row],[Column1]],[1]Sheet1!$A:$AO,36,FALSE)</f>
        <v>N/A</v>
      </c>
      <c r="AK607" s="576" t="str">
        <f>VLOOKUP(Table13[[#This Row],[Column1]],[1]Sheet1!$A:$AO,37,FALSE)</f>
        <v>N/A</v>
      </c>
      <c r="AL607" s="576" t="str">
        <f>VLOOKUP(Table13[[#This Row],[Column1]],[1]Sheet1!$A:$AO,38,FALSE)</f>
        <v>N/A</v>
      </c>
      <c r="AM607" s="576" t="str">
        <f>VLOOKUP(Table13[[#This Row],[Column1]],[1]Sheet1!$A:$AO,39,FALSE)</f>
        <v>N/A</v>
      </c>
      <c r="AN607" s="576" t="s">
        <v>713</v>
      </c>
      <c r="AO607" s="306" t="s">
        <v>919</v>
      </c>
      <c r="AP607" s="378"/>
      <c r="AQ607" s="237"/>
    </row>
    <row r="608" spans="1:43" s="238" customFormat="1" ht="75" customHeight="1" thickBot="1" x14ac:dyDescent="0.3">
      <c r="A608" s="297" t="s">
        <v>811</v>
      </c>
      <c r="B608" s="627" t="str">
        <f>VLOOKUP(Table13[[#This Row],[Column1]],[1]Sheet1!$A:$AO,2,FALSE)</f>
        <v>SPAREPARTS (LIGHT VEHICLES)</v>
      </c>
      <c r="C608" s="298" t="str">
        <f>VLOOKUP(Table13[[#This Row],[Column1]],[1]Sheet1!$A:$AO,3,FALSE)</f>
        <v>PGSO</v>
      </c>
      <c r="D608" s="298" t="s">
        <v>712</v>
      </c>
      <c r="E608" s="450" t="str">
        <f>VLOOKUP(Table13[[#This Row],[Column1]],[1]Sheet1!$A:$AO,5,FALSE)</f>
        <v>NP-53.9 - Small Value Procurement</v>
      </c>
      <c r="F608" s="446">
        <f>VLOOKUP(Table13[[#This Row],[Column1]],[1]Sheet1!$A:$AO,6,FALSE)</f>
        <v>45373</v>
      </c>
      <c r="G608" s="402">
        <f>VLOOKUP(Table13[[#This Row],[Column1]],[1]Sheet1!$A:$AO,7,FALSE)</f>
        <v>45384</v>
      </c>
      <c r="H608" s="374"/>
      <c r="I608" s="402" t="str">
        <f>VLOOKUP(Table13[[#This Row],[Column1]],[1]Sheet1!$A:$AO,9,FALSE)</f>
        <v>N/A</v>
      </c>
      <c r="J608" s="402">
        <f>VLOOKUP(Table13[[#This Row],[Column1]],[1]Sheet1!$A:$AO,10,FALSE)</f>
        <v>45390</v>
      </c>
      <c r="K608" s="402">
        <f>VLOOKUP(Table13[[#This Row],[Column1]],[1]Sheet1!$A:$AO,11,FALSE)</f>
        <v>45390</v>
      </c>
      <c r="L608" s="404"/>
      <c r="M608" s="402" t="str">
        <f>VLOOKUP(Table13[[#This Row],[Column1]],[1]Sheet1!$A:$AO,13,FALSE)</f>
        <v>N/A</v>
      </c>
      <c r="N608" s="402" t="str">
        <f>VLOOKUP(Table13[[#This Row],[Column1]],[1]Sheet1!$A:$AO,14,FALSE)</f>
        <v>N/A</v>
      </c>
      <c r="O608" s="402">
        <f>VLOOKUP(Table13[[#This Row],[Column1]],[1]Sheet1!$A:$AO,15,FALSE)</f>
        <v>45394</v>
      </c>
      <c r="P608" s="375"/>
      <c r="Q608" s="375"/>
      <c r="R608" s="376"/>
      <c r="S608" s="583" t="str">
        <f>VLOOKUP(Table13[[#This Row],[Column1]],[1]Sheet1!$A:$AO,19,FALSE)</f>
        <v>N/A</v>
      </c>
      <c r="T608" s="583">
        <f>VLOOKUP(Table13[[#This Row],[Column1]],[1]Sheet1!$A:$AO,20,FALSE)</f>
        <v>45405</v>
      </c>
      <c r="U608" s="583">
        <f>VLOOKUP(Table13[[#This Row],[Column1]],[1]Sheet1!$A:$AO,21,FALSE)</f>
        <v>45420</v>
      </c>
      <c r="V608" s="376"/>
      <c r="W608" s="376"/>
      <c r="X608" s="402"/>
      <c r="Y608" s="402"/>
      <c r="Z608" s="610" t="s">
        <v>1478</v>
      </c>
      <c r="AA608" s="532">
        <f>IF(Table13[[#This Row],[Column2]]="","",SUM(Table13[[#This Row],[Column28]]+Table13[[#This Row],[Column29]]))</f>
        <v>5400</v>
      </c>
      <c r="AB608" s="537">
        <v>5400</v>
      </c>
      <c r="AC608" s="502"/>
      <c r="AD608" s="532">
        <f>IF(Table13[[#This Row],[Column2]]="","",SUM(Table13[[#This Row],[Column31]]+Table13[[#This Row],[Column32]]))</f>
        <v>5000</v>
      </c>
      <c r="AE608" s="501">
        <v>5000</v>
      </c>
      <c r="AF608" s="541"/>
      <c r="AG608" s="405"/>
      <c r="AH608" s="380" t="s">
        <v>1205</v>
      </c>
      <c r="AI608" s="576" t="str">
        <f>VLOOKUP(Table13[[#This Row],[Column1]],[1]Sheet1!$A:$AO,35,FALSE)</f>
        <v>N/A</v>
      </c>
      <c r="AJ608" s="576" t="str">
        <f>VLOOKUP(Table13[[#This Row],[Column1]],[1]Sheet1!$A:$AO,36,FALSE)</f>
        <v>N/A</v>
      </c>
      <c r="AK608" s="576" t="str">
        <f>VLOOKUP(Table13[[#This Row],[Column1]],[1]Sheet1!$A:$AO,37,FALSE)</f>
        <v>N/A</v>
      </c>
      <c r="AL608" s="576" t="str">
        <f>VLOOKUP(Table13[[#This Row],[Column1]],[1]Sheet1!$A:$AO,38,FALSE)</f>
        <v>N/A</v>
      </c>
      <c r="AM608" s="576" t="str">
        <f>VLOOKUP(Table13[[#This Row],[Column1]],[1]Sheet1!$A:$AO,39,FALSE)</f>
        <v>N/A</v>
      </c>
      <c r="AN608" s="576" t="s">
        <v>713</v>
      </c>
      <c r="AO608" s="306" t="s">
        <v>919</v>
      </c>
      <c r="AP608" s="378"/>
      <c r="AQ608" s="237"/>
    </row>
    <row r="609" spans="1:43" s="238" customFormat="1" ht="75" customHeight="1" thickBot="1" x14ac:dyDescent="0.3">
      <c r="A609" s="297" t="s">
        <v>812</v>
      </c>
      <c r="B609" s="627" t="str">
        <f>VLOOKUP(Table13[[#This Row],[Column1]],[1]Sheet1!$A:$AO,2,FALSE)</f>
        <v>FOOD/CATERING SERVICES</v>
      </c>
      <c r="C609" s="298" t="str">
        <f>VLOOKUP(Table13[[#This Row],[Column1]],[1]Sheet1!$A:$AO,3,FALSE)</f>
        <v>PGO</v>
      </c>
      <c r="D609" s="298" t="s">
        <v>712</v>
      </c>
      <c r="E609" s="450" t="str">
        <f>VLOOKUP(Table13[[#This Row],[Column1]],[1]Sheet1!$A:$AO,5,FALSE)</f>
        <v>NP-53.9 - Small Value Procurement</v>
      </c>
      <c r="F609" s="446" t="str">
        <f>VLOOKUP(Table13[[#This Row],[Column1]],[1]Sheet1!$A:$AO,6,FALSE)</f>
        <v>N/A</v>
      </c>
      <c r="G609" s="402">
        <f>VLOOKUP(Table13[[#This Row],[Column1]],[1]Sheet1!$A:$AO,7,FALSE)</f>
        <v>45376</v>
      </c>
      <c r="H609" s="374"/>
      <c r="I609" s="402" t="str">
        <f>VLOOKUP(Table13[[#This Row],[Column1]],[1]Sheet1!$A:$AO,9,FALSE)</f>
        <v>N/A</v>
      </c>
      <c r="J609" s="402">
        <f>VLOOKUP(Table13[[#This Row],[Column1]],[1]Sheet1!$A:$AO,10,FALSE)</f>
        <v>45390</v>
      </c>
      <c r="K609" s="402">
        <f>VLOOKUP(Table13[[#This Row],[Column1]],[1]Sheet1!$A:$AO,11,FALSE)</f>
        <v>45390</v>
      </c>
      <c r="L609" s="404"/>
      <c r="M609" s="402" t="str">
        <f>VLOOKUP(Table13[[#This Row],[Column1]],[1]Sheet1!$A:$AO,13,FALSE)</f>
        <v>N/A</v>
      </c>
      <c r="N609" s="402" t="str">
        <f>VLOOKUP(Table13[[#This Row],[Column1]],[1]Sheet1!$A:$AO,14,FALSE)</f>
        <v>N/A</v>
      </c>
      <c r="O609" s="402">
        <f>VLOOKUP(Table13[[#This Row],[Column1]],[1]Sheet1!$A:$AO,15,FALSE)</f>
        <v>45394</v>
      </c>
      <c r="P609" s="375"/>
      <c r="Q609" s="375"/>
      <c r="R609" s="376"/>
      <c r="S609" s="583" t="str">
        <f>VLOOKUP(Table13[[#This Row],[Column1]],[1]Sheet1!$A:$AO,19,FALSE)</f>
        <v>N/A</v>
      </c>
      <c r="T609" s="583">
        <f>VLOOKUP(Table13[[#This Row],[Column1]],[1]Sheet1!$A:$AO,20,FALSE)</f>
        <v>45405</v>
      </c>
      <c r="U609" s="583">
        <f>VLOOKUP(Table13[[#This Row],[Column1]],[1]Sheet1!$A:$AO,21,FALSE)</f>
        <v>45419</v>
      </c>
      <c r="V609" s="376"/>
      <c r="W609" s="376"/>
      <c r="X609" s="402"/>
      <c r="Y609" s="402"/>
      <c r="Z609" s="610" t="s">
        <v>1478</v>
      </c>
      <c r="AA609" s="532">
        <f>IF(Table13[[#This Row],[Column2]]="","",SUM(Table13[[#This Row],[Column28]]+Table13[[#This Row],[Column29]]))</f>
        <v>46200</v>
      </c>
      <c r="AB609" s="537"/>
      <c r="AC609" s="502">
        <v>46200</v>
      </c>
      <c r="AD609" s="532">
        <f>IF(Table13[[#This Row],[Column2]]="","",SUM(Table13[[#This Row],[Column31]]+Table13[[#This Row],[Column32]]))</f>
        <v>45430</v>
      </c>
      <c r="AE609" s="501"/>
      <c r="AF609" s="540">
        <v>45430</v>
      </c>
      <c r="AG609" s="405"/>
      <c r="AH609" s="380" t="s">
        <v>1205</v>
      </c>
      <c r="AI609" s="576" t="str">
        <f>VLOOKUP(Table13[[#This Row],[Column1]],[1]Sheet1!$A:$AO,35,FALSE)</f>
        <v>N/A</v>
      </c>
      <c r="AJ609" s="576" t="str">
        <f>VLOOKUP(Table13[[#This Row],[Column1]],[1]Sheet1!$A:$AO,36,FALSE)</f>
        <v>N/A</v>
      </c>
      <c r="AK609" s="576" t="str">
        <f>VLOOKUP(Table13[[#This Row],[Column1]],[1]Sheet1!$A:$AO,37,FALSE)</f>
        <v>N/A</v>
      </c>
      <c r="AL609" s="576" t="str">
        <f>VLOOKUP(Table13[[#This Row],[Column1]],[1]Sheet1!$A:$AO,38,FALSE)</f>
        <v>N/A</v>
      </c>
      <c r="AM609" s="576" t="str">
        <f>VLOOKUP(Table13[[#This Row],[Column1]],[1]Sheet1!$A:$AO,39,FALSE)</f>
        <v>N/A</v>
      </c>
      <c r="AN609" s="576" t="s">
        <v>713</v>
      </c>
      <c r="AO609" s="306" t="s">
        <v>919</v>
      </c>
      <c r="AP609" s="378"/>
      <c r="AQ609" s="237"/>
    </row>
    <row r="610" spans="1:43" s="238" customFormat="1" ht="75" customHeight="1" thickBot="1" x14ac:dyDescent="0.3">
      <c r="A610" s="297" t="s">
        <v>813</v>
      </c>
      <c r="B610" s="627" t="str">
        <f>VLOOKUP(Table13[[#This Row],[Column1]],[1]Sheet1!$A:$AO,2,FALSE)</f>
        <v>PLAQUE/TROPHIES/MEDAL</v>
      </c>
      <c r="C610" s="298" t="str">
        <f>VLOOKUP(Table13[[#This Row],[Column1]],[1]Sheet1!$A:$AO,3,FALSE)</f>
        <v>PHO</v>
      </c>
      <c r="D610" s="298" t="s">
        <v>712</v>
      </c>
      <c r="E610" s="450" t="str">
        <f>VLOOKUP(Table13[[#This Row],[Column1]],[1]Sheet1!$A:$AO,5,FALSE)</f>
        <v>NP-53.9 - Small Value Procurement</v>
      </c>
      <c r="F610" s="446" t="str">
        <f>VLOOKUP(Table13[[#This Row],[Column1]],[1]Sheet1!$A:$AO,6,FALSE)</f>
        <v>N/A</v>
      </c>
      <c r="G610" s="402">
        <f>VLOOKUP(Table13[[#This Row],[Column1]],[1]Sheet1!$A:$AO,7,FALSE)</f>
        <v>45376</v>
      </c>
      <c r="H610" s="374"/>
      <c r="I610" s="402" t="str">
        <f>VLOOKUP(Table13[[#This Row],[Column1]],[1]Sheet1!$A:$AO,9,FALSE)</f>
        <v>N/A</v>
      </c>
      <c r="J610" s="402">
        <f>VLOOKUP(Table13[[#This Row],[Column1]],[1]Sheet1!$A:$AO,10,FALSE)</f>
        <v>45390</v>
      </c>
      <c r="K610" s="402">
        <f>VLOOKUP(Table13[[#This Row],[Column1]],[1]Sheet1!$A:$AO,11,FALSE)</f>
        <v>45390</v>
      </c>
      <c r="L610" s="404"/>
      <c r="M610" s="402" t="str">
        <f>VLOOKUP(Table13[[#This Row],[Column1]],[1]Sheet1!$A:$AO,13,FALSE)</f>
        <v>N/A</v>
      </c>
      <c r="N610" s="402" t="str">
        <f>VLOOKUP(Table13[[#This Row],[Column1]],[1]Sheet1!$A:$AO,14,FALSE)</f>
        <v>N/A</v>
      </c>
      <c r="O610" s="402">
        <f>VLOOKUP(Table13[[#This Row],[Column1]],[1]Sheet1!$A:$AO,15,FALSE)</f>
        <v>45394</v>
      </c>
      <c r="P610" s="375"/>
      <c r="Q610" s="375"/>
      <c r="R610" s="376"/>
      <c r="S610" s="583" t="str">
        <f>VLOOKUP(Table13[[#This Row],[Column1]],[1]Sheet1!$A:$AO,19,FALSE)</f>
        <v>N/A</v>
      </c>
      <c r="T610" s="583">
        <f>VLOOKUP(Table13[[#This Row],[Column1]],[1]Sheet1!$A:$AO,20,FALSE)</f>
        <v>45405</v>
      </c>
      <c r="U610" s="583">
        <f>VLOOKUP(Table13[[#This Row],[Column1]],[1]Sheet1!$A:$AO,21,FALSE)</f>
        <v>45420</v>
      </c>
      <c r="V610" s="376"/>
      <c r="W610" s="376"/>
      <c r="X610" s="402"/>
      <c r="Y610" s="402"/>
      <c r="Z610" s="610" t="s">
        <v>1478</v>
      </c>
      <c r="AA610" s="532">
        <f>IF(Table13[[#This Row],[Column2]]="","",SUM(Table13[[#This Row],[Column28]]+Table13[[#This Row],[Column29]]))</f>
        <v>25000</v>
      </c>
      <c r="AB610" s="537"/>
      <c r="AC610" s="502">
        <v>25000</v>
      </c>
      <c r="AD610" s="532">
        <f>IF(Table13[[#This Row],[Column2]]="","",SUM(Table13[[#This Row],[Column31]]+Table13[[#This Row],[Column32]]))</f>
        <v>23000</v>
      </c>
      <c r="AE610" s="501"/>
      <c r="AF610" s="540">
        <v>23000</v>
      </c>
      <c r="AG610" s="405"/>
      <c r="AH610" s="380" t="s">
        <v>1205</v>
      </c>
      <c r="AI610" s="576" t="str">
        <f>VLOOKUP(Table13[[#This Row],[Column1]],[1]Sheet1!$A:$AO,35,FALSE)</f>
        <v>N/A</v>
      </c>
      <c r="AJ610" s="576" t="str">
        <f>VLOOKUP(Table13[[#This Row],[Column1]],[1]Sheet1!$A:$AO,36,FALSE)</f>
        <v>N/A</v>
      </c>
      <c r="AK610" s="576" t="str">
        <f>VLOOKUP(Table13[[#This Row],[Column1]],[1]Sheet1!$A:$AO,37,FALSE)</f>
        <v>N/A</v>
      </c>
      <c r="AL610" s="576" t="str">
        <f>VLOOKUP(Table13[[#This Row],[Column1]],[1]Sheet1!$A:$AO,38,FALSE)</f>
        <v>N/A</v>
      </c>
      <c r="AM610" s="576" t="str">
        <f>VLOOKUP(Table13[[#This Row],[Column1]],[1]Sheet1!$A:$AO,39,FALSE)</f>
        <v>N/A</v>
      </c>
      <c r="AN610" s="576" t="s">
        <v>713</v>
      </c>
      <c r="AO610" s="306" t="s">
        <v>919</v>
      </c>
      <c r="AP610" s="378"/>
      <c r="AQ610" s="237"/>
    </row>
    <row r="611" spans="1:43" s="238" customFormat="1" ht="75" customHeight="1" thickBot="1" x14ac:dyDescent="0.3">
      <c r="A611" s="297" t="s">
        <v>814</v>
      </c>
      <c r="B611" s="627" t="str">
        <f>VLOOKUP(Table13[[#This Row],[Column1]],[1]Sheet1!$A:$AO,2,FALSE)</f>
        <v>FOOD/CATERING SERVICES</v>
      </c>
      <c r="C611" s="298" t="str">
        <f>VLOOKUP(Table13[[#This Row],[Column1]],[1]Sheet1!$A:$AO,3,FALSE)</f>
        <v>PGO</v>
      </c>
      <c r="D611" s="298" t="s">
        <v>712</v>
      </c>
      <c r="E611" s="450" t="str">
        <f>VLOOKUP(Table13[[#This Row],[Column1]],[1]Sheet1!$A:$AO,5,FALSE)</f>
        <v>NP-53.9 - Small Value Procurement</v>
      </c>
      <c r="F611" s="446" t="str">
        <f>VLOOKUP(Table13[[#This Row],[Column1]],[1]Sheet1!$A:$AO,6,FALSE)</f>
        <v>N/A</v>
      </c>
      <c r="G611" s="402">
        <f>VLOOKUP(Table13[[#This Row],[Column1]],[1]Sheet1!$A:$AO,7,FALSE)</f>
        <v>45384</v>
      </c>
      <c r="H611" s="374"/>
      <c r="I611" s="402" t="str">
        <f>VLOOKUP(Table13[[#This Row],[Column1]],[1]Sheet1!$A:$AO,9,FALSE)</f>
        <v>N/A</v>
      </c>
      <c r="J611" s="402">
        <f>VLOOKUP(Table13[[#This Row],[Column1]],[1]Sheet1!$A:$AO,10,FALSE)</f>
        <v>45390</v>
      </c>
      <c r="K611" s="402">
        <f>VLOOKUP(Table13[[#This Row],[Column1]],[1]Sheet1!$A:$AO,11,FALSE)</f>
        <v>45390</v>
      </c>
      <c r="L611" s="404"/>
      <c r="M611" s="402" t="str">
        <f>VLOOKUP(Table13[[#This Row],[Column1]],[1]Sheet1!$A:$AO,13,FALSE)</f>
        <v>N/A</v>
      </c>
      <c r="N611" s="402" t="str">
        <f>VLOOKUP(Table13[[#This Row],[Column1]],[1]Sheet1!$A:$AO,14,FALSE)</f>
        <v>N/A</v>
      </c>
      <c r="O611" s="402">
        <f>VLOOKUP(Table13[[#This Row],[Column1]],[1]Sheet1!$A:$AO,15,FALSE)</f>
        <v>45394</v>
      </c>
      <c r="P611" s="375"/>
      <c r="Q611" s="375"/>
      <c r="R611" s="376"/>
      <c r="S611" s="583" t="str">
        <f>VLOOKUP(Table13[[#This Row],[Column1]],[1]Sheet1!$A:$AO,19,FALSE)</f>
        <v>N/A</v>
      </c>
      <c r="T611" s="583">
        <f>VLOOKUP(Table13[[#This Row],[Column1]],[1]Sheet1!$A:$AO,20,FALSE)</f>
        <v>45401</v>
      </c>
      <c r="U611" s="583">
        <f>VLOOKUP(Table13[[#This Row],[Column1]],[1]Sheet1!$A:$AO,21,FALSE)</f>
        <v>45422</v>
      </c>
      <c r="V611" s="376"/>
      <c r="W611" s="376"/>
      <c r="X611" s="402"/>
      <c r="Y611" s="402"/>
      <c r="Z611" s="610" t="s">
        <v>1478</v>
      </c>
      <c r="AA611" s="532">
        <f>IF(Table13[[#This Row],[Column2]]="","",SUM(Table13[[#This Row],[Column28]]+Table13[[#This Row],[Column29]]))</f>
        <v>19960</v>
      </c>
      <c r="AB611" s="537"/>
      <c r="AC611" s="502">
        <v>19960</v>
      </c>
      <c r="AD611" s="532">
        <f>IF(Table13[[#This Row],[Column2]]="","",SUM(Table13[[#This Row],[Column31]]+Table13[[#This Row],[Column32]]))</f>
        <v>19736</v>
      </c>
      <c r="AE611" s="501"/>
      <c r="AF611" s="540">
        <v>19736</v>
      </c>
      <c r="AG611" s="405"/>
      <c r="AH611" s="380" t="s">
        <v>1205</v>
      </c>
      <c r="AI611" s="576" t="str">
        <f>VLOOKUP(Table13[[#This Row],[Column1]],[1]Sheet1!$A:$AO,35,FALSE)</f>
        <v>N/A</v>
      </c>
      <c r="AJ611" s="576" t="str">
        <f>VLOOKUP(Table13[[#This Row],[Column1]],[1]Sheet1!$A:$AO,36,FALSE)</f>
        <v>N/A</v>
      </c>
      <c r="AK611" s="576" t="str">
        <f>VLOOKUP(Table13[[#This Row],[Column1]],[1]Sheet1!$A:$AO,37,FALSE)</f>
        <v>N/A</v>
      </c>
      <c r="AL611" s="576" t="str">
        <f>VLOOKUP(Table13[[#This Row],[Column1]],[1]Sheet1!$A:$AO,38,FALSE)</f>
        <v>N/A</v>
      </c>
      <c r="AM611" s="576" t="str">
        <f>VLOOKUP(Table13[[#This Row],[Column1]],[1]Sheet1!$A:$AO,39,FALSE)</f>
        <v>N/A</v>
      </c>
      <c r="AN611" s="576" t="s">
        <v>713</v>
      </c>
      <c r="AO611" s="306" t="s">
        <v>919</v>
      </c>
      <c r="AP611" s="378"/>
      <c r="AQ611" s="237"/>
    </row>
    <row r="612" spans="1:43" s="238" customFormat="1" ht="75" customHeight="1" thickBot="1" x14ac:dyDescent="0.3">
      <c r="A612" s="297" t="s">
        <v>815</v>
      </c>
      <c r="B612" s="627" t="str">
        <f>VLOOKUP(Table13[[#This Row],[Column1]],[1]Sheet1!$A:$AO,2,FALSE)</f>
        <v>FOOD/CATERING SERVICES</v>
      </c>
      <c r="C612" s="298" t="str">
        <f>VLOOKUP(Table13[[#This Row],[Column1]],[1]Sheet1!$A:$AO,3,FALSE)</f>
        <v>PGO</v>
      </c>
      <c r="D612" s="298" t="s">
        <v>712</v>
      </c>
      <c r="E612" s="450" t="str">
        <f>VLOOKUP(Table13[[#This Row],[Column1]],[1]Sheet1!$A:$AO,5,FALSE)</f>
        <v>NP-53.9 - Small Value Procurement</v>
      </c>
      <c r="F612" s="446" t="str">
        <f>VLOOKUP(Table13[[#This Row],[Column1]],[1]Sheet1!$A:$AO,6,FALSE)</f>
        <v>N/A</v>
      </c>
      <c r="G612" s="402">
        <f>VLOOKUP(Table13[[#This Row],[Column1]],[1]Sheet1!$A:$AO,7,FALSE)</f>
        <v>45384</v>
      </c>
      <c r="H612" s="374"/>
      <c r="I612" s="402" t="str">
        <f>VLOOKUP(Table13[[#This Row],[Column1]],[1]Sheet1!$A:$AO,9,FALSE)</f>
        <v>N/A</v>
      </c>
      <c r="J612" s="402">
        <f>VLOOKUP(Table13[[#This Row],[Column1]],[1]Sheet1!$A:$AO,10,FALSE)</f>
        <v>45390</v>
      </c>
      <c r="K612" s="402">
        <f>VLOOKUP(Table13[[#This Row],[Column1]],[1]Sheet1!$A:$AO,11,FALSE)</f>
        <v>45390</v>
      </c>
      <c r="L612" s="404"/>
      <c r="M612" s="402" t="str">
        <f>VLOOKUP(Table13[[#This Row],[Column1]],[1]Sheet1!$A:$AO,13,FALSE)</f>
        <v>N/A</v>
      </c>
      <c r="N612" s="402" t="str">
        <f>VLOOKUP(Table13[[#This Row],[Column1]],[1]Sheet1!$A:$AO,14,FALSE)</f>
        <v>N/A</v>
      </c>
      <c r="O612" s="402">
        <f>VLOOKUP(Table13[[#This Row],[Column1]],[1]Sheet1!$A:$AO,15,FALSE)</f>
        <v>45394</v>
      </c>
      <c r="P612" s="375"/>
      <c r="Q612" s="375"/>
      <c r="R612" s="376"/>
      <c r="S612" s="583">
        <f>VLOOKUP(Table13[[#This Row],[Column1]],[1]Sheet1!$A:$AO,19,FALSE)</f>
        <v>45394</v>
      </c>
      <c r="T612" s="583">
        <f>VLOOKUP(Table13[[#This Row],[Column1]],[1]Sheet1!$A:$AO,20,FALSE)</f>
        <v>45405</v>
      </c>
      <c r="U612" s="583">
        <f>VLOOKUP(Table13[[#This Row],[Column1]],[1]Sheet1!$A:$AO,21,FALSE)</f>
        <v>45415</v>
      </c>
      <c r="V612" s="376"/>
      <c r="W612" s="376"/>
      <c r="X612" s="402"/>
      <c r="Y612" s="402"/>
      <c r="Z612" s="610" t="s">
        <v>1478</v>
      </c>
      <c r="AA612" s="532">
        <f>IF(Table13[[#This Row],[Column2]]="","",SUM(Table13[[#This Row],[Column28]]+Table13[[#This Row],[Column29]]))</f>
        <v>89960</v>
      </c>
      <c r="AB612" s="537"/>
      <c r="AC612" s="502">
        <v>89960</v>
      </c>
      <c r="AD612" s="532">
        <f>IF(Table13[[#This Row],[Column2]]="","",SUM(Table13[[#This Row],[Column31]]+Table13[[#This Row],[Column32]]))</f>
        <v>89960</v>
      </c>
      <c r="AE612" s="501"/>
      <c r="AF612" s="540">
        <v>89960</v>
      </c>
      <c r="AG612" s="405"/>
      <c r="AH612" s="380" t="s">
        <v>1205</v>
      </c>
      <c r="AI612" s="576" t="str">
        <f>VLOOKUP(Table13[[#This Row],[Column1]],[1]Sheet1!$A:$AO,35,FALSE)</f>
        <v>N/A</v>
      </c>
      <c r="AJ612" s="576" t="str">
        <f>VLOOKUP(Table13[[#This Row],[Column1]],[1]Sheet1!$A:$AO,36,FALSE)</f>
        <v>N/A</v>
      </c>
      <c r="AK612" s="576" t="str">
        <f>VLOOKUP(Table13[[#This Row],[Column1]],[1]Sheet1!$A:$AO,37,FALSE)</f>
        <v>N/A</v>
      </c>
      <c r="AL612" s="576" t="str">
        <f>VLOOKUP(Table13[[#This Row],[Column1]],[1]Sheet1!$A:$AO,38,FALSE)</f>
        <v>N/A</v>
      </c>
      <c r="AM612" s="576" t="str">
        <f>VLOOKUP(Table13[[#This Row],[Column1]],[1]Sheet1!$A:$AO,39,FALSE)</f>
        <v>N/A</v>
      </c>
      <c r="AN612" s="576" t="s">
        <v>713</v>
      </c>
      <c r="AO612" s="306" t="s">
        <v>919</v>
      </c>
      <c r="AP612" s="378"/>
      <c r="AQ612" s="237"/>
    </row>
    <row r="613" spans="1:43" s="238" customFormat="1" ht="75" customHeight="1" thickBot="1" x14ac:dyDescent="0.3">
      <c r="A613" s="297" t="s">
        <v>816</v>
      </c>
      <c r="B613" s="627" t="str">
        <f>VLOOKUP(Table13[[#This Row],[Column1]],[1]Sheet1!$A:$AO,2,FALSE)</f>
        <v>ACETYLENE REFILL AND INDUSTRIAL OXYGEN REFILL</v>
      </c>
      <c r="C613" s="298" t="str">
        <f>VLOOKUP(Table13[[#This Row],[Column1]],[1]Sheet1!$A:$AO,3,FALSE)</f>
        <v>PDRRMO</v>
      </c>
      <c r="D613" s="298" t="s">
        <v>712</v>
      </c>
      <c r="E613" s="450" t="str">
        <f>VLOOKUP(Table13[[#This Row],[Column1]],[1]Sheet1!$A:$AO,5,FALSE)</f>
        <v>Direct Contracting</v>
      </c>
      <c r="F613" s="446">
        <f>VLOOKUP(Table13[[#This Row],[Column1]],[1]Sheet1!$A:$AO,6,FALSE)</f>
        <v>45370</v>
      </c>
      <c r="G613" s="402">
        <f>VLOOKUP(Table13[[#This Row],[Column1]],[1]Sheet1!$A:$AO,7,FALSE)</f>
        <v>45376</v>
      </c>
      <c r="H613" s="374"/>
      <c r="I613" s="402" t="str">
        <f>VLOOKUP(Table13[[#This Row],[Column1]],[1]Sheet1!$A:$AO,9,FALSE)</f>
        <v>N/A</v>
      </c>
      <c r="J613" s="402">
        <f>VLOOKUP(Table13[[#This Row],[Column1]],[1]Sheet1!$A:$AO,10,FALSE)</f>
        <v>45398</v>
      </c>
      <c r="K613" s="402">
        <f>VLOOKUP(Table13[[#This Row],[Column1]],[1]Sheet1!$A:$AO,11,FALSE)</f>
        <v>45398</v>
      </c>
      <c r="L613" s="404"/>
      <c r="M613" s="402" t="str">
        <f>VLOOKUP(Table13[[#This Row],[Column1]],[1]Sheet1!$A:$AO,13,FALSE)</f>
        <v>N/A</v>
      </c>
      <c r="N613" s="402" t="str">
        <f>VLOOKUP(Table13[[#This Row],[Column1]],[1]Sheet1!$A:$AO,14,FALSE)</f>
        <v>N/A</v>
      </c>
      <c r="O613" s="402">
        <f>VLOOKUP(Table13[[#This Row],[Column1]],[1]Sheet1!$A:$AO,15,FALSE)</f>
        <v>45405</v>
      </c>
      <c r="P613" s="375"/>
      <c r="Q613" s="375"/>
      <c r="R613" s="376"/>
      <c r="S613" s="583" t="str">
        <f>VLOOKUP(Table13[[#This Row],[Column1]],[1]Sheet1!$A:$AO,19,FALSE)</f>
        <v>N/A</v>
      </c>
      <c r="T613" s="583">
        <f>VLOOKUP(Table13[[#This Row],[Column1]],[1]Sheet1!$A:$AO,20,FALSE)</f>
        <v>45421</v>
      </c>
      <c r="U613" s="583">
        <f>VLOOKUP(Table13[[#This Row],[Column1]],[1]Sheet1!$A:$AO,21,FALSE)</f>
        <v>45434</v>
      </c>
      <c r="V613" s="376"/>
      <c r="W613" s="376"/>
      <c r="X613" s="402"/>
      <c r="Y613" s="402"/>
      <c r="Z613" s="610" t="s">
        <v>1478</v>
      </c>
      <c r="AA613" s="532">
        <f>IF(Table13[[#This Row],[Column2]]="","",SUM(Table13[[#This Row],[Column28]]+Table13[[#This Row],[Column29]]))</f>
        <v>22275</v>
      </c>
      <c r="AB613" s="537"/>
      <c r="AC613" s="502">
        <v>22275</v>
      </c>
      <c r="AD613" s="532">
        <f>IF(Table13[[#This Row],[Column2]]="","",SUM(Table13[[#This Row],[Column31]]+Table13[[#This Row],[Column32]]))</f>
        <v>11425</v>
      </c>
      <c r="AE613" s="501"/>
      <c r="AF613" s="540">
        <v>11425</v>
      </c>
      <c r="AG613" s="405"/>
      <c r="AH613" s="380" t="s">
        <v>1205</v>
      </c>
      <c r="AI613" s="576" t="str">
        <f>VLOOKUP(Table13[[#This Row],[Column1]],[1]Sheet1!$A:$AO,35,FALSE)</f>
        <v>N/A</v>
      </c>
      <c r="AJ613" s="576" t="str">
        <f>VLOOKUP(Table13[[#This Row],[Column1]],[1]Sheet1!$A:$AO,36,FALSE)</f>
        <v>N/A</v>
      </c>
      <c r="AK613" s="576" t="str">
        <f>VLOOKUP(Table13[[#This Row],[Column1]],[1]Sheet1!$A:$AO,37,FALSE)</f>
        <v>N/A</v>
      </c>
      <c r="AL613" s="576" t="str">
        <f>VLOOKUP(Table13[[#This Row],[Column1]],[1]Sheet1!$A:$AO,38,FALSE)</f>
        <v>N/A</v>
      </c>
      <c r="AM613" s="576" t="str">
        <f>VLOOKUP(Table13[[#This Row],[Column1]],[1]Sheet1!$A:$AO,39,FALSE)</f>
        <v>N/A</v>
      </c>
      <c r="AN613" s="576" t="s">
        <v>713</v>
      </c>
      <c r="AO613" s="306" t="s">
        <v>919</v>
      </c>
      <c r="AP613" s="378"/>
      <c r="AQ613" s="237"/>
    </row>
    <row r="614" spans="1:43" s="238" customFormat="1" ht="75" customHeight="1" thickBot="1" x14ac:dyDescent="0.3">
      <c r="A614" s="297" t="s">
        <v>743</v>
      </c>
      <c r="B614" s="627" t="str">
        <f>VLOOKUP(Table13[[#This Row],[Column1]],[1]Sheet1!$A:$AO,2,FALSE)</f>
        <v>MEDICAL OXYGEN REFILL</v>
      </c>
      <c r="C614" s="298" t="str">
        <f>VLOOKUP(Table13[[#This Row],[Column1]],[1]Sheet1!$A:$AO,3,FALSE)</f>
        <v>PEEMO</v>
      </c>
      <c r="D614" s="298" t="s">
        <v>712</v>
      </c>
      <c r="E614" s="450" t="str">
        <f>VLOOKUP(Table13[[#This Row],[Column1]],[1]Sheet1!$A:$AO,5,FALSE)</f>
        <v>Direct Contracting</v>
      </c>
      <c r="F614" s="446" t="str">
        <f>VLOOKUP(Table13[[#This Row],[Column1]],[1]Sheet1!$A:$AO,6,FALSE)</f>
        <v>N/A</v>
      </c>
      <c r="G614" s="402">
        <f>VLOOKUP(Table13[[#This Row],[Column1]],[1]Sheet1!$A:$AO,7,FALSE)</f>
        <v>45385</v>
      </c>
      <c r="H614" s="374"/>
      <c r="I614" s="402" t="str">
        <f>VLOOKUP(Table13[[#This Row],[Column1]],[1]Sheet1!$A:$AO,9,FALSE)</f>
        <v>N/A</v>
      </c>
      <c r="J614" s="402">
        <f>VLOOKUP(Table13[[#This Row],[Column1]],[1]Sheet1!$A:$AO,10,FALSE)</f>
        <v>45398</v>
      </c>
      <c r="K614" s="402">
        <f>VLOOKUP(Table13[[#This Row],[Column1]],[1]Sheet1!$A:$AO,11,FALSE)</f>
        <v>45398</v>
      </c>
      <c r="L614" s="404"/>
      <c r="M614" s="402" t="str">
        <f>VLOOKUP(Table13[[#This Row],[Column1]],[1]Sheet1!$A:$AO,13,FALSE)</f>
        <v>N/A</v>
      </c>
      <c r="N614" s="402" t="str">
        <f>VLOOKUP(Table13[[#This Row],[Column1]],[1]Sheet1!$A:$AO,14,FALSE)</f>
        <v>N/A</v>
      </c>
      <c r="O614" s="402">
        <f>VLOOKUP(Table13[[#This Row],[Column1]],[1]Sheet1!$A:$AO,15,FALSE)</f>
        <v>45405</v>
      </c>
      <c r="P614" s="375"/>
      <c r="Q614" s="375"/>
      <c r="R614" s="376"/>
      <c r="S614" s="583" t="str">
        <f>VLOOKUP(Table13[[#This Row],[Column1]],[1]Sheet1!$A:$AO,19,FALSE)</f>
        <v>N/A</v>
      </c>
      <c r="T614" s="583">
        <f>VLOOKUP(Table13[[#This Row],[Column1]],[1]Sheet1!$A:$AO,20,FALSE)</f>
        <v>45412</v>
      </c>
      <c r="U614" s="583">
        <f>VLOOKUP(Table13[[#This Row],[Column1]],[1]Sheet1!$A:$AO,21,FALSE)</f>
        <v>45432</v>
      </c>
      <c r="V614" s="376"/>
      <c r="W614" s="376"/>
      <c r="X614" s="402"/>
      <c r="Y614" s="402"/>
      <c r="Z614" s="610" t="s">
        <v>1478</v>
      </c>
      <c r="AA614" s="532">
        <f>IF(Table13[[#This Row],[Column2]]="","",SUM(Table13[[#This Row],[Column28]]+Table13[[#This Row],[Column29]]))</f>
        <v>2886000</v>
      </c>
      <c r="AB614" s="537">
        <v>2886000</v>
      </c>
      <c r="AC614" s="502"/>
      <c r="AD614" s="532">
        <f>IF(Table13[[#This Row],[Column2]]="","",SUM(Table13[[#This Row],[Column31]]+Table13[[#This Row],[Column32]]))</f>
        <v>2886000</v>
      </c>
      <c r="AE614" s="501">
        <v>2886000</v>
      </c>
      <c r="AF614" s="541"/>
      <c r="AG614" s="405"/>
      <c r="AH614" s="380" t="s">
        <v>1205</v>
      </c>
      <c r="AI614" s="576" t="str">
        <f>VLOOKUP(Table13[[#This Row],[Column1]],[1]Sheet1!$A:$AO,35,FALSE)</f>
        <v>N/A</v>
      </c>
      <c r="AJ614" s="576" t="str">
        <f>VLOOKUP(Table13[[#This Row],[Column1]],[1]Sheet1!$A:$AO,36,FALSE)</f>
        <v>N/A</v>
      </c>
      <c r="AK614" s="576" t="str">
        <f>VLOOKUP(Table13[[#This Row],[Column1]],[1]Sheet1!$A:$AO,37,FALSE)</f>
        <v>N/A</v>
      </c>
      <c r="AL614" s="576" t="str">
        <f>VLOOKUP(Table13[[#This Row],[Column1]],[1]Sheet1!$A:$AO,38,FALSE)</f>
        <v>N/A</v>
      </c>
      <c r="AM614" s="576" t="str">
        <f>VLOOKUP(Table13[[#This Row],[Column1]],[1]Sheet1!$A:$AO,39,FALSE)</f>
        <v>N/A</v>
      </c>
      <c r="AN614" s="576" t="s">
        <v>713</v>
      </c>
      <c r="AO614" s="306" t="s">
        <v>919</v>
      </c>
      <c r="AP614" s="378"/>
      <c r="AQ614" s="237"/>
    </row>
    <row r="615" spans="1:43" s="238" customFormat="1" ht="75" customHeight="1" thickBot="1" x14ac:dyDescent="0.3">
      <c r="A615" s="297" t="s">
        <v>817</v>
      </c>
      <c r="B615" s="627" t="str">
        <f>VLOOKUP(Table13[[#This Row],[Column1]],[1]Sheet1!$A:$AO,2,FALSE)</f>
        <v>OFFICE SUPPLIES</v>
      </c>
      <c r="C615" s="298" t="str">
        <f>VLOOKUP(Table13[[#This Row],[Column1]],[1]Sheet1!$A:$AO,3,FALSE)</f>
        <v>PAO</v>
      </c>
      <c r="D615" s="298" t="s">
        <v>712</v>
      </c>
      <c r="E615" s="450" t="str">
        <f>VLOOKUP(Table13[[#This Row],[Column1]],[1]Sheet1!$A:$AO,5,FALSE)</f>
        <v>Shopping 52.1(b) - Regular Office Supplies and Equipment no available in PS</v>
      </c>
      <c r="F615" s="446">
        <f>VLOOKUP(Table13[[#This Row],[Column1]],[1]Sheet1!$A:$AO,6,FALSE)</f>
        <v>45373</v>
      </c>
      <c r="G615" s="402">
        <f>VLOOKUP(Table13[[#This Row],[Column1]],[1]Sheet1!$A:$AO,7,FALSE)</f>
        <v>45384</v>
      </c>
      <c r="H615" s="374"/>
      <c r="I615" s="402" t="str">
        <f>VLOOKUP(Table13[[#This Row],[Column1]],[1]Sheet1!$A:$AO,9,FALSE)</f>
        <v>N/A</v>
      </c>
      <c r="J615" s="402">
        <f>VLOOKUP(Table13[[#This Row],[Column1]],[1]Sheet1!$A:$AO,10,FALSE)</f>
        <v>45398</v>
      </c>
      <c r="K615" s="402">
        <f>VLOOKUP(Table13[[#This Row],[Column1]],[1]Sheet1!$A:$AO,11,FALSE)</f>
        <v>45398</v>
      </c>
      <c r="L615" s="404"/>
      <c r="M615" s="402" t="str">
        <f>VLOOKUP(Table13[[#This Row],[Column1]],[1]Sheet1!$A:$AO,13,FALSE)</f>
        <v>N/A</v>
      </c>
      <c r="N615" s="402" t="str">
        <f>VLOOKUP(Table13[[#This Row],[Column1]],[1]Sheet1!$A:$AO,14,FALSE)</f>
        <v>N/A</v>
      </c>
      <c r="O615" s="402">
        <f>VLOOKUP(Table13[[#This Row],[Column1]],[1]Sheet1!$A:$AO,15,FALSE)</f>
        <v>45405</v>
      </c>
      <c r="P615" s="375"/>
      <c r="Q615" s="375"/>
      <c r="R615" s="376"/>
      <c r="S615" s="583" t="str">
        <f>VLOOKUP(Table13[[#This Row],[Column1]],[1]Sheet1!$A:$AO,19,FALSE)</f>
        <v>N/A</v>
      </c>
      <c r="T615" s="583">
        <f>VLOOKUP(Table13[[#This Row],[Column1]],[1]Sheet1!$A:$AO,20,FALSE)</f>
        <v>45432</v>
      </c>
      <c r="U615" s="583">
        <f>VLOOKUP(Table13[[#This Row],[Column1]],[1]Sheet1!$A:$AO,21,FALSE)</f>
        <v>45433</v>
      </c>
      <c r="V615" s="376"/>
      <c r="W615" s="376"/>
      <c r="X615" s="402"/>
      <c r="Y615" s="402"/>
      <c r="Z615" s="610" t="s">
        <v>1478</v>
      </c>
      <c r="AA615" s="532">
        <f>IF(Table13[[#This Row],[Column2]]="","",SUM(Table13[[#This Row],[Column28]]+Table13[[#This Row],[Column29]]))</f>
        <v>19865</v>
      </c>
      <c r="AB615" s="537">
        <v>19865</v>
      </c>
      <c r="AC615" s="502"/>
      <c r="AD615" s="532">
        <f>Table13[[#This Row],[Column31]]+Table13[[#This Row],[Column32]]</f>
        <v>19689</v>
      </c>
      <c r="AE615" s="501">
        <v>19689</v>
      </c>
      <c r="AF615" s="541"/>
      <c r="AG615" s="405"/>
      <c r="AH615" s="380" t="s">
        <v>1205</v>
      </c>
      <c r="AI615" s="576" t="str">
        <f>VLOOKUP(Table13[[#This Row],[Column1]],[1]Sheet1!$A:$AO,35,FALSE)</f>
        <v>N/A</v>
      </c>
      <c r="AJ615" s="576" t="str">
        <f>VLOOKUP(Table13[[#This Row],[Column1]],[1]Sheet1!$A:$AO,36,FALSE)</f>
        <v>N/A</v>
      </c>
      <c r="AK615" s="576" t="str">
        <f>VLOOKUP(Table13[[#This Row],[Column1]],[1]Sheet1!$A:$AO,37,FALSE)</f>
        <v>N/A</v>
      </c>
      <c r="AL615" s="576" t="str">
        <f>VLOOKUP(Table13[[#This Row],[Column1]],[1]Sheet1!$A:$AO,38,FALSE)</f>
        <v>N/A</v>
      </c>
      <c r="AM615" s="576" t="str">
        <f>VLOOKUP(Table13[[#This Row],[Column1]],[1]Sheet1!$A:$AO,39,FALSE)</f>
        <v>N/A</v>
      </c>
      <c r="AN615" s="576" t="s">
        <v>713</v>
      </c>
      <c r="AO615" s="306" t="s">
        <v>919</v>
      </c>
      <c r="AP615" s="378"/>
      <c r="AQ615" s="237"/>
    </row>
    <row r="616" spans="1:43" s="238" customFormat="1" ht="75" customHeight="1" thickBot="1" x14ac:dyDescent="0.3">
      <c r="A616" s="297" t="s">
        <v>818</v>
      </c>
      <c r="B616" s="627" t="str">
        <f>VLOOKUP(Table13[[#This Row],[Column1]],[1]Sheet1!$A:$AO,2,FALSE)</f>
        <v>GARMENTS</v>
      </c>
      <c r="C616" s="298" t="str">
        <f>VLOOKUP(Table13[[#This Row],[Column1]],[1]Sheet1!$A:$AO,3,FALSE)</f>
        <v>PGO</v>
      </c>
      <c r="D616" s="298" t="s">
        <v>712</v>
      </c>
      <c r="E616" s="450" t="str">
        <f>VLOOKUP(Table13[[#This Row],[Column1]],[1]Sheet1!$A:$AO,5,FALSE)</f>
        <v>NP-53.9 - Small Value Procurement</v>
      </c>
      <c r="F616" s="446" t="str">
        <f>VLOOKUP(Table13[[#This Row],[Column1]],[1]Sheet1!$A:$AO,6,FALSE)</f>
        <v>N/A</v>
      </c>
      <c r="G616" s="402">
        <f>VLOOKUP(Table13[[#This Row],[Column1]],[1]Sheet1!$A:$AO,7,FALSE)</f>
        <v>45384</v>
      </c>
      <c r="H616" s="374"/>
      <c r="I616" s="402" t="str">
        <f>VLOOKUP(Table13[[#This Row],[Column1]],[1]Sheet1!$A:$AO,9,FALSE)</f>
        <v>N/A</v>
      </c>
      <c r="J616" s="402">
        <f>VLOOKUP(Table13[[#This Row],[Column1]],[1]Sheet1!$A:$AO,10,FALSE)</f>
        <v>45398</v>
      </c>
      <c r="K616" s="402">
        <f>VLOOKUP(Table13[[#This Row],[Column1]],[1]Sheet1!$A:$AO,11,FALSE)</f>
        <v>45398</v>
      </c>
      <c r="L616" s="404"/>
      <c r="M616" s="402" t="str">
        <f>VLOOKUP(Table13[[#This Row],[Column1]],[1]Sheet1!$A:$AO,13,FALSE)</f>
        <v>N/A</v>
      </c>
      <c r="N616" s="402" t="str">
        <f>VLOOKUP(Table13[[#This Row],[Column1]],[1]Sheet1!$A:$AO,14,FALSE)</f>
        <v>N/A</v>
      </c>
      <c r="O616" s="402">
        <f>VLOOKUP(Table13[[#This Row],[Column1]],[1]Sheet1!$A:$AO,15,FALSE)</f>
        <v>45405</v>
      </c>
      <c r="P616" s="375"/>
      <c r="Q616" s="375"/>
      <c r="R616" s="376"/>
      <c r="S616" s="583" t="str">
        <f>VLOOKUP(Table13[[#This Row],[Column1]],[1]Sheet1!$A:$AO,19,FALSE)</f>
        <v>N/A</v>
      </c>
      <c r="T616" s="583">
        <f>VLOOKUP(Table13[[#This Row],[Column1]],[1]Sheet1!$A:$AO,20,FALSE)</f>
        <v>45407</v>
      </c>
      <c r="U616" s="583">
        <f>VLOOKUP(Table13[[#This Row],[Column1]],[1]Sheet1!$A:$AO,21,FALSE)</f>
        <v>45426</v>
      </c>
      <c r="V616" s="376"/>
      <c r="W616" s="376"/>
      <c r="X616" s="402"/>
      <c r="Y616" s="402"/>
      <c r="Z616" s="610" t="s">
        <v>1478</v>
      </c>
      <c r="AA616" s="532">
        <f>IF(Table13[[#This Row],[Column2]]="","",SUM(Table13[[#This Row],[Column28]]+Table13[[#This Row],[Column29]]))</f>
        <v>15000</v>
      </c>
      <c r="AB616" s="537"/>
      <c r="AC616" s="502">
        <v>15000</v>
      </c>
      <c r="AD616" s="532">
        <f>IF(Table13[[#This Row],[Column2]]="","",SUM(Table13[[#This Row],[Column31]]+Table13[[#This Row],[Column32]]))</f>
        <v>14850</v>
      </c>
      <c r="AE616" s="501"/>
      <c r="AF616" s="541">
        <v>14850</v>
      </c>
      <c r="AG616" s="405"/>
      <c r="AH616" s="380" t="s">
        <v>1205</v>
      </c>
      <c r="AI616" s="576" t="str">
        <f>VLOOKUP(Table13[[#This Row],[Column1]],[1]Sheet1!$A:$AO,35,FALSE)</f>
        <v>N/A</v>
      </c>
      <c r="AJ616" s="576" t="str">
        <f>VLOOKUP(Table13[[#This Row],[Column1]],[1]Sheet1!$A:$AO,36,FALSE)</f>
        <v>N/A</v>
      </c>
      <c r="AK616" s="576" t="str">
        <f>VLOOKUP(Table13[[#This Row],[Column1]],[1]Sheet1!$A:$AO,37,FALSE)</f>
        <v>N/A</v>
      </c>
      <c r="AL616" s="576" t="str">
        <f>VLOOKUP(Table13[[#This Row],[Column1]],[1]Sheet1!$A:$AO,38,FALSE)</f>
        <v>N/A</v>
      </c>
      <c r="AM616" s="576" t="str">
        <f>VLOOKUP(Table13[[#This Row],[Column1]],[1]Sheet1!$A:$AO,39,FALSE)</f>
        <v>N/A</v>
      </c>
      <c r="AN616" s="576" t="s">
        <v>713</v>
      </c>
      <c r="AO616" s="306" t="s">
        <v>919</v>
      </c>
      <c r="AP616" s="378"/>
      <c r="AQ616" s="237"/>
    </row>
    <row r="617" spans="1:43" s="238" customFormat="1" ht="75" customHeight="1" thickBot="1" x14ac:dyDescent="0.3">
      <c r="A617" s="297" t="s">
        <v>819</v>
      </c>
      <c r="B617" s="627" t="str">
        <f>VLOOKUP(Table13[[#This Row],[Column1]],[1]Sheet1!$A:$AO,2,FALSE)</f>
        <v>LIQUID NITROGEN</v>
      </c>
      <c r="C617" s="298" t="str">
        <f>VLOOKUP(Table13[[#This Row],[Column1]],[1]Sheet1!$A:$AO,3,FALSE)</f>
        <v>PVO</v>
      </c>
      <c r="D617" s="298" t="s">
        <v>712</v>
      </c>
      <c r="E617" s="450" t="str">
        <f>VLOOKUP(Table13[[#This Row],[Column1]],[1]Sheet1!$A:$AO,5,FALSE)</f>
        <v>NP-53.9 - Small Value Procurement</v>
      </c>
      <c r="F617" s="446">
        <f>VLOOKUP(Table13[[#This Row],[Column1]],[1]Sheet1!$A:$AO,6,FALSE)</f>
        <v>45373</v>
      </c>
      <c r="G617" s="402">
        <f>VLOOKUP(Table13[[#This Row],[Column1]],[1]Sheet1!$A:$AO,7,FALSE)</f>
        <v>45384</v>
      </c>
      <c r="H617" s="374"/>
      <c r="I617" s="402" t="str">
        <f>VLOOKUP(Table13[[#This Row],[Column1]],[1]Sheet1!$A:$AO,9,FALSE)</f>
        <v>N/A</v>
      </c>
      <c r="J617" s="402">
        <f>VLOOKUP(Table13[[#This Row],[Column1]],[1]Sheet1!$A:$AO,10,FALSE)</f>
        <v>45398</v>
      </c>
      <c r="K617" s="402">
        <f>VLOOKUP(Table13[[#This Row],[Column1]],[1]Sheet1!$A:$AO,11,FALSE)</f>
        <v>45398</v>
      </c>
      <c r="L617" s="404"/>
      <c r="M617" s="402" t="str">
        <f>VLOOKUP(Table13[[#This Row],[Column1]],[1]Sheet1!$A:$AO,13,FALSE)</f>
        <v>N/A</v>
      </c>
      <c r="N617" s="402" t="str">
        <f>VLOOKUP(Table13[[#This Row],[Column1]],[1]Sheet1!$A:$AO,14,FALSE)</f>
        <v>N/A</v>
      </c>
      <c r="O617" s="402">
        <f>VLOOKUP(Table13[[#This Row],[Column1]],[1]Sheet1!$A:$AO,15,FALSE)</f>
        <v>45405</v>
      </c>
      <c r="P617" s="375"/>
      <c r="Q617" s="375"/>
      <c r="R617" s="376"/>
      <c r="S617" s="583" t="str">
        <f>VLOOKUP(Table13[[#This Row],[Column1]],[1]Sheet1!$A:$AO,19,FALSE)</f>
        <v>N/A</v>
      </c>
      <c r="T617" s="583">
        <f>VLOOKUP(Table13[[#This Row],[Column1]],[1]Sheet1!$A:$AO,20,FALSE)</f>
        <v>45412</v>
      </c>
      <c r="U617" s="583">
        <f>VLOOKUP(Table13[[#This Row],[Column1]],[1]Sheet1!$A:$AO,21,FALSE)</f>
        <v>45422</v>
      </c>
      <c r="V617" s="376"/>
      <c r="W617" s="376"/>
      <c r="X617" s="402"/>
      <c r="Y617" s="402"/>
      <c r="Z617" s="610" t="s">
        <v>1478</v>
      </c>
      <c r="AA617" s="532">
        <f>IF(Table13[[#This Row],[Column2]]="","",SUM(Table13[[#This Row],[Column28]]+Table13[[#This Row],[Column29]]))</f>
        <v>26400</v>
      </c>
      <c r="AB617" s="537"/>
      <c r="AC617" s="502">
        <v>26400</v>
      </c>
      <c r="AD617" s="532">
        <f>IF(Table13[[#This Row],[Column2]]="","",SUM(Table13[[#This Row],[Column31]]+Table13[[#This Row],[Column32]]))</f>
        <v>26080</v>
      </c>
      <c r="AE617" s="501"/>
      <c r="AF617" s="540">
        <v>26080</v>
      </c>
      <c r="AG617" s="405"/>
      <c r="AH617" s="380" t="s">
        <v>1205</v>
      </c>
      <c r="AI617" s="576" t="str">
        <f>VLOOKUP(Table13[[#This Row],[Column1]],[1]Sheet1!$A:$AO,35,FALSE)</f>
        <v>N/A</v>
      </c>
      <c r="AJ617" s="576" t="str">
        <f>VLOOKUP(Table13[[#This Row],[Column1]],[1]Sheet1!$A:$AO,36,FALSE)</f>
        <v>N/A</v>
      </c>
      <c r="AK617" s="576" t="str">
        <f>VLOOKUP(Table13[[#This Row],[Column1]],[1]Sheet1!$A:$AO,37,FALSE)</f>
        <v>N/A</v>
      </c>
      <c r="AL617" s="576" t="str">
        <f>VLOOKUP(Table13[[#This Row],[Column1]],[1]Sheet1!$A:$AO,38,FALSE)</f>
        <v>N/A</v>
      </c>
      <c r="AM617" s="576" t="str">
        <f>VLOOKUP(Table13[[#This Row],[Column1]],[1]Sheet1!$A:$AO,39,FALSE)</f>
        <v>N/A</v>
      </c>
      <c r="AN617" s="576" t="s">
        <v>713</v>
      </c>
      <c r="AO617" s="306" t="s">
        <v>919</v>
      </c>
      <c r="AP617" s="378"/>
      <c r="AQ617" s="237"/>
    </row>
    <row r="618" spans="1:43" s="238" customFormat="1" ht="75" customHeight="1" thickBot="1" x14ac:dyDescent="0.3">
      <c r="A618" s="297" t="s">
        <v>820</v>
      </c>
      <c r="B618" s="627" t="str">
        <f>VLOOKUP(Table13[[#This Row],[Column1]],[1]Sheet1!$A:$AO,2,FALSE)</f>
        <v>EXTERNAL HDD</v>
      </c>
      <c r="C618" s="298" t="str">
        <f>VLOOKUP(Table13[[#This Row],[Column1]],[1]Sheet1!$A:$AO,3,FALSE)</f>
        <v>PAGRO</v>
      </c>
      <c r="D618" s="298" t="s">
        <v>712</v>
      </c>
      <c r="E618" s="450" t="str">
        <f>VLOOKUP(Table13[[#This Row],[Column1]],[1]Sheet1!$A:$AO,5,FALSE)</f>
        <v>NP-53.9 - Small Value Procurement</v>
      </c>
      <c r="F618" s="446">
        <f>VLOOKUP(Table13[[#This Row],[Column1]],[1]Sheet1!$A:$AO,6,FALSE)</f>
        <v>45373</v>
      </c>
      <c r="G618" s="402">
        <f>VLOOKUP(Table13[[#This Row],[Column1]],[1]Sheet1!$A:$AO,7,FALSE)</f>
        <v>45384</v>
      </c>
      <c r="H618" s="374"/>
      <c r="I618" s="402" t="str">
        <f>VLOOKUP(Table13[[#This Row],[Column1]],[1]Sheet1!$A:$AO,9,FALSE)</f>
        <v>N/A</v>
      </c>
      <c r="J618" s="402">
        <f>VLOOKUP(Table13[[#This Row],[Column1]],[1]Sheet1!$A:$AO,10,FALSE)</f>
        <v>45398</v>
      </c>
      <c r="K618" s="402">
        <f>VLOOKUP(Table13[[#This Row],[Column1]],[1]Sheet1!$A:$AO,11,FALSE)</f>
        <v>45398</v>
      </c>
      <c r="L618" s="404"/>
      <c r="M618" s="402" t="str">
        <f>VLOOKUP(Table13[[#This Row],[Column1]],[1]Sheet1!$A:$AO,13,FALSE)</f>
        <v>N/A</v>
      </c>
      <c r="N618" s="402" t="str">
        <f>VLOOKUP(Table13[[#This Row],[Column1]],[1]Sheet1!$A:$AO,14,FALSE)</f>
        <v>N/A</v>
      </c>
      <c r="O618" s="402">
        <f>VLOOKUP(Table13[[#This Row],[Column1]],[1]Sheet1!$A:$AO,15,FALSE)</f>
        <v>45405</v>
      </c>
      <c r="P618" s="375"/>
      <c r="Q618" s="375"/>
      <c r="R618" s="376"/>
      <c r="S618" s="583" t="str">
        <f>VLOOKUP(Table13[[#This Row],[Column1]],[1]Sheet1!$A:$AO,19,FALSE)</f>
        <v>N/A</v>
      </c>
      <c r="T618" s="583">
        <f>VLOOKUP(Table13[[#This Row],[Column1]],[1]Sheet1!$A:$AO,20,FALSE)</f>
        <v>45405</v>
      </c>
      <c r="U618" s="583">
        <f>VLOOKUP(Table13[[#This Row],[Column1]],[1]Sheet1!$A:$AO,21,FALSE)</f>
        <v>45418</v>
      </c>
      <c r="V618" s="376"/>
      <c r="W618" s="376"/>
      <c r="X618" s="402"/>
      <c r="Y618" s="402"/>
      <c r="Z618" s="610" t="s">
        <v>1478</v>
      </c>
      <c r="AA618" s="532">
        <f>IF(Table13[[#This Row],[Column2]]="","",SUM(Table13[[#This Row],[Column28]]+Table13[[#This Row],[Column29]]))</f>
        <v>6000</v>
      </c>
      <c r="AB618" s="537"/>
      <c r="AC618" s="502">
        <v>6000</v>
      </c>
      <c r="AD618" s="532">
        <f>IF(Table13[[#This Row],[Column2]]="","",SUM(Table13[[#This Row],[Column31]]+Table13[[#This Row],[Column32]]))</f>
        <v>5985</v>
      </c>
      <c r="AE618" s="501"/>
      <c r="AF618" s="540">
        <v>5985</v>
      </c>
      <c r="AG618" s="405"/>
      <c r="AH618" s="380" t="s">
        <v>1205</v>
      </c>
      <c r="AI618" s="576" t="str">
        <f>VLOOKUP(Table13[[#This Row],[Column1]],[1]Sheet1!$A:$AO,35,FALSE)</f>
        <v>N/A</v>
      </c>
      <c r="AJ618" s="576" t="str">
        <f>VLOOKUP(Table13[[#This Row],[Column1]],[1]Sheet1!$A:$AO,36,FALSE)</f>
        <v>N/A</v>
      </c>
      <c r="AK618" s="576" t="str">
        <f>VLOOKUP(Table13[[#This Row],[Column1]],[1]Sheet1!$A:$AO,37,FALSE)</f>
        <v>N/A</v>
      </c>
      <c r="AL618" s="576" t="str">
        <f>VLOOKUP(Table13[[#This Row],[Column1]],[1]Sheet1!$A:$AO,38,FALSE)</f>
        <v>N/A</v>
      </c>
      <c r="AM618" s="576" t="str">
        <f>VLOOKUP(Table13[[#This Row],[Column1]],[1]Sheet1!$A:$AO,39,FALSE)</f>
        <v>N/A</v>
      </c>
      <c r="AN618" s="576" t="s">
        <v>713</v>
      </c>
      <c r="AO618" s="306" t="s">
        <v>919</v>
      </c>
      <c r="AP618" s="378"/>
      <c r="AQ618" s="237"/>
    </row>
    <row r="619" spans="1:43" s="238" customFormat="1" ht="75" customHeight="1" thickBot="1" x14ac:dyDescent="0.3">
      <c r="A619" s="297" t="s">
        <v>821</v>
      </c>
      <c r="B619" s="627" t="str">
        <f>VLOOKUP(Table13[[#This Row],[Column1]],[1]Sheet1!$A:$AO,2,FALSE)</f>
        <v xml:space="preserve">MAGAZINE PRINTING </v>
      </c>
      <c r="C619" s="298" t="str">
        <f>VLOOKUP(Table13[[#This Row],[Column1]],[1]Sheet1!$A:$AO,3,FALSE)</f>
        <v>PAO</v>
      </c>
      <c r="D619" s="298" t="s">
        <v>712</v>
      </c>
      <c r="E619" s="450" t="str">
        <f>VLOOKUP(Table13[[#This Row],[Column1]],[1]Sheet1!$A:$AO,5,FALSE)</f>
        <v>NP-53.9 - Small Value Procurement</v>
      </c>
      <c r="F619" s="446" t="str">
        <f>VLOOKUP(Table13[[#This Row],[Column1]],[1]Sheet1!$A:$AO,6,FALSE)</f>
        <v>N/A</v>
      </c>
      <c r="G619" s="402">
        <f>VLOOKUP(Table13[[#This Row],[Column1]],[1]Sheet1!$A:$AO,7,FALSE)</f>
        <v>45385</v>
      </c>
      <c r="H619" s="374"/>
      <c r="I619" s="402" t="str">
        <f>VLOOKUP(Table13[[#This Row],[Column1]],[1]Sheet1!$A:$AO,9,FALSE)</f>
        <v>N/A</v>
      </c>
      <c r="J619" s="402">
        <f>VLOOKUP(Table13[[#This Row],[Column1]],[1]Sheet1!$A:$AO,10,FALSE)</f>
        <v>45398</v>
      </c>
      <c r="K619" s="402">
        <f>VLOOKUP(Table13[[#This Row],[Column1]],[1]Sheet1!$A:$AO,11,FALSE)</f>
        <v>45398</v>
      </c>
      <c r="L619" s="404"/>
      <c r="M619" s="402" t="str">
        <f>VLOOKUP(Table13[[#This Row],[Column1]],[1]Sheet1!$A:$AO,13,FALSE)</f>
        <v>N/A</v>
      </c>
      <c r="N619" s="402" t="str">
        <f>VLOOKUP(Table13[[#This Row],[Column1]],[1]Sheet1!$A:$AO,14,FALSE)</f>
        <v>N/A</v>
      </c>
      <c r="O619" s="402">
        <f>VLOOKUP(Table13[[#This Row],[Column1]],[1]Sheet1!$A:$AO,15,FALSE)</f>
        <v>45405</v>
      </c>
      <c r="P619" s="375"/>
      <c r="Q619" s="375"/>
      <c r="R619" s="376"/>
      <c r="S619" s="583" t="str">
        <f>VLOOKUP(Table13[[#This Row],[Column1]],[1]Sheet1!$A:$AO,19,FALSE)</f>
        <v>N/A</v>
      </c>
      <c r="T619" s="583">
        <f>VLOOKUP(Table13[[#This Row],[Column1]],[1]Sheet1!$A:$AO,20,FALSE)</f>
        <v>45411</v>
      </c>
      <c r="U619" s="583">
        <f>VLOOKUP(Table13[[#This Row],[Column1]],[1]Sheet1!$A:$AO,21,FALSE)</f>
        <v>45434</v>
      </c>
      <c r="V619" s="376"/>
      <c r="W619" s="376"/>
      <c r="X619" s="402"/>
      <c r="Y619" s="402"/>
      <c r="Z619" s="610" t="s">
        <v>1478</v>
      </c>
      <c r="AA619" s="532">
        <f>IF(Table13[[#This Row],[Column2]]="","",SUM(Table13[[#This Row],[Column28]]+Table13[[#This Row],[Column29]]))</f>
        <v>120000</v>
      </c>
      <c r="AB619" s="537"/>
      <c r="AC619" s="502">
        <v>120000</v>
      </c>
      <c r="AD619" s="532">
        <f>IF(Table13[[#This Row],[Column2]]="","",SUM(Table13[[#This Row],[Column31]]+Table13[[#This Row],[Column32]]))</f>
        <v>112500</v>
      </c>
      <c r="AE619" s="501"/>
      <c r="AF619" s="540">
        <v>112500</v>
      </c>
      <c r="AG619" s="405"/>
      <c r="AH619" s="380" t="s">
        <v>1205</v>
      </c>
      <c r="AI619" s="576" t="str">
        <f>VLOOKUP(Table13[[#This Row],[Column1]],[1]Sheet1!$A:$AO,35,FALSE)</f>
        <v>N/A</v>
      </c>
      <c r="AJ619" s="576" t="str">
        <f>VLOOKUP(Table13[[#This Row],[Column1]],[1]Sheet1!$A:$AO,36,FALSE)</f>
        <v>N/A</v>
      </c>
      <c r="AK619" s="576" t="str">
        <f>VLOOKUP(Table13[[#This Row],[Column1]],[1]Sheet1!$A:$AO,37,FALSE)</f>
        <v>N/A</v>
      </c>
      <c r="AL619" s="576" t="str">
        <f>VLOOKUP(Table13[[#This Row],[Column1]],[1]Sheet1!$A:$AO,38,FALSE)</f>
        <v>N/A</v>
      </c>
      <c r="AM619" s="576" t="str">
        <f>VLOOKUP(Table13[[#This Row],[Column1]],[1]Sheet1!$A:$AO,39,FALSE)</f>
        <v>N/A</v>
      </c>
      <c r="AN619" s="576" t="s">
        <v>713</v>
      </c>
      <c r="AO619" s="306" t="s">
        <v>919</v>
      </c>
      <c r="AP619" s="378"/>
      <c r="AQ619" s="237"/>
    </row>
    <row r="620" spans="1:43" s="238" customFormat="1" ht="75" customHeight="1" thickBot="1" x14ac:dyDescent="0.3">
      <c r="A620" s="297" t="s">
        <v>822</v>
      </c>
      <c r="B620" s="627" t="str">
        <f>VLOOKUP(Table13[[#This Row],[Column1]],[1]Sheet1!$A:$AO,2,FALSE)</f>
        <v>CELLOPHANE</v>
      </c>
      <c r="C620" s="298" t="str">
        <f>VLOOKUP(Table13[[#This Row],[Column1]],[1]Sheet1!$A:$AO,3,FALSE)</f>
        <v>PGO</v>
      </c>
      <c r="D620" s="298" t="s">
        <v>712</v>
      </c>
      <c r="E620" s="450" t="str">
        <f>VLOOKUP(Table13[[#This Row],[Column1]],[1]Sheet1!$A:$AO,5,FALSE)</f>
        <v>NP-53.9 - Small Value Procurement</v>
      </c>
      <c r="F620" s="446" t="str">
        <f>VLOOKUP(Table13[[#This Row],[Column1]],[1]Sheet1!$A:$AO,6,FALSE)</f>
        <v>N/A</v>
      </c>
      <c r="G620" s="402">
        <f>VLOOKUP(Table13[[#This Row],[Column1]],[1]Sheet1!$A:$AO,7,FALSE)</f>
        <v>45363</v>
      </c>
      <c r="H620" s="374"/>
      <c r="I620" s="402" t="str">
        <f>VLOOKUP(Table13[[#This Row],[Column1]],[1]Sheet1!$A:$AO,9,FALSE)</f>
        <v>N/A</v>
      </c>
      <c r="J620" s="402">
        <f>VLOOKUP(Table13[[#This Row],[Column1]],[1]Sheet1!$A:$AO,10,FALSE)</f>
        <v>45398</v>
      </c>
      <c r="K620" s="402">
        <f>VLOOKUP(Table13[[#This Row],[Column1]],[1]Sheet1!$A:$AO,11,FALSE)</f>
        <v>45398</v>
      </c>
      <c r="L620" s="404"/>
      <c r="M620" s="402" t="str">
        <f>VLOOKUP(Table13[[#This Row],[Column1]],[1]Sheet1!$A:$AO,13,FALSE)</f>
        <v>N/A</v>
      </c>
      <c r="N620" s="402" t="str">
        <f>VLOOKUP(Table13[[#This Row],[Column1]],[1]Sheet1!$A:$AO,14,FALSE)</f>
        <v>N/A</v>
      </c>
      <c r="O620" s="402">
        <f>VLOOKUP(Table13[[#This Row],[Column1]],[1]Sheet1!$A:$AO,15,FALSE)</f>
        <v>45405</v>
      </c>
      <c r="P620" s="375"/>
      <c r="Q620" s="375"/>
      <c r="R620" s="376"/>
      <c r="S620" s="583" t="str">
        <f>VLOOKUP(Table13[[#This Row],[Column1]],[1]Sheet1!$A:$AO,19,FALSE)</f>
        <v>N/A</v>
      </c>
      <c r="T620" s="583">
        <f>VLOOKUP(Table13[[#This Row],[Column1]],[1]Sheet1!$A:$AO,20,FALSE)</f>
        <v>45407</v>
      </c>
      <c r="U620" s="583">
        <f>VLOOKUP(Table13[[#This Row],[Column1]],[1]Sheet1!$A:$AO,21,FALSE)</f>
        <v>45420</v>
      </c>
      <c r="V620" s="376"/>
      <c r="W620" s="376"/>
      <c r="X620" s="402"/>
      <c r="Y620" s="402"/>
      <c r="Z620" s="610" t="s">
        <v>1478</v>
      </c>
      <c r="AA620" s="532">
        <f>IF(Table13[[#This Row],[Column2]]="","",SUM(Table13[[#This Row],[Column28]]+Table13[[#This Row],[Column29]]))</f>
        <v>29000</v>
      </c>
      <c r="AB620" s="537"/>
      <c r="AC620" s="502">
        <v>29000</v>
      </c>
      <c r="AD620" s="532">
        <f>IF(Table13[[#This Row],[Column2]]="","",SUM(Table13[[#This Row],[Column31]]+Table13[[#This Row],[Column32]]))</f>
        <v>29000</v>
      </c>
      <c r="AE620" s="501"/>
      <c r="AF620" s="540">
        <v>29000</v>
      </c>
      <c r="AG620" s="405"/>
      <c r="AH620" s="380" t="s">
        <v>1205</v>
      </c>
      <c r="AI620" s="576" t="str">
        <f>VLOOKUP(Table13[[#This Row],[Column1]],[1]Sheet1!$A:$AO,35,FALSE)</f>
        <v>N/A</v>
      </c>
      <c r="AJ620" s="576" t="str">
        <f>VLOOKUP(Table13[[#This Row],[Column1]],[1]Sheet1!$A:$AO,36,FALSE)</f>
        <v>N/A</v>
      </c>
      <c r="AK620" s="576" t="str">
        <f>VLOOKUP(Table13[[#This Row],[Column1]],[1]Sheet1!$A:$AO,37,FALSE)</f>
        <v>N/A</v>
      </c>
      <c r="AL620" s="576" t="str">
        <f>VLOOKUP(Table13[[#This Row],[Column1]],[1]Sheet1!$A:$AO,38,FALSE)</f>
        <v>N/A</v>
      </c>
      <c r="AM620" s="576" t="str">
        <f>VLOOKUP(Table13[[#This Row],[Column1]],[1]Sheet1!$A:$AO,39,FALSE)</f>
        <v>N/A</v>
      </c>
      <c r="AN620" s="576" t="s">
        <v>713</v>
      </c>
      <c r="AO620" s="306" t="s">
        <v>919</v>
      </c>
      <c r="AP620" s="378"/>
      <c r="AQ620" s="237"/>
    </row>
    <row r="621" spans="1:43" s="238" customFormat="1" ht="75" customHeight="1" thickBot="1" x14ac:dyDescent="0.3">
      <c r="A621" s="297" t="s">
        <v>823</v>
      </c>
      <c r="B621" s="627" t="str">
        <f>VLOOKUP(Table13[[#This Row],[Column1]],[1]Sheet1!$A:$AO,2,FALSE)</f>
        <v>PLAQUES/TROPHIES/MEDAL</v>
      </c>
      <c r="C621" s="298" t="str">
        <f>VLOOKUP(Table13[[#This Row],[Column1]],[1]Sheet1!$A:$AO,3,FALSE)</f>
        <v>PHRMDO</v>
      </c>
      <c r="D621" s="298" t="s">
        <v>712</v>
      </c>
      <c r="E621" s="450" t="str">
        <f>VLOOKUP(Table13[[#This Row],[Column1]],[1]Sheet1!$A:$AO,5,FALSE)</f>
        <v>NP-53.9 - Small Value Procurement</v>
      </c>
      <c r="F621" s="446" t="str">
        <f>VLOOKUP(Table13[[#This Row],[Column1]],[1]Sheet1!$A:$AO,6,FALSE)</f>
        <v>N/A</v>
      </c>
      <c r="G621" s="402">
        <f>VLOOKUP(Table13[[#This Row],[Column1]],[1]Sheet1!$A:$AO,7,FALSE)</f>
        <v>45376</v>
      </c>
      <c r="H621" s="374"/>
      <c r="I621" s="402" t="str">
        <f>VLOOKUP(Table13[[#This Row],[Column1]],[1]Sheet1!$A:$AO,9,FALSE)</f>
        <v>N/A</v>
      </c>
      <c r="J621" s="402">
        <f>VLOOKUP(Table13[[#This Row],[Column1]],[1]Sheet1!$A:$AO,10,FALSE)</f>
        <v>45398</v>
      </c>
      <c r="K621" s="402">
        <f>VLOOKUP(Table13[[#This Row],[Column1]],[1]Sheet1!$A:$AO,11,FALSE)</f>
        <v>45398</v>
      </c>
      <c r="L621" s="404"/>
      <c r="M621" s="402" t="str">
        <f>VLOOKUP(Table13[[#This Row],[Column1]],[1]Sheet1!$A:$AO,13,FALSE)</f>
        <v>N/A</v>
      </c>
      <c r="N621" s="402" t="str">
        <f>VLOOKUP(Table13[[#This Row],[Column1]],[1]Sheet1!$A:$AO,14,FALSE)</f>
        <v>N/A</v>
      </c>
      <c r="O621" s="402">
        <f>VLOOKUP(Table13[[#This Row],[Column1]],[1]Sheet1!$A:$AO,15,FALSE)</f>
        <v>45405</v>
      </c>
      <c r="P621" s="375"/>
      <c r="Q621" s="375"/>
      <c r="R621" s="376"/>
      <c r="S621" s="583">
        <v>45405</v>
      </c>
      <c r="T621" s="583">
        <f>VLOOKUP(Table13[[#This Row],[Column1]],[1]Sheet1!$A:$AO,20,FALSE)</f>
        <v>45429</v>
      </c>
      <c r="U621" s="583">
        <f>VLOOKUP(Table13[[#This Row],[Column1]],[1]Sheet1!$A:$AO,21,FALSE)</f>
        <v>45433</v>
      </c>
      <c r="V621" s="376"/>
      <c r="W621" s="376"/>
      <c r="X621" s="402"/>
      <c r="Y621" s="402"/>
      <c r="Z621" s="610" t="s">
        <v>1478</v>
      </c>
      <c r="AA621" s="532">
        <f>IF(Table13[[#This Row],[Column2]]="","",SUM(Table13[[#This Row],[Column28]]+Table13[[#This Row],[Column29]]))</f>
        <v>146050</v>
      </c>
      <c r="AB621" s="537"/>
      <c r="AC621" s="502">
        <v>146050</v>
      </c>
      <c r="AD621" s="532">
        <f>IF(Table13[[#This Row],[Column2]]="","",SUM(Table13[[#This Row],[Column31]]+Table13[[#This Row],[Column32]]))</f>
        <v>146050</v>
      </c>
      <c r="AE621" s="501"/>
      <c r="AF621" s="540">
        <v>146050</v>
      </c>
      <c r="AG621" s="405"/>
      <c r="AH621" s="380" t="s">
        <v>1205</v>
      </c>
      <c r="AI621" s="576" t="str">
        <f>VLOOKUP(Table13[[#This Row],[Column1]],[1]Sheet1!$A:$AO,35,FALSE)</f>
        <v>N/A</v>
      </c>
      <c r="AJ621" s="576" t="str">
        <f>VLOOKUP(Table13[[#This Row],[Column1]],[1]Sheet1!$A:$AO,36,FALSE)</f>
        <v>N/A</v>
      </c>
      <c r="AK621" s="576" t="str">
        <f>VLOOKUP(Table13[[#This Row],[Column1]],[1]Sheet1!$A:$AO,37,FALSE)</f>
        <v>N/A</v>
      </c>
      <c r="AL621" s="576" t="str">
        <f>VLOOKUP(Table13[[#This Row],[Column1]],[1]Sheet1!$A:$AO,38,FALSE)</f>
        <v>N/A</v>
      </c>
      <c r="AM621" s="576" t="str">
        <f>VLOOKUP(Table13[[#This Row],[Column1]],[1]Sheet1!$A:$AO,39,FALSE)</f>
        <v>N/A</v>
      </c>
      <c r="AN621" s="576" t="s">
        <v>713</v>
      </c>
      <c r="AO621" s="306" t="s">
        <v>919</v>
      </c>
      <c r="AP621" s="378"/>
      <c r="AQ621" s="237"/>
    </row>
    <row r="622" spans="1:43" s="238" customFormat="1" ht="75" customHeight="1" thickBot="1" x14ac:dyDescent="0.3">
      <c r="A622" s="297" t="s">
        <v>824</v>
      </c>
      <c r="B622" s="627" t="str">
        <f>VLOOKUP(Table13[[#This Row],[Column1]],[1]Sheet1!$A:$AO,2,FALSE)</f>
        <v>TROLLEY SPEAKER, PORTABLE</v>
      </c>
      <c r="C622" s="298" t="str">
        <f>VLOOKUP(Table13[[#This Row],[Column1]],[1]Sheet1!$A:$AO,3,FALSE)</f>
        <v>PAGRO</v>
      </c>
      <c r="D622" s="298" t="s">
        <v>712</v>
      </c>
      <c r="E622" s="450" t="str">
        <f>VLOOKUP(Table13[[#This Row],[Column1]],[1]Sheet1!$A:$AO,5,FALSE)</f>
        <v>NP-53.9 - Small Value Procurement</v>
      </c>
      <c r="F622" s="446" t="str">
        <f>VLOOKUP(Table13[[#This Row],[Column1]],[1]Sheet1!$A:$AO,6,FALSE)</f>
        <v>N/A</v>
      </c>
      <c r="G622" s="402">
        <f>VLOOKUP(Table13[[#This Row],[Column1]],[1]Sheet1!$A:$AO,7,FALSE)</f>
        <v>45371</v>
      </c>
      <c r="H622" s="374"/>
      <c r="I622" s="402" t="str">
        <f>VLOOKUP(Table13[[#This Row],[Column1]],[1]Sheet1!$A:$AO,9,FALSE)</f>
        <v>N/A</v>
      </c>
      <c r="J622" s="402">
        <f>VLOOKUP(Table13[[#This Row],[Column1]],[1]Sheet1!$A:$AO,10,FALSE)</f>
        <v>45398</v>
      </c>
      <c r="K622" s="402">
        <f>VLOOKUP(Table13[[#This Row],[Column1]],[1]Sheet1!$A:$AO,11,FALSE)</f>
        <v>45398</v>
      </c>
      <c r="L622" s="404"/>
      <c r="M622" s="402" t="str">
        <f>VLOOKUP(Table13[[#This Row],[Column1]],[1]Sheet1!$A:$AO,13,FALSE)</f>
        <v>N/A</v>
      </c>
      <c r="N622" s="402" t="str">
        <f>VLOOKUP(Table13[[#This Row],[Column1]],[1]Sheet1!$A:$AO,14,FALSE)</f>
        <v>N/A</v>
      </c>
      <c r="O622" s="402">
        <f>VLOOKUP(Table13[[#This Row],[Column1]],[1]Sheet1!$A:$AO,15,FALSE)</f>
        <v>45405</v>
      </c>
      <c r="P622" s="375"/>
      <c r="Q622" s="375"/>
      <c r="R622" s="376"/>
      <c r="S622" s="583" t="str">
        <f>VLOOKUP(Table13[[#This Row],[Column1]],[1]Sheet1!$A:$AO,19,FALSE)</f>
        <v>N/A</v>
      </c>
      <c r="T622" s="583">
        <f>VLOOKUP(Table13[[#This Row],[Column1]],[1]Sheet1!$A:$AO,20,FALSE)</f>
        <v>45407</v>
      </c>
      <c r="U622" s="583">
        <f>VLOOKUP(Table13[[#This Row],[Column1]],[1]Sheet1!$A:$AO,21,FALSE)</f>
        <v>45420</v>
      </c>
      <c r="V622" s="376"/>
      <c r="W622" s="376"/>
      <c r="X622" s="402"/>
      <c r="Y622" s="402"/>
      <c r="Z622" s="610" t="s">
        <v>1478</v>
      </c>
      <c r="AA622" s="532">
        <f>IF(Table13[[#This Row],[Column2]]="","",SUM(Table13[[#This Row],[Column28]]+Table13[[#This Row],[Column29]]))</f>
        <v>33600</v>
      </c>
      <c r="AB622" s="537">
        <v>33600</v>
      </c>
      <c r="AC622" s="502"/>
      <c r="AD622" s="532">
        <f>IF(Table13[[#This Row],[Column2]]="","",SUM(Table13[[#This Row],[Column31]]+Table13[[#This Row],[Column32]]))</f>
        <v>33600</v>
      </c>
      <c r="AE622" s="501">
        <v>33600</v>
      </c>
      <c r="AF622" s="541"/>
      <c r="AG622" s="405"/>
      <c r="AH622" s="380" t="s">
        <v>1205</v>
      </c>
      <c r="AI622" s="576" t="str">
        <f>VLOOKUP(Table13[[#This Row],[Column1]],[1]Sheet1!$A:$AO,35,FALSE)</f>
        <v>N/A</v>
      </c>
      <c r="AJ622" s="576" t="str">
        <f>VLOOKUP(Table13[[#This Row],[Column1]],[1]Sheet1!$A:$AO,36,FALSE)</f>
        <v>N/A</v>
      </c>
      <c r="AK622" s="576" t="str">
        <f>VLOOKUP(Table13[[#This Row],[Column1]],[1]Sheet1!$A:$AO,37,FALSE)</f>
        <v>N/A</v>
      </c>
      <c r="AL622" s="576" t="str">
        <f>VLOOKUP(Table13[[#This Row],[Column1]],[1]Sheet1!$A:$AO,38,FALSE)</f>
        <v>N/A</v>
      </c>
      <c r="AM622" s="576" t="str">
        <f>VLOOKUP(Table13[[#This Row],[Column1]],[1]Sheet1!$A:$AO,39,FALSE)</f>
        <v>N/A</v>
      </c>
      <c r="AN622" s="576" t="s">
        <v>713</v>
      </c>
      <c r="AO622" s="306" t="s">
        <v>919</v>
      </c>
      <c r="AP622" s="378"/>
      <c r="AQ622" s="237"/>
    </row>
    <row r="623" spans="1:43" s="238" customFormat="1" ht="75" customHeight="1" thickBot="1" x14ac:dyDescent="0.3">
      <c r="A623" s="297" t="s">
        <v>739</v>
      </c>
      <c r="B623" s="627" t="str">
        <f>VLOOKUP(Table13[[#This Row],[Column1]],[1]Sheet1!$A:$AO,2,FALSE)</f>
        <v>BOOKBINDING AND PRINTING</v>
      </c>
      <c r="C623" s="298" t="str">
        <f>VLOOKUP(Table13[[#This Row],[Column1]],[1]Sheet1!$A:$AO,3,FALSE)</f>
        <v>PGO</v>
      </c>
      <c r="D623" s="298" t="s">
        <v>712</v>
      </c>
      <c r="E623" s="450" t="str">
        <f>VLOOKUP(Table13[[#This Row],[Column1]],[1]Sheet1!$A:$AO,5,FALSE)</f>
        <v>NP-53.9 - Small Value Procurement</v>
      </c>
      <c r="F623" s="446" t="str">
        <f>VLOOKUP(Table13[[#This Row],[Column1]],[1]Sheet1!$A:$AO,6,FALSE)</f>
        <v>N/A</v>
      </c>
      <c r="G623" s="402">
        <f>VLOOKUP(Table13[[#This Row],[Column1]],[1]Sheet1!$A:$AO,7,FALSE)</f>
        <v>45384</v>
      </c>
      <c r="H623" s="374"/>
      <c r="I623" s="402" t="str">
        <f>VLOOKUP(Table13[[#This Row],[Column1]],[1]Sheet1!$A:$AO,9,FALSE)</f>
        <v>N/A</v>
      </c>
      <c r="J623" s="402">
        <f>VLOOKUP(Table13[[#This Row],[Column1]],[1]Sheet1!$A:$AO,10,FALSE)</f>
        <v>45398</v>
      </c>
      <c r="K623" s="402">
        <f>VLOOKUP(Table13[[#This Row],[Column1]],[1]Sheet1!$A:$AO,11,FALSE)</f>
        <v>45398</v>
      </c>
      <c r="L623" s="404"/>
      <c r="M623" s="402" t="str">
        <f>VLOOKUP(Table13[[#This Row],[Column1]],[1]Sheet1!$A:$AO,13,FALSE)</f>
        <v>N/A</v>
      </c>
      <c r="N623" s="402" t="str">
        <f>VLOOKUP(Table13[[#This Row],[Column1]],[1]Sheet1!$A:$AO,14,FALSE)</f>
        <v>N/A</v>
      </c>
      <c r="O623" s="402">
        <f>VLOOKUP(Table13[[#This Row],[Column1]],[1]Sheet1!$A:$AO,15,FALSE)</f>
        <v>45405</v>
      </c>
      <c r="P623" s="375"/>
      <c r="Q623" s="375"/>
      <c r="R623" s="376"/>
      <c r="S623" s="583" t="str">
        <f>VLOOKUP(Table13[[#This Row],[Column1]],[1]Sheet1!$A:$AO,19,FALSE)</f>
        <v>N/A</v>
      </c>
      <c r="T623" s="583">
        <f>VLOOKUP(Table13[[#This Row],[Column1]],[1]Sheet1!$A:$AO,20,FALSE)</f>
        <v>45407</v>
      </c>
      <c r="U623" s="583">
        <f>VLOOKUP(Table13[[#This Row],[Column1]],[1]Sheet1!$A:$AO,21,FALSE)</f>
        <v>45426</v>
      </c>
      <c r="V623" s="376"/>
      <c r="W623" s="376"/>
      <c r="X623" s="402"/>
      <c r="Y623" s="402"/>
      <c r="Z623" s="610" t="s">
        <v>1478</v>
      </c>
      <c r="AA623" s="532">
        <f>IF(Table13[[#This Row],[Column2]]="","",SUM(Table13[[#This Row],[Column28]]+Table13[[#This Row],[Column29]]))</f>
        <v>12770</v>
      </c>
      <c r="AB623" s="537"/>
      <c r="AC623" s="502">
        <v>12770</v>
      </c>
      <c r="AD623" s="532">
        <f>IF(Table13[[#This Row],[Column2]]="","",SUM(Table13[[#This Row],[Column31]]+Table13[[#This Row],[Column32]]))</f>
        <v>12770</v>
      </c>
      <c r="AE623" s="501"/>
      <c r="AF623" s="540">
        <v>12770</v>
      </c>
      <c r="AG623" s="405"/>
      <c r="AH623" s="380" t="s">
        <v>1205</v>
      </c>
      <c r="AI623" s="576" t="str">
        <f>VLOOKUP(Table13[[#This Row],[Column1]],[1]Sheet1!$A:$AO,35,FALSE)</f>
        <v>N/A</v>
      </c>
      <c r="AJ623" s="576" t="str">
        <f>VLOOKUP(Table13[[#This Row],[Column1]],[1]Sheet1!$A:$AO,36,FALSE)</f>
        <v>N/A</v>
      </c>
      <c r="AK623" s="576" t="str">
        <f>VLOOKUP(Table13[[#This Row],[Column1]],[1]Sheet1!$A:$AO,37,FALSE)</f>
        <v>N/A</v>
      </c>
      <c r="AL623" s="576" t="str">
        <f>VLOOKUP(Table13[[#This Row],[Column1]],[1]Sheet1!$A:$AO,38,FALSE)</f>
        <v>N/A</v>
      </c>
      <c r="AM623" s="576" t="str">
        <f>VLOOKUP(Table13[[#This Row],[Column1]],[1]Sheet1!$A:$AO,39,FALSE)</f>
        <v>N/A</v>
      </c>
      <c r="AN623" s="576" t="s">
        <v>713</v>
      </c>
      <c r="AO623" s="306" t="s">
        <v>919</v>
      </c>
      <c r="AP623" s="378"/>
      <c r="AQ623" s="237"/>
    </row>
    <row r="624" spans="1:43" s="238" customFormat="1" ht="75" customHeight="1" thickBot="1" x14ac:dyDescent="0.3">
      <c r="A624" s="297" t="s">
        <v>825</v>
      </c>
      <c r="B624" s="653" t="str">
        <f>VLOOKUP(Table13[[#This Row],[Column1]],[1]Sheet1!$A:$AO,2,FALSE)</f>
        <v>INSTALLATION OF 100FT MONOPOLE ANTENNA TOWER AND VHF DIGITAL REPEATER</v>
      </c>
      <c r="C624" s="298" t="str">
        <f>VLOOKUP(Table13[[#This Row],[Column1]],[1]Sheet1!$A:$AO,3,FALSE)</f>
        <v>PDRRMO</v>
      </c>
      <c r="D624" s="298" t="s">
        <v>712</v>
      </c>
      <c r="E624" s="450" t="str">
        <f>VLOOKUP(Table13[[#This Row],[Column1]],[1]Sheet1!$A:$AO,5,FALSE)</f>
        <v>NP-53.1 Two Failed Biddings</v>
      </c>
      <c r="F624" s="446">
        <f>VLOOKUP(Table13[[#This Row],[Column1]],[1]Sheet1!$A:$AO,6,FALSE)</f>
        <v>45265</v>
      </c>
      <c r="G624" s="402">
        <f>VLOOKUP(Table13[[#This Row],[Column1]],[1]Sheet1!$A:$AO,7,FALSE)</f>
        <v>45376</v>
      </c>
      <c r="H624" s="374"/>
      <c r="I624" s="402" t="str">
        <f>VLOOKUP(Table13[[#This Row],[Column1]],[1]Sheet1!$A:$AO,9,FALSE)</f>
        <v>N/A</v>
      </c>
      <c r="J624" s="402">
        <f>VLOOKUP(Table13[[#This Row],[Column1]],[1]Sheet1!$A:$AO,10,FALSE)</f>
        <v>45398</v>
      </c>
      <c r="K624" s="402">
        <f>VLOOKUP(Table13[[#This Row],[Column1]],[1]Sheet1!$A:$AO,11,FALSE)</f>
        <v>45398</v>
      </c>
      <c r="L624" s="404"/>
      <c r="M624" s="402" t="str">
        <f>VLOOKUP(Table13[[#This Row],[Column1]],[1]Sheet1!$A:$AO,13,FALSE)</f>
        <v>N/A</v>
      </c>
      <c r="N624" s="402" t="str">
        <f>VLOOKUP(Table13[[#This Row],[Column1]],[1]Sheet1!$A:$AO,14,FALSE)</f>
        <v>N/A</v>
      </c>
      <c r="O624" s="402">
        <f>VLOOKUP(Table13[[#This Row],[Column1]],[1]Sheet1!$A:$AO,15,FALSE)</f>
        <v>45405</v>
      </c>
      <c r="P624" s="375"/>
      <c r="Q624" s="375"/>
      <c r="R624" s="376"/>
      <c r="S624" s="583">
        <f>VLOOKUP(Table13[[#This Row],[Column1]],[1]Sheet1!$A:$AO,19,FALSE)</f>
        <v>45406</v>
      </c>
      <c r="T624" s="583">
        <f>VLOOKUP(Table13[[#This Row],[Column1]],[1]Sheet1!$A:$AO,20,FALSE)</f>
        <v>45421</v>
      </c>
      <c r="U624" s="583">
        <f>VLOOKUP(Table13[[#This Row],[Column1]],[1]Sheet1!$A:$AO,21,FALSE)</f>
        <v>45436</v>
      </c>
      <c r="V624" s="376"/>
      <c r="W624" s="376"/>
      <c r="X624" s="402"/>
      <c r="Y624" s="402"/>
      <c r="Z624" s="610" t="s">
        <v>1478</v>
      </c>
      <c r="AA624" s="532">
        <f>IF(Table13[[#This Row],[Column2]]="","",SUM(Table13[[#This Row],[Column28]]+Table13[[#This Row],[Column29]]))</f>
        <v>688750</v>
      </c>
      <c r="AB624" s="537"/>
      <c r="AC624" s="502">
        <v>688750</v>
      </c>
      <c r="AD624" s="532">
        <f>IF(Table13[[#This Row],[Column2]]="","",SUM(Table13[[#This Row],[Column31]]+Table13[[#This Row],[Column32]]))</f>
        <v>680000</v>
      </c>
      <c r="AE624" s="501"/>
      <c r="AF624" s="540">
        <v>680000</v>
      </c>
      <c r="AG624" s="405"/>
      <c r="AH624" s="380" t="s">
        <v>1205</v>
      </c>
      <c r="AI624" s="576" t="str">
        <f>VLOOKUP(Table13[[#This Row],[Column1]],[1]Sheet1!$A:$AO,35,FALSE)</f>
        <v>N/A</v>
      </c>
      <c r="AJ624" s="576" t="str">
        <f>VLOOKUP(Table13[[#This Row],[Column1]],[1]Sheet1!$A:$AO,36,FALSE)</f>
        <v>N/A</v>
      </c>
      <c r="AK624" s="576" t="str">
        <f>VLOOKUP(Table13[[#This Row],[Column1]],[1]Sheet1!$A:$AO,37,FALSE)</f>
        <v>N/A</v>
      </c>
      <c r="AL624" s="576" t="str">
        <f>VLOOKUP(Table13[[#This Row],[Column1]],[1]Sheet1!$A:$AO,38,FALSE)</f>
        <v>N/A</v>
      </c>
      <c r="AM624" s="576" t="str">
        <f>VLOOKUP(Table13[[#This Row],[Column1]],[1]Sheet1!$A:$AO,39,FALSE)</f>
        <v>N/A</v>
      </c>
      <c r="AN624" s="576" t="s">
        <v>713</v>
      </c>
      <c r="AO624" s="306" t="s">
        <v>919</v>
      </c>
      <c r="AP624" s="378"/>
      <c r="AQ624" s="237"/>
    </row>
    <row r="625" spans="1:43" s="238" customFormat="1" ht="75" customHeight="1" thickBot="1" x14ac:dyDescent="0.3">
      <c r="A625" s="297" t="s">
        <v>826</v>
      </c>
      <c r="B625" s="627" t="str">
        <f>VLOOKUP(Table13[[#This Row],[Column1]],[1]Sheet1!$A:$AO,2,FALSE)</f>
        <v>DRUGS AND MEDICINES</v>
      </c>
      <c r="C625" s="298" t="str">
        <f>VLOOKUP(Table13[[#This Row],[Column1]],[1]Sheet1!$A:$AO,3,FALSE)</f>
        <v>PEEMO</v>
      </c>
      <c r="D625" s="298" t="s">
        <v>712</v>
      </c>
      <c r="E625" s="450" t="str">
        <f>VLOOKUP(Table13[[#This Row],[Column1]],[1]Sheet1!$A:$AO,5,FALSE)</f>
        <v>Competitive Bidding</v>
      </c>
      <c r="F625" s="446">
        <f>VLOOKUP(Table13[[#This Row],[Column1]],[1]Sheet1!$A:$AO,6,FALSE)</f>
        <v>45342</v>
      </c>
      <c r="G625" s="402">
        <f>VLOOKUP(Table13[[#This Row],[Column1]],[1]Sheet1!$A:$AO,7,FALSE)</f>
        <v>45348</v>
      </c>
      <c r="H625" s="374"/>
      <c r="I625" s="402">
        <f>VLOOKUP(Table13[[#This Row],[Column1]],[1]Sheet1!$A:$AO,9,FALSE)</f>
        <v>45356</v>
      </c>
      <c r="J625" s="402">
        <f>VLOOKUP(Table13[[#This Row],[Column1]],[1]Sheet1!$A:$AO,10,FALSE)</f>
        <v>45370</v>
      </c>
      <c r="K625" s="402">
        <f>VLOOKUP(Table13[[#This Row],[Column1]],[1]Sheet1!$A:$AO,11,FALSE)</f>
        <v>45370</v>
      </c>
      <c r="L625" s="404"/>
      <c r="M625" s="402">
        <f>VLOOKUP(Table13[[#This Row],[Column1]],[1]Sheet1!$A:$AO,13,FALSE)</f>
        <v>45370</v>
      </c>
      <c r="N625" s="402">
        <f>VLOOKUP(Table13[[#This Row],[Column1]],[1]Sheet1!$A:$AO,14,FALSE)</f>
        <v>45399</v>
      </c>
      <c r="O625" s="402">
        <f>VLOOKUP(Table13[[#This Row],[Column1]],[1]Sheet1!$A:$AO,15,FALSE)</f>
        <v>45411</v>
      </c>
      <c r="P625" s="375"/>
      <c r="Q625" s="375"/>
      <c r="R625" s="376"/>
      <c r="S625" s="583">
        <v>45420</v>
      </c>
      <c r="T625" s="583">
        <f>VLOOKUP(Table13[[#This Row],[Column1]],[1]Sheet1!$A:$AO,20,FALSE)</f>
        <v>45432</v>
      </c>
      <c r="U625" s="583">
        <f>VLOOKUP(Table13[[#This Row],[Column1]],[1]Sheet1!$A:$AO,21,FALSE)</f>
        <v>45439</v>
      </c>
      <c r="V625" s="376"/>
      <c r="W625" s="376"/>
      <c r="X625" s="402"/>
      <c r="Y625" s="402"/>
      <c r="Z625" s="610" t="s">
        <v>1478</v>
      </c>
      <c r="AA625" s="532">
        <f>IF(Table13[[#This Row],[Column2]]="","",SUM(Table13[[#This Row],[Column28]]+Table13[[#This Row],[Column29]]))</f>
        <v>1445395.4</v>
      </c>
      <c r="AB625" s="537">
        <v>1445395.4</v>
      </c>
      <c r="AC625" s="502"/>
      <c r="AD625" s="532">
        <f>IF(Table13[[#This Row],[Column2]]="","",SUM(Table13[[#This Row],[Column31]]+Table13[[#This Row],[Column32]]))</f>
        <v>1445395.4</v>
      </c>
      <c r="AE625" s="501">
        <v>1445395.4</v>
      </c>
      <c r="AF625" s="541"/>
      <c r="AG625" s="405"/>
      <c r="AH625" s="380" t="s">
        <v>1205</v>
      </c>
      <c r="AI625" s="576">
        <f>VLOOKUP(Table13[[#This Row],[Column1]],[1]Sheet1!$A:$AO,35,FALSE)</f>
        <v>45352</v>
      </c>
      <c r="AJ625" s="576">
        <f>VLOOKUP(Table13[[#This Row],[Column1]],[1]Sheet1!$A:$AO,36,FALSE)</f>
        <v>45366</v>
      </c>
      <c r="AK625" s="576">
        <f>VLOOKUP(Table13[[#This Row],[Column1]],[1]Sheet1!$A:$AO,37,FALSE)</f>
        <v>45366</v>
      </c>
      <c r="AL625" s="576">
        <f>VLOOKUP(Table13[[#This Row],[Column1]],[1]Sheet1!$A:$AO,38,FALSE)</f>
        <v>45366</v>
      </c>
      <c r="AM625" s="576" t="str">
        <f>VLOOKUP(Table13[[#This Row],[Column1]],[1]Sheet1!$A:$AO,39,FALSE)</f>
        <v>N/A</v>
      </c>
      <c r="AN625" s="576" t="s">
        <v>713</v>
      </c>
      <c r="AO625" s="306" t="s">
        <v>919</v>
      </c>
      <c r="AP625" s="378"/>
      <c r="AQ625" s="237"/>
    </row>
    <row r="626" spans="1:43" s="238" customFormat="1" ht="75" customHeight="1" thickBot="1" x14ac:dyDescent="0.3">
      <c r="A626" s="297" t="s">
        <v>827</v>
      </c>
      <c r="B626" s="627" t="str">
        <f>VLOOKUP(Table13[[#This Row],[Column1]],[1]Sheet1!$A:$AO,2,FALSE)</f>
        <v>COMMUNICATION EQUIPMENT</v>
      </c>
      <c r="C626" s="298" t="str">
        <f>VLOOKUP(Table13[[#This Row],[Column1]],[1]Sheet1!$A:$AO,3,FALSE)</f>
        <v>PICTO</v>
      </c>
      <c r="D626" s="298" t="s">
        <v>712</v>
      </c>
      <c r="E626" s="450" t="str">
        <f>VLOOKUP(Table13[[#This Row],[Column1]],[1]Sheet1!$A:$AO,5,FALSE)</f>
        <v>Competitive Bidding</v>
      </c>
      <c r="F626" s="563">
        <v>45342</v>
      </c>
      <c r="G626" s="402">
        <f>VLOOKUP(Table13[[#This Row],[Column1]],[1]Sheet1!$A:$AO,7,FALSE)</f>
        <v>45355</v>
      </c>
      <c r="H626" s="374"/>
      <c r="I626" s="402">
        <f>VLOOKUP(Table13[[#This Row],[Column1]],[1]Sheet1!$A:$AO,9,FALSE)</f>
        <v>45370</v>
      </c>
      <c r="J626" s="402">
        <f>VLOOKUP(Table13[[#This Row],[Column1]],[1]Sheet1!$A:$AO,10,FALSE)</f>
        <v>45384</v>
      </c>
      <c r="K626" s="402">
        <f>VLOOKUP(Table13[[#This Row],[Column1]],[1]Sheet1!$A:$AO,11,FALSE)</f>
        <v>45384</v>
      </c>
      <c r="L626" s="404"/>
      <c r="M626" s="402">
        <f>VLOOKUP(Table13[[#This Row],[Column1]],[1]Sheet1!$A:$AO,13,FALSE)</f>
        <v>45384</v>
      </c>
      <c r="N626" s="402">
        <f>VLOOKUP(Table13[[#This Row],[Column1]],[1]Sheet1!$A:$AO,14,FALSE)</f>
        <v>45405</v>
      </c>
      <c r="O626" s="402">
        <f>VLOOKUP(Table13[[#This Row],[Column1]],[1]Sheet1!$A:$AO,15,FALSE)</f>
        <v>45411</v>
      </c>
      <c r="P626" s="375"/>
      <c r="Q626" s="375"/>
      <c r="R626" s="376"/>
      <c r="S626" s="583">
        <v>45419</v>
      </c>
      <c r="T626" s="583">
        <f>VLOOKUP(Table13[[#This Row],[Column1]],[1]Sheet1!$A:$AO,20,FALSE)</f>
        <v>45425</v>
      </c>
      <c r="U626" s="583">
        <f>VLOOKUP(Table13[[#This Row],[Column1]],[1]Sheet1!$A:$AO,21,FALSE)</f>
        <v>45436</v>
      </c>
      <c r="V626" s="376"/>
      <c r="W626" s="376"/>
      <c r="X626" s="402"/>
      <c r="Y626" s="402"/>
      <c r="Z626" s="610" t="s">
        <v>1478</v>
      </c>
      <c r="AA626" s="532">
        <f>IF(Table13[[#This Row],[Column2]]="","",SUM(Table13[[#This Row],[Column28]]+Table13[[#This Row],[Column29]]))</f>
        <v>2949999</v>
      </c>
      <c r="AB626" s="537"/>
      <c r="AC626" s="502">
        <v>2949999</v>
      </c>
      <c r="AD626" s="532">
        <f>IF(Table13[[#This Row],[Column2]]="","",SUM(Table13[[#This Row],[Column31]]+Table13[[#This Row],[Column32]]))</f>
        <v>2948814</v>
      </c>
      <c r="AE626" s="501"/>
      <c r="AF626" s="540">
        <v>2948814</v>
      </c>
      <c r="AG626" s="405"/>
      <c r="AH626" s="380" t="s">
        <v>1205</v>
      </c>
      <c r="AI626" s="576">
        <f>VLOOKUP(Table13[[#This Row],[Column1]],[1]Sheet1!$A:$AO,35,FALSE)</f>
        <v>45366</v>
      </c>
      <c r="AJ626" s="576">
        <f>VLOOKUP(Table13[[#This Row],[Column1]],[1]Sheet1!$A:$AO,36,FALSE)</f>
        <v>45383</v>
      </c>
      <c r="AK626" s="576">
        <f>VLOOKUP(Table13[[#This Row],[Column1]],[1]Sheet1!$A:$AO,37,FALSE)</f>
        <v>45383</v>
      </c>
      <c r="AL626" s="576">
        <f>VLOOKUP(Table13[[#This Row],[Column1]],[1]Sheet1!$A:$AO,38,FALSE)</f>
        <v>45383</v>
      </c>
      <c r="AM626" s="576" t="str">
        <f>VLOOKUP(Table13[[#This Row],[Column1]],[1]Sheet1!$A:$AO,39,FALSE)</f>
        <v>N/A</v>
      </c>
      <c r="AN626" s="576" t="s">
        <v>713</v>
      </c>
      <c r="AO626" s="306" t="s">
        <v>919</v>
      </c>
      <c r="AP626" s="378"/>
      <c r="AQ626" s="237"/>
    </row>
    <row r="627" spans="1:43" s="238" customFormat="1" ht="75" customHeight="1" thickBot="1" x14ac:dyDescent="0.3">
      <c r="A627" s="297" t="s">
        <v>828</v>
      </c>
      <c r="B627" s="627" t="str">
        <f>VLOOKUP(Table13[[#This Row],[Column1]],[1]Sheet1!$A:$AO,2,FALSE)</f>
        <v>MEALS AND SNACKS WITH ACCOMMODATION</v>
      </c>
      <c r="C627" s="298" t="str">
        <f>VLOOKUP(Table13[[#This Row],[Column1]],[1]Sheet1!$A:$AO,3,FALSE)</f>
        <v>PSWDO</v>
      </c>
      <c r="D627" s="298" t="s">
        <v>712</v>
      </c>
      <c r="E627" s="450" t="str">
        <f>VLOOKUP(Table13[[#This Row],[Column1]],[1]Sheet1!$A:$AO,5,FALSE)</f>
        <v>Competitive Bidding</v>
      </c>
      <c r="F627" s="446">
        <f>VLOOKUP(Table13[[#This Row],[Column1]],[1]Sheet1!$A:$AO,6,FALSE)</f>
        <v>45356</v>
      </c>
      <c r="G627" s="402">
        <f>VLOOKUP(Table13[[#This Row],[Column1]],[1]Sheet1!$A:$AO,7,FALSE)</f>
        <v>45376</v>
      </c>
      <c r="H627" s="374"/>
      <c r="I627" s="402" t="str">
        <f>VLOOKUP(Table13[[#This Row],[Column1]],[1]Sheet1!$A:$AO,9,FALSE)</f>
        <v>N/A</v>
      </c>
      <c r="J627" s="402">
        <f>VLOOKUP(Table13[[#This Row],[Column1]],[1]Sheet1!$A:$AO,10,FALSE)</f>
        <v>45384</v>
      </c>
      <c r="K627" s="402">
        <f>VLOOKUP(Table13[[#This Row],[Column1]],[1]Sheet1!$A:$AO,11,FALSE)</f>
        <v>45384</v>
      </c>
      <c r="L627" s="404"/>
      <c r="M627" s="402">
        <f>VLOOKUP(Table13[[#This Row],[Column1]],[1]Sheet1!$A:$AO,13,FALSE)</f>
        <v>45384</v>
      </c>
      <c r="N627" s="402">
        <f>VLOOKUP(Table13[[#This Row],[Column1]],[1]Sheet1!$A:$AO,14,FALSE)</f>
        <v>45399</v>
      </c>
      <c r="O627" s="402">
        <f>VLOOKUP(Table13[[#This Row],[Column1]],[1]Sheet1!$A:$AO,15,FALSE)</f>
        <v>45411</v>
      </c>
      <c r="P627" s="375"/>
      <c r="Q627" s="375"/>
      <c r="R627" s="376"/>
      <c r="S627" s="583">
        <v>45418</v>
      </c>
      <c r="T627" s="583">
        <f>VLOOKUP(Table13[[#This Row],[Column1]],[1]Sheet1!$A:$AO,20,FALSE)</f>
        <v>45425</v>
      </c>
      <c r="U627" s="583">
        <f>VLOOKUP(Table13[[#This Row],[Column1]],[1]Sheet1!$A:$AO,21,FALSE)</f>
        <v>45435</v>
      </c>
      <c r="V627" s="376"/>
      <c r="W627" s="376"/>
      <c r="X627" s="402"/>
      <c r="Y627" s="402"/>
      <c r="Z627" s="610" t="s">
        <v>1478</v>
      </c>
      <c r="AA627" s="532">
        <f>IF(Table13[[#This Row],[Column2]]="","",SUM(Table13[[#This Row],[Column28]]+Table13[[#This Row],[Column29]]))</f>
        <v>324000</v>
      </c>
      <c r="AB627" s="537"/>
      <c r="AC627" s="502">
        <v>324000</v>
      </c>
      <c r="AD627" s="532">
        <f>IF(Table13[[#This Row],[Column2]]="","",SUM(Table13[[#This Row],[Column31]]+Table13[[#This Row],[Column32]]))</f>
        <v>323595</v>
      </c>
      <c r="AE627" s="501"/>
      <c r="AF627" s="540">
        <v>323595</v>
      </c>
      <c r="AG627" s="405"/>
      <c r="AH627" s="380" t="s">
        <v>1205</v>
      </c>
      <c r="AI627" s="576" t="str">
        <f>VLOOKUP(Table13[[#This Row],[Column1]],[1]Sheet1!$A:$AO,35,FALSE)</f>
        <v>N/A</v>
      </c>
      <c r="AJ627" s="576">
        <f>VLOOKUP(Table13[[#This Row],[Column1]],[1]Sheet1!$A:$AO,36,FALSE)</f>
        <v>45383</v>
      </c>
      <c r="AK627" s="576">
        <f>VLOOKUP(Table13[[#This Row],[Column1]],[1]Sheet1!$A:$AO,37,FALSE)</f>
        <v>45383</v>
      </c>
      <c r="AL627" s="576">
        <f>VLOOKUP(Table13[[#This Row],[Column1]],[1]Sheet1!$A:$AO,38,FALSE)</f>
        <v>45383</v>
      </c>
      <c r="AM627" s="576" t="str">
        <f>VLOOKUP(Table13[[#This Row],[Column1]],[1]Sheet1!$A:$AO,39,FALSE)</f>
        <v>N/A</v>
      </c>
      <c r="AN627" s="576" t="s">
        <v>713</v>
      </c>
      <c r="AO627" s="306" t="s">
        <v>919</v>
      </c>
      <c r="AP627" s="378"/>
      <c r="AQ627" s="237"/>
    </row>
    <row r="628" spans="1:43" s="238" customFormat="1" ht="75" customHeight="1" thickBot="1" x14ac:dyDescent="0.3">
      <c r="A628" s="297" t="s">
        <v>829</v>
      </c>
      <c r="B628" s="627" t="str">
        <f>VLOOKUP(Table13[[#This Row],[Column1]],[1]Sheet1!$A:$AO,2,FALSE)</f>
        <v>LANDRACE HYBRID PIGLET</v>
      </c>
      <c r="C628" s="298" t="str">
        <f>VLOOKUP(Table13[[#This Row],[Column1]],[1]Sheet1!$A:$AO,3,FALSE)</f>
        <v>PVO</v>
      </c>
      <c r="D628" s="298" t="s">
        <v>712</v>
      </c>
      <c r="E628" s="450" t="str">
        <f>VLOOKUP(Table13[[#This Row],[Column1]],[1]Sheet1!$A:$AO,5,FALSE)</f>
        <v>Competitive Bidding</v>
      </c>
      <c r="F628" s="446">
        <f>VLOOKUP(Table13[[#This Row],[Column1]],[1]Sheet1!$A:$AO,6,FALSE)</f>
        <v>45370</v>
      </c>
      <c r="G628" s="402">
        <f>VLOOKUP(Table13[[#This Row],[Column1]],[1]Sheet1!$A:$AO,7,FALSE)</f>
        <v>45376</v>
      </c>
      <c r="H628" s="374"/>
      <c r="I628" s="402" t="str">
        <f>VLOOKUP(Table13[[#This Row],[Column1]],[1]Sheet1!$A:$AO,9,FALSE)</f>
        <v>N/A</v>
      </c>
      <c r="J628" s="402">
        <f>VLOOKUP(Table13[[#This Row],[Column1]],[1]Sheet1!$A:$AO,10,FALSE)</f>
        <v>45384</v>
      </c>
      <c r="K628" s="402">
        <f>VLOOKUP(Table13[[#This Row],[Column1]],[1]Sheet1!$A:$AO,11,FALSE)</f>
        <v>45384</v>
      </c>
      <c r="L628" s="404"/>
      <c r="M628" s="402">
        <f>VLOOKUP(Table13[[#This Row],[Column1]],[1]Sheet1!$A:$AO,13,FALSE)</f>
        <v>45384</v>
      </c>
      <c r="N628" s="402">
        <f>VLOOKUP(Table13[[#This Row],[Column1]],[1]Sheet1!$A:$AO,14,FALSE)</f>
        <v>45400</v>
      </c>
      <c r="O628" s="402">
        <f>VLOOKUP(Table13[[#This Row],[Column1]],[1]Sheet1!$A:$AO,15,FALSE)</f>
        <v>45411</v>
      </c>
      <c r="P628" s="375"/>
      <c r="Q628" s="375"/>
      <c r="R628" s="376"/>
      <c r="S628" s="583">
        <v>45418</v>
      </c>
      <c r="T628" s="583">
        <f>VLOOKUP(Table13[[#This Row],[Column1]],[1]Sheet1!$A:$AO,20,FALSE)</f>
        <v>45432</v>
      </c>
      <c r="U628" s="583">
        <f>VLOOKUP(Table13[[#This Row],[Column1]],[1]Sheet1!$A:$AO,21,FALSE)</f>
        <v>45446</v>
      </c>
      <c r="V628" s="376"/>
      <c r="W628" s="376"/>
      <c r="X628" s="402"/>
      <c r="Y628" s="402"/>
      <c r="Z628" s="610" t="s">
        <v>1478</v>
      </c>
      <c r="AA628" s="532">
        <f>IF(Table13[[#This Row],[Column2]]="","",SUM(Table13[[#This Row],[Column28]]+Table13[[#This Row],[Column29]]))</f>
        <v>240000</v>
      </c>
      <c r="AB628" s="537"/>
      <c r="AC628" s="502">
        <v>240000</v>
      </c>
      <c r="AD628" s="532">
        <f>IF(Table13[[#This Row],[Column2]]="","",SUM(Table13[[#This Row],[Column31]]+Table13[[#This Row],[Column32]]))</f>
        <v>239980</v>
      </c>
      <c r="AE628" s="501"/>
      <c r="AF628" s="540">
        <v>239980</v>
      </c>
      <c r="AG628" s="405"/>
      <c r="AH628" s="380" t="s">
        <v>1205</v>
      </c>
      <c r="AI628" s="576" t="str">
        <f>VLOOKUP(Table13[[#This Row],[Column1]],[1]Sheet1!$A:$AO,35,FALSE)</f>
        <v>N/A</v>
      </c>
      <c r="AJ628" s="576">
        <f>VLOOKUP(Table13[[#This Row],[Column1]],[1]Sheet1!$A:$AO,36,FALSE)</f>
        <v>45383</v>
      </c>
      <c r="AK628" s="576">
        <f>VLOOKUP(Table13[[#This Row],[Column1]],[1]Sheet1!$A:$AO,37,FALSE)</f>
        <v>45383</v>
      </c>
      <c r="AL628" s="576">
        <f>VLOOKUP(Table13[[#This Row],[Column1]],[1]Sheet1!$A:$AO,38,FALSE)</f>
        <v>45383</v>
      </c>
      <c r="AM628" s="576" t="str">
        <f>VLOOKUP(Table13[[#This Row],[Column1]],[1]Sheet1!$A:$AO,39,FALSE)</f>
        <v>N/A</v>
      </c>
      <c r="AN628" s="576" t="s">
        <v>713</v>
      </c>
      <c r="AO628" s="306" t="s">
        <v>919</v>
      </c>
      <c r="AP628" s="378"/>
      <c r="AQ628" s="237"/>
    </row>
    <row r="629" spans="1:43" s="238" customFormat="1" ht="75" customHeight="1" thickBot="1" x14ac:dyDescent="0.3">
      <c r="A629" s="297" t="s">
        <v>830</v>
      </c>
      <c r="B629" s="627" t="str">
        <f>VLOOKUP(Table13[[#This Row],[Column1]],[1]Sheet1!$A:$AO,2,FALSE)</f>
        <v>SEEDLINGS</v>
      </c>
      <c r="C629" s="298" t="str">
        <f>VLOOKUP(Table13[[#This Row],[Column1]],[1]Sheet1!$A:$AO,3,FALSE)</f>
        <v>PENRO</v>
      </c>
      <c r="D629" s="298" t="s">
        <v>712</v>
      </c>
      <c r="E629" s="450" t="str">
        <f>VLOOKUP(Table13[[#This Row],[Column1]],[1]Sheet1!$A:$AO,5,FALSE)</f>
        <v>Competitive Bidding</v>
      </c>
      <c r="F629" s="446" t="str">
        <f>VLOOKUP(Table13[[#This Row],[Column1]],[1]Sheet1!$A:$AO,6,FALSE)</f>
        <v>N/A</v>
      </c>
      <c r="G629" s="402">
        <f>VLOOKUP(Table13[[#This Row],[Column1]],[1]Sheet1!$A:$AO,7,FALSE)</f>
        <v>45348</v>
      </c>
      <c r="H629" s="374"/>
      <c r="I629" s="402" t="str">
        <f>VLOOKUP(Table13[[#This Row],[Column1]],[1]Sheet1!$A:$AO,9,FALSE)</f>
        <v>N/A</v>
      </c>
      <c r="J629" s="402">
        <f>VLOOKUP(Table13[[#This Row],[Column1]],[1]Sheet1!$A:$AO,10,FALSE)</f>
        <v>45384</v>
      </c>
      <c r="K629" s="402">
        <f>VLOOKUP(Table13[[#This Row],[Column1]],[1]Sheet1!$A:$AO,11,FALSE)</f>
        <v>45384</v>
      </c>
      <c r="L629" s="404"/>
      <c r="M629" s="402">
        <f>VLOOKUP(Table13[[#This Row],[Column1]],[1]Sheet1!$A:$AO,13,FALSE)</f>
        <v>45384</v>
      </c>
      <c r="N629" s="402">
        <f>VLOOKUP(Table13[[#This Row],[Column1]],[1]Sheet1!$A:$AO,14,FALSE)</f>
        <v>45401</v>
      </c>
      <c r="O629" s="402">
        <f>VLOOKUP(Table13[[#This Row],[Column1]],[1]Sheet1!$A:$AO,15,FALSE)</f>
        <v>45411</v>
      </c>
      <c r="P629" s="375"/>
      <c r="Q629" s="375"/>
      <c r="R629" s="376"/>
      <c r="S629" s="583">
        <v>45419</v>
      </c>
      <c r="T629" s="583">
        <f>VLOOKUP(Table13[[#This Row],[Column1]],[1]Sheet1!$A:$AO,20,FALSE)</f>
        <v>45434</v>
      </c>
      <c r="U629" s="583">
        <f>VLOOKUP(Table13[[#This Row],[Column1]],[1]Sheet1!$A:$AO,21,FALSE)</f>
        <v>45463</v>
      </c>
      <c r="V629" s="376"/>
      <c r="W629" s="376"/>
      <c r="X629" s="402"/>
      <c r="Y629" s="402"/>
      <c r="Z629" s="610" t="s">
        <v>1478</v>
      </c>
      <c r="AA629" s="532">
        <f>IF(Table13[[#This Row],[Column2]]="","",SUM(Table13[[#This Row],[Column28]]+Table13[[#This Row],[Column29]]))</f>
        <v>879990</v>
      </c>
      <c r="AB629" s="537"/>
      <c r="AC629" s="502">
        <v>879990</v>
      </c>
      <c r="AD629" s="532">
        <f>IF(Table13[[#This Row],[Column2]]="","",SUM(Table13[[#This Row],[Column31]]+Table13[[#This Row],[Column32]]))</f>
        <v>844726</v>
      </c>
      <c r="AE629" s="501"/>
      <c r="AF629" s="540">
        <v>844726</v>
      </c>
      <c r="AG629" s="405"/>
      <c r="AH629" s="380" t="s">
        <v>1205</v>
      </c>
      <c r="AI629" s="576" t="str">
        <f>VLOOKUP(Table13[[#This Row],[Column1]],[1]Sheet1!$A:$AO,35,FALSE)</f>
        <v>N/A</v>
      </c>
      <c r="AJ629" s="576">
        <f>VLOOKUP(Table13[[#This Row],[Column1]],[1]Sheet1!$A:$AO,36,FALSE)</f>
        <v>45383</v>
      </c>
      <c r="AK629" s="576">
        <f>VLOOKUP(Table13[[#This Row],[Column1]],[1]Sheet1!$A:$AO,37,FALSE)</f>
        <v>45383</v>
      </c>
      <c r="AL629" s="576">
        <f>VLOOKUP(Table13[[#This Row],[Column1]],[1]Sheet1!$A:$AO,38,FALSE)</f>
        <v>45383</v>
      </c>
      <c r="AM629" s="576" t="str">
        <f>VLOOKUP(Table13[[#This Row],[Column1]],[1]Sheet1!$A:$AO,39,FALSE)</f>
        <v>N/A</v>
      </c>
      <c r="AN629" s="576" t="s">
        <v>713</v>
      </c>
      <c r="AO629" s="306" t="s">
        <v>919</v>
      </c>
      <c r="AP629" s="378"/>
      <c r="AQ629" s="237"/>
    </row>
    <row r="630" spans="1:43" s="238" customFormat="1" ht="75" customHeight="1" thickBot="1" x14ac:dyDescent="0.3">
      <c r="A630" s="297" t="s">
        <v>831</v>
      </c>
      <c r="B630" s="627" t="str">
        <f>VLOOKUP(Table13[[#This Row],[Column1]],[1]Sheet1!$A:$AO,2,FALSE)</f>
        <v>OFFICE SUPPLIES</v>
      </c>
      <c r="C630" s="298" t="str">
        <f>VLOOKUP(Table13[[#This Row],[Column1]],[1]Sheet1!$A:$AO,3,FALSE)</f>
        <v>PAO</v>
      </c>
      <c r="D630" s="298" t="s">
        <v>712</v>
      </c>
      <c r="E630" s="450" t="str">
        <f>VLOOKUP(Table13[[#This Row],[Column1]],[1]Sheet1!$A:$AO,5,FALSE)</f>
        <v>Shopping 52.1(b) - Regular Office Supplies and Equipment no available in PS</v>
      </c>
      <c r="F630" s="446" t="str">
        <f>VLOOKUP(Table13[[#This Row],[Column1]],[1]Sheet1!$A:$AO,6,FALSE)</f>
        <v>N/A</v>
      </c>
      <c r="G630" s="402">
        <f>VLOOKUP(Table13[[#This Row],[Column1]],[1]Sheet1!$A:$AO,7,FALSE)</f>
        <v>45376</v>
      </c>
      <c r="H630" s="374"/>
      <c r="I630" s="402" t="str">
        <f>VLOOKUP(Table13[[#This Row],[Column1]],[1]Sheet1!$A:$AO,9,FALSE)</f>
        <v>N/A</v>
      </c>
      <c r="J630" s="402">
        <f>VLOOKUP(Table13[[#This Row],[Column1]],[1]Sheet1!$A:$AO,10,FALSE)</f>
        <v>45407</v>
      </c>
      <c r="K630" s="402">
        <f>VLOOKUP(Table13[[#This Row],[Column1]],[1]Sheet1!$A:$AO,11,FALSE)</f>
        <v>45407</v>
      </c>
      <c r="L630" s="404"/>
      <c r="M630" s="402" t="str">
        <f>VLOOKUP(Table13[[#This Row],[Column1]],[1]Sheet1!$A:$AO,13,FALSE)</f>
        <v>N/A</v>
      </c>
      <c r="N630" s="402" t="str">
        <f>VLOOKUP(Table13[[#This Row],[Column1]],[1]Sheet1!$A:$AO,14,FALSE)</f>
        <v>N/A</v>
      </c>
      <c r="O630" s="402">
        <f>VLOOKUP(Table13[[#This Row],[Column1]],[1]Sheet1!$A:$AO,15,FALSE)</f>
        <v>45411</v>
      </c>
      <c r="P630" s="375"/>
      <c r="Q630" s="375"/>
      <c r="R630" s="376"/>
      <c r="S630" s="583">
        <v>45419</v>
      </c>
      <c r="T630" s="583">
        <f>VLOOKUP(Table13[[#This Row],[Column1]],[1]Sheet1!$A:$AO,20,FALSE)</f>
        <v>45425</v>
      </c>
      <c r="U630" s="583">
        <f>VLOOKUP(Table13[[#This Row],[Column1]],[1]Sheet1!$A:$AO,21,FALSE)</f>
        <v>45446</v>
      </c>
      <c r="V630" s="376"/>
      <c r="W630" s="376"/>
      <c r="X630" s="402"/>
      <c r="Y630" s="402"/>
      <c r="Z630" s="610" t="s">
        <v>1478</v>
      </c>
      <c r="AA630" s="532">
        <f>IF(Table13[[#This Row],[Column2]]="","",SUM(Table13[[#This Row],[Column28]]+Table13[[#This Row],[Column29]]))</f>
        <v>227776.5</v>
      </c>
      <c r="AB630" s="537">
        <v>227776.5</v>
      </c>
      <c r="AC630" s="502"/>
      <c r="AD630" s="532">
        <f>IF(Table13[[#This Row],[Column2]]="","",SUM(Table13[[#This Row],[Column31]]+Table13[[#This Row],[Column32]]))</f>
        <v>221394.1</v>
      </c>
      <c r="AE630" s="501">
        <v>221394.1</v>
      </c>
      <c r="AF630" s="541"/>
      <c r="AG630" s="405"/>
      <c r="AH630" s="380" t="s">
        <v>1205</v>
      </c>
      <c r="AI630" s="576" t="str">
        <f>VLOOKUP(Table13[[#This Row],[Column1]],[1]Sheet1!$A:$AO,35,FALSE)</f>
        <v>N/A</v>
      </c>
      <c r="AJ630" s="576" t="str">
        <f>VLOOKUP(Table13[[#This Row],[Column1]],[1]Sheet1!$A:$AO,36,FALSE)</f>
        <v>N/A</v>
      </c>
      <c r="AK630" s="576" t="str">
        <f>VLOOKUP(Table13[[#This Row],[Column1]],[1]Sheet1!$A:$AO,37,FALSE)</f>
        <v>N/A</v>
      </c>
      <c r="AL630" s="576" t="str">
        <f>VLOOKUP(Table13[[#This Row],[Column1]],[1]Sheet1!$A:$AO,38,FALSE)</f>
        <v>N/A</v>
      </c>
      <c r="AM630" s="576" t="str">
        <f>VLOOKUP(Table13[[#This Row],[Column1]],[1]Sheet1!$A:$AO,39,FALSE)</f>
        <v>N/A</v>
      </c>
      <c r="AN630" s="576" t="s">
        <v>713</v>
      </c>
      <c r="AO630" s="306" t="s">
        <v>919</v>
      </c>
      <c r="AP630" s="378"/>
      <c r="AQ630" s="237"/>
    </row>
    <row r="631" spans="1:43" s="238" customFormat="1" ht="75" customHeight="1" thickBot="1" x14ac:dyDescent="0.3">
      <c r="A631" s="297" t="s">
        <v>832</v>
      </c>
      <c r="B631" s="627" t="str">
        <f>VLOOKUP(Table13[[#This Row],[Column1]],[1]Sheet1!$A:$AO,2,FALSE)</f>
        <v>FOOD/CATERING SERVICES</v>
      </c>
      <c r="C631" s="298" t="str">
        <f>VLOOKUP(Table13[[#This Row],[Column1]],[1]Sheet1!$A:$AO,3,FALSE)</f>
        <v>PGO</v>
      </c>
      <c r="D631" s="298" t="s">
        <v>712</v>
      </c>
      <c r="E631" s="450" t="str">
        <f>VLOOKUP(Table13[[#This Row],[Column1]],[1]Sheet1!$A:$AO,5,FALSE)</f>
        <v>NP-53.9 - Small Value Procurement</v>
      </c>
      <c r="F631" s="446">
        <f>VLOOKUP(Table13[[#This Row],[Column1]],[1]Sheet1!$A:$AO,6,FALSE)</f>
        <v>45373</v>
      </c>
      <c r="G631" s="402">
        <f>VLOOKUP(Table13[[#This Row],[Column1]],[1]Sheet1!$A:$AO,7,FALSE)</f>
        <v>45384</v>
      </c>
      <c r="H631" s="374"/>
      <c r="I631" s="402" t="str">
        <f>VLOOKUP(Table13[[#This Row],[Column1]],[1]Sheet1!$A:$AO,9,FALSE)</f>
        <v>N/A</v>
      </c>
      <c r="J631" s="402">
        <f>VLOOKUP(Table13[[#This Row],[Column1]],[1]Sheet1!$A:$AO,10,FALSE)</f>
        <v>45407</v>
      </c>
      <c r="K631" s="402">
        <f>VLOOKUP(Table13[[#This Row],[Column1]],[1]Sheet1!$A:$AO,11,FALSE)</f>
        <v>45407</v>
      </c>
      <c r="L631" s="404"/>
      <c r="M631" s="402" t="str">
        <f>VLOOKUP(Table13[[#This Row],[Column1]],[1]Sheet1!$A:$AO,13,FALSE)</f>
        <v>N/A</v>
      </c>
      <c r="N631" s="402" t="str">
        <f>VLOOKUP(Table13[[#This Row],[Column1]],[1]Sheet1!$A:$AO,14,FALSE)</f>
        <v>N/A</v>
      </c>
      <c r="O631" s="402">
        <f>VLOOKUP(Table13[[#This Row],[Column1]],[1]Sheet1!$A:$AO,15,FALSE)</f>
        <v>45411</v>
      </c>
      <c r="P631" s="375"/>
      <c r="Q631" s="375"/>
      <c r="R631" s="376"/>
      <c r="S631" s="583">
        <v>45419</v>
      </c>
      <c r="T631" s="583">
        <f>VLOOKUP(Table13[[#This Row],[Column1]],[1]Sheet1!$A:$AO,20,FALSE)</f>
        <v>45425</v>
      </c>
      <c r="U631" s="583">
        <f>VLOOKUP(Table13[[#This Row],[Column1]],[1]Sheet1!$A:$AO,21,FALSE)</f>
        <v>45435</v>
      </c>
      <c r="V631" s="376"/>
      <c r="W631" s="376"/>
      <c r="X631" s="402"/>
      <c r="Y631" s="402"/>
      <c r="Z631" s="610" t="s">
        <v>1478</v>
      </c>
      <c r="AA631" s="532">
        <f>IF(Table13[[#This Row],[Column2]]="","",SUM(Table13[[#This Row],[Column28]]+Table13[[#This Row],[Column29]]))</f>
        <v>68000</v>
      </c>
      <c r="AB631" s="537">
        <v>68000</v>
      </c>
      <c r="AC631" s="502"/>
      <c r="AD631" s="532">
        <f>IF(Table13[[#This Row],[Column2]]="","",SUM(Table13[[#This Row],[Column31]]+Table13[[#This Row],[Column32]]))</f>
        <v>67600</v>
      </c>
      <c r="AE631" s="501">
        <v>67600</v>
      </c>
      <c r="AF631" s="541"/>
      <c r="AG631" s="405"/>
      <c r="AH631" s="380" t="s">
        <v>1205</v>
      </c>
      <c r="AI631" s="576" t="str">
        <f>VLOOKUP(Table13[[#This Row],[Column1]],[1]Sheet1!$A:$AO,35,FALSE)</f>
        <v>N/A</v>
      </c>
      <c r="AJ631" s="576" t="str">
        <f>VLOOKUP(Table13[[#This Row],[Column1]],[1]Sheet1!$A:$AO,36,FALSE)</f>
        <v>N/A</v>
      </c>
      <c r="AK631" s="576" t="str">
        <f>VLOOKUP(Table13[[#This Row],[Column1]],[1]Sheet1!$A:$AO,37,FALSE)</f>
        <v>N/A</v>
      </c>
      <c r="AL631" s="576" t="str">
        <f>VLOOKUP(Table13[[#This Row],[Column1]],[1]Sheet1!$A:$AO,38,FALSE)</f>
        <v>N/A</v>
      </c>
      <c r="AM631" s="576" t="str">
        <f>VLOOKUP(Table13[[#This Row],[Column1]],[1]Sheet1!$A:$AO,39,FALSE)</f>
        <v>N/A</v>
      </c>
      <c r="AN631" s="576" t="s">
        <v>713</v>
      </c>
      <c r="AO631" s="306" t="s">
        <v>919</v>
      </c>
      <c r="AP631" s="378"/>
      <c r="AQ631" s="237"/>
    </row>
    <row r="632" spans="1:43" s="238" customFormat="1" ht="75" customHeight="1" thickBot="1" x14ac:dyDescent="0.3">
      <c r="A632" s="297" t="s">
        <v>833</v>
      </c>
      <c r="B632" s="627" t="str">
        <f>VLOOKUP(Table13[[#This Row],[Column1]],[1]Sheet1!$A:$AO,2,FALSE)</f>
        <v>SPAREPARTS (AIRCONDITION)</v>
      </c>
      <c r="C632" s="298" t="str">
        <f>VLOOKUP(Table13[[#This Row],[Column1]],[1]Sheet1!$A:$AO,3,FALSE)</f>
        <v>PGSO</v>
      </c>
      <c r="D632" s="298" t="s">
        <v>712</v>
      </c>
      <c r="E632" s="450" t="str">
        <f>VLOOKUP(Table13[[#This Row],[Column1]],[1]Sheet1!$A:$AO,5,FALSE)</f>
        <v>NP-53.9 - Small Value Procurement</v>
      </c>
      <c r="F632" s="446" t="str">
        <f>VLOOKUP(Table13[[#This Row],[Column1]],[1]Sheet1!$A:$AO,6,FALSE)</f>
        <v>N/A</v>
      </c>
      <c r="G632" s="402">
        <f>VLOOKUP(Table13[[#This Row],[Column1]],[1]Sheet1!$A:$AO,7,FALSE)</f>
        <v>45376</v>
      </c>
      <c r="H632" s="374"/>
      <c r="I632" s="402" t="str">
        <f>VLOOKUP(Table13[[#This Row],[Column1]],[1]Sheet1!$A:$AO,9,FALSE)</f>
        <v>N/A</v>
      </c>
      <c r="J632" s="402">
        <f>VLOOKUP(Table13[[#This Row],[Column1]],[1]Sheet1!$A:$AO,10,FALSE)</f>
        <v>45407</v>
      </c>
      <c r="K632" s="402">
        <f>VLOOKUP(Table13[[#This Row],[Column1]],[1]Sheet1!$A:$AO,11,FALSE)</f>
        <v>45407</v>
      </c>
      <c r="L632" s="404"/>
      <c r="M632" s="402" t="str">
        <f>VLOOKUP(Table13[[#This Row],[Column1]],[1]Sheet1!$A:$AO,13,FALSE)</f>
        <v>N/A</v>
      </c>
      <c r="N632" s="402" t="str">
        <f>VLOOKUP(Table13[[#This Row],[Column1]],[1]Sheet1!$A:$AO,14,FALSE)</f>
        <v>N/A</v>
      </c>
      <c r="O632" s="402">
        <f>VLOOKUP(Table13[[#This Row],[Column1]],[1]Sheet1!$A:$AO,15,FALSE)</f>
        <v>45411</v>
      </c>
      <c r="P632" s="375"/>
      <c r="Q632" s="375"/>
      <c r="R632" s="376"/>
      <c r="S632" s="583">
        <v>45418</v>
      </c>
      <c r="T632" s="583">
        <f>VLOOKUP(Table13[[#This Row],[Column1]],[1]Sheet1!$A:$AO,20,FALSE)</f>
        <v>45425</v>
      </c>
      <c r="U632" s="583">
        <f>VLOOKUP(Table13[[#This Row],[Column1]],[1]Sheet1!$A:$AO,21,FALSE)</f>
        <v>45448</v>
      </c>
      <c r="V632" s="376"/>
      <c r="W632" s="376"/>
      <c r="X632" s="402"/>
      <c r="Y632" s="402"/>
      <c r="Z632" s="610" t="s">
        <v>1478</v>
      </c>
      <c r="AA632" s="532">
        <f>IF(Table13[[#This Row],[Column2]]="","",SUM(Table13[[#This Row],[Column28]]+Table13[[#This Row],[Column29]]))</f>
        <v>173316</v>
      </c>
      <c r="AB632" s="537">
        <v>173316</v>
      </c>
      <c r="AC632" s="502"/>
      <c r="AD632" s="532">
        <f>IF(Table13[[#This Row],[Column2]]="","",SUM(Table13[[#This Row],[Column31]]+Table13[[#This Row],[Column32]]))</f>
        <v>153764</v>
      </c>
      <c r="AE632" s="501">
        <v>153764</v>
      </c>
      <c r="AF632" s="541"/>
      <c r="AG632" s="405"/>
      <c r="AH632" s="380" t="s">
        <v>1205</v>
      </c>
      <c r="AI632" s="576" t="str">
        <f>VLOOKUP(Table13[[#This Row],[Column1]],[1]Sheet1!$A:$AO,35,FALSE)</f>
        <v>N/A</v>
      </c>
      <c r="AJ632" s="576" t="str">
        <f>VLOOKUP(Table13[[#This Row],[Column1]],[1]Sheet1!$A:$AO,36,FALSE)</f>
        <v>N/A</v>
      </c>
      <c r="AK632" s="576" t="str">
        <f>VLOOKUP(Table13[[#This Row],[Column1]],[1]Sheet1!$A:$AO,37,FALSE)</f>
        <v>N/A</v>
      </c>
      <c r="AL632" s="576" t="str">
        <f>VLOOKUP(Table13[[#This Row],[Column1]],[1]Sheet1!$A:$AO,38,FALSE)</f>
        <v>N/A</v>
      </c>
      <c r="AM632" s="576" t="str">
        <f>VLOOKUP(Table13[[#This Row],[Column1]],[1]Sheet1!$A:$AO,39,FALSE)</f>
        <v>N/A</v>
      </c>
      <c r="AN632" s="576" t="s">
        <v>713</v>
      </c>
      <c r="AO632" s="306" t="s">
        <v>919</v>
      </c>
      <c r="AP632" s="378"/>
      <c r="AQ632" s="237"/>
    </row>
    <row r="633" spans="1:43" s="238" customFormat="1" ht="75" customHeight="1" thickBot="1" x14ac:dyDescent="0.3">
      <c r="A633" s="297" t="s">
        <v>834</v>
      </c>
      <c r="B633" s="627" t="str">
        <f>VLOOKUP(Table13[[#This Row],[Column1]],[1]Sheet1!$A:$AO,2,FALSE)</f>
        <v>FOOD/CATERING SERVICES</v>
      </c>
      <c r="C633" s="298" t="str">
        <f>VLOOKUP(Table13[[#This Row],[Column1]],[1]Sheet1!$A:$AO,3,FALSE)</f>
        <v>PAGRO</v>
      </c>
      <c r="D633" s="298" t="s">
        <v>712</v>
      </c>
      <c r="E633" s="450" t="str">
        <f>VLOOKUP(Table13[[#This Row],[Column1]],[1]Sheet1!$A:$AO,5,FALSE)</f>
        <v>NP-53.9 - Small Value Procurement</v>
      </c>
      <c r="F633" s="446">
        <f>VLOOKUP(Table13[[#This Row],[Column1]],[1]Sheet1!$A:$AO,6,FALSE)</f>
        <v>45384</v>
      </c>
      <c r="G633" s="402">
        <f>VLOOKUP(Table13[[#This Row],[Column1]],[1]Sheet1!$A:$AO,7,FALSE)</f>
        <v>45390</v>
      </c>
      <c r="H633" s="374"/>
      <c r="I633" s="402" t="str">
        <f>VLOOKUP(Table13[[#This Row],[Column1]],[1]Sheet1!$A:$AO,9,FALSE)</f>
        <v>N/A</v>
      </c>
      <c r="J633" s="402">
        <f>VLOOKUP(Table13[[#This Row],[Column1]],[1]Sheet1!$A:$AO,10,FALSE)</f>
        <v>45407</v>
      </c>
      <c r="K633" s="402">
        <f>VLOOKUP(Table13[[#This Row],[Column1]],[1]Sheet1!$A:$AO,11,FALSE)</f>
        <v>45407</v>
      </c>
      <c r="L633" s="404"/>
      <c r="M633" s="402" t="str">
        <f>VLOOKUP(Table13[[#This Row],[Column1]],[1]Sheet1!$A:$AO,13,FALSE)</f>
        <v>N/A</v>
      </c>
      <c r="N633" s="402" t="str">
        <f>VLOOKUP(Table13[[#This Row],[Column1]],[1]Sheet1!$A:$AO,14,FALSE)</f>
        <v>N/A</v>
      </c>
      <c r="O633" s="402">
        <f>VLOOKUP(Table13[[#This Row],[Column1]],[1]Sheet1!$A:$AO,15,FALSE)</f>
        <v>45411</v>
      </c>
      <c r="P633" s="375"/>
      <c r="Q633" s="375"/>
      <c r="R633" s="376"/>
      <c r="S633" s="583" t="s">
        <v>713</v>
      </c>
      <c r="T633" s="583">
        <f>VLOOKUP(Table13[[#This Row],[Column1]],[1]Sheet1!$A:$AO,20,FALSE)</f>
        <v>45432</v>
      </c>
      <c r="U633" s="583">
        <f>VLOOKUP(Table13[[#This Row],[Column1]],[1]Sheet1!$A:$AO,21,FALSE)</f>
        <v>45435</v>
      </c>
      <c r="V633" s="376"/>
      <c r="W633" s="376"/>
      <c r="X633" s="402"/>
      <c r="Y633" s="402"/>
      <c r="Z633" s="610" t="s">
        <v>1478</v>
      </c>
      <c r="AA633" s="532">
        <f>IF(Table13[[#This Row],[Column2]]="","",SUM(Table13[[#This Row],[Column28]]+Table13[[#This Row],[Column29]]))</f>
        <v>46000</v>
      </c>
      <c r="AB633" s="537"/>
      <c r="AC633" s="502">
        <v>46000</v>
      </c>
      <c r="AD633" s="532">
        <f>IF(Table13[[#This Row],[Column2]]="","",SUM(Table13[[#This Row],[Column31]]+Table13[[#This Row],[Column32]]))</f>
        <v>46000</v>
      </c>
      <c r="AE633" s="501"/>
      <c r="AF633" s="541">
        <v>46000</v>
      </c>
      <c r="AG633" s="405"/>
      <c r="AH633" s="380" t="s">
        <v>1205</v>
      </c>
      <c r="AI633" s="576" t="str">
        <f>VLOOKUP(Table13[[#This Row],[Column1]],[1]Sheet1!$A:$AO,35,FALSE)</f>
        <v>N/A</v>
      </c>
      <c r="AJ633" s="576" t="str">
        <f>VLOOKUP(Table13[[#This Row],[Column1]],[1]Sheet1!$A:$AO,36,FALSE)</f>
        <v>N/A</v>
      </c>
      <c r="AK633" s="576" t="str">
        <f>VLOOKUP(Table13[[#This Row],[Column1]],[1]Sheet1!$A:$AO,37,FALSE)</f>
        <v>N/A</v>
      </c>
      <c r="AL633" s="576" t="str">
        <f>VLOOKUP(Table13[[#This Row],[Column1]],[1]Sheet1!$A:$AO,38,FALSE)</f>
        <v>N/A</v>
      </c>
      <c r="AM633" s="576" t="str">
        <f>VLOOKUP(Table13[[#This Row],[Column1]],[1]Sheet1!$A:$AO,39,FALSE)</f>
        <v>N/A</v>
      </c>
      <c r="AN633" s="576" t="s">
        <v>713</v>
      </c>
      <c r="AO633" s="306" t="s">
        <v>919</v>
      </c>
      <c r="AP633" s="378"/>
      <c r="AQ633" s="237"/>
    </row>
    <row r="634" spans="1:43" s="238" customFormat="1" ht="75" customHeight="1" thickBot="1" x14ac:dyDescent="0.3">
      <c r="A634" s="297" t="s">
        <v>835</v>
      </c>
      <c r="B634" s="627" t="str">
        <f>VLOOKUP(Table13[[#This Row],[Column1]],[1]Sheet1!$A:$AO,2,FALSE)</f>
        <v>CARD, TAX</v>
      </c>
      <c r="C634" s="298" t="str">
        <f>VLOOKUP(Table13[[#This Row],[Column1]],[1]Sheet1!$A:$AO,3,FALSE)</f>
        <v>PTO</v>
      </c>
      <c r="D634" s="298" t="s">
        <v>712</v>
      </c>
      <c r="E634" s="450" t="str">
        <f>VLOOKUP(Table13[[#This Row],[Column1]],[1]Sheet1!$A:$AO,5,FALSE)</f>
        <v>NP-53.9 - Small Value Procurement</v>
      </c>
      <c r="F634" s="446">
        <f>VLOOKUP(Table13[[#This Row],[Column1]],[1]Sheet1!$A:$AO,6,FALSE)</f>
        <v>45370</v>
      </c>
      <c r="G634" s="402">
        <f>VLOOKUP(Table13[[#This Row],[Column1]],[1]Sheet1!$A:$AO,7,FALSE)</f>
        <v>45376</v>
      </c>
      <c r="H634" s="374"/>
      <c r="I634" s="402" t="str">
        <f>VLOOKUP(Table13[[#This Row],[Column1]],[1]Sheet1!$A:$AO,9,FALSE)</f>
        <v>N/A</v>
      </c>
      <c r="J634" s="402">
        <f>VLOOKUP(Table13[[#This Row],[Column1]],[1]Sheet1!$A:$AO,10,FALSE)</f>
        <v>45407</v>
      </c>
      <c r="K634" s="402">
        <f>VLOOKUP(Table13[[#This Row],[Column1]],[1]Sheet1!$A:$AO,11,FALSE)</f>
        <v>45407</v>
      </c>
      <c r="L634" s="404"/>
      <c r="M634" s="402" t="str">
        <f>VLOOKUP(Table13[[#This Row],[Column1]],[1]Sheet1!$A:$AO,13,FALSE)</f>
        <v>N/A</v>
      </c>
      <c r="N634" s="402" t="str">
        <f>VLOOKUP(Table13[[#This Row],[Column1]],[1]Sheet1!$A:$AO,14,FALSE)</f>
        <v>N/A</v>
      </c>
      <c r="O634" s="402">
        <f>VLOOKUP(Table13[[#This Row],[Column1]],[1]Sheet1!$A:$AO,15,FALSE)</f>
        <v>45411</v>
      </c>
      <c r="P634" s="375"/>
      <c r="Q634" s="375"/>
      <c r="R634" s="376"/>
      <c r="S634" s="583" t="s">
        <v>713</v>
      </c>
      <c r="T634" s="583">
        <f>VLOOKUP(Table13[[#This Row],[Column1]],[1]Sheet1!$A:$AO,20,FALSE)</f>
        <v>45429</v>
      </c>
      <c r="U634" s="583">
        <f>VLOOKUP(Table13[[#This Row],[Column1]],[1]Sheet1!$A:$AO,21,FALSE)</f>
        <v>45433</v>
      </c>
      <c r="V634" s="376"/>
      <c r="W634" s="376"/>
      <c r="X634" s="402"/>
      <c r="Y634" s="402"/>
      <c r="Z634" s="610" t="s">
        <v>1478</v>
      </c>
      <c r="AA634" s="532">
        <f>IF(Table13[[#This Row],[Column2]]="","",SUM(Table13[[#This Row],[Column28]]+Table13[[#This Row],[Column29]]))</f>
        <v>5500</v>
      </c>
      <c r="AB634" s="537">
        <v>5500</v>
      </c>
      <c r="AC634" s="502"/>
      <c r="AD634" s="532">
        <f>IF(Table13[[#This Row],[Column2]]="","",SUM(Table13[[#This Row],[Column31]]+Table13[[#This Row],[Column32]]))</f>
        <v>0</v>
      </c>
      <c r="AE634" s="501"/>
      <c r="AF634" s="541"/>
      <c r="AG634" s="405"/>
      <c r="AH634" s="380" t="s">
        <v>1205</v>
      </c>
      <c r="AI634" s="576" t="str">
        <f>VLOOKUP(Table13[[#This Row],[Column1]],[1]Sheet1!$A:$AO,35,FALSE)</f>
        <v>N/A</v>
      </c>
      <c r="AJ634" s="576" t="str">
        <f>VLOOKUP(Table13[[#This Row],[Column1]],[1]Sheet1!$A:$AO,36,FALSE)</f>
        <v>N/A</v>
      </c>
      <c r="AK634" s="576" t="str">
        <f>VLOOKUP(Table13[[#This Row],[Column1]],[1]Sheet1!$A:$AO,37,FALSE)</f>
        <v>N/A</v>
      </c>
      <c r="AL634" s="576" t="str">
        <f>VLOOKUP(Table13[[#This Row],[Column1]],[1]Sheet1!$A:$AO,38,FALSE)</f>
        <v>N/A</v>
      </c>
      <c r="AM634" s="576" t="str">
        <f>VLOOKUP(Table13[[#This Row],[Column1]],[1]Sheet1!$A:$AO,39,FALSE)</f>
        <v>N/A</v>
      </c>
      <c r="AN634" s="576" t="s">
        <v>713</v>
      </c>
      <c r="AO634" s="306" t="s">
        <v>919</v>
      </c>
      <c r="AP634" s="378"/>
      <c r="AQ634" s="237"/>
    </row>
    <row r="635" spans="1:43" s="238" customFormat="1" ht="75" customHeight="1" thickBot="1" x14ac:dyDescent="0.3">
      <c r="A635" s="297" t="s">
        <v>836</v>
      </c>
      <c r="B635" s="627" t="str">
        <f>VLOOKUP(Table13[[#This Row],[Column1]],[1]Sheet1!$A:$AO,2,FALSE)</f>
        <v>TARPAULIN</v>
      </c>
      <c r="C635" s="298" t="str">
        <f>VLOOKUP(Table13[[#This Row],[Column1]],[1]Sheet1!$A:$AO,3,FALSE)</f>
        <v>PHRMDO</v>
      </c>
      <c r="D635" s="298" t="s">
        <v>712</v>
      </c>
      <c r="E635" s="450" t="str">
        <f>VLOOKUP(Table13[[#This Row],[Column1]],[1]Sheet1!$A:$AO,5,FALSE)</f>
        <v>NP-53.9 - Small Value Procurement</v>
      </c>
      <c r="F635" s="446" t="str">
        <f>VLOOKUP(Table13[[#This Row],[Column1]],[1]Sheet1!$A:$AO,6,FALSE)</f>
        <v>N/A</v>
      </c>
      <c r="G635" s="402">
        <f>VLOOKUP(Table13[[#This Row],[Column1]],[1]Sheet1!$A:$AO,7,FALSE)</f>
        <v>45385</v>
      </c>
      <c r="H635" s="374"/>
      <c r="I635" s="402" t="str">
        <f>VLOOKUP(Table13[[#This Row],[Column1]],[1]Sheet1!$A:$AO,9,FALSE)</f>
        <v>N/A</v>
      </c>
      <c r="J635" s="402">
        <f>VLOOKUP(Table13[[#This Row],[Column1]],[1]Sheet1!$A:$AO,10,FALSE)</f>
        <v>45407</v>
      </c>
      <c r="K635" s="402">
        <f>VLOOKUP(Table13[[#This Row],[Column1]],[1]Sheet1!$A:$AO,11,FALSE)</f>
        <v>45407</v>
      </c>
      <c r="L635" s="404"/>
      <c r="M635" s="402" t="str">
        <f>VLOOKUP(Table13[[#This Row],[Column1]],[1]Sheet1!$A:$AO,13,FALSE)</f>
        <v>N/A</v>
      </c>
      <c r="N635" s="402" t="str">
        <f>VLOOKUP(Table13[[#This Row],[Column1]],[1]Sheet1!$A:$AO,14,FALSE)</f>
        <v>N/A</v>
      </c>
      <c r="O635" s="402">
        <f>VLOOKUP(Table13[[#This Row],[Column1]],[1]Sheet1!$A:$AO,15,FALSE)</f>
        <v>45411</v>
      </c>
      <c r="P635" s="375"/>
      <c r="Q635" s="375"/>
      <c r="R635" s="376"/>
      <c r="S635" s="583" t="s">
        <v>713</v>
      </c>
      <c r="T635" s="583">
        <f>VLOOKUP(Table13[[#This Row],[Column1]],[1]Sheet1!$A:$AO,20,FALSE)</f>
        <v>45432</v>
      </c>
      <c r="U635" s="583">
        <f>VLOOKUP(Table13[[#This Row],[Column1]],[1]Sheet1!$A:$AO,21,FALSE)</f>
        <v>45435</v>
      </c>
      <c r="V635" s="376"/>
      <c r="W635" s="376"/>
      <c r="X635" s="402"/>
      <c r="Y635" s="402"/>
      <c r="Z635" s="610" t="s">
        <v>1478</v>
      </c>
      <c r="AA635" s="532">
        <f>IF(Table13[[#This Row],[Column2]]="","",SUM(Table13[[#This Row],[Column28]]+Table13[[#This Row],[Column29]]))</f>
        <v>14140</v>
      </c>
      <c r="AB635" s="537"/>
      <c r="AC635" s="502">
        <v>14140</v>
      </c>
      <c r="AD635" s="532">
        <f>IF(Table13[[#This Row],[Column2]]="","",SUM(Table13[[#This Row],[Column31]]+Table13[[#This Row],[Column32]]))</f>
        <v>14140</v>
      </c>
      <c r="AE635" s="501"/>
      <c r="AF635" s="540">
        <v>14140</v>
      </c>
      <c r="AG635" s="405"/>
      <c r="AH635" s="380" t="s">
        <v>1205</v>
      </c>
      <c r="AI635" s="576" t="str">
        <f>VLOOKUP(Table13[[#This Row],[Column1]],[1]Sheet1!$A:$AO,35,FALSE)</f>
        <v>N/A</v>
      </c>
      <c r="AJ635" s="576" t="str">
        <f>VLOOKUP(Table13[[#This Row],[Column1]],[1]Sheet1!$A:$AO,36,FALSE)</f>
        <v>N/A</v>
      </c>
      <c r="AK635" s="576" t="str">
        <f>VLOOKUP(Table13[[#This Row],[Column1]],[1]Sheet1!$A:$AO,37,FALSE)</f>
        <v>N/A</v>
      </c>
      <c r="AL635" s="576" t="str">
        <f>VLOOKUP(Table13[[#This Row],[Column1]],[1]Sheet1!$A:$AO,38,FALSE)</f>
        <v>N/A</v>
      </c>
      <c r="AM635" s="576" t="str">
        <f>VLOOKUP(Table13[[#This Row],[Column1]],[1]Sheet1!$A:$AO,39,FALSE)</f>
        <v>N/A</v>
      </c>
      <c r="AN635" s="576" t="s">
        <v>713</v>
      </c>
      <c r="AO635" s="306" t="s">
        <v>919</v>
      </c>
      <c r="AP635" s="378"/>
      <c r="AQ635" s="237"/>
    </row>
    <row r="636" spans="1:43" s="238" customFormat="1" ht="75" customHeight="1" thickBot="1" x14ac:dyDescent="0.3">
      <c r="A636" s="297" t="s">
        <v>742</v>
      </c>
      <c r="B636" s="627" t="str">
        <f>VLOOKUP(Table13[[#This Row],[Column1]],[1]Sheet1!$A:$AO,2,FALSE)</f>
        <v>FOOD AND CATERING SERVICES</v>
      </c>
      <c r="C636" s="298" t="str">
        <f>VLOOKUP(Table13[[#This Row],[Column1]],[1]Sheet1!$A:$AO,3,FALSE)</f>
        <v>PGO</v>
      </c>
      <c r="D636" s="298" t="s">
        <v>712</v>
      </c>
      <c r="E636" s="450" t="str">
        <f>VLOOKUP(Table13[[#This Row],[Column1]],[1]Sheet1!$A:$AO,5,FALSE)</f>
        <v>NP-53.9 - Small Value Procurement</v>
      </c>
      <c r="F636" s="446">
        <f>VLOOKUP(Table13[[#This Row],[Column1]],[1]Sheet1!$A:$AO,6,FALSE)</f>
        <v>45384</v>
      </c>
      <c r="G636" s="402">
        <f>VLOOKUP(Table13[[#This Row],[Column1]],[1]Sheet1!$A:$AO,7,FALSE)</f>
        <v>45390</v>
      </c>
      <c r="H636" s="374"/>
      <c r="I636" s="402" t="str">
        <f>VLOOKUP(Table13[[#This Row],[Column1]],[1]Sheet1!$A:$AO,9,FALSE)</f>
        <v>N/A</v>
      </c>
      <c r="J636" s="402">
        <f>VLOOKUP(Table13[[#This Row],[Column1]],[1]Sheet1!$A:$AO,10,FALSE)</f>
        <v>45407</v>
      </c>
      <c r="K636" s="402">
        <f>VLOOKUP(Table13[[#This Row],[Column1]],[1]Sheet1!$A:$AO,11,FALSE)</f>
        <v>45407</v>
      </c>
      <c r="L636" s="404"/>
      <c r="M636" s="402" t="str">
        <f>VLOOKUP(Table13[[#This Row],[Column1]],[1]Sheet1!$A:$AO,13,FALSE)</f>
        <v>N/A</v>
      </c>
      <c r="N636" s="402" t="str">
        <f>VLOOKUP(Table13[[#This Row],[Column1]],[1]Sheet1!$A:$AO,14,FALSE)</f>
        <v>N/A</v>
      </c>
      <c r="O636" s="402">
        <f>VLOOKUP(Table13[[#This Row],[Column1]],[1]Sheet1!$A:$AO,15,FALSE)</f>
        <v>45411</v>
      </c>
      <c r="P636" s="375"/>
      <c r="Q636" s="375"/>
      <c r="R636" s="376"/>
      <c r="S636" s="583">
        <v>45418</v>
      </c>
      <c r="T636" s="583">
        <f>VLOOKUP(Table13[[#This Row],[Column1]],[1]Sheet1!$A:$AO,20,FALSE)</f>
        <v>45433</v>
      </c>
      <c r="U636" s="583">
        <f>VLOOKUP(Table13[[#This Row],[Column1]],[1]Sheet1!$A:$AO,21,FALSE)</f>
        <v>45435</v>
      </c>
      <c r="V636" s="376"/>
      <c r="W636" s="376"/>
      <c r="X636" s="402"/>
      <c r="Y636" s="402"/>
      <c r="Z636" s="610" t="s">
        <v>1478</v>
      </c>
      <c r="AA636" s="532">
        <f>IF(Table13[[#This Row],[Column2]]="","",SUM(Table13[[#This Row],[Column28]]+Table13[[#This Row],[Column29]]))</f>
        <v>70140</v>
      </c>
      <c r="AB636" s="537"/>
      <c r="AC636" s="502">
        <v>70140</v>
      </c>
      <c r="AD636" s="532">
        <f>IF(Table13[[#This Row],[Column2]]="","",SUM(Table13[[#This Row],[Column31]]+Table13[[#This Row],[Column32]]))</f>
        <v>70015</v>
      </c>
      <c r="AE636" s="501"/>
      <c r="AF636" s="540">
        <v>70015</v>
      </c>
      <c r="AG636" s="405"/>
      <c r="AH636" s="380" t="s">
        <v>1205</v>
      </c>
      <c r="AI636" s="576" t="str">
        <f>VLOOKUP(Table13[[#This Row],[Column1]],[1]Sheet1!$A:$AO,35,FALSE)</f>
        <v>N/A</v>
      </c>
      <c r="AJ636" s="576" t="str">
        <f>VLOOKUP(Table13[[#This Row],[Column1]],[1]Sheet1!$A:$AO,36,FALSE)</f>
        <v>N/A</v>
      </c>
      <c r="AK636" s="576" t="str">
        <f>VLOOKUP(Table13[[#This Row],[Column1]],[1]Sheet1!$A:$AO,37,FALSE)</f>
        <v>N/A</v>
      </c>
      <c r="AL636" s="576" t="str">
        <f>VLOOKUP(Table13[[#This Row],[Column1]],[1]Sheet1!$A:$AO,38,FALSE)</f>
        <v>N/A</v>
      </c>
      <c r="AM636" s="576" t="str">
        <f>VLOOKUP(Table13[[#This Row],[Column1]],[1]Sheet1!$A:$AO,39,FALSE)</f>
        <v>N/A</v>
      </c>
      <c r="AN636" s="576" t="s">
        <v>713</v>
      </c>
      <c r="AO636" s="306" t="s">
        <v>919</v>
      </c>
      <c r="AP636" s="378"/>
      <c r="AQ636" s="237"/>
    </row>
    <row r="637" spans="1:43" s="238" customFormat="1" ht="75" customHeight="1" thickBot="1" x14ac:dyDescent="0.3">
      <c r="A637" s="297" t="s">
        <v>837</v>
      </c>
      <c r="B637" s="627" t="str">
        <f>VLOOKUP(Table13[[#This Row],[Column1]],[1]Sheet1!$A:$AO,2,FALSE)</f>
        <v>POSTER, CALENDAR</v>
      </c>
      <c r="C637" s="298" t="str">
        <f>VLOOKUP(Table13[[#This Row],[Column1]],[1]Sheet1!$A:$AO,3,FALSE)</f>
        <v>PAO</v>
      </c>
      <c r="D637" s="298" t="s">
        <v>712</v>
      </c>
      <c r="E637" s="450" t="str">
        <f>VLOOKUP(Table13[[#This Row],[Column1]],[1]Sheet1!$A:$AO,5,FALSE)</f>
        <v>NP-53.9 - Small Value Procurement</v>
      </c>
      <c r="F637" s="446" t="str">
        <f>VLOOKUP(Table13[[#This Row],[Column1]],[1]Sheet1!$A:$AO,6,FALSE)</f>
        <v>N/A</v>
      </c>
      <c r="G637" s="402">
        <f>VLOOKUP(Table13[[#This Row],[Column1]],[1]Sheet1!$A:$AO,7,FALSE)</f>
        <v>45385</v>
      </c>
      <c r="H637" s="374"/>
      <c r="I637" s="402" t="str">
        <f>VLOOKUP(Table13[[#This Row],[Column1]],[1]Sheet1!$A:$AO,9,FALSE)</f>
        <v>N/A</v>
      </c>
      <c r="J637" s="402">
        <f>VLOOKUP(Table13[[#This Row],[Column1]],[1]Sheet1!$A:$AO,10,FALSE)</f>
        <v>45407</v>
      </c>
      <c r="K637" s="402">
        <f>VLOOKUP(Table13[[#This Row],[Column1]],[1]Sheet1!$A:$AO,11,FALSE)</f>
        <v>45407</v>
      </c>
      <c r="L637" s="404"/>
      <c r="M637" s="402" t="str">
        <f>VLOOKUP(Table13[[#This Row],[Column1]],[1]Sheet1!$A:$AO,13,FALSE)</f>
        <v>N/A</v>
      </c>
      <c r="N637" s="402" t="str">
        <f>VLOOKUP(Table13[[#This Row],[Column1]],[1]Sheet1!$A:$AO,14,FALSE)</f>
        <v>N/A</v>
      </c>
      <c r="O637" s="402">
        <f>VLOOKUP(Table13[[#This Row],[Column1]],[1]Sheet1!$A:$AO,15,FALSE)</f>
        <v>45411</v>
      </c>
      <c r="P637" s="375"/>
      <c r="Q637" s="375"/>
      <c r="R637" s="376"/>
      <c r="S637" s="583" t="s">
        <v>713</v>
      </c>
      <c r="T637" s="583">
        <f>VLOOKUP(Table13[[#This Row],[Column1]],[1]Sheet1!$A:$AO,20,FALSE)</f>
        <v>45425</v>
      </c>
      <c r="U637" s="583">
        <f>VLOOKUP(Table13[[#This Row],[Column1]],[1]Sheet1!$A:$AO,21,FALSE)</f>
        <v>45433</v>
      </c>
      <c r="V637" s="376"/>
      <c r="W637" s="376"/>
      <c r="X637" s="402"/>
      <c r="Y637" s="402"/>
      <c r="Z637" s="610" t="s">
        <v>1478</v>
      </c>
      <c r="AA637" s="532">
        <f>IF(Table13[[#This Row],[Column2]]="","",SUM(Table13[[#This Row],[Column28]]+Table13[[#This Row],[Column29]]))</f>
        <v>21978</v>
      </c>
      <c r="AB637" s="537"/>
      <c r="AC637" s="502">
        <v>21978</v>
      </c>
      <c r="AD637" s="532">
        <f>IF(Table13[[#This Row],[Column2]]="","",SUM(Table13[[#This Row],[Column31]]+Table13[[#This Row],[Column32]]))</f>
        <v>21978</v>
      </c>
      <c r="AE637" s="501"/>
      <c r="AF637" s="540">
        <v>21978</v>
      </c>
      <c r="AG637" s="405"/>
      <c r="AH637" s="380" t="s">
        <v>1205</v>
      </c>
      <c r="AI637" s="576" t="str">
        <f>VLOOKUP(Table13[[#This Row],[Column1]],[1]Sheet1!$A:$AO,35,FALSE)</f>
        <v>N/A</v>
      </c>
      <c r="AJ637" s="576" t="str">
        <f>VLOOKUP(Table13[[#This Row],[Column1]],[1]Sheet1!$A:$AO,36,FALSE)</f>
        <v>N/A</v>
      </c>
      <c r="AK637" s="576" t="str">
        <f>VLOOKUP(Table13[[#This Row],[Column1]],[1]Sheet1!$A:$AO,37,FALSE)</f>
        <v>N/A</v>
      </c>
      <c r="AL637" s="576" t="str">
        <f>VLOOKUP(Table13[[#This Row],[Column1]],[1]Sheet1!$A:$AO,38,FALSE)</f>
        <v>N/A</v>
      </c>
      <c r="AM637" s="576" t="str">
        <f>VLOOKUP(Table13[[#This Row],[Column1]],[1]Sheet1!$A:$AO,39,FALSE)</f>
        <v>N/A</v>
      </c>
      <c r="AN637" s="576" t="s">
        <v>713</v>
      </c>
      <c r="AO637" s="306" t="s">
        <v>919</v>
      </c>
      <c r="AP637" s="378"/>
      <c r="AQ637" s="237"/>
    </row>
    <row r="638" spans="1:43" s="238" customFormat="1" ht="75" customHeight="1" thickBot="1" x14ac:dyDescent="0.3">
      <c r="A638" s="297" t="s">
        <v>741</v>
      </c>
      <c r="B638" s="627" t="str">
        <f>VLOOKUP(Table13[[#This Row],[Column1]],[1]Sheet1!$A:$AO,2,FALSE)</f>
        <v>FOOD/CATERING SERVICES</v>
      </c>
      <c r="C638" s="298" t="str">
        <f>VLOOKUP(Table13[[#This Row],[Column1]],[1]Sheet1!$A:$AO,3,FALSE)</f>
        <v>PAGRO</v>
      </c>
      <c r="D638" s="298" t="s">
        <v>712</v>
      </c>
      <c r="E638" s="450" t="str">
        <f>VLOOKUP(Table13[[#This Row],[Column1]],[1]Sheet1!$A:$AO,5,FALSE)</f>
        <v>NP-53.9 - Small Value Procurement</v>
      </c>
      <c r="F638" s="446">
        <f>VLOOKUP(Table13[[#This Row],[Column1]],[1]Sheet1!$A:$AO,6,FALSE)</f>
        <v>45384</v>
      </c>
      <c r="G638" s="402">
        <f>VLOOKUP(Table13[[#This Row],[Column1]],[1]Sheet1!$A:$AO,7,FALSE)</f>
        <v>45390</v>
      </c>
      <c r="H638" s="374"/>
      <c r="I638" s="402" t="str">
        <f>VLOOKUP(Table13[[#This Row],[Column1]],[1]Sheet1!$A:$AO,9,FALSE)</f>
        <v>N/A</v>
      </c>
      <c r="J638" s="402">
        <f>VLOOKUP(Table13[[#This Row],[Column1]],[1]Sheet1!$A:$AO,10,FALSE)</f>
        <v>45407</v>
      </c>
      <c r="K638" s="402">
        <f>VLOOKUP(Table13[[#This Row],[Column1]],[1]Sheet1!$A:$AO,11,FALSE)</f>
        <v>45407</v>
      </c>
      <c r="L638" s="404"/>
      <c r="M638" s="402" t="str">
        <f>VLOOKUP(Table13[[#This Row],[Column1]],[1]Sheet1!$A:$AO,13,FALSE)</f>
        <v>N/A</v>
      </c>
      <c r="N638" s="402" t="str">
        <f>VLOOKUP(Table13[[#This Row],[Column1]],[1]Sheet1!$A:$AO,14,FALSE)</f>
        <v>N/A</v>
      </c>
      <c r="O638" s="402">
        <f>VLOOKUP(Table13[[#This Row],[Column1]],[1]Sheet1!$A:$AO,15,FALSE)</f>
        <v>45411</v>
      </c>
      <c r="P638" s="375"/>
      <c r="Q638" s="375"/>
      <c r="R638" s="376"/>
      <c r="S638" s="583">
        <v>45419</v>
      </c>
      <c r="T638" s="583">
        <f>VLOOKUP(Table13[[#This Row],[Column1]],[1]Sheet1!$A:$AO,20,FALSE)</f>
        <v>45433</v>
      </c>
      <c r="U638" s="583">
        <f>VLOOKUP(Table13[[#This Row],[Column1]],[1]Sheet1!$A:$AO,21,FALSE)</f>
        <v>45435</v>
      </c>
      <c r="V638" s="376"/>
      <c r="W638" s="376"/>
      <c r="X638" s="402"/>
      <c r="Y638" s="402"/>
      <c r="Z638" s="610" t="s">
        <v>1478</v>
      </c>
      <c r="AA638" s="532">
        <f>IF(Table13[[#This Row],[Column2]]="","",SUM(Table13[[#This Row],[Column28]]+Table13[[#This Row],[Column29]]))</f>
        <v>174820</v>
      </c>
      <c r="AB638" s="537"/>
      <c r="AC638" s="502">
        <v>174820</v>
      </c>
      <c r="AD638" s="532">
        <f>IF(Table13[[#This Row],[Column2]]="","",SUM(Table13[[#This Row],[Column31]]+Table13[[#This Row],[Column32]]))</f>
        <v>174820</v>
      </c>
      <c r="AE638" s="501"/>
      <c r="AF638" s="540">
        <v>174820</v>
      </c>
      <c r="AG638" s="405"/>
      <c r="AH638" s="380" t="s">
        <v>1205</v>
      </c>
      <c r="AI638" s="576" t="str">
        <f>VLOOKUP(Table13[[#This Row],[Column1]],[1]Sheet1!$A:$AO,35,FALSE)</f>
        <v>N/A</v>
      </c>
      <c r="AJ638" s="576" t="str">
        <f>VLOOKUP(Table13[[#This Row],[Column1]],[1]Sheet1!$A:$AO,36,FALSE)</f>
        <v>N/A</v>
      </c>
      <c r="AK638" s="576" t="str">
        <f>VLOOKUP(Table13[[#This Row],[Column1]],[1]Sheet1!$A:$AO,37,FALSE)</f>
        <v>N/A</v>
      </c>
      <c r="AL638" s="576" t="str">
        <f>VLOOKUP(Table13[[#This Row],[Column1]],[1]Sheet1!$A:$AO,38,FALSE)</f>
        <v>N/A</v>
      </c>
      <c r="AM638" s="576" t="str">
        <f>VLOOKUP(Table13[[#This Row],[Column1]],[1]Sheet1!$A:$AO,39,FALSE)</f>
        <v>N/A</v>
      </c>
      <c r="AN638" s="576" t="s">
        <v>713</v>
      </c>
      <c r="AO638" s="306" t="s">
        <v>919</v>
      </c>
      <c r="AP638" s="378"/>
      <c r="AQ638" s="237"/>
    </row>
    <row r="639" spans="1:43" s="238" customFormat="1" ht="75" customHeight="1" thickBot="1" x14ac:dyDescent="0.3">
      <c r="A639" s="297" t="s">
        <v>838</v>
      </c>
      <c r="B639" s="627" t="str">
        <f>VLOOKUP(Table13[[#This Row],[Column1]],[1]Sheet1!$A:$AO,2,FALSE)</f>
        <v>PROJECTOR</v>
      </c>
      <c r="C639" s="298" t="str">
        <f>VLOOKUP(Table13[[#This Row],[Column1]],[1]Sheet1!$A:$AO,3,FALSE)</f>
        <v>PGO</v>
      </c>
      <c r="D639" s="298" t="s">
        <v>712</v>
      </c>
      <c r="E639" s="450" t="str">
        <f>VLOOKUP(Table13[[#This Row],[Column1]],[1]Sheet1!$A:$AO,5,FALSE)</f>
        <v>NP-53.9 - Small Value Procurement</v>
      </c>
      <c r="F639" s="446" t="str">
        <f>VLOOKUP(Table13[[#This Row],[Column1]],[1]Sheet1!$A:$AO,6,FALSE)</f>
        <v>N/A</v>
      </c>
      <c r="G639" s="402">
        <f>VLOOKUP(Table13[[#This Row],[Column1]],[1]Sheet1!$A:$AO,7,FALSE)</f>
        <v>45385</v>
      </c>
      <c r="H639" s="374"/>
      <c r="I639" s="402" t="str">
        <f>VLOOKUP(Table13[[#This Row],[Column1]],[1]Sheet1!$A:$AO,9,FALSE)</f>
        <v>N/A</v>
      </c>
      <c r="J639" s="402">
        <f>VLOOKUP(Table13[[#This Row],[Column1]],[1]Sheet1!$A:$AO,10,FALSE)</f>
        <v>45407</v>
      </c>
      <c r="K639" s="402">
        <f>VLOOKUP(Table13[[#This Row],[Column1]],[1]Sheet1!$A:$AO,11,FALSE)</f>
        <v>45407</v>
      </c>
      <c r="L639" s="404"/>
      <c r="M639" s="402" t="str">
        <f>VLOOKUP(Table13[[#This Row],[Column1]],[1]Sheet1!$A:$AO,13,FALSE)</f>
        <v>N/A</v>
      </c>
      <c r="N639" s="402" t="str">
        <f>VLOOKUP(Table13[[#This Row],[Column1]],[1]Sheet1!$A:$AO,14,FALSE)</f>
        <v>N/A</v>
      </c>
      <c r="O639" s="402">
        <f>VLOOKUP(Table13[[#This Row],[Column1]],[1]Sheet1!$A:$AO,15,FALSE)</f>
        <v>45411</v>
      </c>
      <c r="P639" s="375"/>
      <c r="Q639" s="375"/>
      <c r="R639" s="376"/>
      <c r="S639" s="583" t="s">
        <v>713</v>
      </c>
      <c r="T639" s="583">
        <f>VLOOKUP(Table13[[#This Row],[Column1]],[1]Sheet1!$A:$AO,20,FALSE)</f>
        <v>45427</v>
      </c>
      <c r="U639" s="583">
        <f>VLOOKUP(Table13[[#This Row],[Column1]],[1]Sheet1!$A:$AO,21,FALSE)</f>
        <v>45450</v>
      </c>
      <c r="V639" s="376"/>
      <c r="W639" s="376"/>
      <c r="X639" s="402"/>
      <c r="Y639" s="402"/>
      <c r="Z639" s="610" t="s">
        <v>1478</v>
      </c>
      <c r="AA639" s="532">
        <f>IF(Table13[[#This Row],[Column2]]="","",SUM(Table13[[#This Row],[Column28]]+Table13[[#This Row],[Column29]]))</f>
        <v>49500</v>
      </c>
      <c r="AB639" s="537"/>
      <c r="AC639" s="502">
        <v>49500</v>
      </c>
      <c r="AD639" s="532">
        <f>IF(Table13[[#This Row],[Column2]]="","",SUM(Table13[[#This Row],[Column31]]+Table13[[#This Row],[Column32]]))</f>
        <v>37939</v>
      </c>
      <c r="AE639" s="501"/>
      <c r="AF639" s="540">
        <v>37939</v>
      </c>
      <c r="AG639" s="405"/>
      <c r="AH639" s="380" t="s">
        <v>1205</v>
      </c>
      <c r="AI639" s="576" t="str">
        <f>VLOOKUP(Table13[[#This Row],[Column1]],[1]Sheet1!$A:$AO,35,FALSE)</f>
        <v>N/A</v>
      </c>
      <c r="AJ639" s="576" t="str">
        <f>VLOOKUP(Table13[[#This Row],[Column1]],[1]Sheet1!$A:$AO,36,FALSE)</f>
        <v>N/A</v>
      </c>
      <c r="AK639" s="576" t="str">
        <f>VLOOKUP(Table13[[#This Row],[Column1]],[1]Sheet1!$A:$AO,37,FALSE)</f>
        <v>N/A</v>
      </c>
      <c r="AL639" s="576" t="str">
        <f>VLOOKUP(Table13[[#This Row],[Column1]],[1]Sheet1!$A:$AO,38,FALSE)</f>
        <v>N/A</v>
      </c>
      <c r="AM639" s="576" t="str">
        <f>VLOOKUP(Table13[[#This Row],[Column1]],[1]Sheet1!$A:$AO,39,FALSE)</f>
        <v>N/A</v>
      </c>
      <c r="AN639" s="576" t="s">
        <v>713</v>
      </c>
      <c r="AO639" s="306" t="s">
        <v>919</v>
      </c>
      <c r="AP639" s="378"/>
      <c r="AQ639" s="237"/>
    </row>
    <row r="640" spans="1:43" s="238" customFormat="1" ht="75" customHeight="1" thickBot="1" x14ac:dyDescent="0.3">
      <c r="A640" s="297" t="s">
        <v>727</v>
      </c>
      <c r="B640" s="627" t="str">
        <f>VLOOKUP(Table13[[#This Row],[Column1]],[1]Sheet1!$A:$AO,2,FALSE)</f>
        <v>REPAIR MATERIALS</v>
      </c>
      <c r="C640" s="298" t="str">
        <f>VLOOKUP(Table13[[#This Row],[Column1]],[1]Sheet1!$A:$AO,3,FALSE)</f>
        <v>PGSO</v>
      </c>
      <c r="D640" s="298" t="s">
        <v>712</v>
      </c>
      <c r="E640" s="450" t="str">
        <f>VLOOKUP(Table13[[#This Row],[Column1]],[1]Sheet1!$A:$AO,5,FALSE)</f>
        <v>NP-53.9 - Small Value Procurement</v>
      </c>
      <c r="F640" s="446">
        <f>VLOOKUP(Table13[[#This Row],[Column1]],[1]Sheet1!$A:$AO,6,FALSE)</f>
        <v>45373</v>
      </c>
      <c r="G640" s="402">
        <f>VLOOKUP(Table13[[#This Row],[Column1]],[1]Sheet1!$A:$AO,7,FALSE)</f>
        <v>45384</v>
      </c>
      <c r="H640" s="374"/>
      <c r="I640" s="402" t="str">
        <f>VLOOKUP(Table13[[#This Row],[Column1]],[1]Sheet1!$A:$AO,9,FALSE)</f>
        <v>N/A</v>
      </c>
      <c r="J640" s="402">
        <f>VLOOKUP(Table13[[#This Row],[Column1]],[1]Sheet1!$A:$AO,10,FALSE)</f>
        <v>45407</v>
      </c>
      <c r="K640" s="402">
        <f>VLOOKUP(Table13[[#This Row],[Column1]],[1]Sheet1!$A:$AO,11,FALSE)</f>
        <v>45407</v>
      </c>
      <c r="L640" s="404"/>
      <c r="M640" s="402" t="str">
        <f>VLOOKUP(Table13[[#This Row],[Column1]],[1]Sheet1!$A:$AO,13,FALSE)</f>
        <v>N/A</v>
      </c>
      <c r="N640" s="402" t="str">
        <f>VLOOKUP(Table13[[#This Row],[Column1]],[1]Sheet1!$A:$AO,14,FALSE)</f>
        <v>N/A</v>
      </c>
      <c r="O640" s="402">
        <f>VLOOKUP(Table13[[#This Row],[Column1]],[1]Sheet1!$A:$AO,15,FALSE)</f>
        <v>45411</v>
      </c>
      <c r="P640" s="375"/>
      <c r="Q640" s="375"/>
      <c r="R640" s="376"/>
      <c r="S640" s="583" t="s">
        <v>713</v>
      </c>
      <c r="T640" s="583">
        <f>VLOOKUP(Table13[[#This Row],[Column1]],[1]Sheet1!$A:$AO,20,FALSE)</f>
        <v>45425</v>
      </c>
      <c r="U640" s="583">
        <f>VLOOKUP(Table13[[#This Row],[Column1]],[1]Sheet1!$A:$AO,21,FALSE)</f>
        <v>45448</v>
      </c>
      <c r="V640" s="376"/>
      <c r="W640" s="376"/>
      <c r="X640" s="402"/>
      <c r="Y640" s="402"/>
      <c r="Z640" s="610" t="s">
        <v>1478</v>
      </c>
      <c r="AA640" s="532">
        <f>IF(Table13[[#This Row],[Column2]]="","",SUM(Table13[[#This Row],[Column28]]+Table13[[#This Row],[Column29]]))</f>
        <v>46511.56</v>
      </c>
      <c r="AB640" s="537">
        <v>46511.56</v>
      </c>
      <c r="AC640" s="502"/>
      <c r="AD640" s="532">
        <f>IF(Table13[[#This Row],[Column2]]="","",SUM(Table13[[#This Row],[Column31]]+Table13[[#This Row],[Column32]]))</f>
        <v>46506</v>
      </c>
      <c r="AE640" s="501">
        <v>46506</v>
      </c>
      <c r="AF640" s="541"/>
      <c r="AG640" s="405"/>
      <c r="AH640" s="380" t="s">
        <v>1205</v>
      </c>
      <c r="AI640" s="576" t="str">
        <f>VLOOKUP(Table13[[#This Row],[Column1]],[1]Sheet1!$A:$AO,35,FALSE)</f>
        <v>N/A</v>
      </c>
      <c r="AJ640" s="576" t="str">
        <f>VLOOKUP(Table13[[#This Row],[Column1]],[1]Sheet1!$A:$AO,36,FALSE)</f>
        <v>N/A</v>
      </c>
      <c r="AK640" s="576" t="str">
        <f>VLOOKUP(Table13[[#This Row],[Column1]],[1]Sheet1!$A:$AO,37,FALSE)</f>
        <v>N/A</v>
      </c>
      <c r="AL640" s="576" t="str">
        <f>VLOOKUP(Table13[[#This Row],[Column1]],[1]Sheet1!$A:$AO,38,FALSE)</f>
        <v>N/A</v>
      </c>
      <c r="AM640" s="576" t="str">
        <f>VLOOKUP(Table13[[#This Row],[Column1]],[1]Sheet1!$A:$AO,39,FALSE)</f>
        <v>N/A</v>
      </c>
      <c r="AN640" s="576" t="s">
        <v>713</v>
      </c>
      <c r="AO640" s="306" t="s">
        <v>919</v>
      </c>
      <c r="AP640" s="378"/>
      <c r="AQ640" s="237"/>
    </row>
    <row r="641" spans="1:43" s="238" customFormat="1" ht="75" customHeight="1" thickBot="1" x14ac:dyDescent="0.3">
      <c r="A641" s="297" t="s">
        <v>839</v>
      </c>
      <c r="B641" s="627" t="str">
        <f>VLOOKUP(Table13[[#This Row],[Column1]],[1]Sheet1!$A:$AO,2,FALSE)</f>
        <v>JOB OUT</v>
      </c>
      <c r="C641" s="298" t="str">
        <f>VLOOKUP(Table13[[#This Row],[Column1]],[1]Sheet1!$A:$AO,3,FALSE)</f>
        <v>PGSO</v>
      </c>
      <c r="D641" s="298" t="s">
        <v>712</v>
      </c>
      <c r="E641" s="450" t="str">
        <f>VLOOKUP(Table13[[#This Row],[Column1]],[1]Sheet1!$A:$AO,5,FALSE)</f>
        <v>NP-53.9 - Small Value Procurement</v>
      </c>
      <c r="F641" s="446">
        <f>VLOOKUP(Table13[[#This Row],[Column1]],[1]Sheet1!$A:$AO,6,FALSE)</f>
        <v>45370</v>
      </c>
      <c r="G641" s="402">
        <f>VLOOKUP(Table13[[#This Row],[Column1]],[1]Sheet1!$A:$AO,7,FALSE)</f>
        <v>45376</v>
      </c>
      <c r="H641" s="374"/>
      <c r="I641" s="402" t="str">
        <f>VLOOKUP(Table13[[#This Row],[Column1]],[1]Sheet1!$A:$AO,9,FALSE)</f>
        <v>N/A</v>
      </c>
      <c r="J641" s="402">
        <f>VLOOKUP(Table13[[#This Row],[Column1]],[1]Sheet1!$A:$AO,10,FALSE)</f>
        <v>45407</v>
      </c>
      <c r="K641" s="402">
        <f>VLOOKUP(Table13[[#This Row],[Column1]],[1]Sheet1!$A:$AO,11,FALSE)</f>
        <v>45407</v>
      </c>
      <c r="L641" s="404"/>
      <c r="M641" s="402" t="str">
        <f>VLOOKUP(Table13[[#This Row],[Column1]],[1]Sheet1!$A:$AO,13,FALSE)</f>
        <v>N/A</v>
      </c>
      <c r="N641" s="402" t="str">
        <f>VLOOKUP(Table13[[#This Row],[Column1]],[1]Sheet1!$A:$AO,14,FALSE)</f>
        <v>N/A</v>
      </c>
      <c r="O641" s="402">
        <f>VLOOKUP(Table13[[#This Row],[Column1]],[1]Sheet1!$A:$AO,15,FALSE)</f>
        <v>45411</v>
      </c>
      <c r="P641" s="375"/>
      <c r="Q641" s="375"/>
      <c r="R641" s="376"/>
      <c r="S641" s="583" t="s">
        <v>713</v>
      </c>
      <c r="T641" s="583">
        <f>VLOOKUP(Table13[[#This Row],[Column1]],[1]Sheet1!$A:$AO,20,FALSE)</f>
        <v>45425</v>
      </c>
      <c r="U641" s="583">
        <f>VLOOKUP(Table13[[#This Row],[Column1]],[1]Sheet1!$A:$AO,21,FALSE)</f>
        <v>0</v>
      </c>
      <c r="V641" s="376"/>
      <c r="W641" s="376"/>
      <c r="X641" s="402"/>
      <c r="Y641" s="402"/>
      <c r="Z641" s="610" t="s">
        <v>1478</v>
      </c>
      <c r="AA641" s="532">
        <f>IF(Table13[[#This Row],[Column2]]="","",SUM(Table13[[#This Row],[Column28]]+Table13[[#This Row],[Column29]]))</f>
        <v>20500</v>
      </c>
      <c r="AB641" s="537">
        <v>20500</v>
      </c>
      <c r="AC641" s="502"/>
      <c r="AD641" s="532">
        <f>IF(Table13[[#This Row],[Column2]]="","",SUM(Table13[[#This Row],[Column31]]+Table13[[#This Row],[Column32]]))</f>
        <v>20000</v>
      </c>
      <c r="AE641" s="501">
        <v>20000</v>
      </c>
      <c r="AF641" s="541"/>
      <c r="AG641" s="405"/>
      <c r="AH641" s="380" t="s">
        <v>1205</v>
      </c>
      <c r="AI641" s="576" t="str">
        <f>VLOOKUP(Table13[[#This Row],[Column1]],[1]Sheet1!$A:$AO,35,FALSE)</f>
        <v>N/A</v>
      </c>
      <c r="AJ641" s="576" t="str">
        <f>VLOOKUP(Table13[[#This Row],[Column1]],[1]Sheet1!$A:$AO,36,FALSE)</f>
        <v>N/A</v>
      </c>
      <c r="AK641" s="576" t="str">
        <f>VLOOKUP(Table13[[#This Row],[Column1]],[1]Sheet1!$A:$AO,37,FALSE)</f>
        <v>N/A</v>
      </c>
      <c r="AL641" s="576" t="str">
        <f>VLOOKUP(Table13[[#This Row],[Column1]],[1]Sheet1!$A:$AO,38,FALSE)</f>
        <v>N/A</v>
      </c>
      <c r="AM641" s="576" t="str">
        <f>VLOOKUP(Table13[[#This Row],[Column1]],[1]Sheet1!$A:$AO,39,FALSE)</f>
        <v>N/A</v>
      </c>
      <c r="AN641" s="576" t="s">
        <v>713</v>
      </c>
      <c r="AO641" s="306" t="s">
        <v>919</v>
      </c>
      <c r="AP641" s="378"/>
      <c r="AQ641" s="237"/>
    </row>
    <row r="642" spans="1:43" s="238" customFormat="1" ht="75" customHeight="1" thickBot="1" x14ac:dyDescent="0.3">
      <c r="A642" s="297" t="s">
        <v>840</v>
      </c>
      <c r="B642" s="627" t="str">
        <f>VLOOKUP(Table13[[#This Row],[Column1]],[1]Sheet1!$A:$AO,2,FALSE)</f>
        <v>MONOBLOC PLASTIC CHAIR</v>
      </c>
      <c r="C642" s="298" t="str">
        <f>VLOOKUP(Table13[[#This Row],[Column1]],[1]Sheet1!$A:$AO,3,FALSE)</f>
        <v>PGO</v>
      </c>
      <c r="D642" s="298" t="s">
        <v>712</v>
      </c>
      <c r="E642" s="450" t="str">
        <f>VLOOKUP(Table13[[#This Row],[Column1]],[1]Sheet1!$A:$AO,5,FALSE)</f>
        <v>NP-53.9 - Small Value Procurement</v>
      </c>
      <c r="F642" s="446" t="str">
        <f>VLOOKUP(Table13[[#This Row],[Column1]],[1]Sheet1!$A:$AO,6,FALSE)</f>
        <v>N/A</v>
      </c>
      <c r="G642" s="402">
        <f>VLOOKUP(Table13[[#This Row],[Column1]],[1]Sheet1!$A:$AO,7,FALSE)</f>
        <v>45376</v>
      </c>
      <c r="H642" s="374"/>
      <c r="I642" s="402" t="str">
        <f>VLOOKUP(Table13[[#This Row],[Column1]],[1]Sheet1!$A:$AO,9,FALSE)</f>
        <v>N/A</v>
      </c>
      <c r="J642" s="402">
        <f>VLOOKUP(Table13[[#This Row],[Column1]],[1]Sheet1!$A:$AO,10,FALSE)</f>
        <v>45407</v>
      </c>
      <c r="K642" s="402">
        <f>VLOOKUP(Table13[[#This Row],[Column1]],[1]Sheet1!$A:$AO,11,FALSE)</f>
        <v>45407</v>
      </c>
      <c r="L642" s="404"/>
      <c r="M642" s="402" t="str">
        <f>VLOOKUP(Table13[[#This Row],[Column1]],[1]Sheet1!$A:$AO,13,FALSE)</f>
        <v>N/A</v>
      </c>
      <c r="N642" s="402" t="str">
        <f>VLOOKUP(Table13[[#This Row],[Column1]],[1]Sheet1!$A:$AO,14,FALSE)</f>
        <v>N/A</v>
      </c>
      <c r="O642" s="402">
        <f>VLOOKUP(Table13[[#This Row],[Column1]],[1]Sheet1!$A:$AO,15,FALSE)</f>
        <v>45411</v>
      </c>
      <c r="P642" s="375"/>
      <c r="Q642" s="375"/>
      <c r="R642" s="376"/>
      <c r="S642" s="583">
        <v>45419</v>
      </c>
      <c r="T642" s="583">
        <f>VLOOKUP(Table13[[#This Row],[Column1]],[1]Sheet1!$A:$AO,20,FALSE)</f>
        <v>45429</v>
      </c>
      <c r="U642" s="583">
        <f>VLOOKUP(Table13[[#This Row],[Column1]],[1]Sheet1!$A:$AO,21,FALSE)</f>
        <v>45446</v>
      </c>
      <c r="V642" s="376"/>
      <c r="W642" s="376"/>
      <c r="X642" s="402"/>
      <c r="Y642" s="402"/>
      <c r="Z642" s="610" t="s">
        <v>1478</v>
      </c>
      <c r="AA642" s="532">
        <f>IF(Table13[[#This Row],[Column2]]="","",SUM(Table13[[#This Row],[Column28]]+Table13[[#This Row],[Column29]]))</f>
        <v>133500</v>
      </c>
      <c r="AB642" s="537"/>
      <c r="AC642" s="502">
        <v>133500</v>
      </c>
      <c r="AD642" s="532">
        <f>IF(Table13[[#This Row],[Column2]]="","",SUM(Table13[[#This Row],[Column31]]+Table13[[#This Row],[Column32]]))</f>
        <v>132500</v>
      </c>
      <c r="AE642" s="501"/>
      <c r="AF642" s="541">
        <v>132500</v>
      </c>
      <c r="AG642" s="405"/>
      <c r="AH642" s="380" t="s">
        <v>1205</v>
      </c>
      <c r="AI642" s="576" t="str">
        <f>VLOOKUP(Table13[[#This Row],[Column1]],[1]Sheet1!$A:$AO,35,FALSE)</f>
        <v>N/A</v>
      </c>
      <c r="AJ642" s="576" t="str">
        <f>VLOOKUP(Table13[[#This Row],[Column1]],[1]Sheet1!$A:$AO,36,FALSE)</f>
        <v>N/A</v>
      </c>
      <c r="AK642" s="576" t="str">
        <f>VLOOKUP(Table13[[#This Row],[Column1]],[1]Sheet1!$A:$AO,37,FALSE)</f>
        <v>N/A</v>
      </c>
      <c r="AL642" s="576" t="str">
        <f>VLOOKUP(Table13[[#This Row],[Column1]],[1]Sheet1!$A:$AO,38,FALSE)</f>
        <v>N/A</v>
      </c>
      <c r="AM642" s="576" t="str">
        <f>VLOOKUP(Table13[[#This Row],[Column1]],[1]Sheet1!$A:$AO,39,FALSE)</f>
        <v>N/A</v>
      </c>
      <c r="AN642" s="576" t="s">
        <v>713</v>
      </c>
      <c r="AO642" s="306" t="s">
        <v>919</v>
      </c>
      <c r="AP642" s="378"/>
      <c r="AQ642" s="237"/>
    </row>
    <row r="643" spans="1:43" s="238" customFormat="1" ht="75" customHeight="1" thickBot="1" x14ac:dyDescent="0.3">
      <c r="A643" s="297" t="s">
        <v>841</v>
      </c>
      <c r="B643" s="627" t="str">
        <f>VLOOKUP(Table13[[#This Row],[Column1]],[1]Sheet1!$A:$AO,2,FALSE)</f>
        <v>FOOD/CATERING SERVICES</v>
      </c>
      <c r="C643" s="298" t="str">
        <f>VLOOKUP(Table13[[#This Row],[Column1]],[1]Sheet1!$A:$AO,3,FALSE)</f>
        <v>PHRMDO</v>
      </c>
      <c r="D643" s="298" t="s">
        <v>712</v>
      </c>
      <c r="E643" s="450" t="str">
        <f>VLOOKUP(Table13[[#This Row],[Column1]],[1]Sheet1!$A:$AO,5,FALSE)</f>
        <v>NP-53.9 - Small Value Procurement</v>
      </c>
      <c r="F643" s="446">
        <f>VLOOKUP(Table13[[#This Row],[Column1]],[1]Sheet1!$A:$AO,6,FALSE)</f>
        <v>45384</v>
      </c>
      <c r="G643" s="402">
        <f>VLOOKUP(Table13[[#This Row],[Column1]],[1]Sheet1!$A:$AO,7,FALSE)</f>
        <v>45390</v>
      </c>
      <c r="H643" s="374"/>
      <c r="I643" s="402" t="str">
        <f>VLOOKUP(Table13[[#This Row],[Column1]],[1]Sheet1!$A:$AO,9,FALSE)</f>
        <v>N/A</v>
      </c>
      <c r="J643" s="402">
        <f>VLOOKUP(Table13[[#This Row],[Column1]],[1]Sheet1!$A:$AO,10,FALSE)</f>
        <v>45407</v>
      </c>
      <c r="K643" s="402">
        <f>VLOOKUP(Table13[[#This Row],[Column1]],[1]Sheet1!$A:$AO,11,FALSE)</f>
        <v>45407</v>
      </c>
      <c r="L643" s="404"/>
      <c r="M643" s="402" t="str">
        <f>VLOOKUP(Table13[[#This Row],[Column1]],[1]Sheet1!$A:$AO,13,FALSE)</f>
        <v>N/A</v>
      </c>
      <c r="N643" s="402" t="str">
        <f>VLOOKUP(Table13[[#This Row],[Column1]],[1]Sheet1!$A:$AO,14,FALSE)</f>
        <v>N/A</v>
      </c>
      <c r="O643" s="402">
        <f>VLOOKUP(Table13[[#This Row],[Column1]],[1]Sheet1!$A:$AO,15,FALSE)</f>
        <v>45411</v>
      </c>
      <c r="P643" s="375"/>
      <c r="Q643" s="375"/>
      <c r="R643" s="376"/>
      <c r="S643" s="583" t="s">
        <v>713</v>
      </c>
      <c r="T643" s="583">
        <f>VLOOKUP(Table13[[#This Row],[Column1]],[1]Sheet1!$A:$AO,20,FALSE)</f>
        <v>45429</v>
      </c>
      <c r="U643" s="583">
        <f>VLOOKUP(Table13[[#This Row],[Column1]],[1]Sheet1!$A:$AO,21,FALSE)</f>
        <v>45433</v>
      </c>
      <c r="V643" s="376"/>
      <c r="W643" s="376"/>
      <c r="X643" s="402"/>
      <c r="Y643" s="402"/>
      <c r="Z643" s="610" t="s">
        <v>1478</v>
      </c>
      <c r="AA643" s="532">
        <f>IF(Table13[[#This Row],[Column2]]="","",SUM(Table13[[#This Row],[Column28]]+Table13[[#This Row],[Column29]]))</f>
        <v>33140</v>
      </c>
      <c r="AB643" s="537">
        <v>33140</v>
      </c>
      <c r="AC643" s="502"/>
      <c r="AD643" s="532">
        <f>IF(Table13[[#This Row],[Column2]]="","",SUM(Table13[[#This Row],[Column31]]+Table13[[#This Row],[Column32]]))</f>
        <v>32822</v>
      </c>
      <c r="AE643" s="501">
        <v>32822</v>
      </c>
      <c r="AF643" s="541"/>
      <c r="AG643" s="405"/>
      <c r="AH643" s="380" t="s">
        <v>1205</v>
      </c>
      <c r="AI643" s="576" t="str">
        <f>VLOOKUP(Table13[[#This Row],[Column1]],[1]Sheet1!$A:$AO,35,FALSE)</f>
        <v>N/A</v>
      </c>
      <c r="AJ643" s="576" t="str">
        <f>VLOOKUP(Table13[[#This Row],[Column1]],[1]Sheet1!$A:$AO,36,FALSE)</f>
        <v>N/A</v>
      </c>
      <c r="AK643" s="576" t="str">
        <f>VLOOKUP(Table13[[#This Row],[Column1]],[1]Sheet1!$A:$AO,37,FALSE)</f>
        <v>N/A</v>
      </c>
      <c r="AL643" s="576" t="str">
        <f>VLOOKUP(Table13[[#This Row],[Column1]],[1]Sheet1!$A:$AO,38,FALSE)</f>
        <v>N/A</v>
      </c>
      <c r="AM643" s="576" t="str">
        <f>VLOOKUP(Table13[[#This Row],[Column1]],[1]Sheet1!$A:$AO,39,FALSE)</f>
        <v>N/A</v>
      </c>
      <c r="AN643" s="576" t="s">
        <v>713</v>
      </c>
      <c r="AO643" s="306" t="s">
        <v>919</v>
      </c>
      <c r="AP643" s="378"/>
      <c r="AQ643" s="237"/>
    </row>
    <row r="644" spans="1:43" s="238" customFormat="1" ht="75" customHeight="1" thickBot="1" x14ac:dyDescent="0.3">
      <c r="A644" s="297" t="s">
        <v>730</v>
      </c>
      <c r="B644" s="627" t="str">
        <f>VLOOKUP(Table13[[#This Row],[Column1]],[1]Sheet1!$A:$AO,2,FALSE)</f>
        <v>COMMUNICATION SUPPLIES &amp; EQUIPMENT</v>
      </c>
      <c r="C644" s="298" t="str">
        <f>VLOOKUP(Table13[[#This Row],[Column1]],[1]Sheet1!$A:$AO,3,FALSE)</f>
        <v>PICTO</v>
      </c>
      <c r="D644" s="298" t="s">
        <v>712</v>
      </c>
      <c r="E644" s="450" t="str">
        <f>VLOOKUP(Table13[[#This Row],[Column1]],[1]Sheet1!$A:$AO,5,FALSE)</f>
        <v>NP-53.9 - Small Value Procurement</v>
      </c>
      <c r="F644" s="446" t="str">
        <f>VLOOKUP(Table13[[#This Row],[Column1]],[1]Sheet1!$A:$AO,6,FALSE)</f>
        <v>N/A</v>
      </c>
      <c r="G644" s="402">
        <f>VLOOKUP(Table13[[#This Row],[Column1]],[1]Sheet1!$A:$AO,7,FALSE)</f>
        <v>45385</v>
      </c>
      <c r="H644" s="374"/>
      <c r="I644" s="402" t="str">
        <f>VLOOKUP(Table13[[#This Row],[Column1]],[1]Sheet1!$A:$AO,9,FALSE)</f>
        <v>N/A</v>
      </c>
      <c r="J644" s="402">
        <f>VLOOKUP(Table13[[#This Row],[Column1]],[1]Sheet1!$A:$AO,10,FALSE)</f>
        <v>45407</v>
      </c>
      <c r="K644" s="402">
        <f>VLOOKUP(Table13[[#This Row],[Column1]],[1]Sheet1!$A:$AO,11,FALSE)</f>
        <v>45407</v>
      </c>
      <c r="L644" s="404"/>
      <c r="M644" s="402" t="str">
        <f>VLOOKUP(Table13[[#This Row],[Column1]],[1]Sheet1!$A:$AO,13,FALSE)</f>
        <v>N/A</v>
      </c>
      <c r="N644" s="402" t="str">
        <f>VLOOKUP(Table13[[#This Row],[Column1]],[1]Sheet1!$A:$AO,14,FALSE)</f>
        <v>N/A</v>
      </c>
      <c r="O644" s="402">
        <f>VLOOKUP(Table13[[#This Row],[Column1]],[1]Sheet1!$A:$AO,15,FALSE)</f>
        <v>45411</v>
      </c>
      <c r="P644" s="375"/>
      <c r="Q644" s="375"/>
      <c r="R644" s="376"/>
      <c r="S644" s="583">
        <v>45418</v>
      </c>
      <c r="T644" s="583">
        <f>VLOOKUP(Table13[[#This Row],[Column1]],[1]Sheet1!$A:$AO,20,FALSE)</f>
        <v>45425</v>
      </c>
      <c r="U644" s="583">
        <f>VLOOKUP(Table13[[#This Row],[Column1]],[1]Sheet1!$A:$AO,21,FALSE)</f>
        <v>45433</v>
      </c>
      <c r="V644" s="376"/>
      <c r="W644" s="376"/>
      <c r="X644" s="402"/>
      <c r="Y644" s="402"/>
      <c r="Z644" s="610" t="s">
        <v>1478</v>
      </c>
      <c r="AA644" s="532">
        <f>IF(Table13[[#This Row],[Column2]]="","",SUM(Table13[[#This Row],[Column28]]+Table13[[#This Row],[Column29]]))</f>
        <v>154054</v>
      </c>
      <c r="AB644" s="537">
        <v>154054</v>
      </c>
      <c r="AC644" s="502"/>
      <c r="AD644" s="532">
        <f>IF(Table13[[#This Row],[Column2]]="","",SUM(Table13[[#This Row],[Column31]]+Table13[[#This Row],[Column32]]))</f>
        <v>154054</v>
      </c>
      <c r="AE644" s="501">
        <v>154054</v>
      </c>
      <c r="AF644" s="541"/>
      <c r="AG644" s="405"/>
      <c r="AH644" s="380" t="s">
        <v>1205</v>
      </c>
      <c r="AI644" s="576" t="str">
        <f>VLOOKUP(Table13[[#This Row],[Column1]],[1]Sheet1!$A:$AO,35,FALSE)</f>
        <v>N/A</v>
      </c>
      <c r="AJ644" s="576" t="str">
        <f>VLOOKUP(Table13[[#This Row],[Column1]],[1]Sheet1!$A:$AO,36,FALSE)</f>
        <v>N/A</v>
      </c>
      <c r="AK644" s="576" t="str">
        <f>VLOOKUP(Table13[[#This Row],[Column1]],[1]Sheet1!$A:$AO,37,FALSE)</f>
        <v>N/A</v>
      </c>
      <c r="AL644" s="576" t="str">
        <f>VLOOKUP(Table13[[#This Row],[Column1]],[1]Sheet1!$A:$AO,38,FALSE)</f>
        <v>N/A</v>
      </c>
      <c r="AM644" s="576" t="str">
        <f>VLOOKUP(Table13[[#This Row],[Column1]],[1]Sheet1!$A:$AO,39,FALSE)</f>
        <v>N/A</v>
      </c>
      <c r="AN644" s="576" t="s">
        <v>713</v>
      </c>
      <c r="AO644" s="306" t="s">
        <v>919</v>
      </c>
      <c r="AP644" s="378"/>
      <c r="AQ644" s="237"/>
    </row>
    <row r="645" spans="1:43" s="238" customFormat="1" ht="75" customHeight="1" thickBot="1" x14ac:dyDescent="0.3">
      <c r="A645" s="297" t="s">
        <v>842</v>
      </c>
      <c r="B645" s="627" t="str">
        <f>VLOOKUP(Table13[[#This Row],[Column1]],[1]Sheet1!$A:$AO,2,FALSE)</f>
        <v>STICKER</v>
      </c>
      <c r="C645" s="298" t="str">
        <f>VLOOKUP(Table13[[#This Row],[Column1]],[1]Sheet1!$A:$AO,3,FALSE)</f>
        <v>PTO</v>
      </c>
      <c r="D645" s="298" t="s">
        <v>712</v>
      </c>
      <c r="E645" s="450" t="str">
        <f>VLOOKUP(Table13[[#This Row],[Column1]],[1]Sheet1!$A:$AO,5,FALSE)</f>
        <v>NP-53.9 - Small Value Procurement</v>
      </c>
      <c r="F645" s="446" t="str">
        <f>VLOOKUP(Table13[[#This Row],[Column1]],[1]Sheet1!$A:$AO,6,FALSE)</f>
        <v>N/A</v>
      </c>
      <c r="G645" s="402">
        <f>VLOOKUP(Table13[[#This Row],[Column1]],[1]Sheet1!$A:$AO,7,FALSE)</f>
        <v>45397</v>
      </c>
      <c r="H645" s="374"/>
      <c r="I645" s="402" t="str">
        <f>VLOOKUP(Table13[[#This Row],[Column1]],[1]Sheet1!$A:$AO,9,FALSE)</f>
        <v>N/A</v>
      </c>
      <c r="J645" s="402">
        <f>VLOOKUP(Table13[[#This Row],[Column1]],[1]Sheet1!$A:$AO,10,FALSE)</f>
        <v>45407</v>
      </c>
      <c r="K645" s="402">
        <f>VLOOKUP(Table13[[#This Row],[Column1]],[1]Sheet1!$A:$AO,11,FALSE)</f>
        <v>45407</v>
      </c>
      <c r="L645" s="404"/>
      <c r="M645" s="402" t="str">
        <f>VLOOKUP(Table13[[#This Row],[Column1]],[1]Sheet1!$A:$AO,13,FALSE)</f>
        <v>N/A</v>
      </c>
      <c r="N645" s="402" t="str">
        <f>VLOOKUP(Table13[[#This Row],[Column1]],[1]Sheet1!$A:$AO,14,FALSE)</f>
        <v>N/A</v>
      </c>
      <c r="O645" s="402">
        <f>VLOOKUP(Table13[[#This Row],[Column1]],[1]Sheet1!$A:$AO,15,FALSE)</f>
        <v>45411</v>
      </c>
      <c r="P645" s="375"/>
      <c r="Q645" s="375"/>
      <c r="R645" s="376"/>
      <c r="S645" s="583">
        <v>45420</v>
      </c>
      <c r="T645" s="583">
        <f>VLOOKUP(Table13[[#This Row],[Column1]],[1]Sheet1!$A:$AO,20,FALSE)</f>
        <v>45432</v>
      </c>
      <c r="U645" s="583">
        <f>VLOOKUP(Table13[[#This Row],[Column1]],[1]Sheet1!$A:$AO,21,FALSE)</f>
        <v>45434</v>
      </c>
      <c r="V645" s="376"/>
      <c r="W645" s="376"/>
      <c r="X645" s="402"/>
      <c r="Y645" s="402"/>
      <c r="Z645" s="610" t="s">
        <v>1478</v>
      </c>
      <c r="AA645" s="532">
        <f>IF(Table13[[#This Row],[Column2]]="","",SUM(Table13[[#This Row],[Column28]]+Table13[[#This Row],[Column29]]))</f>
        <v>98000</v>
      </c>
      <c r="AB645" s="537">
        <v>98000</v>
      </c>
      <c r="AC645" s="502"/>
      <c r="AD645" s="532">
        <f>IF(Table13[[#This Row],[Column2]]="","",SUM(Table13[[#This Row],[Column31]]+Table13[[#This Row],[Column32]]))</f>
        <v>87500</v>
      </c>
      <c r="AE645" s="501">
        <v>87500</v>
      </c>
      <c r="AF645" s="541"/>
      <c r="AG645" s="405"/>
      <c r="AH645" s="380" t="s">
        <v>1205</v>
      </c>
      <c r="AI645" s="576" t="str">
        <f>VLOOKUP(Table13[[#This Row],[Column1]],[1]Sheet1!$A:$AO,35,FALSE)</f>
        <v>N/A</v>
      </c>
      <c r="AJ645" s="576" t="str">
        <f>VLOOKUP(Table13[[#This Row],[Column1]],[1]Sheet1!$A:$AO,36,FALSE)</f>
        <v>N/A</v>
      </c>
      <c r="AK645" s="576" t="str">
        <f>VLOOKUP(Table13[[#This Row],[Column1]],[1]Sheet1!$A:$AO,37,FALSE)</f>
        <v>N/A</v>
      </c>
      <c r="AL645" s="576" t="str">
        <f>VLOOKUP(Table13[[#This Row],[Column1]],[1]Sheet1!$A:$AO,38,FALSE)</f>
        <v>N/A</v>
      </c>
      <c r="AM645" s="576" t="str">
        <f>VLOOKUP(Table13[[#This Row],[Column1]],[1]Sheet1!$A:$AO,39,FALSE)</f>
        <v>N/A</v>
      </c>
      <c r="AN645" s="576" t="s">
        <v>713</v>
      </c>
      <c r="AO645" s="306" t="s">
        <v>919</v>
      </c>
      <c r="AP645" s="378"/>
      <c r="AQ645" s="237"/>
    </row>
    <row r="646" spans="1:43" s="238" customFormat="1" ht="75" customHeight="1" thickBot="1" x14ac:dyDescent="0.3">
      <c r="A646" s="297" t="s">
        <v>843</v>
      </c>
      <c r="B646" s="627" t="str">
        <f>VLOOKUP(Table13[[#This Row],[Column1]],[1]Sheet1!$A:$AO,2,FALSE)</f>
        <v>GARMENTS</v>
      </c>
      <c r="C646" s="298" t="str">
        <f>VLOOKUP(Table13[[#This Row],[Column1]],[1]Sheet1!$A:$AO,3,FALSE)</f>
        <v>PGO</v>
      </c>
      <c r="D646" s="298" t="s">
        <v>712</v>
      </c>
      <c r="E646" s="450" t="str">
        <f>VLOOKUP(Table13[[#This Row],[Column1]],[1]Sheet1!$A:$AO,5,FALSE)</f>
        <v>NP-53.9 - Small Value Procurement</v>
      </c>
      <c r="F646" s="446" t="str">
        <f>VLOOKUP(Table13[[#This Row],[Column1]],[1]Sheet1!$A:$AO,6,FALSE)</f>
        <v>N/A</v>
      </c>
      <c r="G646" s="402">
        <f>VLOOKUP(Table13[[#This Row],[Column1]],[1]Sheet1!$A:$AO,7,FALSE)</f>
        <v>45390</v>
      </c>
      <c r="H646" s="374"/>
      <c r="I646" s="402" t="str">
        <f>VLOOKUP(Table13[[#This Row],[Column1]],[1]Sheet1!$A:$AO,9,FALSE)</f>
        <v>N/A</v>
      </c>
      <c r="J646" s="402">
        <f>VLOOKUP(Table13[[#This Row],[Column1]],[1]Sheet1!$A:$AO,10,FALSE)</f>
        <v>45407</v>
      </c>
      <c r="K646" s="402">
        <f>VLOOKUP(Table13[[#This Row],[Column1]],[1]Sheet1!$A:$AO,11,FALSE)</f>
        <v>45407</v>
      </c>
      <c r="L646" s="404"/>
      <c r="M646" s="402" t="str">
        <f>VLOOKUP(Table13[[#This Row],[Column1]],[1]Sheet1!$A:$AO,13,FALSE)</f>
        <v>N/A</v>
      </c>
      <c r="N646" s="402" t="str">
        <f>VLOOKUP(Table13[[#This Row],[Column1]],[1]Sheet1!$A:$AO,14,FALSE)</f>
        <v>N/A</v>
      </c>
      <c r="O646" s="402">
        <f>VLOOKUP(Table13[[#This Row],[Column1]],[1]Sheet1!$A:$AO,15,FALSE)</f>
        <v>45411</v>
      </c>
      <c r="P646" s="375"/>
      <c r="Q646" s="375"/>
      <c r="R646" s="376"/>
      <c r="S646" s="583" t="s">
        <v>713</v>
      </c>
      <c r="T646" s="583">
        <f>VLOOKUP(Table13[[#This Row],[Column1]],[1]Sheet1!$A:$AO,20,FALSE)</f>
        <v>45425</v>
      </c>
      <c r="U646" s="583">
        <f>VLOOKUP(Table13[[#This Row],[Column1]],[1]Sheet1!$A:$AO,21,FALSE)</f>
        <v>45435</v>
      </c>
      <c r="V646" s="376"/>
      <c r="W646" s="376"/>
      <c r="X646" s="402"/>
      <c r="Y646" s="402"/>
      <c r="Z646" s="610" t="s">
        <v>1478</v>
      </c>
      <c r="AA646" s="532">
        <f>IF(Table13[[#This Row],[Column2]]="","",SUM(Table13[[#This Row],[Column28]]+Table13[[#This Row],[Column29]]))</f>
        <v>26400</v>
      </c>
      <c r="AB646" s="537"/>
      <c r="AC646" s="502">
        <v>26400</v>
      </c>
      <c r="AD646" s="532">
        <f>IF(Table13[[#This Row],[Column2]]="","",SUM(Table13[[#This Row],[Column31]]+Table13[[#This Row],[Column32]]))</f>
        <v>26400</v>
      </c>
      <c r="AE646" s="501"/>
      <c r="AF646" s="540">
        <v>26400</v>
      </c>
      <c r="AG646" s="405"/>
      <c r="AH646" s="380" t="s">
        <v>1205</v>
      </c>
      <c r="AI646" s="576" t="str">
        <f>VLOOKUP(Table13[[#This Row],[Column1]],[1]Sheet1!$A:$AO,35,FALSE)</f>
        <v>N/A</v>
      </c>
      <c r="AJ646" s="576" t="str">
        <f>VLOOKUP(Table13[[#This Row],[Column1]],[1]Sheet1!$A:$AO,36,FALSE)</f>
        <v>N/A</v>
      </c>
      <c r="AK646" s="576" t="str">
        <f>VLOOKUP(Table13[[#This Row],[Column1]],[1]Sheet1!$A:$AO,37,FALSE)</f>
        <v>N/A</v>
      </c>
      <c r="AL646" s="576" t="str">
        <f>VLOOKUP(Table13[[#This Row],[Column1]],[1]Sheet1!$A:$AO,38,FALSE)</f>
        <v>N/A</v>
      </c>
      <c r="AM646" s="576" t="str">
        <f>VLOOKUP(Table13[[#This Row],[Column1]],[1]Sheet1!$A:$AO,39,FALSE)</f>
        <v>N/A</v>
      </c>
      <c r="AN646" s="576" t="s">
        <v>713</v>
      </c>
      <c r="AO646" s="306" t="s">
        <v>919</v>
      </c>
      <c r="AP646" s="378"/>
      <c r="AQ646" s="237"/>
    </row>
    <row r="647" spans="1:43" s="238" customFormat="1" ht="75" customHeight="1" thickBot="1" x14ac:dyDescent="0.3">
      <c r="A647" s="297" t="s">
        <v>736</v>
      </c>
      <c r="B647" s="627" t="str">
        <f>VLOOKUP(Table13[[#This Row],[Column1]],[1]Sheet1!$A:$AO,2,FALSE)</f>
        <v>AGRICULTURAL SUPPLIES</v>
      </c>
      <c r="C647" s="298" t="str">
        <f>VLOOKUP(Table13[[#This Row],[Column1]],[1]Sheet1!$A:$AO,3,FALSE)</f>
        <v>PVO</v>
      </c>
      <c r="D647" s="298" t="s">
        <v>712</v>
      </c>
      <c r="E647" s="450" t="str">
        <f>VLOOKUP(Table13[[#This Row],[Column1]],[1]Sheet1!$A:$AO,5,FALSE)</f>
        <v>NP-53.9 - Small Value Procurement</v>
      </c>
      <c r="F647" s="446" t="str">
        <f>VLOOKUP(Table13[[#This Row],[Column1]],[1]Sheet1!$A:$AO,6,FALSE)</f>
        <v>N/A</v>
      </c>
      <c r="G647" s="402">
        <f>VLOOKUP(Table13[[#This Row],[Column1]],[1]Sheet1!$A:$AO,7,FALSE)</f>
        <v>45390</v>
      </c>
      <c r="H647" s="374"/>
      <c r="I647" s="402" t="str">
        <f>VLOOKUP(Table13[[#This Row],[Column1]],[1]Sheet1!$A:$AO,9,FALSE)</f>
        <v>N/A</v>
      </c>
      <c r="J647" s="402">
        <f>VLOOKUP(Table13[[#This Row],[Column1]],[1]Sheet1!$A:$AO,10,FALSE)</f>
        <v>45407</v>
      </c>
      <c r="K647" s="402">
        <f>VLOOKUP(Table13[[#This Row],[Column1]],[1]Sheet1!$A:$AO,11,FALSE)</f>
        <v>45407</v>
      </c>
      <c r="L647" s="404"/>
      <c r="M647" s="402" t="str">
        <f>VLOOKUP(Table13[[#This Row],[Column1]],[1]Sheet1!$A:$AO,13,FALSE)</f>
        <v>N/A</v>
      </c>
      <c r="N647" s="402" t="str">
        <f>VLOOKUP(Table13[[#This Row],[Column1]],[1]Sheet1!$A:$AO,14,FALSE)</f>
        <v>N/A</v>
      </c>
      <c r="O647" s="402">
        <f>VLOOKUP(Table13[[#This Row],[Column1]],[1]Sheet1!$A:$AO,15,FALSE)</f>
        <v>45411</v>
      </c>
      <c r="P647" s="375"/>
      <c r="Q647" s="375"/>
      <c r="R647" s="376"/>
      <c r="S647" s="583">
        <v>45418</v>
      </c>
      <c r="T647" s="583">
        <f>VLOOKUP(Table13[[#This Row],[Column1]],[1]Sheet1!$A:$AO,20,FALSE)</f>
        <v>45425</v>
      </c>
      <c r="U647" s="583">
        <f>VLOOKUP(Table13[[#This Row],[Column1]],[1]Sheet1!$A:$AO,21,FALSE)</f>
        <v>45435</v>
      </c>
      <c r="V647" s="376"/>
      <c r="W647" s="376"/>
      <c r="X647" s="402"/>
      <c r="Y647" s="402"/>
      <c r="Z647" s="610" t="s">
        <v>1478</v>
      </c>
      <c r="AA647" s="532">
        <f>IF(Table13[[#This Row],[Column2]]="","",SUM(Table13[[#This Row],[Column28]]+Table13[[#This Row],[Column29]]))</f>
        <v>249835</v>
      </c>
      <c r="AB647" s="537"/>
      <c r="AC647" s="502">
        <v>249835</v>
      </c>
      <c r="AD647" s="532">
        <f>IF(Table13[[#This Row],[Column2]]="","",SUM(Table13[[#This Row],[Column31]]+Table13[[#This Row],[Column32]]))</f>
        <v>248050</v>
      </c>
      <c r="AE647" s="501"/>
      <c r="AF647" s="540">
        <v>248050</v>
      </c>
      <c r="AG647" s="405"/>
      <c r="AH647" s="380" t="s">
        <v>1205</v>
      </c>
      <c r="AI647" s="576" t="str">
        <f>VLOOKUP(Table13[[#This Row],[Column1]],[1]Sheet1!$A:$AO,35,FALSE)</f>
        <v>N/A</v>
      </c>
      <c r="AJ647" s="576" t="str">
        <f>VLOOKUP(Table13[[#This Row],[Column1]],[1]Sheet1!$A:$AO,36,FALSE)</f>
        <v>N/A</v>
      </c>
      <c r="AK647" s="576" t="str">
        <f>VLOOKUP(Table13[[#This Row],[Column1]],[1]Sheet1!$A:$AO,37,FALSE)</f>
        <v>N/A</v>
      </c>
      <c r="AL647" s="576" t="str">
        <f>VLOOKUP(Table13[[#This Row],[Column1]],[1]Sheet1!$A:$AO,38,FALSE)</f>
        <v>N/A</v>
      </c>
      <c r="AM647" s="576" t="str">
        <f>VLOOKUP(Table13[[#This Row],[Column1]],[1]Sheet1!$A:$AO,39,FALSE)</f>
        <v>N/A</v>
      </c>
      <c r="AN647" s="576" t="s">
        <v>713</v>
      </c>
      <c r="AO647" s="306" t="s">
        <v>919</v>
      </c>
      <c r="AP647" s="378"/>
      <c r="AQ647" s="237"/>
    </row>
    <row r="648" spans="1:43" s="238" customFormat="1" ht="75" customHeight="1" thickBot="1" x14ac:dyDescent="0.3">
      <c r="A648" s="297" t="s">
        <v>844</v>
      </c>
      <c r="B648" s="627" t="str">
        <f>VLOOKUP(Table13[[#This Row],[Column1]],[1]Sheet1!$A:$AO,2,FALSE)</f>
        <v>TARPAULIN</v>
      </c>
      <c r="C648" s="298" t="str">
        <f>VLOOKUP(Table13[[#This Row],[Column1]],[1]Sheet1!$A:$AO,3,FALSE)</f>
        <v>PVO</v>
      </c>
      <c r="D648" s="298" t="s">
        <v>712</v>
      </c>
      <c r="E648" s="450" t="str">
        <f>VLOOKUP(Table13[[#This Row],[Column1]],[1]Sheet1!$A:$AO,5,FALSE)</f>
        <v>NP-53.9 - Small Value Procurement</v>
      </c>
      <c r="F648" s="446">
        <f>VLOOKUP(Table13[[#This Row],[Column1]],[1]Sheet1!$A:$AO,6,FALSE)</f>
        <v>45384</v>
      </c>
      <c r="G648" s="402">
        <f>VLOOKUP(Table13[[#This Row],[Column1]],[1]Sheet1!$A:$AO,7,FALSE)</f>
        <v>45390</v>
      </c>
      <c r="H648" s="374"/>
      <c r="I648" s="402" t="str">
        <f>VLOOKUP(Table13[[#This Row],[Column1]],[1]Sheet1!$A:$AO,9,FALSE)</f>
        <v>N/A</v>
      </c>
      <c r="J648" s="402">
        <f>VLOOKUP(Table13[[#This Row],[Column1]],[1]Sheet1!$A:$AO,10,FALSE)</f>
        <v>45407</v>
      </c>
      <c r="K648" s="402">
        <f>VLOOKUP(Table13[[#This Row],[Column1]],[1]Sheet1!$A:$AO,11,FALSE)</f>
        <v>45407</v>
      </c>
      <c r="L648" s="404"/>
      <c r="M648" s="402" t="str">
        <f>VLOOKUP(Table13[[#This Row],[Column1]],[1]Sheet1!$A:$AO,13,FALSE)</f>
        <v>N/A</v>
      </c>
      <c r="N648" s="402" t="str">
        <f>VLOOKUP(Table13[[#This Row],[Column1]],[1]Sheet1!$A:$AO,14,FALSE)</f>
        <v>N/A</v>
      </c>
      <c r="O648" s="402">
        <f>VLOOKUP(Table13[[#This Row],[Column1]],[1]Sheet1!$A:$AO,15,FALSE)</f>
        <v>45411</v>
      </c>
      <c r="P648" s="375"/>
      <c r="Q648" s="375"/>
      <c r="R648" s="376"/>
      <c r="S648" s="583" t="s">
        <v>713</v>
      </c>
      <c r="T648" s="583">
        <f>VLOOKUP(Table13[[#This Row],[Column1]],[1]Sheet1!$A:$AO,20,FALSE)</f>
        <v>45427</v>
      </c>
      <c r="U648" s="583">
        <f>VLOOKUP(Table13[[#This Row],[Column1]],[1]Sheet1!$A:$AO,21,FALSE)</f>
        <v>45433</v>
      </c>
      <c r="V648" s="376"/>
      <c r="W648" s="376"/>
      <c r="X648" s="402"/>
      <c r="Y648" s="402"/>
      <c r="Z648" s="610" t="s">
        <v>1478</v>
      </c>
      <c r="AA648" s="532">
        <f>IF(Table13[[#This Row],[Column2]]="","",SUM(Table13[[#This Row],[Column28]]+Table13[[#This Row],[Column29]]))</f>
        <v>3584</v>
      </c>
      <c r="AB648" s="537"/>
      <c r="AC648" s="502">
        <v>3584</v>
      </c>
      <c r="AD648" s="532">
        <f>IF(Table13[[#This Row],[Column2]]="","",SUM(Table13[[#This Row],[Column31]]+Table13[[#This Row],[Column32]]))</f>
        <v>3584</v>
      </c>
      <c r="AE648" s="501"/>
      <c r="AF648" s="540">
        <v>3584</v>
      </c>
      <c r="AG648" s="405"/>
      <c r="AH648" s="380" t="s">
        <v>1205</v>
      </c>
      <c r="AI648" s="576" t="str">
        <f>VLOOKUP(Table13[[#This Row],[Column1]],[1]Sheet1!$A:$AO,35,FALSE)</f>
        <v>N/A</v>
      </c>
      <c r="AJ648" s="576" t="str">
        <f>VLOOKUP(Table13[[#This Row],[Column1]],[1]Sheet1!$A:$AO,36,FALSE)</f>
        <v>N/A</v>
      </c>
      <c r="AK648" s="576" t="str">
        <f>VLOOKUP(Table13[[#This Row],[Column1]],[1]Sheet1!$A:$AO,37,FALSE)</f>
        <v>N/A</v>
      </c>
      <c r="AL648" s="576" t="str">
        <f>VLOOKUP(Table13[[#This Row],[Column1]],[1]Sheet1!$A:$AO,38,FALSE)</f>
        <v>N/A</v>
      </c>
      <c r="AM648" s="576" t="str">
        <f>VLOOKUP(Table13[[#This Row],[Column1]],[1]Sheet1!$A:$AO,39,FALSE)</f>
        <v>N/A</v>
      </c>
      <c r="AN648" s="576" t="s">
        <v>713</v>
      </c>
      <c r="AO648" s="306" t="s">
        <v>919</v>
      </c>
      <c r="AP648" s="378"/>
      <c r="AQ648" s="237"/>
    </row>
    <row r="649" spans="1:43" s="238" customFormat="1" ht="75" customHeight="1" thickBot="1" x14ac:dyDescent="0.3">
      <c r="A649" s="297" t="s">
        <v>845</v>
      </c>
      <c r="B649" s="627" t="str">
        <f>VLOOKUP(Table13[[#This Row],[Column1]],[1]Sheet1!$A:$AO,2,FALSE)</f>
        <v>OTHER MACHINERIES AND EQUIPMENT</v>
      </c>
      <c r="C649" s="298" t="str">
        <f>VLOOKUP(Table13[[#This Row],[Column1]],[1]Sheet1!$A:$AO,3,FALSE)</f>
        <v>PDRRMO</v>
      </c>
      <c r="D649" s="298" t="s">
        <v>712</v>
      </c>
      <c r="E649" s="450" t="str">
        <f>VLOOKUP(Table13[[#This Row],[Column1]],[1]Sheet1!$A:$AO,5,FALSE)</f>
        <v>NP-53.9 - Small Value Procurement</v>
      </c>
      <c r="F649" s="446" t="str">
        <f>VLOOKUP(Table13[[#This Row],[Column1]],[1]Sheet1!$A:$AO,6,FALSE)</f>
        <v>N/A</v>
      </c>
      <c r="G649" s="402">
        <f>VLOOKUP(Table13[[#This Row],[Column1]],[1]Sheet1!$A:$AO,7,FALSE)</f>
        <v>45359</v>
      </c>
      <c r="H649" s="374"/>
      <c r="I649" s="402" t="str">
        <f>VLOOKUP(Table13[[#This Row],[Column1]],[1]Sheet1!$A:$AO,9,FALSE)</f>
        <v>N/A</v>
      </c>
      <c r="J649" s="402">
        <f>VLOOKUP(Table13[[#This Row],[Column1]],[1]Sheet1!$A:$AO,10,FALSE)</f>
        <v>45407</v>
      </c>
      <c r="K649" s="402">
        <f>VLOOKUP(Table13[[#This Row],[Column1]],[1]Sheet1!$A:$AO,11,FALSE)</f>
        <v>45407</v>
      </c>
      <c r="L649" s="404"/>
      <c r="M649" s="402" t="str">
        <f>VLOOKUP(Table13[[#This Row],[Column1]],[1]Sheet1!$A:$AO,13,FALSE)</f>
        <v>N/A</v>
      </c>
      <c r="N649" s="402" t="str">
        <f>VLOOKUP(Table13[[#This Row],[Column1]],[1]Sheet1!$A:$AO,14,FALSE)</f>
        <v>N/A</v>
      </c>
      <c r="O649" s="402">
        <f>VLOOKUP(Table13[[#This Row],[Column1]],[1]Sheet1!$A:$AO,15,FALSE)</f>
        <v>45411</v>
      </c>
      <c r="P649" s="375"/>
      <c r="Q649" s="375"/>
      <c r="R649" s="376"/>
      <c r="S649" s="583">
        <v>45418</v>
      </c>
      <c r="T649" s="583">
        <f>VLOOKUP(Table13[[#This Row],[Column1]],[1]Sheet1!$A:$AO,20,FALSE)</f>
        <v>45429</v>
      </c>
      <c r="U649" s="583">
        <f>VLOOKUP(Table13[[#This Row],[Column1]],[1]Sheet1!$A:$AO,21,FALSE)</f>
        <v>45463</v>
      </c>
      <c r="V649" s="376"/>
      <c r="W649" s="376"/>
      <c r="X649" s="402"/>
      <c r="Y649" s="402"/>
      <c r="Z649" s="610" t="s">
        <v>1478</v>
      </c>
      <c r="AA649" s="532">
        <f>IF(Table13[[#This Row],[Column2]]="","",SUM(Table13[[#This Row],[Column28]]+Table13[[#This Row],[Column29]]))</f>
        <v>62535</v>
      </c>
      <c r="AB649" s="537"/>
      <c r="AC649" s="502">
        <v>62535</v>
      </c>
      <c r="AD649" s="532">
        <f>IF(Table13[[#This Row],[Column2]]="","",SUM(Table13[[#This Row],[Column31]]+Table13[[#This Row],[Column32]]))</f>
        <v>61400</v>
      </c>
      <c r="AE649" s="501"/>
      <c r="AF649" s="540">
        <v>61400</v>
      </c>
      <c r="AG649" s="405"/>
      <c r="AH649" s="380" t="s">
        <v>1205</v>
      </c>
      <c r="AI649" s="576" t="str">
        <f>VLOOKUP(Table13[[#This Row],[Column1]],[1]Sheet1!$A:$AO,35,FALSE)</f>
        <v>N/A</v>
      </c>
      <c r="AJ649" s="576" t="str">
        <f>VLOOKUP(Table13[[#This Row],[Column1]],[1]Sheet1!$A:$AO,36,FALSE)</f>
        <v>N/A</v>
      </c>
      <c r="AK649" s="576" t="str">
        <f>VLOOKUP(Table13[[#This Row],[Column1]],[1]Sheet1!$A:$AO,37,FALSE)</f>
        <v>N/A</v>
      </c>
      <c r="AL649" s="576" t="str">
        <f>VLOOKUP(Table13[[#This Row],[Column1]],[1]Sheet1!$A:$AO,38,FALSE)</f>
        <v>N/A</v>
      </c>
      <c r="AM649" s="576" t="str">
        <f>VLOOKUP(Table13[[#This Row],[Column1]],[1]Sheet1!$A:$AO,39,FALSE)</f>
        <v>N/A</v>
      </c>
      <c r="AN649" s="576" t="s">
        <v>713</v>
      </c>
      <c r="AO649" s="306" t="s">
        <v>919</v>
      </c>
      <c r="AP649" s="378"/>
      <c r="AQ649" s="237"/>
    </row>
    <row r="650" spans="1:43" s="238" customFormat="1" ht="75" customHeight="1" thickBot="1" x14ac:dyDescent="0.3">
      <c r="A650" s="297" t="s">
        <v>846</v>
      </c>
      <c r="B650" s="627" t="str">
        <f>VLOOKUP(Table13[[#This Row],[Column1]],[1]Sheet1!$A:$AO,2,FALSE)</f>
        <v>PADLOCK &amp; VARNISH</v>
      </c>
      <c r="C650" s="298" t="str">
        <f>VLOOKUP(Table13[[#This Row],[Column1]],[1]Sheet1!$A:$AO,3,FALSE)</f>
        <v>PGSO</v>
      </c>
      <c r="D650" s="298" t="s">
        <v>712</v>
      </c>
      <c r="E650" s="450" t="str">
        <f>VLOOKUP(Table13[[#This Row],[Column1]],[1]Sheet1!$A:$AO,5,FALSE)</f>
        <v>NP-53.9 - Small Value Procurement</v>
      </c>
      <c r="F650" s="446" t="str">
        <f>VLOOKUP(Table13[[#This Row],[Column1]],[1]Sheet1!$A:$AO,6,FALSE)</f>
        <v>N/A</v>
      </c>
      <c r="G650" s="402">
        <f>VLOOKUP(Table13[[#This Row],[Column1]],[1]Sheet1!$A:$AO,7,FALSE)</f>
        <v>45397</v>
      </c>
      <c r="H650" s="374"/>
      <c r="I650" s="402" t="str">
        <f>VLOOKUP(Table13[[#This Row],[Column1]],[1]Sheet1!$A:$AO,9,FALSE)</f>
        <v>N/A</v>
      </c>
      <c r="J650" s="402">
        <f>VLOOKUP(Table13[[#This Row],[Column1]],[1]Sheet1!$A:$AO,10,FALSE)</f>
        <v>45407</v>
      </c>
      <c r="K650" s="402">
        <f>VLOOKUP(Table13[[#This Row],[Column1]],[1]Sheet1!$A:$AO,11,FALSE)</f>
        <v>45407</v>
      </c>
      <c r="L650" s="404"/>
      <c r="M650" s="402" t="str">
        <f>VLOOKUP(Table13[[#This Row],[Column1]],[1]Sheet1!$A:$AO,13,FALSE)</f>
        <v>N/A</v>
      </c>
      <c r="N650" s="402" t="str">
        <f>VLOOKUP(Table13[[#This Row],[Column1]],[1]Sheet1!$A:$AO,14,FALSE)</f>
        <v>N/A</v>
      </c>
      <c r="O650" s="402">
        <f>VLOOKUP(Table13[[#This Row],[Column1]],[1]Sheet1!$A:$AO,15,FALSE)</f>
        <v>45411</v>
      </c>
      <c r="P650" s="375"/>
      <c r="Q650" s="375"/>
      <c r="R650" s="376"/>
      <c r="S650" s="583" t="s">
        <v>713</v>
      </c>
      <c r="T650" s="583">
        <f>VLOOKUP(Table13[[#This Row],[Column1]],[1]Sheet1!$A:$AO,20,FALSE)</f>
        <v>45427</v>
      </c>
      <c r="U650" s="583">
        <f>VLOOKUP(Table13[[#This Row],[Column1]],[1]Sheet1!$A:$AO,21,FALSE)</f>
        <v>45446</v>
      </c>
      <c r="V650" s="376"/>
      <c r="W650" s="376"/>
      <c r="X650" s="402"/>
      <c r="Y650" s="402"/>
      <c r="Z650" s="610" t="s">
        <v>1478</v>
      </c>
      <c r="AA650" s="532">
        <f>IF(Table13[[#This Row],[Column2]]="","",SUM(Table13[[#This Row],[Column28]]+Table13[[#This Row],[Column29]]))</f>
        <v>2785</v>
      </c>
      <c r="AB650" s="537">
        <v>2785</v>
      </c>
      <c r="AC650" s="502"/>
      <c r="AD650" s="532">
        <f>IF(Table13[[#This Row],[Column2]]="","",SUM(Table13[[#This Row],[Column31]]+Table13[[#This Row],[Column32]]))</f>
        <v>2785</v>
      </c>
      <c r="AE650" s="501">
        <v>2785</v>
      </c>
      <c r="AF650" s="541"/>
      <c r="AG650" s="405"/>
      <c r="AH650" s="380" t="s">
        <v>1205</v>
      </c>
      <c r="AI650" s="576" t="str">
        <f>VLOOKUP(Table13[[#This Row],[Column1]],[1]Sheet1!$A:$AO,35,FALSE)</f>
        <v>N/A</v>
      </c>
      <c r="AJ650" s="576" t="str">
        <f>VLOOKUP(Table13[[#This Row],[Column1]],[1]Sheet1!$A:$AO,36,FALSE)</f>
        <v>N/A</v>
      </c>
      <c r="AK650" s="576" t="str">
        <f>VLOOKUP(Table13[[#This Row],[Column1]],[1]Sheet1!$A:$AO,37,FALSE)</f>
        <v>N/A</v>
      </c>
      <c r="AL650" s="576" t="str">
        <f>VLOOKUP(Table13[[#This Row],[Column1]],[1]Sheet1!$A:$AO,38,FALSE)</f>
        <v>N/A</v>
      </c>
      <c r="AM650" s="576" t="str">
        <f>VLOOKUP(Table13[[#This Row],[Column1]],[1]Sheet1!$A:$AO,39,FALSE)</f>
        <v>N/A</v>
      </c>
      <c r="AN650" s="576" t="s">
        <v>713</v>
      </c>
      <c r="AO650" s="306" t="s">
        <v>919</v>
      </c>
      <c r="AP650" s="378"/>
      <c r="AQ650" s="237"/>
    </row>
    <row r="651" spans="1:43" s="238" customFormat="1" ht="75" customHeight="1" thickBot="1" x14ac:dyDescent="0.3">
      <c r="A651" s="297" t="s">
        <v>847</v>
      </c>
      <c r="B651" s="627" t="str">
        <f>VLOOKUP(Table13[[#This Row],[Column1]],[1]Sheet1!$A:$AO,2,FALSE)</f>
        <v>TARPAULIN</v>
      </c>
      <c r="C651" s="298" t="str">
        <f>VLOOKUP(Table13[[#This Row],[Column1]],[1]Sheet1!$A:$AO,3,FALSE)</f>
        <v>PHO</v>
      </c>
      <c r="D651" s="298" t="s">
        <v>712</v>
      </c>
      <c r="E651" s="450" t="str">
        <f>VLOOKUP(Table13[[#This Row],[Column1]],[1]Sheet1!$A:$AO,5,FALSE)</f>
        <v>NP-53.9 - Small Value Procurement</v>
      </c>
      <c r="F651" s="446" t="str">
        <f>VLOOKUP(Table13[[#This Row],[Column1]],[1]Sheet1!$A:$AO,6,FALSE)</f>
        <v>N/A</v>
      </c>
      <c r="G651" s="402">
        <f>VLOOKUP(Table13[[#This Row],[Column1]],[1]Sheet1!$A:$AO,7,FALSE)</f>
        <v>45397</v>
      </c>
      <c r="H651" s="374"/>
      <c r="I651" s="402" t="str">
        <f>VLOOKUP(Table13[[#This Row],[Column1]],[1]Sheet1!$A:$AO,9,FALSE)</f>
        <v>N/A</v>
      </c>
      <c r="J651" s="402">
        <f>VLOOKUP(Table13[[#This Row],[Column1]],[1]Sheet1!$A:$AO,10,FALSE)</f>
        <v>45407</v>
      </c>
      <c r="K651" s="402">
        <f>VLOOKUP(Table13[[#This Row],[Column1]],[1]Sheet1!$A:$AO,11,FALSE)</f>
        <v>45407</v>
      </c>
      <c r="L651" s="404"/>
      <c r="M651" s="402" t="str">
        <f>VLOOKUP(Table13[[#This Row],[Column1]],[1]Sheet1!$A:$AO,13,FALSE)</f>
        <v>N/A</v>
      </c>
      <c r="N651" s="402" t="str">
        <f>VLOOKUP(Table13[[#This Row],[Column1]],[1]Sheet1!$A:$AO,14,FALSE)</f>
        <v>N/A</v>
      </c>
      <c r="O651" s="402">
        <f>VLOOKUP(Table13[[#This Row],[Column1]],[1]Sheet1!$A:$AO,15,FALSE)</f>
        <v>45411</v>
      </c>
      <c r="P651" s="375"/>
      <c r="Q651" s="375"/>
      <c r="R651" s="376"/>
      <c r="S651" s="583" t="s">
        <v>713</v>
      </c>
      <c r="T651" s="583">
        <f>VLOOKUP(Table13[[#This Row],[Column1]],[1]Sheet1!$A:$AO,20,FALSE)</f>
        <v>45429</v>
      </c>
      <c r="U651" s="583">
        <f>VLOOKUP(Table13[[#This Row],[Column1]],[1]Sheet1!$A:$AO,21,FALSE)</f>
        <v>45433</v>
      </c>
      <c r="V651" s="376"/>
      <c r="W651" s="376"/>
      <c r="X651" s="402"/>
      <c r="Y651" s="402"/>
      <c r="Z651" s="610" t="s">
        <v>1478</v>
      </c>
      <c r="AA651" s="532">
        <f>IF(Table13[[#This Row],[Column2]]="","",SUM(Table13[[#This Row],[Column28]]+Table13[[#This Row],[Column29]]))</f>
        <v>5628</v>
      </c>
      <c r="AB651" s="537"/>
      <c r="AC651" s="502">
        <v>5628</v>
      </c>
      <c r="AD651" s="532">
        <f>IF(Table13[[#This Row],[Column2]]="","",SUM(Table13[[#This Row],[Column31]]+Table13[[#This Row],[Column32]]))</f>
        <v>5628</v>
      </c>
      <c r="AE651" s="501"/>
      <c r="AF651" s="540">
        <v>5628</v>
      </c>
      <c r="AG651" s="405"/>
      <c r="AH651" s="380" t="s">
        <v>1205</v>
      </c>
      <c r="AI651" s="576" t="str">
        <f>VLOOKUP(Table13[[#This Row],[Column1]],[1]Sheet1!$A:$AO,35,FALSE)</f>
        <v>N/A</v>
      </c>
      <c r="AJ651" s="576" t="str">
        <f>VLOOKUP(Table13[[#This Row],[Column1]],[1]Sheet1!$A:$AO,36,FALSE)</f>
        <v>N/A</v>
      </c>
      <c r="AK651" s="576" t="str">
        <f>VLOOKUP(Table13[[#This Row],[Column1]],[1]Sheet1!$A:$AO,37,FALSE)</f>
        <v>N/A</v>
      </c>
      <c r="AL651" s="576" t="str">
        <f>VLOOKUP(Table13[[#This Row],[Column1]],[1]Sheet1!$A:$AO,38,FALSE)</f>
        <v>N/A</v>
      </c>
      <c r="AM651" s="576" t="str">
        <f>VLOOKUP(Table13[[#This Row],[Column1]],[1]Sheet1!$A:$AO,39,FALSE)</f>
        <v>N/A</v>
      </c>
      <c r="AN651" s="576" t="s">
        <v>713</v>
      </c>
      <c r="AO651" s="306" t="s">
        <v>919</v>
      </c>
      <c r="AP651" s="378"/>
      <c r="AQ651" s="237"/>
    </row>
    <row r="652" spans="1:43" s="238" customFormat="1" ht="75" customHeight="1" thickBot="1" x14ac:dyDescent="0.3">
      <c r="A652" s="297" t="s">
        <v>848</v>
      </c>
      <c r="B652" s="627" t="str">
        <f>VLOOKUP(Table13[[#This Row],[Column1]],[1]Sheet1!$A:$AO,2,FALSE)</f>
        <v>COMPUTER PRINTER</v>
      </c>
      <c r="C652" s="298" t="str">
        <f>VLOOKUP(Table13[[#This Row],[Column1]],[1]Sheet1!$A:$AO,3,FALSE)</f>
        <v>PDRRMO</v>
      </c>
      <c r="D652" s="298" t="s">
        <v>712</v>
      </c>
      <c r="E652" s="450" t="str">
        <f>VLOOKUP(Table13[[#This Row],[Column1]],[1]Sheet1!$A:$AO,5,FALSE)</f>
        <v>NP-53.9 - Small Value Procurement</v>
      </c>
      <c r="F652" s="446" t="str">
        <f>VLOOKUP(Table13[[#This Row],[Column1]],[1]Sheet1!$A:$AO,6,FALSE)</f>
        <v>N/A</v>
      </c>
      <c r="G652" s="402">
        <f>VLOOKUP(Table13[[#This Row],[Column1]],[1]Sheet1!$A:$AO,7,FALSE)</f>
        <v>45390</v>
      </c>
      <c r="H652" s="374"/>
      <c r="I652" s="402" t="str">
        <f>VLOOKUP(Table13[[#This Row],[Column1]],[1]Sheet1!$A:$AO,9,FALSE)</f>
        <v>N/A</v>
      </c>
      <c r="J652" s="402">
        <f>VLOOKUP(Table13[[#This Row],[Column1]],[1]Sheet1!$A:$AO,10,FALSE)</f>
        <v>45407</v>
      </c>
      <c r="K652" s="402">
        <f>VLOOKUP(Table13[[#This Row],[Column1]],[1]Sheet1!$A:$AO,11,FALSE)</f>
        <v>45407</v>
      </c>
      <c r="L652" s="404"/>
      <c r="M652" s="402" t="str">
        <f>VLOOKUP(Table13[[#This Row],[Column1]],[1]Sheet1!$A:$AO,13,FALSE)</f>
        <v>N/A</v>
      </c>
      <c r="N652" s="402" t="str">
        <f>VLOOKUP(Table13[[#This Row],[Column1]],[1]Sheet1!$A:$AO,14,FALSE)</f>
        <v>N/A</v>
      </c>
      <c r="O652" s="402">
        <f>VLOOKUP(Table13[[#This Row],[Column1]],[1]Sheet1!$A:$AO,15,FALSE)</f>
        <v>45411</v>
      </c>
      <c r="P652" s="375"/>
      <c r="Q652" s="375"/>
      <c r="R652" s="376"/>
      <c r="S652" s="583" t="s">
        <v>713</v>
      </c>
      <c r="T652" s="583">
        <f>VLOOKUP(Table13[[#This Row],[Column1]],[1]Sheet1!$A:$AO,20,FALSE)</f>
        <v>45429</v>
      </c>
      <c r="U652" s="583">
        <f>VLOOKUP(Table13[[#This Row],[Column1]],[1]Sheet1!$A:$AO,21,FALSE)</f>
        <v>45433</v>
      </c>
      <c r="V652" s="376"/>
      <c r="W652" s="376"/>
      <c r="X652" s="402"/>
      <c r="Y652" s="402"/>
      <c r="Z652" s="610" t="s">
        <v>1478</v>
      </c>
      <c r="AA652" s="532">
        <f>IF(Table13[[#This Row],[Column2]]="","",SUM(Table13[[#This Row],[Column28]]+Table13[[#This Row],[Column29]]))</f>
        <v>10000</v>
      </c>
      <c r="AB652" s="537"/>
      <c r="AC652" s="502">
        <v>10000</v>
      </c>
      <c r="AD652" s="532">
        <f>IF(Table13[[#This Row],[Column2]]="","",SUM(Table13[[#This Row],[Column31]]+Table13[[#This Row],[Column32]]))</f>
        <v>9323</v>
      </c>
      <c r="AE652" s="501"/>
      <c r="AF652" s="540">
        <v>9323</v>
      </c>
      <c r="AG652" s="405"/>
      <c r="AH652" s="380" t="s">
        <v>1205</v>
      </c>
      <c r="AI652" s="576" t="str">
        <f>VLOOKUP(Table13[[#This Row],[Column1]],[1]Sheet1!$A:$AO,35,FALSE)</f>
        <v>N/A</v>
      </c>
      <c r="AJ652" s="576" t="str">
        <f>VLOOKUP(Table13[[#This Row],[Column1]],[1]Sheet1!$A:$AO,36,FALSE)</f>
        <v>N/A</v>
      </c>
      <c r="AK652" s="576" t="str">
        <f>VLOOKUP(Table13[[#This Row],[Column1]],[1]Sheet1!$A:$AO,37,FALSE)</f>
        <v>N/A</v>
      </c>
      <c r="AL652" s="576" t="str">
        <f>VLOOKUP(Table13[[#This Row],[Column1]],[1]Sheet1!$A:$AO,38,FALSE)</f>
        <v>N/A</v>
      </c>
      <c r="AM652" s="576" t="str">
        <f>VLOOKUP(Table13[[#This Row],[Column1]],[1]Sheet1!$A:$AO,39,FALSE)</f>
        <v>N/A</v>
      </c>
      <c r="AN652" s="576" t="s">
        <v>713</v>
      </c>
      <c r="AO652" s="306" t="s">
        <v>919</v>
      </c>
      <c r="AP652" s="378"/>
      <c r="AQ652" s="237"/>
    </row>
    <row r="653" spans="1:43" s="238" customFormat="1" ht="75" customHeight="1" thickBot="1" x14ac:dyDescent="0.3">
      <c r="A653" s="297" t="s">
        <v>849</v>
      </c>
      <c r="B653" s="627" t="str">
        <f>VLOOKUP(Table13[[#This Row],[Column1]],[1]Sheet1!$A:$AO,2,FALSE)</f>
        <v>TARPAULIN</v>
      </c>
      <c r="C653" s="298" t="str">
        <f>VLOOKUP(Table13[[#This Row],[Column1]],[1]Sheet1!$A:$AO,3,FALSE)</f>
        <v>SEF</v>
      </c>
      <c r="D653" s="298" t="s">
        <v>712</v>
      </c>
      <c r="E653" s="450" t="str">
        <f>VLOOKUP(Table13[[#This Row],[Column1]],[1]Sheet1!$A:$AO,5,FALSE)</f>
        <v>NP-53.9 - Small Value Procurement</v>
      </c>
      <c r="F653" s="446">
        <f>VLOOKUP(Table13[[#This Row],[Column1]],[1]Sheet1!$A:$AO,6,FALSE)</f>
        <v>45390</v>
      </c>
      <c r="G653" s="402">
        <f>VLOOKUP(Table13[[#This Row],[Column1]],[1]Sheet1!$A:$AO,7,FALSE)</f>
        <v>45397</v>
      </c>
      <c r="H653" s="374"/>
      <c r="I653" s="402" t="str">
        <f>VLOOKUP(Table13[[#This Row],[Column1]],[1]Sheet1!$A:$AO,9,FALSE)</f>
        <v>N/A</v>
      </c>
      <c r="J653" s="402">
        <f>VLOOKUP(Table13[[#This Row],[Column1]],[1]Sheet1!$A:$AO,10,FALSE)</f>
        <v>45407</v>
      </c>
      <c r="K653" s="402">
        <f>VLOOKUP(Table13[[#This Row],[Column1]],[1]Sheet1!$A:$AO,11,FALSE)</f>
        <v>45407</v>
      </c>
      <c r="L653" s="404"/>
      <c r="M653" s="402" t="str">
        <f>VLOOKUP(Table13[[#This Row],[Column1]],[1]Sheet1!$A:$AO,13,FALSE)</f>
        <v>N/A</v>
      </c>
      <c r="N653" s="402" t="str">
        <f>VLOOKUP(Table13[[#This Row],[Column1]],[1]Sheet1!$A:$AO,14,FALSE)</f>
        <v>N/A</v>
      </c>
      <c r="O653" s="402">
        <f>VLOOKUP(Table13[[#This Row],[Column1]],[1]Sheet1!$A:$AO,15,FALSE)</f>
        <v>45411</v>
      </c>
      <c r="P653" s="375"/>
      <c r="Q653" s="375"/>
      <c r="R653" s="376"/>
      <c r="S653" s="583">
        <v>45414</v>
      </c>
      <c r="T653" s="583">
        <f>VLOOKUP(Table13[[#This Row],[Column1]],[1]Sheet1!$A:$AO,20,FALSE)</f>
        <v>45432</v>
      </c>
      <c r="U653" s="583">
        <f>VLOOKUP(Table13[[#This Row],[Column1]],[1]Sheet1!$A:$AO,21,FALSE)</f>
        <v>45435</v>
      </c>
      <c r="V653" s="376"/>
      <c r="W653" s="376"/>
      <c r="X653" s="402"/>
      <c r="Y653" s="402"/>
      <c r="Z653" s="610" t="s">
        <v>1478</v>
      </c>
      <c r="AA653" s="532">
        <f>IF(Table13[[#This Row],[Column2]]="","",SUM(Table13[[#This Row],[Column28]]+Table13[[#This Row],[Column29]]))</f>
        <v>1792</v>
      </c>
      <c r="AB653" s="537"/>
      <c r="AC653" s="502">
        <v>1792</v>
      </c>
      <c r="AD653" s="532">
        <f>IF(Table13[[#This Row],[Column2]]="","",SUM(Table13[[#This Row],[Column31]]+Table13[[#This Row],[Column32]]))</f>
        <v>1792</v>
      </c>
      <c r="AE653" s="501"/>
      <c r="AF653" s="540">
        <v>1792</v>
      </c>
      <c r="AG653" s="405"/>
      <c r="AH653" s="380" t="s">
        <v>1205</v>
      </c>
      <c r="AI653" s="576" t="str">
        <f>VLOOKUP(Table13[[#This Row],[Column1]],[1]Sheet1!$A:$AO,35,FALSE)</f>
        <v>N/A</v>
      </c>
      <c r="AJ653" s="576" t="str">
        <f>VLOOKUP(Table13[[#This Row],[Column1]],[1]Sheet1!$A:$AO,36,FALSE)</f>
        <v>N/A</v>
      </c>
      <c r="AK653" s="576" t="str">
        <f>VLOOKUP(Table13[[#This Row],[Column1]],[1]Sheet1!$A:$AO,37,FALSE)</f>
        <v>N/A</v>
      </c>
      <c r="AL653" s="576" t="str">
        <f>VLOOKUP(Table13[[#This Row],[Column1]],[1]Sheet1!$A:$AO,38,FALSE)</f>
        <v>N/A</v>
      </c>
      <c r="AM653" s="576" t="str">
        <f>VLOOKUP(Table13[[#This Row],[Column1]],[1]Sheet1!$A:$AO,39,FALSE)</f>
        <v>N/A</v>
      </c>
      <c r="AN653" s="576" t="s">
        <v>713</v>
      </c>
      <c r="AO653" s="306" t="s">
        <v>919</v>
      </c>
      <c r="AP653" s="378"/>
      <c r="AQ653" s="237"/>
    </row>
    <row r="654" spans="1:43" s="238" customFormat="1" ht="75" customHeight="1" thickBot="1" x14ac:dyDescent="0.3">
      <c r="A654" s="297" t="s">
        <v>744</v>
      </c>
      <c r="B654" s="627" t="str">
        <f>VLOOKUP(Table13[[#This Row],[Column1]],[1]Sheet1!$A:$AO,2,FALSE)</f>
        <v>ELECTROLYTES ANALYZER</v>
      </c>
      <c r="C654" s="298" t="str">
        <f>VLOOKUP(Table13[[#This Row],[Column1]],[1]Sheet1!$A:$AO,3,FALSE)</f>
        <v>PEEMO</v>
      </c>
      <c r="D654" s="298" t="s">
        <v>712</v>
      </c>
      <c r="E654" s="450" t="str">
        <f>VLOOKUP(Table13[[#This Row],[Column1]],[1]Sheet1!$A:$AO,5,FALSE)</f>
        <v>Direct Contracting</v>
      </c>
      <c r="F654" s="446" t="str">
        <f>VLOOKUP(Table13[[#This Row],[Column1]],[1]Sheet1!$A:$AO,6,FALSE)</f>
        <v>N/A</v>
      </c>
      <c r="G654" s="402">
        <f>VLOOKUP(Table13[[#This Row],[Column1]],[1]Sheet1!$A:$AO,7,FALSE)</f>
        <v>45385</v>
      </c>
      <c r="H654" s="374"/>
      <c r="I654" s="402" t="str">
        <f>VLOOKUP(Table13[[#This Row],[Column1]],[1]Sheet1!$A:$AO,9,FALSE)</f>
        <v>N/A</v>
      </c>
      <c r="J654" s="402">
        <f>VLOOKUP(Table13[[#This Row],[Column1]],[1]Sheet1!$A:$AO,10,FALSE)</f>
        <v>45407</v>
      </c>
      <c r="K654" s="402">
        <f>VLOOKUP(Table13[[#This Row],[Column1]],[1]Sheet1!$A:$AO,11,FALSE)</f>
        <v>45407</v>
      </c>
      <c r="L654" s="404"/>
      <c r="M654" s="402" t="str">
        <f>VLOOKUP(Table13[[#This Row],[Column1]],[1]Sheet1!$A:$AO,13,FALSE)</f>
        <v>N/A</v>
      </c>
      <c r="N654" s="402" t="str">
        <f>VLOOKUP(Table13[[#This Row],[Column1]],[1]Sheet1!$A:$AO,14,FALSE)</f>
        <v>N/A</v>
      </c>
      <c r="O654" s="402">
        <f>VLOOKUP(Table13[[#This Row],[Column1]],[1]Sheet1!$A:$AO,15,FALSE)</f>
        <v>45411</v>
      </c>
      <c r="P654" s="375"/>
      <c r="Q654" s="375"/>
      <c r="R654" s="376"/>
      <c r="S654" s="583" t="s">
        <v>713</v>
      </c>
      <c r="T654" s="583">
        <f>VLOOKUP(Table13[[#This Row],[Column1]],[1]Sheet1!$A:$AO,20,FALSE)</f>
        <v>45425</v>
      </c>
      <c r="U654" s="583">
        <f>VLOOKUP(Table13[[#This Row],[Column1]],[1]Sheet1!$A:$AO,21,FALSE)</f>
        <v>45436</v>
      </c>
      <c r="V654" s="376"/>
      <c r="W654" s="376"/>
      <c r="X654" s="402"/>
      <c r="Y654" s="402"/>
      <c r="Z654" s="610" t="s">
        <v>1478</v>
      </c>
      <c r="AA654" s="532">
        <f>IF(Table13[[#This Row],[Column2]]="","",SUM(Table13[[#This Row],[Column28]]+Table13[[#This Row],[Column29]]))</f>
        <v>630375</v>
      </c>
      <c r="AB654" s="537">
        <v>630375</v>
      </c>
      <c r="AC654" s="502"/>
      <c r="AD654" s="532">
        <f>IF(Table13[[#This Row],[Column2]]="","",SUM(Table13[[#This Row],[Column31]]+Table13[[#This Row],[Column32]]))</f>
        <v>630375</v>
      </c>
      <c r="AE654" s="501">
        <v>630375</v>
      </c>
      <c r="AF654" s="541"/>
      <c r="AG654" s="405"/>
      <c r="AH654" s="380" t="s">
        <v>1205</v>
      </c>
      <c r="AI654" s="576" t="str">
        <f>VLOOKUP(Table13[[#This Row],[Column1]],[1]Sheet1!$A:$AO,35,FALSE)</f>
        <v>N/A</v>
      </c>
      <c r="AJ654" s="576" t="str">
        <f>VLOOKUP(Table13[[#This Row],[Column1]],[1]Sheet1!$A:$AO,36,FALSE)</f>
        <v>N/A</v>
      </c>
      <c r="AK654" s="576" t="str">
        <f>VLOOKUP(Table13[[#This Row],[Column1]],[1]Sheet1!$A:$AO,37,FALSE)</f>
        <v>N/A</v>
      </c>
      <c r="AL654" s="576" t="str">
        <f>VLOOKUP(Table13[[#This Row],[Column1]],[1]Sheet1!$A:$AO,38,FALSE)</f>
        <v>N/A</v>
      </c>
      <c r="AM654" s="576" t="str">
        <f>VLOOKUP(Table13[[#This Row],[Column1]],[1]Sheet1!$A:$AO,39,FALSE)</f>
        <v>N/A</v>
      </c>
      <c r="AN654" s="576" t="s">
        <v>713</v>
      </c>
      <c r="AO654" s="306" t="s">
        <v>919</v>
      </c>
      <c r="AP654" s="378"/>
      <c r="AQ654" s="237"/>
    </row>
    <row r="655" spans="1:43" s="238" customFormat="1" ht="75" customHeight="1" thickBot="1" x14ac:dyDescent="0.3">
      <c r="A655" s="297" t="s">
        <v>850</v>
      </c>
      <c r="B655" s="627" t="str">
        <f>VLOOKUP(Table13[[#This Row],[Column1]],[1]Sheet1!$A:$AO,2,FALSE)</f>
        <v>GAS</v>
      </c>
      <c r="C655" s="298" t="str">
        <f>VLOOKUP(Table13[[#This Row],[Column1]],[1]Sheet1!$A:$AO,3,FALSE)</f>
        <v>PEO-Motorpool</v>
      </c>
      <c r="D655" s="298" t="s">
        <v>712</v>
      </c>
      <c r="E655" s="450" t="str">
        <f>VLOOKUP(Table13[[#This Row],[Column1]],[1]Sheet1!$A:$AO,5,FALSE)</f>
        <v>Direct Contracting</v>
      </c>
      <c r="F655" s="446">
        <f>VLOOKUP(Table13[[#This Row],[Column1]],[1]Sheet1!$A:$AO,6,FALSE)</f>
        <v>45387</v>
      </c>
      <c r="G655" s="402">
        <f>VLOOKUP(Table13[[#This Row],[Column1]],[1]Sheet1!$A:$AO,7,FALSE)</f>
        <v>45397</v>
      </c>
      <c r="H655" s="374"/>
      <c r="I655" s="402" t="str">
        <f>VLOOKUP(Table13[[#This Row],[Column1]],[1]Sheet1!$A:$AO,9,FALSE)</f>
        <v>N/A</v>
      </c>
      <c r="J655" s="402">
        <f>VLOOKUP(Table13[[#This Row],[Column1]],[1]Sheet1!$A:$AO,10,FALSE)</f>
        <v>45407</v>
      </c>
      <c r="K655" s="402">
        <f>VLOOKUP(Table13[[#This Row],[Column1]],[1]Sheet1!$A:$AO,11,FALSE)</f>
        <v>45407</v>
      </c>
      <c r="L655" s="404"/>
      <c r="M655" s="402" t="str">
        <f>VLOOKUP(Table13[[#This Row],[Column1]],[1]Sheet1!$A:$AO,13,FALSE)</f>
        <v>N/A</v>
      </c>
      <c r="N655" s="402" t="str">
        <f>VLOOKUP(Table13[[#This Row],[Column1]],[1]Sheet1!$A:$AO,14,FALSE)</f>
        <v>N/A</v>
      </c>
      <c r="O655" s="402">
        <f>VLOOKUP(Table13[[#This Row],[Column1]],[1]Sheet1!$A:$AO,15,FALSE)</f>
        <v>45411</v>
      </c>
      <c r="P655" s="375"/>
      <c r="Q655" s="375"/>
      <c r="R655" s="376"/>
      <c r="S655" s="583" t="s">
        <v>713</v>
      </c>
      <c r="T655" s="583">
        <f>VLOOKUP(Table13[[#This Row],[Column1]],[1]Sheet1!$A:$AO,20,FALSE)</f>
        <v>45425</v>
      </c>
      <c r="U655" s="583">
        <f>VLOOKUP(Table13[[#This Row],[Column1]],[1]Sheet1!$A:$AO,21,FALSE)</f>
        <v>45434</v>
      </c>
      <c r="V655" s="376"/>
      <c r="W655" s="376"/>
      <c r="X655" s="402"/>
      <c r="Y655" s="402"/>
      <c r="Z655" s="610" t="s">
        <v>1478</v>
      </c>
      <c r="AA655" s="532">
        <f>IF(Table13[[#This Row],[Column2]]="","",SUM(Table13[[#This Row],[Column28]]+Table13[[#This Row],[Column29]]))</f>
        <v>47140</v>
      </c>
      <c r="AB655" s="537">
        <v>47140</v>
      </c>
      <c r="AC655" s="502"/>
      <c r="AD655" s="532">
        <f>IF(Table13[[#This Row],[Column2]]="","",SUM(Table13[[#This Row],[Column31]]+Table13[[#This Row],[Column32]]))</f>
        <v>47140</v>
      </c>
      <c r="AE655" s="501">
        <v>47140</v>
      </c>
      <c r="AF655" s="541"/>
      <c r="AG655" s="405"/>
      <c r="AH655" s="380" t="s">
        <v>1205</v>
      </c>
      <c r="AI655" s="576" t="str">
        <f>VLOOKUP(Table13[[#This Row],[Column1]],[1]Sheet1!$A:$AO,35,FALSE)</f>
        <v>N/A</v>
      </c>
      <c r="AJ655" s="576" t="str">
        <f>VLOOKUP(Table13[[#This Row],[Column1]],[1]Sheet1!$A:$AO,36,FALSE)</f>
        <v>N/A</v>
      </c>
      <c r="AK655" s="576" t="str">
        <f>VLOOKUP(Table13[[#This Row],[Column1]],[1]Sheet1!$A:$AO,37,FALSE)</f>
        <v>N/A</v>
      </c>
      <c r="AL655" s="576" t="str">
        <f>VLOOKUP(Table13[[#This Row],[Column1]],[1]Sheet1!$A:$AO,38,FALSE)</f>
        <v>N/A</v>
      </c>
      <c r="AM655" s="576" t="str">
        <f>VLOOKUP(Table13[[#This Row],[Column1]],[1]Sheet1!$A:$AO,39,FALSE)</f>
        <v>N/A</v>
      </c>
      <c r="AN655" s="576" t="s">
        <v>713</v>
      </c>
      <c r="AO655" s="306" t="s">
        <v>919</v>
      </c>
      <c r="AP655" s="378"/>
      <c r="AQ655" s="237"/>
    </row>
    <row r="656" spans="1:43" s="238" customFormat="1" ht="75" customHeight="1" thickBot="1" x14ac:dyDescent="0.3">
      <c r="A656" s="297" t="s">
        <v>851</v>
      </c>
      <c r="B656" s="627" t="str">
        <f>VLOOKUP(Table13[[#This Row],[Column1]],[1]Sheet1!$A:$AO,2,FALSE)</f>
        <v>PLAQUE</v>
      </c>
      <c r="C656" s="298" t="str">
        <f>VLOOKUP(Table13[[#This Row],[Column1]],[1]Sheet1!$A:$AO,3,FALSE)</f>
        <v>PHO</v>
      </c>
      <c r="D656" s="298" t="s">
        <v>712</v>
      </c>
      <c r="E656" s="450" t="str">
        <f>VLOOKUP(Table13[[#This Row],[Column1]],[1]Sheet1!$A:$AO,5,FALSE)</f>
        <v>NP-53.9 - Small Value Procurement</v>
      </c>
      <c r="F656" s="446" t="str">
        <f>VLOOKUP(Table13[[#This Row],[Column1]],[1]Sheet1!$A:$AO,6,FALSE)</f>
        <v>N/A</v>
      </c>
      <c r="G656" s="402">
        <f>VLOOKUP(Table13[[#This Row],[Column1]],[1]Sheet1!$A:$AO,7,FALSE)</f>
        <v>45397</v>
      </c>
      <c r="H656" s="374"/>
      <c r="I656" s="402" t="str">
        <f>VLOOKUP(Table13[[#This Row],[Column1]],[1]Sheet1!$A:$AO,9,FALSE)</f>
        <v>N/A</v>
      </c>
      <c r="J656" s="402">
        <f>VLOOKUP(Table13[[#This Row],[Column1]],[1]Sheet1!$A:$AO,10,FALSE)</f>
        <v>45412</v>
      </c>
      <c r="K656" s="402">
        <f>VLOOKUP(Table13[[#This Row],[Column1]],[1]Sheet1!$A:$AO,11,FALSE)</f>
        <v>45412</v>
      </c>
      <c r="L656" s="404"/>
      <c r="M656" s="402" t="str">
        <f>VLOOKUP(Table13[[#This Row],[Column1]],[1]Sheet1!$A:$AO,13,FALSE)</f>
        <v>N/A</v>
      </c>
      <c r="N656" s="402" t="str">
        <f>VLOOKUP(Table13[[#This Row],[Column1]],[1]Sheet1!$A:$AO,14,FALSE)</f>
        <v>N/A</v>
      </c>
      <c r="O656" s="402">
        <f>VLOOKUP(Table13[[#This Row],[Column1]],[1]Sheet1!$A:$AO,15,FALSE)</f>
        <v>0</v>
      </c>
      <c r="P656" s="375"/>
      <c r="Q656" s="375"/>
      <c r="R656" s="376"/>
      <c r="S656" s="583" t="s">
        <v>713</v>
      </c>
      <c r="T656" s="583">
        <f>VLOOKUP(Table13[[#This Row],[Column1]],[1]Sheet1!$A:$AO,20,FALSE)</f>
        <v>45425</v>
      </c>
      <c r="U656" s="583">
        <f>VLOOKUP(Table13[[#This Row],[Column1]],[1]Sheet1!$A:$AO,21,FALSE)</f>
        <v>45433</v>
      </c>
      <c r="V656" s="376"/>
      <c r="W656" s="376"/>
      <c r="X656" s="402"/>
      <c r="Y656" s="402"/>
      <c r="Z656" s="610" t="s">
        <v>1478</v>
      </c>
      <c r="AA656" s="532">
        <f>IF(Table13[[#This Row],[Column2]]="","",SUM(Table13[[#This Row],[Column28]]+Table13[[#This Row],[Column29]]))</f>
        <v>9500</v>
      </c>
      <c r="AB656" s="537"/>
      <c r="AC656" s="502">
        <v>9500</v>
      </c>
      <c r="AD656" s="532">
        <f>IF(Table13[[#This Row],[Column2]]="","",SUM(Table13[[#This Row],[Column31]]+Table13[[#This Row],[Column32]]))</f>
        <v>9500</v>
      </c>
      <c r="AE656" s="501"/>
      <c r="AF656" s="541">
        <v>9500</v>
      </c>
      <c r="AG656" s="405"/>
      <c r="AH656" s="380" t="s">
        <v>1205</v>
      </c>
      <c r="AI656" s="576" t="str">
        <f>VLOOKUP(Table13[[#This Row],[Column1]],[1]Sheet1!$A:$AO,35,FALSE)</f>
        <v>N/A</v>
      </c>
      <c r="AJ656" s="576" t="str">
        <f>VLOOKUP(Table13[[#This Row],[Column1]],[1]Sheet1!$A:$AO,36,FALSE)</f>
        <v>N/A</v>
      </c>
      <c r="AK656" s="576" t="str">
        <f>VLOOKUP(Table13[[#This Row],[Column1]],[1]Sheet1!$A:$AO,37,FALSE)</f>
        <v>N/A</v>
      </c>
      <c r="AL656" s="576" t="str">
        <f>VLOOKUP(Table13[[#This Row],[Column1]],[1]Sheet1!$A:$AO,38,FALSE)</f>
        <v>N/A</v>
      </c>
      <c r="AM656" s="576" t="str">
        <f>VLOOKUP(Table13[[#This Row],[Column1]],[1]Sheet1!$A:$AO,39,FALSE)</f>
        <v>N/A</v>
      </c>
      <c r="AN656" s="576" t="s">
        <v>713</v>
      </c>
      <c r="AO656" s="306" t="s">
        <v>919</v>
      </c>
      <c r="AP656" s="378"/>
      <c r="AQ656" s="237"/>
    </row>
    <row r="657" spans="1:43" s="238" customFormat="1" ht="75" customHeight="1" thickBot="1" x14ac:dyDescent="0.3">
      <c r="A657" s="297" t="s">
        <v>746</v>
      </c>
      <c r="B657" s="627" t="str">
        <f>VLOOKUP(Table13[[#This Row],[Column1]],[1]Sheet1!$A:$AO,2,FALSE)</f>
        <v>MINERAL WATER</v>
      </c>
      <c r="C657" s="298" t="str">
        <f>VLOOKUP(Table13[[#This Row],[Column1]],[1]Sheet1!$A:$AO,3,FALSE)</f>
        <v>PEEMO</v>
      </c>
      <c r="D657" s="298" t="s">
        <v>712</v>
      </c>
      <c r="E657" s="450" t="str">
        <f>VLOOKUP(Table13[[#This Row],[Column1]],[1]Sheet1!$A:$AO,5,FALSE)</f>
        <v>NP-53.9 - Small Value Procurement</v>
      </c>
      <c r="F657" s="446" t="str">
        <f>VLOOKUP(Table13[[#This Row],[Column1]],[1]Sheet1!$A:$AO,6,FALSE)</f>
        <v>N/A</v>
      </c>
      <c r="G657" s="402">
        <f>VLOOKUP(Table13[[#This Row],[Column1]],[1]Sheet1!$A:$AO,7,FALSE)</f>
        <v>45397</v>
      </c>
      <c r="H657" s="374"/>
      <c r="I657" s="402" t="str">
        <f>VLOOKUP(Table13[[#This Row],[Column1]],[1]Sheet1!$A:$AO,9,FALSE)</f>
        <v>N/A</v>
      </c>
      <c r="J657" s="402">
        <f>VLOOKUP(Table13[[#This Row],[Column1]],[1]Sheet1!$A:$AO,10,FALSE)</f>
        <v>45412</v>
      </c>
      <c r="K657" s="402">
        <f>VLOOKUP(Table13[[#This Row],[Column1]],[1]Sheet1!$A:$AO,11,FALSE)</f>
        <v>45412</v>
      </c>
      <c r="L657" s="404"/>
      <c r="M657" s="402" t="str">
        <f>VLOOKUP(Table13[[#This Row],[Column1]],[1]Sheet1!$A:$AO,13,FALSE)</f>
        <v>N/A</v>
      </c>
      <c r="N657" s="402" t="str">
        <f>VLOOKUP(Table13[[#This Row],[Column1]],[1]Sheet1!$A:$AO,14,FALSE)</f>
        <v>N/A</v>
      </c>
      <c r="O657" s="402">
        <f>VLOOKUP(Table13[[#This Row],[Column1]],[1]Sheet1!$A:$AO,15,FALSE)</f>
        <v>0</v>
      </c>
      <c r="P657" s="375"/>
      <c r="Q657" s="375"/>
      <c r="R657" s="376"/>
      <c r="S657" s="583" t="s">
        <v>713</v>
      </c>
      <c r="T657" s="583">
        <f>VLOOKUP(Table13[[#This Row],[Column1]],[1]Sheet1!$A:$AO,20,FALSE)</f>
        <v>45425</v>
      </c>
      <c r="U657" s="583">
        <f>VLOOKUP(Table13[[#This Row],[Column1]],[1]Sheet1!$A:$AO,21,FALSE)</f>
        <v>45447</v>
      </c>
      <c r="V657" s="376"/>
      <c r="W657" s="376"/>
      <c r="X657" s="402"/>
      <c r="Y657" s="402"/>
      <c r="Z657" s="610" t="s">
        <v>1478</v>
      </c>
      <c r="AA657" s="532">
        <f>IF(Table13[[#This Row],[Column2]]="","",SUM(Table13[[#This Row],[Column28]]+Table13[[#This Row],[Column29]]))</f>
        <v>49200</v>
      </c>
      <c r="AB657" s="537">
        <v>49200</v>
      </c>
      <c r="AC657" s="502"/>
      <c r="AD657" s="532">
        <f>IF(Table13[[#This Row],[Column2]]="","",SUM(Table13[[#This Row],[Column31]]+Table13[[#This Row],[Column32]]))</f>
        <v>48000</v>
      </c>
      <c r="AE657" s="501">
        <v>48000</v>
      </c>
      <c r="AF657" s="541"/>
      <c r="AG657" s="405"/>
      <c r="AH657" s="380" t="s">
        <v>1205</v>
      </c>
      <c r="AI657" s="576" t="str">
        <f>VLOOKUP(Table13[[#This Row],[Column1]],[1]Sheet1!$A:$AO,35,FALSE)</f>
        <v>N/A</v>
      </c>
      <c r="AJ657" s="576" t="str">
        <f>VLOOKUP(Table13[[#This Row],[Column1]],[1]Sheet1!$A:$AO,36,FALSE)</f>
        <v>N/A</v>
      </c>
      <c r="AK657" s="576" t="str">
        <f>VLOOKUP(Table13[[#This Row],[Column1]],[1]Sheet1!$A:$AO,37,FALSE)</f>
        <v>N/A</v>
      </c>
      <c r="AL657" s="576" t="str">
        <f>VLOOKUP(Table13[[#This Row],[Column1]],[1]Sheet1!$A:$AO,38,FALSE)</f>
        <v>N/A</v>
      </c>
      <c r="AM657" s="576" t="str">
        <f>VLOOKUP(Table13[[#This Row],[Column1]],[1]Sheet1!$A:$AO,39,FALSE)</f>
        <v>N/A</v>
      </c>
      <c r="AN657" s="576" t="s">
        <v>713</v>
      </c>
      <c r="AO657" s="306" t="s">
        <v>919</v>
      </c>
      <c r="AP657" s="378"/>
      <c r="AQ657" s="237"/>
    </row>
    <row r="658" spans="1:43" s="238" customFormat="1" ht="75" customHeight="1" thickBot="1" x14ac:dyDescent="0.3">
      <c r="A658" s="297" t="s">
        <v>852</v>
      </c>
      <c r="B658" s="627" t="str">
        <f>VLOOKUP(Table13[[#This Row],[Column1]],[1]Sheet1!$A:$AO,2,FALSE)</f>
        <v>FOOD/CATERING SERVICES</v>
      </c>
      <c r="C658" s="298" t="str">
        <f>VLOOKUP(Table13[[#This Row],[Column1]],[1]Sheet1!$A:$AO,3,FALSE)</f>
        <v>PGO</v>
      </c>
      <c r="D658" s="298" t="s">
        <v>712</v>
      </c>
      <c r="E658" s="450" t="str">
        <f>VLOOKUP(Table13[[#This Row],[Column1]],[1]Sheet1!$A:$AO,5,FALSE)</f>
        <v>NP-53.9 - Small Value Procurement</v>
      </c>
      <c r="F658" s="446" t="str">
        <f>VLOOKUP(Table13[[#This Row],[Column1]],[1]Sheet1!$A:$AO,6,FALSE)</f>
        <v>N/A</v>
      </c>
      <c r="G658" s="402">
        <f>VLOOKUP(Table13[[#This Row],[Column1]],[1]Sheet1!$A:$AO,7,FALSE)</f>
        <v>45404</v>
      </c>
      <c r="H658" s="374"/>
      <c r="I658" s="402" t="str">
        <f>VLOOKUP(Table13[[#This Row],[Column1]],[1]Sheet1!$A:$AO,9,FALSE)</f>
        <v>N/A</v>
      </c>
      <c r="J658" s="402">
        <f>VLOOKUP(Table13[[#This Row],[Column1]],[1]Sheet1!$A:$AO,10,FALSE)</f>
        <v>45412</v>
      </c>
      <c r="K658" s="402">
        <f>VLOOKUP(Table13[[#This Row],[Column1]],[1]Sheet1!$A:$AO,11,FALSE)</f>
        <v>45412</v>
      </c>
      <c r="L658" s="404"/>
      <c r="M658" s="402" t="str">
        <f>VLOOKUP(Table13[[#This Row],[Column1]],[1]Sheet1!$A:$AO,13,FALSE)</f>
        <v>N/A</v>
      </c>
      <c r="N658" s="402" t="str">
        <f>VLOOKUP(Table13[[#This Row],[Column1]],[1]Sheet1!$A:$AO,14,FALSE)</f>
        <v>N/A</v>
      </c>
      <c r="O658" s="402">
        <f>VLOOKUP(Table13[[#This Row],[Column1]],[1]Sheet1!$A:$AO,15,FALSE)</f>
        <v>45425</v>
      </c>
      <c r="P658" s="375"/>
      <c r="Q658" s="375"/>
      <c r="R658" s="376"/>
      <c r="S658" s="583">
        <v>45418</v>
      </c>
      <c r="T658" s="583">
        <f>VLOOKUP(Table13[[#This Row],[Column1]],[1]Sheet1!$A:$AO,20,FALSE)</f>
        <v>45425</v>
      </c>
      <c r="U658" s="583">
        <f>VLOOKUP(Table13[[#This Row],[Column1]],[1]Sheet1!$A:$AO,21,FALSE)</f>
        <v>45435</v>
      </c>
      <c r="V658" s="376"/>
      <c r="W658" s="376"/>
      <c r="X658" s="402"/>
      <c r="Y658" s="402"/>
      <c r="Z658" s="610" t="s">
        <v>1478</v>
      </c>
      <c r="AA658" s="532">
        <f>IF(Table13[[#This Row],[Column2]]="","",SUM(Table13[[#This Row],[Column28]]+Table13[[#This Row],[Column29]]))</f>
        <v>375000</v>
      </c>
      <c r="AB658" s="537"/>
      <c r="AC658" s="502">
        <v>375000</v>
      </c>
      <c r="AD658" s="532">
        <f>IF(Table13[[#This Row],[Column2]]="","",SUM(Table13[[#This Row],[Column31]]+Table13[[#This Row],[Column32]]))</f>
        <v>375000</v>
      </c>
      <c r="AE658" s="501"/>
      <c r="AF658" s="541">
        <v>375000</v>
      </c>
      <c r="AG658" s="405"/>
      <c r="AH658" s="380" t="s">
        <v>1205</v>
      </c>
      <c r="AI658" s="576" t="str">
        <f>VLOOKUP(Table13[[#This Row],[Column1]],[1]Sheet1!$A:$AO,35,FALSE)</f>
        <v>N/A</v>
      </c>
      <c r="AJ658" s="576" t="str">
        <f>VLOOKUP(Table13[[#This Row],[Column1]],[1]Sheet1!$A:$AO,36,FALSE)</f>
        <v>N/A</v>
      </c>
      <c r="AK658" s="576" t="str">
        <f>VLOOKUP(Table13[[#This Row],[Column1]],[1]Sheet1!$A:$AO,37,FALSE)</f>
        <v>N/A</v>
      </c>
      <c r="AL658" s="576" t="str">
        <f>VLOOKUP(Table13[[#This Row],[Column1]],[1]Sheet1!$A:$AO,38,FALSE)</f>
        <v>N/A</v>
      </c>
      <c r="AM658" s="576" t="str">
        <f>VLOOKUP(Table13[[#This Row],[Column1]],[1]Sheet1!$A:$AO,39,FALSE)</f>
        <v>N/A</v>
      </c>
      <c r="AN658" s="576" t="s">
        <v>713</v>
      </c>
      <c r="AO658" s="306" t="s">
        <v>919</v>
      </c>
      <c r="AP658" s="378"/>
      <c r="AQ658" s="237"/>
    </row>
    <row r="659" spans="1:43" s="238" customFormat="1" ht="75" customHeight="1" thickBot="1" x14ac:dyDescent="0.3">
      <c r="A659" s="297" t="s">
        <v>745</v>
      </c>
      <c r="B659" s="627" t="str">
        <f>VLOOKUP(Table13[[#This Row],[Column1]],[1]Sheet1!$A:$AO,2,FALSE)</f>
        <v>TIRES</v>
      </c>
      <c r="C659" s="298" t="str">
        <f>VLOOKUP(Table13[[#This Row],[Column1]],[1]Sheet1!$A:$AO,3,FALSE)</f>
        <v>PEEMO</v>
      </c>
      <c r="D659" s="298" t="s">
        <v>712</v>
      </c>
      <c r="E659" s="450" t="str">
        <f>VLOOKUP(Table13[[#This Row],[Column1]],[1]Sheet1!$A:$AO,5,FALSE)</f>
        <v>NP-53.9 - Small Value Procurement</v>
      </c>
      <c r="F659" s="446">
        <f>VLOOKUP(Table13[[#This Row],[Column1]],[1]Sheet1!$A:$AO,6,FALSE)</f>
        <v>45398</v>
      </c>
      <c r="G659" s="402">
        <f>VLOOKUP(Table13[[#This Row],[Column1]],[1]Sheet1!$A:$AO,7,FALSE)</f>
        <v>45404</v>
      </c>
      <c r="H659" s="374"/>
      <c r="I659" s="402" t="str">
        <f>VLOOKUP(Table13[[#This Row],[Column1]],[1]Sheet1!$A:$AO,9,FALSE)</f>
        <v>N/A</v>
      </c>
      <c r="J659" s="402">
        <f>VLOOKUP(Table13[[#This Row],[Column1]],[1]Sheet1!$A:$AO,10,FALSE)</f>
        <v>45421</v>
      </c>
      <c r="K659" s="402">
        <f>VLOOKUP(Table13[[#This Row],[Column1]],[1]Sheet1!$A:$AO,11,FALSE)</f>
        <v>45421</v>
      </c>
      <c r="L659" s="404"/>
      <c r="M659" s="402" t="str">
        <f>VLOOKUP(Table13[[#This Row],[Column1]],[1]Sheet1!$A:$AO,13,FALSE)</f>
        <v>N/A</v>
      </c>
      <c r="N659" s="402" t="str">
        <f>VLOOKUP(Table13[[#This Row],[Column1]],[1]Sheet1!$A:$AO,14,FALSE)</f>
        <v>N/A</v>
      </c>
      <c r="O659" s="402">
        <f>VLOOKUP(Table13[[#This Row],[Column1]],[1]Sheet1!$A:$AO,15,FALSE)</f>
        <v>45425</v>
      </c>
      <c r="P659" s="375"/>
      <c r="Q659" s="375"/>
      <c r="R659" s="376"/>
      <c r="S659" s="583">
        <v>45429</v>
      </c>
      <c r="T659" s="583">
        <f>VLOOKUP(Table13[[#This Row],[Column1]],[1]Sheet1!$A:$AO,20,FALSE)</f>
        <v>45436</v>
      </c>
      <c r="U659" s="583">
        <f>VLOOKUP(Table13[[#This Row],[Column1]],[1]Sheet1!$A:$AO,21,FALSE)</f>
        <v>45440</v>
      </c>
      <c r="V659" s="376"/>
      <c r="W659" s="376"/>
      <c r="X659" s="402"/>
      <c r="Y659" s="402"/>
      <c r="Z659" s="610" t="s">
        <v>1478</v>
      </c>
      <c r="AA659" s="532">
        <f>IF(Table13[[#This Row],[Column2]]="","",SUM(Table13[[#This Row],[Column28]]+Table13[[#This Row],[Column29]]))</f>
        <v>199352</v>
      </c>
      <c r="AB659" s="537">
        <v>199352</v>
      </c>
      <c r="AC659" s="502"/>
      <c r="AD659" s="532">
        <f>IF(Table13[[#This Row],[Column2]]="","",SUM(Table13[[#This Row],[Column31]]+Table13[[#This Row],[Column32]]))</f>
        <v>173912</v>
      </c>
      <c r="AE659" s="501">
        <v>173912</v>
      </c>
      <c r="AF659" s="541"/>
      <c r="AG659" s="405"/>
      <c r="AH659" s="380" t="s">
        <v>1205</v>
      </c>
      <c r="AI659" s="576" t="str">
        <f>VLOOKUP(Table13[[#This Row],[Column1]],[1]Sheet1!$A:$AO,35,FALSE)</f>
        <v>N/A</v>
      </c>
      <c r="AJ659" s="576" t="str">
        <f>VLOOKUP(Table13[[#This Row],[Column1]],[1]Sheet1!$A:$AO,36,FALSE)</f>
        <v>N/A</v>
      </c>
      <c r="AK659" s="576" t="str">
        <f>VLOOKUP(Table13[[#This Row],[Column1]],[1]Sheet1!$A:$AO,37,FALSE)</f>
        <v>N/A</v>
      </c>
      <c r="AL659" s="576" t="str">
        <f>VLOOKUP(Table13[[#This Row],[Column1]],[1]Sheet1!$A:$AO,38,FALSE)</f>
        <v>N/A</v>
      </c>
      <c r="AM659" s="576" t="str">
        <f>VLOOKUP(Table13[[#This Row],[Column1]],[1]Sheet1!$A:$AO,39,FALSE)</f>
        <v>N/A</v>
      </c>
      <c r="AN659" s="576" t="s">
        <v>713</v>
      </c>
      <c r="AO659" s="306" t="s">
        <v>919</v>
      </c>
      <c r="AP659" s="378"/>
      <c r="AQ659" s="237"/>
    </row>
    <row r="660" spans="1:43" s="238" customFormat="1" ht="75" customHeight="1" thickBot="1" x14ac:dyDescent="0.3">
      <c r="A660" s="297" t="s">
        <v>738</v>
      </c>
      <c r="B660" s="627" t="str">
        <f>VLOOKUP(Table13[[#This Row],[Column1]],[1]Sheet1!$A:$AO,2,FALSE)</f>
        <v>FOOD/CATERING SERVICES</v>
      </c>
      <c r="C660" s="298" t="str">
        <f>VLOOKUP(Table13[[#This Row],[Column1]],[1]Sheet1!$A:$AO,3,FALSE)</f>
        <v>PGO</v>
      </c>
      <c r="D660" s="298" t="s">
        <v>712</v>
      </c>
      <c r="E660" s="450" t="str">
        <f>VLOOKUP(Table13[[#This Row],[Column1]],[1]Sheet1!$A:$AO,5,FALSE)</f>
        <v>NP-53.9 - Small Value Procurement</v>
      </c>
      <c r="F660" s="446">
        <f>VLOOKUP(Table13[[#This Row],[Column1]],[1]Sheet1!$A:$AO,6,FALSE)</f>
        <v>45398</v>
      </c>
      <c r="G660" s="402">
        <f>VLOOKUP(Table13[[#This Row],[Column1]],[1]Sheet1!$A:$AO,7,FALSE)</f>
        <v>45404</v>
      </c>
      <c r="H660" s="374"/>
      <c r="I660" s="402" t="str">
        <f>VLOOKUP(Table13[[#This Row],[Column1]],[1]Sheet1!$A:$AO,9,FALSE)</f>
        <v>N/A</v>
      </c>
      <c r="J660" s="402">
        <f>VLOOKUP(Table13[[#This Row],[Column1]],[1]Sheet1!$A:$AO,10,FALSE)</f>
        <v>45421</v>
      </c>
      <c r="K660" s="402">
        <f>VLOOKUP(Table13[[#This Row],[Column1]],[1]Sheet1!$A:$AO,11,FALSE)</f>
        <v>45421</v>
      </c>
      <c r="L660" s="404"/>
      <c r="M660" s="402" t="str">
        <f>VLOOKUP(Table13[[#This Row],[Column1]],[1]Sheet1!$A:$AO,13,FALSE)</f>
        <v>N/A</v>
      </c>
      <c r="N660" s="402" t="str">
        <f>VLOOKUP(Table13[[#This Row],[Column1]],[1]Sheet1!$A:$AO,14,FALSE)</f>
        <v>N/A</v>
      </c>
      <c r="O660" s="402">
        <f>VLOOKUP(Table13[[#This Row],[Column1]],[1]Sheet1!$A:$AO,15,FALSE)</f>
        <v>45425</v>
      </c>
      <c r="P660" s="375"/>
      <c r="Q660" s="375"/>
      <c r="R660" s="376"/>
      <c r="S660" s="583">
        <v>45426</v>
      </c>
      <c r="T660" s="583">
        <f>VLOOKUP(Table13[[#This Row],[Column1]],[1]Sheet1!$A:$AO,20,FALSE)</f>
        <v>45442</v>
      </c>
      <c r="U660" s="583">
        <f>VLOOKUP(Table13[[#This Row],[Column1]],[1]Sheet1!$A:$AO,21,FALSE)</f>
        <v>45447</v>
      </c>
      <c r="V660" s="376"/>
      <c r="W660" s="376"/>
      <c r="X660" s="402"/>
      <c r="Y660" s="402"/>
      <c r="Z660" s="610" t="s">
        <v>1478</v>
      </c>
      <c r="AA660" s="532">
        <f>IF(Table13[[#This Row],[Column2]]="","",SUM(Table13[[#This Row],[Column28]]+Table13[[#This Row],[Column29]]))</f>
        <v>99820</v>
      </c>
      <c r="AB660" s="537"/>
      <c r="AC660" s="502">
        <v>99820</v>
      </c>
      <c r="AD660" s="532">
        <f>IF(Table13[[#This Row],[Column2]]="","",SUM(Table13[[#This Row],[Column31]]+Table13[[#This Row],[Column32]]))</f>
        <v>99655</v>
      </c>
      <c r="AE660" s="501"/>
      <c r="AF660" s="540">
        <v>99655</v>
      </c>
      <c r="AG660" s="405"/>
      <c r="AH660" s="380" t="s">
        <v>1205</v>
      </c>
      <c r="AI660" s="576" t="str">
        <f>VLOOKUP(Table13[[#This Row],[Column1]],[1]Sheet1!$A:$AO,35,FALSE)</f>
        <v>N/A</v>
      </c>
      <c r="AJ660" s="576" t="str">
        <f>VLOOKUP(Table13[[#This Row],[Column1]],[1]Sheet1!$A:$AO,36,FALSE)</f>
        <v>N/A</v>
      </c>
      <c r="AK660" s="576" t="str">
        <f>VLOOKUP(Table13[[#This Row],[Column1]],[1]Sheet1!$A:$AO,37,FALSE)</f>
        <v>N/A</v>
      </c>
      <c r="AL660" s="576" t="str">
        <f>VLOOKUP(Table13[[#This Row],[Column1]],[1]Sheet1!$A:$AO,38,FALSE)</f>
        <v>N/A</v>
      </c>
      <c r="AM660" s="576" t="str">
        <f>VLOOKUP(Table13[[#This Row],[Column1]],[1]Sheet1!$A:$AO,39,FALSE)</f>
        <v>N/A</v>
      </c>
      <c r="AN660" s="576" t="s">
        <v>713</v>
      </c>
      <c r="AO660" s="306" t="s">
        <v>919</v>
      </c>
      <c r="AP660" s="378"/>
      <c r="AQ660" s="237"/>
    </row>
    <row r="661" spans="1:43" s="238" customFormat="1" ht="75" customHeight="1" thickBot="1" x14ac:dyDescent="0.3">
      <c r="A661" s="297" t="s">
        <v>748</v>
      </c>
      <c r="B661" s="627" t="str">
        <f>VLOOKUP(Table13[[#This Row],[Column1]],[1]Sheet1!$A:$AO,2,FALSE)</f>
        <v>FOOD/CATERING SERVICES</v>
      </c>
      <c r="C661" s="298" t="str">
        <f>VLOOKUP(Table13[[#This Row],[Column1]],[1]Sheet1!$A:$AO,3,FALSE)</f>
        <v>PGSO</v>
      </c>
      <c r="D661" s="298" t="s">
        <v>712</v>
      </c>
      <c r="E661" s="450" t="str">
        <f>VLOOKUP(Table13[[#This Row],[Column1]],[1]Sheet1!$A:$AO,5,FALSE)</f>
        <v>NP-53.9 - Small Value Procurement</v>
      </c>
      <c r="F661" s="446" t="str">
        <f>VLOOKUP(Table13[[#This Row],[Column1]],[1]Sheet1!$A:$AO,6,FALSE)</f>
        <v>N/A</v>
      </c>
      <c r="G661" s="402">
        <f>VLOOKUP(Table13[[#This Row],[Column1]],[1]Sheet1!$A:$AO,7,FALSE)</f>
        <v>45404</v>
      </c>
      <c r="H661" s="374"/>
      <c r="I661" s="402" t="str">
        <f>VLOOKUP(Table13[[#This Row],[Column1]],[1]Sheet1!$A:$AO,9,FALSE)</f>
        <v>N/A</v>
      </c>
      <c r="J661" s="402">
        <f>VLOOKUP(Table13[[#This Row],[Column1]],[1]Sheet1!$A:$AO,10,FALSE)</f>
        <v>45421</v>
      </c>
      <c r="K661" s="402">
        <f>VLOOKUP(Table13[[#This Row],[Column1]],[1]Sheet1!$A:$AO,11,FALSE)</f>
        <v>45421</v>
      </c>
      <c r="L661" s="404"/>
      <c r="M661" s="402" t="str">
        <f>VLOOKUP(Table13[[#This Row],[Column1]],[1]Sheet1!$A:$AO,13,FALSE)</f>
        <v>N/A</v>
      </c>
      <c r="N661" s="402" t="str">
        <f>VLOOKUP(Table13[[#This Row],[Column1]],[1]Sheet1!$A:$AO,14,FALSE)</f>
        <v>N/A</v>
      </c>
      <c r="O661" s="402">
        <f>VLOOKUP(Table13[[#This Row],[Column1]],[1]Sheet1!$A:$AO,15,FALSE)</f>
        <v>45425</v>
      </c>
      <c r="P661" s="375"/>
      <c r="Q661" s="375"/>
      <c r="R661" s="376"/>
      <c r="S661" s="583" t="s">
        <v>713</v>
      </c>
      <c r="T661" s="583">
        <f>VLOOKUP(Table13[[#This Row],[Column1]],[1]Sheet1!$A:$AO,20,FALSE)</f>
        <v>45434</v>
      </c>
      <c r="U661" s="583">
        <f>VLOOKUP(Table13[[#This Row],[Column1]],[1]Sheet1!$A:$AO,21,FALSE)</f>
        <v>45449</v>
      </c>
      <c r="V661" s="376"/>
      <c r="W661" s="376"/>
      <c r="X661" s="402"/>
      <c r="Y661" s="402"/>
      <c r="Z661" s="610" t="s">
        <v>1478</v>
      </c>
      <c r="AA661" s="532">
        <f>IF(Table13[[#This Row],[Column2]]="","",SUM(Table13[[#This Row],[Column28]]+Table13[[#This Row],[Column29]]))</f>
        <v>20000</v>
      </c>
      <c r="AB661" s="537"/>
      <c r="AC661" s="502">
        <v>20000</v>
      </c>
      <c r="AD661" s="532">
        <f>IF(Table13[[#This Row],[Column2]]="","",SUM(Table13[[#This Row],[Column31]]+Table13[[#This Row],[Column32]]))</f>
        <v>19680</v>
      </c>
      <c r="AE661" s="501"/>
      <c r="AF661" s="540">
        <v>19680</v>
      </c>
      <c r="AG661" s="405"/>
      <c r="AH661" s="380" t="s">
        <v>1205</v>
      </c>
      <c r="AI661" s="576" t="str">
        <f>VLOOKUP(Table13[[#This Row],[Column1]],[1]Sheet1!$A:$AO,35,FALSE)</f>
        <v>N/A</v>
      </c>
      <c r="AJ661" s="576" t="str">
        <f>VLOOKUP(Table13[[#This Row],[Column1]],[1]Sheet1!$A:$AO,36,FALSE)</f>
        <v>N/A</v>
      </c>
      <c r="AK661" s="576" t="str">
        <f>VLOOKUP(Table13[[#This Row],[Column1]],[1]Sheet1!$A:$AO,37,FALSE)</f>
        <v>N/A</v>
      </c>
      <c r="AL661" s="576" t="str">
        <f>VLOOKUP(Table13[[#This Row],[Column1]],[1]Sheet1!$A:$AO,38,FALSE)</f>
        <v>N/A</v>
      </c>
      <c r="AM661" s="576" t="str">
        <f>VLOOKUP(Table13[[#This Row],[Column1]],[1]Sheet1!$A:$AO,39,FALSE)</f>
        <v>N/A</v>
      </c>
      <c r="AN661" s="576" t="s">
        <v>713</v>
      </c>
      <c r="AO661" s="306" t="s">
        <v>919</v>
      </c>
      <c r="AP661" s="378"/>
      <c r="AQ661" s="237"/>
    </row>
    <row r="662" spans="1:43" s="238" customFormat="1" ht="75" customHeight="1" thickBot="1" x14ac:dyDescent="0.3">
      <c r="A662" s="297" t="s">
        <v>853</v>
      </c>
      <c r="B662" s="627" t="str">
        <f>VLOOKUP(Table13[[#This Row],[Column1]],[1]Sheet1!$A:$AO,2,FALSE)</f>
        <v>FOOD/CATERING SERVICES</v>
      </c>
      <c r="C662" s="298" t="str">
        <f>VLOOKUP(Table13[[#This Row],[Column1]],[1]Sheet1!$A:$AO,3,FALSE)</f>
        <v>PTO</v>
      </c>
      <c r="D662" s="298" t="s">
        <v>712</v>
      </c>
      <c r="E662" s="450" t="str">
        <f>VLOOKUP(Table13[[#This Row],[Column1]],[1]Sheet1!$A:$AO,5,FALSE)</f>
        <v>NP-53.9 - Small Value Procurement</v>
      </c>
      <c r="F662" s="446" t="str">
        <f>VLOOKUP(Table13[[#This Row],[Column1]],[1]Sheet1!$A:$AO,6,FALSE)</f>
        <v>N/A</v>
      </c>
      <c r="G662" s="402">
        <f>VLOOKUP(Table13[[#This Row],[Column1]],[1]Sheet1!$A:$AO,7,FALSE)</f>
        <v>45397</v>
      </c>
      <c r="H662" s="374"/>
      <c r="I662" s="402" t="str">
        <f>VLOOKUP(Table13[[#This Row],[Column1]],[1]Sheet1!$A:$AO,9,FALSE)</f>
        <v>N/A</v>
      </c>
      <c r="J662" s="402">
        <f>VLOOKUP(Table13[[#This Row],[Column1]],[1]Sheet1!$A:$AO,10,FALSE)</f>
        <v>45421</v>
      </c>
      <c r="K662" s="402">
        <f>VLOOKUP(Table13[[#This Row],[Column1]],[1]Sheet1!$A:$AO,11,FALSE)</f>
        <v>45421</v>
      </c>
      <c r="L662" s="404"/>
      <c r="M662" s="402" t="str">
        <f>VLOOKUP(Table13[[#This Row],[Column1]],[1]Sheet1!$A:$AO,13,FALSE)</f>
        <v>N/A</v>
      </c>
      <c r="N662" s="402" t="str">
        <f>VLOOKUP(Table13[[#This Row],[Column1]],[1]Sheet1!$A:$AO,14,FALSE)</f>
        <v>N/A</v>
      </c>
      <c r="O662" s="402">
        <f>VLOOKUP(Table13[[#This Row],[Column1]],[1]Sheet1!$A:$AO,15,FALSE)</f>
        <v>45425</v>
      </c>
      <c r="P662" s="375"/>
      <c r="Q662" s="375"/>
      <c r="R662" s="376"/>
      <c r="S662" s="583" t="s">
        <v>713</v>
      </c>
      <c r="T662" s="583">
        <f>VLOOKUP(Table13[[#This Row],[Column1]],[1]Sheet1!$A:$AO,20,FALSE)</f>
        <v>45434</v>
      </c>
      <c r="U662" s="583">
        <f>VLOOKUP(Table13[[#This Row],[Column1]],[1]Sheet1!$A:$AO,21,FALSE)</f>
        <v>45443</v>
      </c>
      <c r="V662" s="376"/>
      <c r="W662" s="376"/>
      <c r="X662" s="402"/>
      <c r="Y662" s="402"/>
      <c r="Z662" s="610" t="s">
        <v>1478</v>
      </c>
      <c r="AA662" s="532">
        <f>IF(Table13[[#This Row],[Column2]]="","",SUM(Table13[[#This Row],[Column28]]+Table13[[#This Row],[Column29]]))</f>
        <v>21000</v>
      </c>
      <c r="AB662" s="537">
        <v>21000</v>
      </c>
      <c r="AC662" s="502"/>
      <c r="AD662" s="532">
        <f>IF(Table13[[#This Row],[Column2]]="","",SUM(Table13[[#This Row],[Column31]]+Table13[[#This Row],[Column32]]))</f>
        <v>20850</v>
      </c>
      <c r="AE662" s="501">
        <v>20850</v>
      </c>
      <c r="AF662" s="541"/>
      <c r="AG662" s="405"/>
      <c r="AH662" s="380" t="s">
        <v>1205</v>
      </c>
      <c r="AI662" s="576" t="str">
        <f>VLOOKUP(Table13[[#This Row],[Column1]],[1]Sheet1!$A:$AO,35,FALSE)</f>
        <v>N/A</v>
      </c>
      <c r="AJ662" s="576" t="str">
        <f>VLOOKUP(Table13[[#This Row],[Column1]],[1]Sheet1!$A:$AO,36,FALSE)</f>
        <v>N/A</v>
      </c>
      <c r="AK662" s="576" t="str">
        <f>VLOOKUP(Table13[[#This Row],[Column1]],[1]Sheet1!$A:$AO,37,FALSE)</f>
        <v>N/A</v>
      </c>
      <c r="AL662" s="576" t="str">
        <f>VLOOKUP(Table13[[#This Row],[Column1]],[1]Sheet1!$A:$AO,38,FALSE)</f>
        <v>N/A</v>
      </c>
      <c r="AM662" s="576" t="str">
        <f>VLOOKUP(Table13[[#This Row],[Column1]],[1]Sheet1!$A:$AO,39,FALSE)</f>
        <v>N/A</v>
      </c>
      <c r="AN662" s="576" t="s">
        <v>713</v>
      </c>
      <c r="AO662" s="306" t="s">
        <v>919</v>
      </c>
      <c r="AP662" s="378"/>
      <c r="AQ662" s="237"/>
    </row>
    <row r="663" spans="1:43" s="238" customFormat="1" ht="75" customHeight="1" thickBot="1" x14ac:dyDescent="0.3">
      <c r="A663" s="297" t="s">
        <v>740</v>
      </c>
      <c r="B663" s="627" t="str">
        <f>VLOOKUP(Table13[[#This Row],[Column1]],[1]Sheet1!$A:$AO,2,FALSE)</f>
        <v>TARPAULIN</v>
      </c>
      <c r="C663" s="298" t="str">
        <f>VLOOKUP(Table13[[#This Row],[Column1]],[1]Sheet1!$A:$AO,3,FALSE)</f>
        <v>PDRRMO</v>
      </c>
      <c r="D663" s="298" t="s">
        <v>712</v>
      </c>
      <c r="E663" s="450" t="str">
        <f>VLOOKUP(Table13[[#This Row],[Column1]],[1]Sheet1!$A:$AO,5,FALSE)</f>
        <v>NP-53.9 - Small Value Procurement</v>
      </c>
      <c r="F663" s="446" t="str">
        <f>VLOOKUP(Table13[[#This Row],[Column1]],[1]Sheet1!$A:$AO,6,FALSE)</f>
        <v>N/A</v>
      </c>
      <c r="G663" s="402">
        <f>VLOOKUP(Table13[[#This Row],[Column1]],[1]Sheet1!$A:$AO,7,FALSE)</f>
        <v>45404</v>
      </c>
      <c r="H663" s="374"/>
      <c r="I663" s="402" t="str">
        <f>VLOOKUP(Table13[[#This Row],[Column1]],[1]Sheet1!$A:$AO,9,FALSE)</f>
        <v>N/A</v>
      </c>
      <c r="J663" s="402">
        <f>VLOOKUP(Table13[[#This Row],[Column1]],[1]Sheet1!$A:$AO,10,FALSE)</f>
        <v>45421</v>
      </c>
      <c r="K663" s="402">
        <f>VLOOKUP(Table13[[#This Row],[Column1]],[1]Sheet1!$A:$AO,11,FALSE)</f>
        <v>45421</v>
      </c>
      <c r="L663" s="404"/>
      <c r="M663" s="402" t="str">
        <f>VLOOKUP(Table13[[#This Row],[Column1]],[1]Sheet1!$A:$AO,13,FALSE)</f>
        <v>N/A</v>
      </c>
      <c r="N663" s="402" t="str">
        <f>VLOOKUP(Table13[[#This Row],[Column1]],[1]Sheet1!$A:$AO,14,FALSE)</f>
        <v>N/A</v>
      </c>
      <c r="O663" s="402">
        <f>VLOOKUP(Table13[[#This Row],[Column1]],[1]Sheet1!$A:$AO,15,FALSE)</f>
        <v>45425</v>
      </c>
      <c r="P663" s="375"/>
      <c r="Q663" s="375"/>
      <c r="R663" s="376"/>
      <c r="S663" s="583" t="s">
        <v>713</v>
      </c>
      <c r="T663" s="583">
        <f>VLOOKUP(Table13[[#This Row],[Column1]],[1]Sheet1!$A:$AO,20,FALSE)</f>
        <v>45434</v>
      </c>
      <c r="U663" s="583">
        <f>VLOOKUP(Table13[[#This Row],[Column1]],[1]Sheet1!$A:$AO,21,FALSE)</f>
        <v>45446</v>
      </c>
      <c r="V663" s="376"/>
      <c r="W663" s="376"/>
      <c r="X663" s="402"/>
      <c r="Y663" s="402"/>
      <c r="Z663" s="610" t="s">
        <v>1478</v>
      </c>
      <c r="AA663" s="532">
        <f>IF(Table13[[#This Row],[Column2]]="","",SUM(Table13[[#This Row],[Column28]]+Table13[[#This Row],[Column29]]))</f>
        <v>9184</v>
      </c>
      <c r="AB663" s="537"/>
      <c r="AC663" s="502">
        <v>9184</v>
      </c>
      <c r="AD663" s="532">
        <f>IF(Table13[[#This Row],[Column2]]="","",SUM(Table13[[#This Row],[Column31]]+Table13[[#This Row],[Column32]]))</f>
        <v>9184</v>
      </c>
      <c r="AE663" s="501"/>
      <c r="AF663" s="541">
        <v>9184</v>
      </c>
      <c r="AG663" s="405"/>
      <c r="AH663" s="380" t="s">
        <v>1205</v>
      </c>
      <c r="AI663" s="576" t="str">
        <f>VLOOKUP(Table13[[#This Row],[Column1]],[1]Sheet1!$A:$AO,35,FALSE)</f>
        <v>N/A</v>
      </c>
      <c r="AJ663" s="576" t="str">
        <f>VLOOKUP(Table13[[#This Row],[Column1]],[1]Sheet1!$A:$AO,36,FALSE)</f>
        <v>N/A</v>
      </c>
      <c r="AK663" s="576" t="str">
        <f>VLOOKUP(Table13[[#This Row],[Column1]],[1]Sheet1!$A:$AO,37,FALSE)</f>
        <v>N/A</v>
      </c>
      <c r="AL663" s="576" t="str">
        <f>VLOOKUP(Table13[[#This Row],[Column1]],[1]Sheet1!$A:$AO,38,FALSE)</f>
        <v>N/A</v>
      </c>
      <c r="AM663" s="576" t="str">
        <f>VLOOKUP(Table13[[#This Row],[Column1]],[1]Sheet1!$A:$AO,39,FALSE)</f>
        <v>N/A</v>
      </c>
      <c r="AN663" s="576" t="s">
        <v>713</v>
      </c>
      <c r="AO663" s="306" t="s">
        <v>919</v>
      </c>
      <c r="AP663" s="378"/>
      <c r="AQ663" s="237"/>
    </row>
    <row r="664" spans="1:43" s="238" customFormat="1" ht="75" customHeight="1" thickBot="1" x14ac:dyDescent="0.3">
      <c r="A664" s="297" t="s">
        <v>737</v>
      </c>
      <c r="B664" s="627" t="str">
        <f>VLOOKUP(Table13[[#This Row],[Column1]],[1]Sheet1!$A:$AO,2,FALSE)</f>
        <v>MINERAL WATER</v>
      </c>
      <c r="C664" s="298" t="str">
        <f>VLOOKUP(Table13[[#This Row],[Column1]],[1]Sheet1!$A:$AO,3,FALSE)</f>
        <v>PGO</v>
      </c>
      <c r="D664" s="298" t="s">
        <v>712</v>
      </c>
      <c r="E664" s="450" t="str">
        <f>VLOOKUP(Table13[[#This Row],[Column1]],[1]Sheet1!$A:$AO,5,FALSE)</f>
        <v>NP-53.9 - Small Value Procurement</v>
      </c>
      <c r="F664" s="446" t="str">
        <f>VLOOKUP(Table13[[#This Row],[Column1]],[1]Sheet1!$A:$AO,6,FALSE)</f>
        <v>N/A</v>
      </c>
      <c r="G664" s="402">
        <f>VLOOKUP(Table13[[#This Row],[Column1]],[1]Sheet1!$A:$AO,7,FALSE)</f>
        <v>45404</v>
      </c>
      <c r="H664" s="374"/>
      <c r="I664" s="402" t="str">
        <f>VLOOKUP(Table13[[#This Row],[Column1]],[1]Sheet1!$A:$AO,9,FALSE)</f>
        <v>N/A</v>
      </c>
      <c r="J664" s="402">
        <f>VLOOKUP(Table13[[#This Row],[Column1]],[1]Sheet1!$A:$AO,10,FALSE)</f>
        <v>45421</v>
      </c>
      <c r="K664" s="402">
        <f>VLOOKUP(Table13[[#This Row],[Column1]],[1]Sheet1!$A:$AO,11,FALSE)</f>
        <v>45421</v>
      </c>
      <c r="L664" s="404"/>
      <c r="M664" s="402" t="str">
        <f>VLOOKUP(Table13[[#This Row],[Column1]],[1]Sheet1!$A:$AO,13,FALSE)</f>
        <v>N/A</v>
      </c>
      <c r="N664" s="402" t="str">
        <f>VLOOKUP(Table13[[#This Row],[Column1]],[1]Sheet1!$A:$AO,14,FALSE)</f>
        <v>N/A</v>
      </c>
      <c r="O664" s="402">
        <f>VLOOKUP(Table13[[#This Row],[Column1]],[1]Sheet1!$A:$AO,15,FALSE)</f>
        <v>45425</v>
      </c>
      <c r="P664" s="375"/>
      <c r="Q664" s="375"/>
      <c r="R664" s="376"/>
      <c r="S664" s="583">
        <v>45427</v>
      </c>
      <c r="T664" s="583">
        <f>VLOOKUP(Table13[[#This Row],[Column1]],[1]Sheet1!$A:$AO,20,FALSE)</f>
        <v>45434</v>
      </c>
      <c r="U664" s="583">
        <f>VLOOKUP(Table13[[#This Row],[Column1]],[1]Sheet1!$A:$AO,21,FALSE)</f>
        <v>45447</v>
      </c>
      <c r="V664" s="376"/>
      <c r="W664" s="376"/>
      <c r="X664" s="402"/>
      <c r="Y664" s="402"/>
      <c r="Z664" s="610" t="s">
        <v>1478</v>
      </c>
      <c r="AA664" s="532">
        <f>IF(Table13[[#This Row],[Column2]]="","",SUM(Table13[[#This Row],[Column28]]+Table13[[#This Row],[Column29]]))</f>
        <v>67650</v>
      </c>
      <c r="AB664" s="537">
        <v>67650</v>
      </c>
      <c r="AC664" s="502"/>
      <c r="AD664" s="532">
        <f>IF(Table13[[#This Row],[Column2]]="","",SUM(Table13[[#This Row],[Column31]]+Table13[[#This Row],[Column32]]))</f>
        <v>66000</v>
      </c>
      <c r="AE664" s="501">
        <v>66000</v>
      </c>
      <c r="AF664" s="541"/>
      <c r="AG664" s="405"/>
      <c r="AH664" s="380" t="s">
        <v>1205</v>
      </c>
      <c r="AI664" s="576" t="str">
        <f>VLOOKUP(Table13[[#This Row],[Column1]],[1]Sheet1!$A:$AO,35,FALSE)</f>
        <v>N/A</v>
      </c>
      <c r="AJ664" s="576" t="str">
        <f>VLOOKUP(Table13[[#This Row],[Column1]],[1]Sheet1!$A:$AO,36,FALSE)</f>
        <v>N/A</v>
      </c>
      <c r="AK664" s="576" t="str">
        <f>VLOOKUP(Table13[[#This Row],[Column1]],[1]Sheet1!$A:$AO,37,FALSE)</f>
        <v>N/A</v>
      </c>
      <c r="AL664" s="576" t="str">
        <f>VLOOKUP(Table13[[#This Row],[Column1]],[1]Sheet1!$A:$AO,38,FALSE)</f>
        <v>N/A</v>
      </c>
      <c r="AM664" s="576" t="str">
        <f>VLOOKUP(Table13[[#This Row],[Column1]],[1]Sheet1!$A:$AO,39,FALSE)</f>
        <v>N/A</v>
      </c>
      <c r="AN664" s="576" t="s">
        <v>713</v>
      </c>
      <c r="AO664" s="306" t="s">
        <v>919</v>
      </c>
      <c r="AP664" s="378"/>
      <c r="AQ664" s="237"/>
    </row>
    <row r="665" spans="1:43" s="238" customFormat="1" ht="75" customHeight="1" thickBot="1" x14ac:dyDescent="0.3">
      <c r="A665" s="297" t="s">
        <v>731</v>
      </c>
      <c r="B665" s="627" t="str">
        <f>VLOOKUP(Table13[[#This Row],[Column1]],[1]Sheet1!$A:$AO,2,FALSE)</f>
        <v>TARPAULIN</v>
      </c>
      <c r="C665" s="298" t="str">
        <f>VLOOKUP(Table13[[#This Row],[Column1]],[1]Sheet1!$A:$AO,3,FALSE)</f>
        <v>PDRRMO</v>
      </c>
      <c r="D665" s="298" t="s">
        <v>712</v>
      </c>
      <c r="E665" s="450" t="str">
        <f>VLOOKUP(Table13[[#This Row],[Column1]],[1]Sheet1!$A:$AO,5,FALSE)</f>
        <v>NP-53.9 - Small Value Procurement</v>
      </c>
      <c r="F665" s="446" t="str">
        <f>VLOOKUP(Table13[[#This Row],[Column1]],[1]Sheet1!$A:$AO,6,FALSE)</f>
        <v>N/A</v>
      </c>
      <c r="G665" s="402">
        <f>VLOOKUP(Table13[[#This Row],[Column1]],[1]Sheet1!$A:$AO,7,FALSE)</f>
        <v>45404</v>
      </c>
      <c r="H665" s="374"/>
      <c r="I665" s="402" t="str">
        <f>VLOOKUP(Table13[[#This Row],[Column1]],[1]Sheet1!$A:$AO,9,FALSE)</f>
        <v>N/A</v>
      </c>
      <c r="J665" s="402">
        <f>VLOOKUP(Table13[[#This Row],[Column1]],[1]Sheet1!$A:$AO,10,FALSE)</f>
        <v>45421</v>
      </c>
      <c r="K665" s="402">
        <f>VLOOKUP(Table13[[#This Row],[Column1]],[1]Sheet1!$A:$AO,11,FALSE)</f>
        <v>45421</v>
      </c>
      <c r="L665" s="404"/>
      <c r="M665" s="402" t="str">
        <f>VLOOKUP(Table13[[#This Row],[Column1]],[1]Sheet1!$A:$AO,13,FALSE)</f>
        <v>N/A</v>
      </c>
      <c r="N665" s="402" t="str">
        <f>VLOOKUP(Table13[[#This Row],[Column1]],[1]Sheet1!$A:$AO,14,FALSE)</f>
        <v>N/A</v>
      </c>
      <c r="O665" s="402">
        <f>VLOOKUP(Table13[[#This Row],[Column1]],[1]Sheet1!$A:$AO,15,FALSE)</f>
        <v>45425</v>
      </c>
      <c r="P665" s="375"/>
      <c r="Q665" s="375"/>
      <c r="R665" s="376"/>
      <c r="S665" s="583" t="s">
        <v>713</v>
      </c>
      <c r="T665" s="583">
        <f>VLOOKUP(Table13[[#This Row],[Column1]],[1]Sheet1!$A:$AO,20,FALSE)</f>
        <v>45435</v>
      </c>
      <c r="U665" s="583">
        <f>VLOOKUP(Table13[[#This Row],[Column1]],[1]Sheet1!$A:$AO,21,FALSE)</f>
        <v>45446</v>
      </c>
      <c r="V665" s="376"/>
      <c r="W665" s="376"/>
      <c r="X665" s="402"/>
      <c r="Y665" s="402"/>
      <c r="Z665" s="610" t="s">
        <v>1478</v>
      </c>
      <c r="AA665" s="532">
        <f>IF(Table13[[#This Row],[Column2]]="","",SUM(Table13[[#This Row],[Column28]]+Table13[[#This Row],[Column29]]))</f>
        <v>14980</v>
      </c>
      <c r="AB665" s="537"/>
      <c r="AC665" s="502">
        <v>14980</v>
      </c>
      <c r="AD665" s="532">
        <f>IF(Table13[[#This Row],[Column2]]="","",SUM(Table13[[#This Row],[Column31]]+Table13[[#This Row],[Column32]]))</f>
        <v>14980</v>
      </c>
      <c r="AE665" s="501"/>
      <c r="AF665" s="541">
        <v>14980</v>
      </c>
      <c r="AG665" s="405"/>
      <c r="AH665" s="380" t="s">
        <v>1205</v>
      </c>
      <c r="AI665" s="576" t="str">
        <f>VLOOKUP(Table13[[#This Row],[Column1]],[1]Sheet1!$A:$AO,35,FALSE)</f>
        <v>N/A</v>
      </c>
      <c r="AJ665" s="576" t="str">
        <f>VLOOKUP(Table13[[#This Row],[Column1]],[1]Sheet1!$A:$AO,36,FALSE)</f>
        <v>N/A</v>
      </c>
      <c r="AK665" s="576" t="str">
        <f>VLOOKUP(Table13[[#This Row],[Column1]],[1]Sheet1!$A:$AO,37,FALSE)</f>
        <v>N/A</v>
      </c>
      <c r="AL665" s="576" t="str">
        <f>VLOOKUP(Table13[[#This Row],[Column1]],[1]Sheet1!$A:$AO,38,FALSE)</f>
        <v>N/A</v>
      </c>
      <c r="AM665" s="576" t="str">
        <f>VLOOKUP(Table13[[#This Row],[Column1]],[1]Sheet1!$A:$AO,39,FALSE)</f>
        <v>N/A</v>
      </c>
      <c r="AN665" s="576" t="s">
        <v>713</v>
      </c>
      <c r="AO665" s="306" t="s">
        <v>919</v>
      </c>
      <c r="AP665" s="378"/>
      <c r="AQ665" s="237"/>
    </row>
    <row r="666" spans="1:43" s="238" customFormat="1" ht="75" customHeight="1" thickBot="1" x14ac:dyDescent="0.3">
      <c r="A666" s="297" t="s">
        <v>854</v>
      </c>
      <c r="B666" s="627" t="str">
        <f>VLOOKUP(Table13[[#This Row],[Column1]],[1]Sheet1!$A:$AO,2,FALSE)</f>
        <v>JOB ORDER (LABOR &amp; MATERIALS) ELECTRIC SUBMERSIBLE PUMP</v>
      </c>
      <c r="C666" s="298" t="str">
        <f>VLOOKUP(Table13[[#This Row],[Column1]],[1]Sheet1!$A:$AO,3,FALSE)</f>
        <v>PGSO</v>
      </c>
      <c r="D666" s="298" t="s">
        <v>712</v>
      </c>
      <c r="E666" s="450" t="str">
        <f>VLOOKUP(Table13[[#This Row],[Column1]],[1]Sheet1!$A:$AO,5,FALSE)</f>
        <v>NP-53.9 - Small Value Procurement</v>
      </c>
      <c r="F666" s="446">
        <f>VLOOKUP(Table13[[#This Row],[Column1]],[1]Sheet1!$A:$AO,6,FALSE)</f>
        <v>45385</v>
      </c>
      <c r="G666" s="402">
        <f>VLOOKUP(Table13[[#This Row],[Column1]],[1]Sheet1!$A:$AO,7,FALSE)</f>
        <v>45412</v>
      </c>
      <c r="H666" s="374"/>
      <c r="I666" s="402" t="str">
        <f>VLOOKUP(Table13[[#This Row],[Column1]],[1]Sheet1!$A:$AO,9,FALSE)</f>
        <v>N/A</v>
      </c>
      <c r="J666" s="402">
        <f>VLOOKUP(Table13[[#This Row],[Column1]],[1]Sheet1!$A:$AO,10,FALSE)</f>
        <v>45421</v>
      </c>
      <c r="K666" s="402">
        <f>VLOOKUP(Table13[[#This Row],[Column1]],[1]Sheet1!$A:$AO,11,FALSE)</f>
        <v>45421</v>
      </c>
      <c r="L666" s="404"/>
      <c r="M666" s="402" t="str">
        <f>VLOOKUP(Table13[[#This Row],[Column1]],[1]Sheet1!$A:$AO,13,FALSE)</f>
        <v>N/A</v>
      </c>
      <c r="N666" s="402" t="str">
        <f>VLOOKUP(Table13[[#This Row],[Column1]],[1]Sheet1!$A:$AO,14,FALSE)</f>
        <v>N/A</v>
      </c>
      <c r="O666" s="402">
        <f>VLOOKUP(Table13[[#This Row],[Column1]],[1]Sheet1!$A:$AO,15,FALSE)</f>
        <v>45425</v>
      </c>
      <c r="P666" s="375"/>
      <c r="Q666" s="375"/>
      <c r="R666" s="376"/>
      <c r="S666" s="583">
        <v>45429</v>
      </c>
      <c r="T666" s="583">
        <f>VLOOKUP(Table13[[#This Row],[Column1]],[1]Sheet1!$A:$AO,20,FALSE)</f>
        <v>45434</v>
      </c>
      <c r="U666" s="583">
        <f>VLOOKUP(Table13[[#This Row],[Column1]],[1]Sheet1!$A:$AO,21,FALSE)</f>
        <v>45454</v>
      </c>
      <c r="V666" s="376"/>
      <c r="W666" s="376"/>
      <c r="X666" s="402"/>
      <c r="Y666" s="402"/>
      <c r="Z666" s="610" t="s">
        <v>1478</v>
      </c>
      <c r="AA666" s="532">
        <f>IF(Table13[[#This Row],[Column2]]="","",SUM(Table13[[#This Row],[Column28]]+Table13[[#This Row],[Column29]]))</f>
        <v>220000</v>
      </c>
      <c r="AB666" s="537">
        <v>220000</v>
      </c>
      <c r="AC666" s="502"/>
      <c r="AD666" s="532">
        <f>IF(Table13[[#This Row],[Column2]]="","",SUM(Table13[[#This Row],[Column31]]+Table13[[#This Row],[Column32]]))</f>
        <v>220000</v>
      </c>
      <c r="AE666" s="501">
        <v>220000</v>
      </c>
      <c r="AF666" s="541"/>
      <c r="AG666" s="405"/>
      <c r="AH666" s="380" t="s">
        <v>1205</v>
      </c>
      <c r="AI666" s="576" t="str">
        <f>VLOOKUP(Table13[[#This Row],[Column1]],[1]Sheet1!$A:$AO,35,FALSE)</f>
        <v>N/A</v>
      </c>
      <c r="AJ666" s="576" t="str">
        <f>VLOOKUP(Table13[[#This Row],[Column1]],[1]Sheet1!$A:$AO,36,FALSE)</f>
        <v>N/A</v>
      </c>
      <c r="AK666" s="576" t="str">
        <f>VLOOKUP(Table13[[#This Row],[Column1]],[1]Sheet1!$A:$AO,37,FALSE)</f>
        <v>N/A</v>
      </c>
      <c r="AL666" s="576" t="str">
        <f>VLOOKUP(Table13[[#This Row],[Column1]],[1]Sheet1!$A:$AO,38,FALSE)</f>
        <v>N/A</v>
      </c>
      <c r="AM666" s="576" t="str">
        <f>VLOOKUP(Table13[[#This Row],[Column1]],[1]Sheet1!$A:$AO,39,FALSE)</f>
        <v>N/A</v>
      </c>
      <c r="AN666" s="576" t="s">
        <v>713</v>
      </c>
      <c r="AO666" s="306" t="s">
        <v>919</v>
      </c>
      <c r="AP666" s="378"/>
      <c r="AQ666" s="237"/>
    </row>
    <row r="667" spans="1:43" s="238" customFormat="1" ht="75" customHeight="1" thickBot="1" x14ac:dyDescent="0.3">
      <c r="A667" s="297" t="s">
        <v>855</v>
      </c>
      <c r="B667" s="627" t="str">
        <f>VLOOKUP(Table13[[#This Row],[Column1]],[1]Sheet1!$A:$AO,2,FALSE)</f>
        <v>SCUBA DIVING BOOTS</v>
      </c>
      <c r="C667" s="298" t="str">
        <f>VLOOKUP(Table13[[#This Row],[Column1]],[1]Sheet1!$A:$AO,3,FALSE)</f>
        <v>PAGRO</v>
      </c>
      <c r="D667" s="298" t="s">
        <v>712</v>
      </c>
      <c r="E667" s="450" t="str">
        <f>VLOOKUP(Table13[[#This Row],[Column1]],[1]Sheet1!$A:$AO,5,FALSE)</f>
        <v>NP-53.9 - Small Value Procurement</v>
      </c>
      <c r="F667" s="446" t="str">
        <f>VLOOKUP(Table13[[#This Row],[Column1]],[1]Sheet1!$A:$AO,6,FALSE)</f>
        <v>N/A</v>
      </c>
      <c r="G667" s="402">
        <f>VLOOKUP(Table13[[#This Row],[Column1]],[1]Sheet1!$A:$AO,7,FALSE)</f>
        <v>45397</v>
      </c>
      <c r="H667" s="374"/>
      <c r="I667" s="402" t="str">
        <f>VLOOKUP(Table13[[#This Row],[Column1]],[1]Sheet1!$A:$AO,9,FALSE)</f>
        <v>N/A</v>
      </c>
      <c r="J667" s="402">
        <f>VLOOKUP(Table13[[#This Row],[Column1]],[1]Sheet1!$A:$AO,10,FALSE)</f>
        <v>45421</v>
      </c>
      <c r="K667" s="402">
        <f>VLOOKUP(Table13[[#This Row],[Column1]],[1]Sheet1!$A:$AO,11,FALSE)</f>
        <v>45421</v>
      </c>
      <c r="L667" s="404"/>
      <c r="M667" s="402" t="str">
        <f>VLOOKUP(Table13[[#This Row],[Column1]],[1]Sheet1!$A:$AO,13,FALSE)</f>
        <v>N/A</v>
      </c>
      <c r="N667" s="402" t="str">
        <f>VLOOKUP(Table13[[#This Row],[Column1]],[1]Sheet1!$A:$AO,14,FALSE)</f>
        <v>N/A</v>
      </c>
      <c r="O667" s="402">
        <f>VLOOKUP(Table13[[#This Row],[Column1]],[1]Sheet1!$A:$AO,15,FALSE)</f>
        <v>45425</v>
      </c>
      <c r="P667" s="375"/>
      <c r="Q667" s="375"/>
      <c r="R667" s="376"/>
      <c r="S667" s="583" t="s">
        <v>713</v>
      </c>
      <c r="T667" s="583">
        <f>VLOOKUP(Table13[[#This Row],[Column1]],[1]Sheet1!$A:$AO,20,FALSE)</f>
        <v>45434</v>
      </c>
      <c r="U667" s="583">
        <f>VLOOKUP(Table13[[#This Row],[Column1]],[1]Sheet1!$A:$AO,21,FALSE)</f>
        <v>45446</v>
      </c>
      <c r="V667" s="376"/>
      <c r="W667" s="376"/>
      <c r="X667" s="402"/>
      <c r="Y667" s="402"/>
      <c r="Z667" s="610" t="s">
        <v>1478</v>
      </c>
      <c r="AA667" s="532">
        <f>IF(Table13[[#This Row],[Column2]]="","",SUM(Table13[[#This Row],[Column28]]+Table13[[#This Row],[Column29]]))</f>
        <v>25000</v>
      </c>
      <c r="AB667" s="537"/>
      <c r="AC667" s="502">
        <v>25000</v>
      </c>
      <c r="AD667" s="532">
        <f>IF(Table13[[#This Row],[Column2]]="","",SUM(Table13[[#This Row],[Column31]]+Table13[[#This Row],[Column32]]))</f>
        <v>25000</v>
      </c>
      <c r="AE667" s="501"/>
      <c r="AF667" s="541">
        <v>25000</v>
      </c>
      <c r="AG667" s="405"/>
      <c r="AH667" s="380" t="s">
        <v>1205</v>
      </c>
      <c r="AI667" s="576" t="str">
        <f>VLOOKUP(Table13[[#This Row],[Column1]],[1]Sheet1!$A:$AO,35,FALSE)</f>
        <v>N/A</v>
      </c>
      <c r="AJ667" s="576" t="str">
        <f>VLOOKUP(Table13[[#This Row],[Column1]],[1]Sheet1!$A:$AO,36,FALSE)</f>
        <v>N/A</v>
      </c>
      <c r="AK667" s="576" t="str">
        <f>VLOOKUP(Table13[[#This Row],[Column1]],[1]Sheet1!$A:$AO,37,FALSE)</f>
        <v>N/A</v>
      </c>
      <c r="AL667" s="576" t="str">
        <f>VLOOKUP(Table13[[#This Row],[Column1]],[1]Sheet1!$A:$AO,38,FALSE)</f>
        <v>N/A</v>
      </c>
      <c r="AM667" s="576" t="str">
        <f>VLOOKUP(Table13[[#This Row],[Column1]],[1]Sheet1!$A:$AO,39,FALSE)</f>
        <v>N/A</v>
      </c>
      <c r="AN667" s="576" t="s">
        <v>713</v>
      </c>
      <c r="AO667" s="306" t="s">
        <v>919</v>
      </c>
      <c r="AP667" s="378"/>
      <c r="AQ667" s="237"/>
    </row>
    <row r="668" spans="1:43" s="238" customFormat="1" ht="75" customHeight="1" thickBot="1" x14ac:dyDescent="0.3">
      <c r="A668" s="297" t="s">
        <v>726</v>
      </c>
      <c r="B668" s="627" t="str">
        <f>VLOOKUP(Table13[[#This Row],[Column1]],[1]Sheet1!$A:$AO,2,FALSE)</f>
        <v>JANITORIAL SUPPLIES/HOUSEKEEPING</v>
      </c>
      <c r="C668" s="298" t="str">
        <f>VLOOKUP(Table13[[#This Row],[Column1]],[1]Sheet1!$A:$AO,3,FALSE)</f>
        <v>PENRO</v>
      </c>
      <c r="D668" s="298" t="s">
        <v>712</v>
      </c>
      <c r="E668" s="450" t="str">
        <f>VLOOKUP(Table13[[#This Row],[Column1]],[1]Sheet1!$A:$AO,5,FALSE)</f>
        <v>NP-53.9 - Small Value Procurement</v>
      </c>
      <c r="F668" s="446">
        <f>VLOOKUP(Table13[[#This Row],[Column1]],[1]Sheet1!$A:$AO,6,FALSE)</f>
        <v>45370</v>
      </c>
      <c r="G668" s="402">
        <f>VLOOKUP(Table13[[#This Row],[Column1]],[1]Sheet1!$A:$AO,7,FALSE)</f>
        <v>45376</v>
      </c>
      <c r="H668" s="374"/>
      <c r="I668" s="402" t="str">
        <f>VLOOKUP(Table13[[#This Row],[Column1]],[1]Sheet1!$A:$AO,9,FALSE)</f>
        <v>N/A</v>
      </c>
      <c r="J668" s="402">
        <f>VLOOKUP(Table13[[#This Row],[Column1]],[1]Sheet1!$A:$AO,10,FALSE)</f>
        <v>45421</v>
      </c>
      <c r="K668" s="402">
        <f>VLOOKUP(Table13[[#This Row],[Column1]],[1]Sheet1!$A:$AO,11,FALSE)</f>
        <v>45421</v>
      </c>
      <c r="L668" s="404"/>
      <c r="M668" s="402" t="str">
        <f>VLOOKUP(Table13[[#This Row],[Column1]],[1]Sheet1!$A:$AO,13,FALSE)</f>
        <v>N/A</v>
      </c>
      <c r="N668" s="402" t="str">
        <f>VLOOKUP(Table13[[#This Row],[Column1]],[1]Sheet1!$A:$AO,14,FALSE)</f>
        <v>N/A</v>
      </c>
      <c r="O668" s="402">
        <f>VLOOKUP(Table13[[#This Row],[Column1]],[1]Sheet1!$A:$AO,15,FALSE)</f>
        <v>45425</v>
      </c>
      <c r="P668" s="375"/>
      <c r="Q668" s="375"/>
      <c r="R668" s="376"/>
      <c r="S668" s="583" t="s">
        <v>713</v>
      </c>
      <c r="T668" s="583">
        <f>VLOOKUP(Table13[[#This Row],[Column1]],[1]Sheet1!$A:$AO,20,FALSE)</f>
        <v>45434</v>
      </c>
      <c r="U668" s="583">
        <f>VLOOKUP(Table13[[#This Row],[Column1]],[1]Sheet1!$A:$AO,21,FALSE)</f>
        <v>45446</v>
      </c>
      <c r="V668" s="376"/>
      <c r="W668" s="376"/>
      <c r="X668" s="402"/>
      <c r="Y668" s="402"/>
      <c r="Z668" s="610" t="s">
        <v>1478</v>
      </c>
      <c r="AA668" s="532">
        <f>IF(Table13[[#This Row],[Column2]]="","",SUM(Table13[[#This Row],[Column28]]+Table13[[#This Row],[Column29]]))</f>
        <v>16185</v>
      </c>
      <c r="AB668" s="537"/>
      <c r="AC668" s="502">
        <v>16185</v>
      </c>
      <c r="AD668" s="532">
        <f>IF(Table13[[#This Row],[Column2]]="","",SUM(Table13[[#This Row],[Column31]]+Table13[[#This Row],[Column32]]))</f>
        <v>16185</v>
      </c>
      <c r="AE668" s="501"/>
      <c r="AF668" s="541">
        <v>16185</v>
      </c>
      <c r="AG668" s="405"/>
      <c r="AH668" s="380" t="s">
        <v>1205</v>
      </c>
      <c r="AI668" s="576" t="str">
        <f>VLOOKUP(Table13[[#This Row],[Column1]],[1]Sheet1!$A:$AO,35,FALSE)</f>
        <v>N/A</v>
      </c>
      <c r="AJ668" s="576" t="str">
        <f>VLOOKUP(Table13[[#This Row],[Column1]],[1]Sheet1!$A:$AO,36,FALSE)</f>
        <v>N/A</v>
      </c>
      <c r="AK668" s="576" t="str">
        <f>VLOOKUP(Table13[[#This Row],[Column1]],[1]Sheet1!$A:$AO,37,FALSE)</f>
        <v>N/A</v>
      </c>
      <c r="AL668" s="576" t="str">
        <f>VLOOKUP(Table13[[#This Row],[Column1]],[1]Sheet1!$A:$AO,38,FALSE)</f>
        <v>N/A</v>
      </c>
      <c r="AM668" s="576" t="str">
        <f>VLOOKUP(Table13[[#This Row],[Column1]],[1]Sheet1!$A:$AO,39,FALSE)</f>
        <v>N/A</v>
      </c>
      <c r="AN668" s="576" t="s">
        <v>713</v>
      </c>
      <c r="AO668" s="306" t="s">
        <v>919</v>
      </c>
      <c r="AP668" s="378"/>
      <c r="AQ668" s="237"/>
    </row>
    <row r="669" spans="1:43" s="238" customFormat="1" ht="75" customHeight="1" thickBot="1" x14ac:dyDescent="0.3">
      <c r="A669" s="297" t="s">
        <v>856</v>
      </c>
      <c r="B669" s="627" t="str">
        <f>VLOOKUP(Table13[[#This Row],[Column1]],[1]Sheet1!$A:$AO,2,FALSE)</f>
        <v>SPAREPARTS (LIGHT VEHICLES)</v>
      </c>
      <c r="C669" s="298" t="str">
        <f>VLOOKUP(Table13[[#This Row],[Column1]],[1]Sheet1!$A:$AO,3,FALSE)</f>
        <v>PGSO</v>
      </c>
      <c r="D669" s="298" t="s">
        <v>712</v>
      </c>
      <c r="E669" s="450" t="str">
        <f>VLOOKUP(Table13[[#This Row],[Column1]],[1]Sheet1!$A:$AO,5,FALSE)</f>
        <v>NP-53.9 - Small Value Procurement</v>
      </c>
      <c r="F669" s="446">
        <f>VLOOKUP(Table13[[#This Row],[Column1]],[1]Sheet1!$A:$AO,6,FALSE)</f>
        <v>45390</v>
      </c>
      <c r="G669" s="402">
        <f>VLOOKUP(Table13[[#This Row],[Column1]],[1]Sheet1!$A:$AO,7,FALSE)</f>
        <v>45397</v>
      </c>
      <c r="H669" s="374"/>
      <c r="I669" s="402" t="str">
        <f>VLOOKUP(Table13[[#This Row],[Column1]],[1]Sheet1!$A:$AO,9,FALSE)</f>
        <v>N/A</v>
      </c>
      <c r="J669" s="402">
        <f>VLOOKUP(Table13[[#This Row],[Column1]],[1]Sheet1!$A:$AO,10,FALSE)</f>
        <v>45421</v>
      </c>
      <c r="K669" s="402">
        <f>VLOOKUP(Table13[[#This Row],[Column1]],[1]Sheet1!$A:$AO,11,FALSE)</f>
        <v>45421</v>
      </c>
      <c r="L669" s="404"/>
      <c r="M669" s="402" t="str">
        <f>VLOOKUP(Table13[[#This Row],[Column1]],[1]Sheet1!$A:$AO,13,FALSE)</f>
        <v>N/A</v>
      </c>
      <c r="N669" s="402" t="str">
        <f>VLOOKUP(Table13[[#This Row],[Column1]],[1]Sheet1!$A:$AO,14,FALSE)</f>
        <v>N/A</v>
      </c>
      <c r="O669" s="402">
        <f>VLOOKUP(Table13[[#This Row],[Column1]],[1]Sheet1!$A:$AO,15,FALSE)</f>
        <v>45425</v>
      </c>
      <c r="P669" s="375"/>
      <c r="Q669" s="375"/>
      <c r="R669" s="376"/>
      <c r="S669" s="583" t="s">
        <v>713</v>
      </c>
      <c r="T669" s="583">
        <f>VLOOKUP(Table13[[#This Row],[Column1]],[1]Sheet1!$A:$AO,20,FALSE)</f>
        <v>45434</v>
      </c>
      <c r="U669" s="583">
        <f>VLOOKUP(Table13[[#This Row],[Column1]],[1]Sheet1!$A:$AO,21,FALSE)</f>
        <v>45454</v>
      </c>
      <c r="V669" s="376"/>
      <c r="W669" s="376"/>
      <c r="X669" s="402"/>
      <c r="Y669" s="402"/>
      <c r="Z669" s="610" t="s">
        <v>1478</v>
      </c>
      <c r="AA669" s="532">
        <f>IF(Table13[[#This Row],[Column2]]="","",SUM(Table13[[#This Row],[Column28]]+Table13[[#This Row],[Column29]]))</f>
        <v>45500</v>
      </c>
      <c r="AB669" s="537">
        <v>45500</v>
      </c>
      <c r="AC669" s="502"/>
      <c r="AD669" s="532">
        <f>IF(Table13[[#This Row],[Column2]]="","",SUM(Table13[[#This Row],[Column31]]+Table13[[#This Row],[Column32]]))</f>
        <v>0</v>
      </c>
      <c r="AE669" s="501"/>
      <c r="AF669" s="541"/>
      <c r="AG669" s="405"/>
      <c r="AH669" s="380" t="s">
        <v>1205</v>
      </c>
      <c r="AI669" s="576" t="str">
        <f>VLOOKUP(Table13[[#This Row],[Column1]],[1]Sheet1!$A:$AO,35,FALSE)</f>
        <v>N/A</v>
      </c>
      <c r="AJ669" s="576" t="str">
        <f>VLOOKUP(Table13[[#This Row],[Column1]],[1]Sheet1!$A:$AO,36,FALSE)</f>
        <v>N/A</v>
      </c>
      <c r="AK669" s="576" t="str">
        <f>VLOOKUP(Table13[[#This Row],[Column1]],[1]Sheet1!$A:$AO,37,FALSE)</f>
        <v>N/A</v>
      </c>
      <c r="AL669" s="576" t="str">
        <f>VLOOKUP(Table13[[#This Row],[Column1]],[1]Sheet1!$A:$AO,38,FALSE)</f>
        <v>N/A</v>
      </c>
      <c r="AM669" s="576" t="str">
        <f>VLOOKUP(Table13[[#This Row],[Column1]],[1]Sheet1!$A:$AO,39,FALSE)</f>
        <v>N/A</v>
      </c>
      <c r="AN669" s="576" t="s">
        <v>713</v>
      </c>
      <c r="AO669" s="306" t="s">
        <v>919</v>
      </c>
      <c r="AP669" s="378"/>
      <c r="AQ669" s="237"/>
    </row>
    <row r="670" spans="1:43" s="238" customFormat="1" ht="75" customHeight="1" thickBot="1" x14ac:dyDescent="0.3">
      <c r="A670" s="297" t="s">
        <v>857</v>
      </c>
      <c r="B670" s="627" t="str">
        <f>VLOOKUP(Table13[[#This Row],[Column1]],[1]Sheet1!$A:$AO,2,FALSE)</f>
        <v>LABORATOTY SUPPLIES</v>
      </c>
      <c r="C670" s="298" t="str">
        <f>VLOOKUP(Table13[[#This Row],[Column1]],[1]Sheet1!$A:$AO,3,FALSE)</f>
        <v>PENRO</v>
      </c>
      <c r="D670" s="298" t="s">
        <v>712</v>
      </c>
      <c r="E670" s="450" t="str">
        <f>VLOOKUP(Table13[[#This Row],[Column1]],[1]Sheet1!$A:$AO,5,FALSE)</f>
        <v>NP-53.9 - Small Value Procurement</v>
      </c>
      <c r="F670" s="446" t="str">
        <f>VLOOKUP(Table13[[#This Row],[Column1]],[1]Sheet1!$A:$AO,6,FALSE)</f>
        <v>N/A</v>
      </c>
      <c r="G670" s="402">
        <f>VLOOKUP(Table13[[#This Row],[Column1]],[1]Sheet1!$A:$AO,7,FALSE)</f>
        <v>45359</v>
      </c>
      <c r="H670" s="374"/>
      <c r="I670" s="402" t="str">
        <f>VLOOKUP(Table13[[#This Row],[Column1]],[1]Sheet1!$A:$AO,9,FALSE)</f>
        <v>N/A</v>
      </c>
      <c r="J670" s="402">
        <f>VLOOKUP(Table13[[#This Row],[Column1]],[1]Sheet1!$A:$AO,10,FALSE)</f>
        <v>45421</v>
      </c>
      <c r="K670" s="402">
        <f>VLOOKUP(Table13[[#This Row],[Column1]],[1]Sheet1!$A:$AO,11,FALSE)</f>
        <v>45421</v>
      </c>
      <c r="L670" s="404"/>
      <c r="M670" s="402" t="str">
        <f>VLOOKUP(Table13[[#This Row],[Column1]],[1]Sheet1!$A:$AO,13,FALSE)</f>
        <v>N/A</v>
      </c>
      <c r="N670" s="402" t="str">
        <f>VLOOKUP(Table13[[#This Row],[Column1]],[1]Sheet1!$A:$AO,14,FALSE)</f>
        <v>N/A</v>
      </c>
      <c r="O670" s="402">
        <f>VLOOKUP(Table13[[#This Row],[Column1]],[1]Sheet1!$A:$AO,15,FALSE)</f>
        <v>45425</v>
      </c>
      <c r="P670" s="375"/>
      <c r="Q670" s="375"/>
      <c r="R670" s="376"/>
      <c r="S670" s="583">
        <v>45425</v>
      </c>
      <c r="T670" s="583">
        <f>VLOOKUP(Table13[[#This Row],[Column1]],[1]Sheet1!$A:$AO,20,FALSE)</f>
        <v>45434</v>
      </c>
      <c r="U670" s="583">
        <f>VLOOKUP(Table13[[#This Row],[Column1]],[1]Sheet1!$A:$AO,21,FALSE)</f>
        <v>45446</v>
      </c>
      <c r="V670" s="376"/>
      <c r="W670" s="376"/>
      <c r="X670" s="402"/>
      <c r="Y670" s="402"/>
      <c r="Z670" s="610" t="s">
        <v>1478</v>
      </c>
      <c r="AA670" s="532">
        <f>IF(Table13[[#This Row],[Column2]]="","",SUM(Table13[[#This Row],[Column28]]+Table13[[#This Row],[Column29]]))</f>
        <v>401221</v>
      </c>
      <c r="AB670" s="537"/>
      <c r="AC670" s="502">
        <v>401221</v>
      </c>
      <c r="AD670" s="532">
        <f>IF(Table13[[#This Row],[Column2]]="","",SUM(Table13[[#This Row],[Column31]]+Table13[[#This Row],[Column32]]))</f>
        <v>40121</v>
      </c>
      <c r="AE670" s="501"/>
      <c r="AF670" s="540">
        <v>40121</v>
      </c>
      <c r="AG670" s="405"/>
      <c r="AH670" s="380" t="s">
        <v>1205</v>
      </c>
      <c r="AI670" s="576" t="str">
        <f>VLOOKUP(Table13[[#This Row],[Column1]],[1]Sheet1!$A:$AO,35,FALSE)</f>
        <v>N/A</v>
      </c>
      <c r="AJ670" s="576" t="str">
        <f>VLOOKUP(Table13[[#This Row],[Column1]],[1]Sheet1!$A:$AO,36,FALSE)</f>
        <v>N/A</v>
      </c>
      <c r="AK670" s="576" t="str">
        <f>VLOOKUP(Table13[[#This Row],[Column1]],[1]Sheet1!$A:$AO,37,FALSE)</f>
        <v>N/A</v>
      </c>
      <c r="AL670" s="576" t="str">
        <f>VLOOKUP(Table13[[#This Row],[Column1]],[1]Sheet1!$A:$AO,38,FALSE)</f>
        <v>N/A</v>
      </c>
      <c r="AM670" s="576" t="str">
        <f>VLOOKUP(Table13[[#This Row],[Column1]],[1]Sheet1!$A:$AO,39,FALSE)</f>
        <v>N/A</v>
      </c>
      <c r="AN670" s="576" t="s">
        <v>713</v>
      </c>
      <c r="AO670" s="306" t="s">
        <v>919</v>
      </c>
      <c r="AP670" s="378"/>
      <c r="AQ670" s="237"/>
    </row>
    <row r="671" spans="1:43" s="238" customFormat="1" ht="75" customHeight="1" thickBot="1" x14ac:dyDescent="0.3">
      <c r="A671" s="297" t="s">
        <v>750</v>
      </c>
      <c r="B671" s="627" t="str">
        <f>VLOOKUP(Table13[[#This Row],[Column1]],[1]Sheet1!$A:$AO,2,FALSE)</f>
        <v>FOOD SUPPLIES</v>
      </c>
      <c r="C671" s="298" t="str">
        <f>VLOOKUP(Table13[[#This Row],[Column1]],[1]Sheet1!$A:$AO,3,FALSE)</f>
        <v>PAO</v>
      </c>
      <c r="D671" s="298" t="s">
        <v>712</v>
      </c>
      <c r="E671" s="450" t="str">
        <f>VLOOKUP(Table13[[#This Row],[Column1]],[1]Sheet1!$A:$AO,5,FALSE)</f>
        <v>NP-53.9 - Small Value Procurement</v>
      </c>
      <c r="F671" s="446" t="str">
        <f>VLOOKUP(Table13[[#This Row],[Column1]],[1]Sheet1!$A:$AO,6,FALSE)</f>
        <v>N/A</v>
      </c>
      <c r="G671" s="402">
        <f>VLOOKUP(Table13[[#This Row],[Column1]],[1]Sheet1!$A:$AO,7,FALSE)</f>
        <v>45404</v>
      </c>
      <c r="H671" s="374"/>
      <c r="I671" s="402" t="str">
        <f>VLOOKUP(Table13[[#This Row],[Column1]],[1]Sheet1!$A:$AO,9,FALSE)</f>
        <v>N/A</v>
      </c>
      <c r="J671" s="402">
        <f>VLOOKUP(Table13[[#This Row],[Column1]],[1]Sheet1!$A:$AO,10,FALSE)</f>
        <v>45421</v>
      </c>
      <c r="K671" s="402">
        <f>VLOOKUP(Table13[[#This Row],[Column1]],[1]Sheet1!$A:$AO,11,FALSE)</f>
        <v>45421</v>
      </c>
      <c r="L671" s="404"/>
      <c r="M671" s="402" t="str">
        <f>VLOOKUP(Table13[[#This Row],[Column1]],[1]Sheet1!$A:$AO,13,FALSE)</f>
        <v>N/A</v>
      </c>
      <c r="N671" s="402" t="str">
        <f>VLOOKUP(Table13[[#This Row],[Column1]],[1]Sheet1!$A:$AO,14,FALSE)</f>
        <v>N/A</v>
      </c>
      <c r="O671" s="402">
        <f>VLOOKUP(Table13[[#This Row],[Column1]],[1]Sheet1!$A:$AO,15,FALSE)</f>
        <v>45425</v>
      </c>
      <c r="P671" s="375"/>
      <c r="Q671" s="375"/>
      <c r="R671" s="376"/>
      <c r="S671" s="583" t="s">
        <v>713</v>
      </c>
      <c r="T671" s="583">
        <f>VLOOKUP(Table13[[#This Row],[Column1]],[1]Sheet1!$A:$AO,20,FALSE)</f>
        <v>45434</v>
      </c>
      <c r="U671" s="583">
        <f>VLOOKUP(Table13[[#This Row],[Column1]],[1]Sheet1!$A:$AO,21,FALSE)</f>
        <v>45446</v>
      </c>
      <c r="V671" s="376"/>
      <c r="W671" s="376"/>
      <c r="X671" s="402"/>
      <c r="Y671" s="402"/>
      <c r="Z671" s="610" t="s">
        <v>1478</v>
      </c>
      <c r="AA671" s="532">
        <f>IF(Table13[[#This Row],[Column2]]="","",SUM(Table13[[#This Row],[Column28]]+Table13[[#This Row],[Column29]]))</f>
        <v>24771</v>
      </c>
      <c r="AB671" s="537"/>
      <c r="AC671" s="502">
        <v>24771</v>
      </c>
      <c r="AD671" s="532">
        <f>IF(Table13[[#This Row],[Column2]]="","",SUM(Table13[[#This Row],[Column31]]+Table13[[#This Row],[Column32]]))</f>
        <v>24771</v>
      </c>
      <c r="AE671" s="501"/>
      <c r="AF671" s="540">
        <v>24771</v>
      </c>
      <c r="AG671" s="405"/>
      <c r="AH671" s="380" t="s">
        <v>1205</v>
      </c>
      <c r="AI671" s="576" t="str">
        <f>VLOOKUP(Table13[[#This Row],[Column1]],[1]Sheet1!$A:$AO,35,FALSE)</f>
        <v>N/A</v>
      </c>
      <c r="AJ671" s="576" t="str">
        <f>VLOOKUP(Table13[[#This Row],[Column1]],[1]Sheet1!$A:$AO,36,FALSE)</f>
        <v>N/A</v>
      </c>
      <c r="AK671" s="576" t="str">
        <f>VLOOKUP(Table13[[#This Row],[Column1]],[1]Sheet1!$A:$AO,37,FALSE)</f>
        <v>N/A</v>
      </c>
      <c r="AL671" s="576" t="str">
        <f>VLOOKUP(Table13[[#This Row],[Column1]],[1]Sheet1!$A:$AO,38,FALSE)</f>
        <v>N/A</v>
      </c>
      <c r="AM671" s="576" t="str">
        <f>VLOOKUP(Table13[[#This Row],[Column1]],[1]Sheet1!$A:$AO,39,FALSE)</f>
        <v>N/A</v>
      </c>
      <c r="AN671" s="576" t="s">
        <v>713</v>
      </c>
      <c r="AO671" s="306" t="s">
        <v>919</v>
      </c>
      <c r="AP671" s="378"/>
      <c r="AQ671" s="237"/>
    </row>
    <row r="672" spans="1:43" s="238" customFormat="1" ht="75" customHeight="1" thickBot="1" x14ac:dyDescent="0.3">
      <c r="A672" s="297" t="s">
        <v>858</v>
      </c>
      <c r="B672" s="627" t="str">
        <f>VLOOKUP(Table13[[#This Row],[Column1]],[1]Sheet1!$A:$AO,2,FALSE)</f>
        <v>SPAREPARTS (LIGHT VEHICLES)</v>
      </c>
      <c r="C672" s="298" t="str">
        <f>VLOOKUP(Table13[[#This Row],[Column1]],[1]Sheet1!$A:$AO,3,FALSE)</f>
        <v>PGSO</v>
      </c>
      <c r="D672" s="298" t="s">
        <v>712</v>
      </c>
      <c r="E672" s="450" t="str">
        <f>VLOOKUP(Table13[[#This Row],[Column1]],[1]Sheet1!$A:$AO,5,FALSE)</f>
        <v>NP-53.9 - Small Value Procurement</v>
      </c>
      <c r="F672" s="446">
        <f>VLOOKUP(Table13[[#This Row],[Column1]],[1]Sheet1!$A:$AO,6,FALSE)</f>
        <v>45398</v>
      </c>
      <c r="G672" s="402">
        <f>VLOOKUP(Table13[[#This Row],[Column1]],[1]Sheet1!$A:$AO,7,FALSE)</f>
        <v>45404</v>
      </c>
      <c r="H672" s="374"/>
      <c r="I672" s="402" t="str">
        <f>VLOOKUP(Table13[[#This Row],[Column1]],[1]Sheet1!$A:$AO,9,FALSE)</f>
        <v>N/A</v>
      </c>
      <c r="J672" s="402">
        <f>VLOOKUP(Table13[[#This Row],[Column1]],[1]Sheet1!$A:$AO,10,FALSE)</f>
        <v>45421</v>
      </c>
      <c r="K672" s="402">
        <f>VLOOKUP(Table13[[#This Row],[Column1]],[1]Sheet1!$A:$AO,11,FALSE)</f>
        <v>45421</v>
      </c>
      <c r="L672" s="404"/>
      <c r="M672" s="402" t="str">
        <f>VLOOKUP(Table13[[#This Row],[Column1]],[1]Sheet1!$A:$AO,13,FALSE)</f>
        <v>N/A</v>
      </c>
      <c r="N672" s="402" t="str">
        <f>VLOOKUP(Table13[[#This Row],[Column1]],[1]Sheet1!$A:$AO,14,FALSE)</f>
        <v>N/A</v>
      </c>
      <c r="O672" s="402">
        <f>VLOOKUP(Table13[[#This Row],[Column1]],[1]Sheet1!$A:$AO,15,FALSE)</f>
        <v>45425</v>
      </c>
      <c r="P672" s="375"/>
      <c r="Q672" s="375"/>
      <c r="R672" s="376"/>
      <c r="S672" s="583" t="s">
        <v>713</v>
      </c>
      <c r="T672" s="583">
        <f>VLOOKUP(Table13[[#This Row],[Column1]],[1]Sheet1!$A:$AO,20,FALSE)</f>
        <v>45434</v>
      </c>
      <c r="U672" s="583">
        <f>VLOOKUP(Table13[[#This Row],[Column1]],[1]Sheet1!$A:$AO,21,FALSE)</f>
        <v>45449</v>
      </c>
      <c r="V672" s="376"/>
      <c r="W672" s="376"/>
      <c r="X672" s="402"/>
      <c r="Y672" s="402"/>
      <c r="Z672" s="610" t="s">
        <v>1478</v>
      </c>
      <c r="AA672" s="532">
        <f>IF(Table13[[#This Row],[Column2]]="","",SUM(Table13[[#This Row],[Column28]]+Table13[[#This Row],[Column29]]))</f>
        <v>9075</v>
      </c>
      <c r="AB672" s="537">
        <v>9075</v>
      </c>
      <c r="AC672" s="502"/>
      <c r="AD672" s="532">
        <f>IF(Table13[[#This Row],[Column2]]="","",SUM(Table13[[#This Row],[Column31]]+Table13[[#This Row],[Column32]]))</f>
        <v>9050</v>
      </c>
      <c r="AE672" s="501">
        <v>9050</v>
      </c>
      <c r="AF672" s="541"/>
      <c r="AG672" s="405"/>
      <c r="AH672" s="380" t="s">
        <v>1205</v>
      </c>
      <c r="AI672" s="576" t="str">
        <f>VLOOKUP(Table13[[#This Row],[Column1]],[1]Sheet1!$A:$AO,35,FALSE)</f>
        <v>N/A</v>
      </c>
      <c r="AJ672" s="576" t="str">
        <f>VLOOKUP(Table13[[#This Row],[Column1]],[1]Sheet1!$A:$AO,36,FALSE)</f>
        <v>N/A</v>
      </c>
      <c r="AK672" s="576" t="str">
        <f>VLOOKUP(Table13[[#This Row],[Column1]],[1]Sheet1!$A:$AO,37,FALSE)</f>
        <v>N/A</v>
      </c>
      <c r="AL672" s="576" t="str">
        <f>VLOOKUP(Table13[[#This Row],[Column1]],[1]Sheet1!$A:$AO,38,FALSE)</f>
        <v>N/A</v>
      </c>
      <c r="AM672" s="576" t="str">
        <f>VLOOKUP(Table13[[#This Row],[Column1]],[1]Sheet1!$A:$AO,39,FALSE)</f>
        <v>N/A</v>
      </c>
      <c r="AN672" s="576" t="s">
        <v>713</v>
      </c>
      <c r="AO672" s="306" t="s">
        <v>919</v>
      </c>
      <c r="AP672" s="378"/>
      <c r="AQ672" s="237"/>
    </row>
    <row r="673" spans="1:43" s="238" customFormat="1" ht="75" customHeight="1" thickBot="1" x14ac:dyDescent="0.3">
      <c r="A673" s="297" t="s">
        <v>859</v>
      </c>
      <c r="B673" s="627" t="str">
        <f>VLOOKUP(Table13[[#This Row],[Column1]],[1]Sheet1!$A:$AO,2,FALSE)</f>
        <v>SPAREPARTS (LIGHT VEHICLES)</v>
      </c>
      <c r="C673" s="298" t="str">
        <f>VLOOKUP(Table13[[#This Row],[Column1]],[1]Sheet1!$A:$AO,3,FALSE)</f>
        <v>PGSO</v>
      </c>
      <c r="D673" s="298" t="s">
        <v>712</v>
      </c>
      <c r="E673" s="450" t="str">
        <f>VLOOKUP(Table13[[#This Row],[Column1]],[1]Sheet1!$A:$AO,5,FALSE)</f>
        <v>NP-53.9 - Small Value Procurement</v>
      </c>
      <c r="F673" s="446">
        <f>VLOOKUP(Table13[[#This Row],[Column1]],[1]Sheet1!$A:$AO,6,FALSE)</f>
        <v>45398</v>
      </c>
      <c r="G673" s="402">
        <f>VLOOKUP(Table13[[#This Row],[Column1]],[1]Sheet1!$A:$AO,7,FALSE)</f>
        <v>45404</v>
      </c>
      <c r="H673" s="374"/>
      <c r="I673" s="402" t="str">
        <f>VLOOKUP(Table13[[#This Row],[Column1]],[1]Sheet1!$A:$AO,9,FALSE)</f>
        <v>N/A</v>
      </c>
      <c r="J673" s="402">
        <f>VLOOKUP(Table13[[#This Row],[Column1]],[1]Sheet1!$A:$AO,10,FALSE)</f>
        <v>45421</v>
      </c>
      <c r="K673" s="402">
        <f>VLOOKUP(Table13[[#This Row],[Column1]],[1]Sheet1!$A:$AO,11,FALSE)</f>
        <v>45421</v>
      </c>
      <c r="L673" s="404"/>
      <c r="M673" s="402" t="str">
        <f>VLOOKUP(Table13[[#This Row],[Column1]],[1]Sheet1!$A:$AO,13,FALSE)</f>
        <v>N/A</v>
      </c>
      <c r="N673" s="402" t="str">
        <f>VLOOKUP(Table13[[#This Row],[Column1]],[1]Sheet1!$A:$AO,14,FALSE)</f>
        <v>N/A</v>
      </c>
      <c r="O673" s="402">
        <f>VLOOKUP(Table13[[#This Row],[Column1]],[1]Sheet1!$A:$AO,15,FALSE)</f>
        <v>45425</v>
      </c>
      <c r="P673" s="375"/>
      <c r="Q673" s="375"/>
      <c r="R673" s="376"/>
      <c r="S673" s="583" t="s">
        <v>713</v>
      </c>
      <c r="T673" s="583">
        <f>VLOOKUP(Table13[[#This Row],[Column1]],[1]Sheet1!$A:$AO,20,FALSE)</f>
        <v>45434</v>
      </c>
      <c r="U673" s="583">
        <f>VLOOKUP(Table13[[#This Row],[Column1]],[1]Sheet1!$A:$AO,21,FALSE)</f>
        <v>45449</v>
      </c>
      <c r="V673" s="376"/>
      <c r="W673" s="376"/>
      <c r="X673" s="402"/>
      <c r="Y673" s="402"/>
      <c r="Z673" s="610" t="s">
        <v>1478</v>
      </c>
      <c r="AA673" s="532">
        <f>IF(Table13[[#This Row],[Column2]]="","",SUM(Table13[[#This Row],[Column28]]+Table13[[#This Row],[Column29]]))</f>
        <v>7950</v>
      </c>
      <c r="AB673" s="537">
        <v>7950</v>
      </c>
      <c r="AC673" s="502"/>
      <c r="AD673" s="532">
        <f>IF(Table13[[#This Row],[Column2]]="","",SUM(Table13[[#This Row],[Column31]]+Table13[[#This Row],[Column32]]))</f>
        <v>7930</v>
      </c>
      <c r="AE673" s="501">
        <v>7930</v>
      </c>
      <c r="AF673" s="541"/>
      <c r="AG673" s="405"/>
      <c r="AH673" s="380" t="s">
        <v>1205</v>
      </c>
      <c r="AI673" s="576" t="str">
        <f>VLOOKUP(Table13[[#This Row],[Column1]],[1]Sheet1!$A:$AO,35,FALSE)</f>
        <v>N/A</v>
      </c>
      <c r="AJ673" s="576" t="str">
        <f>VLOOKUP(Table13[[#This Row],[Column1]],[1]Sheet1!$A:$AO,36,FALSE)</f>
        <v>N/A</v>
      </c>
      <c r="AK673" s="576" t="str">
        <f>VLOOKUP(Table13[[#This Row],[Column1]],[1]Sheet1!$A:$AO,37,FALSE)</f>
        <v>N/A</v>
      </c>
      <c r="AL673" s="576" t="str">
        <f>VLOOKUP(Table13[[#This Row],[Column1]],[1]Sheet1!$A:$AO,38,FALSE)</f>
        <v>N/A</v>
      </c>
      <c r="AM673" s="576" t="str">
        <f>VLOOKUP(Table13[[#This Row],[Column1]],[1]Sheet1!$A:$AO,39,FALSE)</f>
        <v>N/A</v>
      </c>
      <c r="AN673" s="576" t="s">
        <v>713</v>
      </c>
      <c r="AO673" s="306" t="s">
        <v>919</v>
      </c>
      <c r="AP673" s="378"/>
      <c r="AQ673" s="237"/>
    </row>
    <row r="674" spans="1:43" s="238" customFormat="1" ht="75" customHeight="1" thickBot="1" x14ac:dyDescent="0.3">
      <c r="A674" s="297" t="s">
        <v>747</v>
      </c>
      <c r="B674" s="627" t="str">
        <f>VLOOKUP(Table13[[#This Row],[Column1]],[1]Sheet1!$A:$AO,2,FALSE)</f>
        <v>CONSTRUCTION SUPPLIES</v>
      </c>
      <c r="C674" s="298" t="str">
        <f>VLOOKUP(Table13[[#This Row],[Column1]],[1]Sheet1!$A:$AO,3,FALSE)</f>
        <v>PEEMO</v>
      </c>
      <c r="D674" s="298" t="s">
        <v>712</v>
      </c>
      <c r="E674" s="450" t="str">
        <f>VLOOKUP(Table13[[#This Row],[Column1]],[1]Sheet1!$A:$AO,5,FALSE)</f>
        <v>NP-53.9 - Small Value Procurement</v>
      </c>
      <c r="F674" s="446" t="str">
        <f>VLOOKUP(Table13[[#This Row],[Column1]],[1]Sheet1!$A:$AO,6,FALSE)</f>
        <v>N/A</v>
      </c>
      <c r="G674" s="402">
        <f>VLOOKUP(Table13[[#This Row],[Column1]],[1]Sheet1!$A:$AO,7,FALSE)</f>
        <v>45397</v>
      </c>
      <c r="H674" s="374"/>
      <c r="I674" s="402" t="str">
        <f>VLOOKUP(Table13[[#This Row],[Column1]],[1]Sheet1!$A:$AO,9,FALSE)</f>
        <v>N/A</v>
      </c>
      <c r="J674" s="402">
        <f>VLOOKUP(Table13[[#This Row],[Column1]],[1]Sheet1!$A:$AO,10,FALSE)</f>
        <v>45421</v>
      </c>
      <c r="K674" s="402">
        <f>VLOOKUP(Table13[[#This Row],[Column1]],[1]Sheet1!$A:$AO,11,FALSE)</f>
        <v>45421</v>
      </c>
      <c r="L674" s="404"/>
      <c r="M674" s="402" t="str">
        <f>VLOOKUP(Table13[[#This Row],[Column1]],[1]Sheet1!$A:$AO,13,FALSE)</f>
        <v>N/A</v>
      </c>
      <c r="N674" s="402" t="str">
        <f>VLOOKUP(Table13[[#This Row],[Column1]],[1]Sheet1!$A:$AO,14,FALSE)</f>
        <v>N/A</v>
      </c>
      <c r="O674" s="402">
        <f>VLOOKUP(Table13[[#This Row],[Column1]],[1]Sheet1!$A:$AO,15,FALSE)</f>
        <v>45425</v>
      </c>
      <c r="P674" s="375"/>
      <c r="Q674" s="375"/>
      <c r="R674" s="376"/>
      <c r="S674" s="583" t="s">
        <v>713</v>
      </c>
      <c r="T674" s="583">
        <f>VLOOKUP(Table13[[#This Row],[Column1]],[1]Sheet1!$A:$AO,20,FALSE)</f>
        <v>45434</v>
      </c>
      <c r="U674" s="583">
        <f>VLOOKUP(Table13[[#This Row],[Column1]],[1]Sheet1!$A:$AO,21,FALSE)</f>
        <v>45454</v>
      </c>
      <c r="V674" s="376"/>
      <c r="W674" s="376"/>
      <c r="X674" s="402"/>
      <c r="Y674" s="402"/>
      <c r="Z674" s="610" t="s">
        <v>1478</v>
      </c>
      <c r="AA674" s="532">
        <f>IF(Table13[[#This Row],[Column2]]="","",SUM(Table13[[#This Row],[Column28]]+Table13[[#This Row],[Column29]]))</f>
        <v>34753</v>
      </c>
      <c r="AB674" s="537">
        <v>34753</v>
      </c>
      <c r="AC674" s="502"/>
      <c r="AD674" s="532">
        <f>IF(Table13[[#This Row],[Column2]]="","",SUM(Table13[[#This Row],[Column31]]+Table13[[#This Row],[Column32]]))</f>
        <v>34753</v>
      </c>
      <c r="AE674" s="501">
        <v>34753</v>
      </c>
      <c r="AF674" s="541"/>
      <c r="AG674" s="405"/>
      <c r="AH674" s="380" t="s">
        <v>1205</v>
      </c>
      <c r="AI674" s="576" t="str">
        <f>VLOOKUP(Table13[[#This Row],[Column1]],[1]Sheet1!$A:$AO,35,FALSE)</f>
        <v>N/A</v>
      </c>
      <c r="AJ674" s="576" t="str">
        <f>VLOOKUP(Table13[[#This Row],[Column1]],[1]Sheet1!$A:$AO,36,FALSE)</f>
        <v>N/A</v>
      </c>
      <c r="AK674" s="576" t="str">
        <f>VLOOKUP(Table13[[#This Row],[Column1]],[1]Sheet1!$A:$AO,37,FALSE)</f>
        <v>N/A</v>
      </c>
      <c r="AL674" s="576" t="str">
        <f>VLOOKUP(Table13[[#This Row],[Column1]],[1]Sheet1!$A:$AO,38,FALSE)</f>
        <v>N/A</v>
      </c>
      <c r="AM674" s="576" t="str">
        <f>VLOOKUP(Table13[[#This Row],[Column1]],[1]Sheet1!$A:$AO,39,FALSE)</f>
        <v>N/A</v>
      </c>
      <c r="AN674" s="576" t="s">
        <v>713</v>
      </c>
      <c r="AO674" s="306" t="s">
        <v>919</v>
      </c>
      <c r="AP674" s="378"/>
      <c r="AQ674" s="237"/>
    </row>
    <row r="675" spans="1:43" s="238" customFormat="1" ht="75" customHeight="1" thickBot="1" x14ac:dyDescent="0.3">
      <c r="A675" s="297" t="s">
        <v>749</v>
      </c>
      <c r="B675" s="627" t="str">
        <f>VLOOKUP(Table13[[#This Row],[Column1]],[1]Sheet1!$A:$AO,2,FALSE)</f>
        <v>DOCUMENT SCANNER</v>
      </c>
      <c r="C675" s="298" t="str">
        <f>VLOOKUP(Table13[[#This Row],[Column1]],[1]Sheet1!$A:$AO,3,FALSE)</f>
        <v>PICTO</v>
      </c>
      <c r="D675" s="298" t="s">
        <v>712</v>
      </c>
      <c r="E675" s="450" t="str">
        <f>VLOOKUP(Table13[[#This Row],[Column1]],[1]Sheet1!$A:$AO,5,FALSE)</f>
        <v>NP-53.9 - Small Value Procurement</v>
      </c>
      <c r="F675" s="446">
        <f>VLOOKUP(Table13[[#This Row],[Column1]],[1]Sheet1!$A:$AO,6,FALSE)</f>
        <v>45398</v>
      </c>
      <c r="G675" s="402">
        <f>VLOOKUP(Table13[[#This Row],[Column1]],[1]Sheet1!$A:$AO,7,FALSE)</f>
        <v>45404</v>
      </c>
      <c r="H675" s="374"/>
      <c r="I675" s="402" t="str">
        <f>VLOOKUP(Table13[[#This Row],[Column1]],[1]Sheet1!$A:$AO,9,FALSE)</f>
        <v>N/A</v>
      </c>
      <c r="J675" s="402">
        <f>VLOOKUP(Table13[[#This Row],[Column1]],[1]Sheet1!$A:$AO,10,FALSE)</f>
        <v>45421</v>
      </c>
      <c r="K675" s="402">
        <f>VLOOKUP(Table13[[#This Row],[Column1]],[1]Sheet1!$A:$AO,11,FALSE)</f>
        <v>45421</v>
      </c>
      <c r="L675" s="404"/>
      <c r="M675" s="402" t="str">
        <f>VLOOKUP(Table13[[#This Row],[Column1]],[1]Sheet1!$A:$AO,13,FALSE)</f>
        <v>N/A</v>
      </c>
      <c r="N675" s="402" t="str">
        <f>VLOOKUP(Table13[[#This Row],[Column1]],[1]Sheet1!$A:$AO,14,FALSE)</f>
        <v>N/A</v>
      </c>
      <c r="O675" s="402">
        <f>VLOOKUP(Table13[[#This Row],[Column1]],[1]Sheet1!$A:$AO,15,FALSE)</f>
        <v>45425</v>
      </c>
      <c r="P675" s="375"/>
      <c r="Q675" s="375"/>
      <c r="R675" s="376"/>
      <c r="S675" s="583">
        <v>45425</v>
      </c>
      <c r="T675" s="583">
        <f>VLOOKUP(Table13[[#This Row],[Column1]],[1]Sheet1!$A:$AO,20,FALSE)</f>
        <v>45434</v>
      </c>
      <c r="U675" s="583">
        <f>VLOOKUP(Table13[[#This Row],[Column1]],[1]Sheet1!$A:$AO,21,FALSE)</f>
        <v>45440</v>
      </c>
      <c r="V675" s="376"/>
      <c r="W675" s="376"/>
      <c r="X675" s="402"/>
      <c r="Y675" s="402"/>
      <c r="Z675" s="610" t="s">
        <v>1478</v>
      </c>
      <c r="AA675" s="532">
        <f>IF(Table13[[#This Row],[Column2]]="","",SUM(Table13[[#This Row],[Column28]]+Table13[[#This Row],[Column29]]))</f>
        <v>176995</v>
      </c>
      <c r="AB675" s="537"/>
      <c r="AC675" s="502">
        <v>176995</v>
      </c>
      <c r="AD675" s="532">
        <f>IF(Table13[[#This Row],[Column2]]="","",SUM(Table13[[#This Row],[Column31]]+Table13[[#This Row],[Column32]]))</f>
        <v>175500</v>
      </c>
      <c r="AE675" s="501"/>
      <c r="AF675" s="540">
        <v>175500</v>
      </c>
      <c r="AG675" s="405"/>
      <c r="AH675" s="380" t="s">
        <v>1205</v>
      </c>
      <c r="AI675" s="576" t="str">
        <f>VLOOKUP(Table13[[#This Row],[Column1]],[1]Sheet1!$A:$AO,35,FALSE)</f>
        <v>N/A</v>
      </c>
      <c r="AJ675" s="576" t="str">
        <f>VLOOKUP(Table13[[#This Row],[Column1]],[1]Sheet1!$A:$AO,36,FALSE)</f>
        <v>N/A</v>
      </c>
      <c r="AK675" s="576" t="str">
        <f>VLOOKUP(Table13[[#This Row],[Column1]],[1]Sheet1!$A:$AO,37,FALSE)</f>
        <v>N/A</v>
      </c>
      <c r="AL675" s="576" t="str">
        <f>VLOOKUP(Table13[[#This Row],[Column1]],[1]Sheet1!$A:$AO,38,FALSE)</f>
        <v>N/A</v>
      </c>
      <c r="AM675" s="576" t="str">
        <f>VLOOKUP(Table13[[#This Row],[Column1]],[1]Sheet1!$A:$AO,39,FALSE)</f>
        <v>N/A</v>
      </c>
      <c r="AN675" s="576" t="s">
        <v>713</v>
      </c>
      <c r="AO675" s="306" t="s">
        <v>919</v>
      </c>
      <c r="AP675" s="378"/>
      <c r="AQ675" s="237"/>
    </row>
    <row r="676" spans="1:43" s="238" customFormat="1" ht="75" customHeight="1" thickBot="1" x14ac:dyDescent="0.3">
      <c r="A676" s="297" t="s">
        <v>732</v>
      </c>
      <c r="B676" s="627" t="str">
        <f>VLOOKUP(Table13[[#This Row],[Column1]],[1]Sheet1!$A:$AO,2,FALSE)</f>
        <v>MEALS AND SNACKS WITH VENUE</v>
      </c>
      <c r="C676" s="298" t="str">
        <f>VLOOKUP(Table13[[#This Row],[Column1]],[1]Sheet1!$A:$AO,3,FALSE)</f>
        <v>PDRRMO</v>
      </c>
      <c r="D676" s="298" t="s">
        <v>712</v>
      </c>
      <c r="E676" s="450" t="str">
        <f>VLOOKUP(Table13[[#This Row],[Column1]],[1]Sheet1!$A:$AO,5,FALSE)</f>
        <v>Competitive Bidding</v>
      </c>
      <c r="F676" s="446" t="str">
        <f>VLOOKUP(Table13[[#This Row],[Column1]],[1]Sheet1!$A:$AO,6,FALSE)</f>
        <v>N/A</v>
      </c>
      <c r="G676" s="402">
        <f>VLOOKUP(Table13[[#This Row],[Column1]],[1]Sheet1!$A:$AO,7,FALSE)</f>
        <v>45390</v>
      </c>
      <c r="H676" s="374"/>
      <c r="I676" s="402" t="str">
        <f>VLOOKUP(Table13[[#This Row],[Column1]],[1]Sheet1!$A:$AO,9,FALSE)</f>
        <v>N/A</v>
      </c>
      <c r="J676" s="402">
        <f>VLOOKUP(Table13[[#This Row],[Column1]],[1]Sheet1!$A:$AO,10,FALSE)</f>
        <v>45398</v>
      </c>
      <c r="K676" s="402">
        <f>VLOOKUP(Table13[[#This Row],[Column1]],[1]Sheet1!$A:$AO,11,FALSE)</f>
        <v>45398</v>
      </c>
      <c r="L676" s="404"/>
      <c r="M676" s="402">
        <f>VLOOKUP(Table13[[#This Row],[Column1]],[1]Sheet1!$A:$AO,13,FALSE)</f>
        <v>45398</v>
      </c>
      <c r="N676" s="402">
        <f>VLOOKUP(Table13[[#This Row],[Column1]],[1]Sheet1!$A:$AO,14,FALSE)</f>
        <v>45421</v>
      </c>
      <c r="O676" s="402">
        <f>VLOOKUP(Table13[[#This Row],[Column1]],[1]Sheet1!$A:$AO,15,FALSE)</f>
        <v>45425</v>
      </c>
      <c r="P676" s="375"/>
      <c r="Q676" s="375"/>
      <c r="R676" s="376"/>
      <c r="S676" s="583">
        <v>45425</v>
      </c>
      <c r="T676" s="583">
        <f>VLOOKUP(Table13[[#This Row],[Column1]],[1]Sheet1!$A:$AO,20,FALSE)</f>
        <v>45439</v>
      </c>
      <c r="U676" s="583">
        <f>VLOOKUP(Table13[[#This Row],[Column1]],[1]Sheet1!$A:$AO,21,FALSE)</f>
        <v>45447</v>
      </c>
      <c r="V676" s="376"/>
      <c r="W676" s="376"/>
      <c r="X676" s="402"/>
      <c r="Y676" s="402"/>
      <c r="Z676" s="610" t="s">
        <v>1478</v>
      </c>
      <c r="AA676" s="532">
        <f>IF(Table13[[#This Row],[Column2]]="","",SUM(Table13[[#This Row],[Column28]]+Table13[[#This Row],[Column29]]))</f>
        <v>373430</v>
      </c>
      <c r="AB676" s="537"/>
      <c r="AC676" s="502">
        <v>373430</v>
      </c>
      <c r="AD676" s="532">
        <f>IF(Table13[[#This Row],[Column2]]="","",SUM(Table13[[#This Row],[Column31]]+Table13[[#This Row],[Column32]]))</f>
        <v>373430</v>
      </c>
      <c r="AE676" s="501"/>
      <c r="AF676" s="540">
        <v>373430</v>
      </c>
      <c r="AG676" s="405"/>
      <c r="AH676" s="380" t="s">
        <v>1205</v>
      </c>
      <c r="AI676" s="576" t="str">
        <f>VLOOKUP(Table13[[#This Row],[Column1]],[1]Sheet1!$A:$AO,35,FALSE)</f>
        <v>N/A</v>
      </c>
      <c r="AJ676" s="576">
        <v>45393</v>
      </c>
      <c r="AK676" s="576">
        <v>45393</v>
      </c>
      <c r="AL676" s="576">
        <v>45393</v>
      </c>
      <c r="AM676" s="576" t="str">
        <f>VLOOKUP(Table13[[#This Row],[Column1]],[1]Sheet1!$A:$AO,39,FALSE)</f>
        <v>N/A</v>
      </c>
      <c r="AN676" s="576" t="s">
        <v>713</v>
      </c>
      <c r="AO676" s="306" t="s">
        <v>919</v>
      </c>
      <c r="AP676" s="378"/>
      <c r="AQ676" s="237"/>
    </row>
    <row r="677" spans="1:43" s="238" customFormat="1" ht="75" customHeight="1" thickBot="1" x14ac:dyDescent="0.3">
      <c r="A677" s="297" t="s">
        <v>860</v>
      </c>
      <c r="B677" s="627" t="str">
        <f>VLOOKUP(Table13[[#This Row],[Column1]],[1]Sheet1!$A:$AO,2,FALSE)</f>
        <v>MEALS AND SNACKS WITH VENUE</v>
      </c>
      <c r="C677" s="298" t="str">
        <f>VLOOKUP(Table13[[#This Row],[Column1]],[1]Sheet1!$A:$AO,3,FALSE)</f>
        <v>PGO-DILG</v>
      </c>
      <c r="D677" s="298" t="s">
        <v>712</v>
      </c>
      <c r="E677" s="450" t="str">
        <f>VLOOKUP(Table13[[#This Row],[Column1]],[1]Sheet1!$A:$AO,5,FALSE)</f>
        <v>Competitive Bidding</v>
      </c>
      <c r="F677" s="446" t="str">
        <f>VLOOKUP(Table13[[#This Row],[Column1]],[1]Sheet1!$A:$AO,6,FALSE)</f>
        <v>N/A</v>
      </c>
      <c r="G677" s="402">
        <f>VLOOKUP(Table13[[#This Row],[Column1]],[1]Sheet1!$A:$AO,7,FALSE)</f>
        <v>45390</v>
      </c>
      <c r="H677" s="374"/>
      <c r="I677" s="402" t="str">
        <f>VLOOKUP(Table13[[#This Row],[Column1]],[1]Sheet1!$A:$AO,9,FALSE)</f>
        <v>N/A</v>
      </c>
      <c r="J677" s="402">
        <f>VLOOKUP(Table13[[#This Row],[Column1]],[1]Sheet1!$A:$AO,10,FALSE)</f>
        <v>45398</v>
      </c>
      <c r="K677" s="402">
        <f>VLOOKUP(Table13[[#This Row],[Column1]],[1]Sheet1!$A:$AO,11,FALSE)</f>
        <v>45398</v>
      </c>
      <c r="L677" s="404"/>
      <c r="M677" s="402">
        <f>VLOOKUP(Table13[[#This Row],[Column1]],[1]Sheet1!$A:$AO,13,FALSE)</f>
        <v>45398</v>
      </c>
      <c r="N677" s="402">
        <f>VLOOKUP(Table13[[#This Row],[Column1]],[1]Sheet1!$A:$AO,14,FALSE)</f>
        <v>45421</v>
      </c>
      <c r="O677" s="402">
        <f>VLOOKUP(Table13[[#This Row],[Column1]],[1]Sheet1!$A:$AO,15,FALSE)</f>
        <v>45425</v>
      </c>
      <c r="P677" s="375"/>
      <c r="Q677" s="375"/>
      <c r="R677" s="376"/>
      <c r="S677" s="583">
        <v>45425</v>
      </c>
      <c r="T677" s="583">
        <f>VLOOKUP(Table13[[#This Row],[Column1]],[1]Sheet1!$A:$AO,20,FALSE)</f>
        <v>45425</v>
      </c>
      <c r="U677" s="583">
        <f>VLOOKUP(Table13[[#This Row],[Column1]],[1]Sheet1!$A:$AO,21,FALSE)</f>
        <v>45426</v>
      </c>
      <c r="V677" s="376"/>
      <c r="W677" s="376"/>
      <c r="X677" s="402"/>
      <c r="Y677" s="402"/>
      <c r="Z677" s="610" t="s">
        <v>1478</v>
      </c>
      <c r="AA677" s="532">
        <f>IF(Table13[[#This Row],[Column2]]="","",SUM(Table13[[#This Row],[Column28]]+Table13[[#This Row],[Column29]]))</f>
        <v>455000</v>
      </c>
      <c r="AB677" s="537"/>
      <c r="AC677" s="502">
        <v>455000</v>
      </c>
      <c r="AD677" s="532">
        <f>IF(Table13[[#This Row],[Column2]]="","",SUM(Table13[[#This Row],[Column31]]+Table13[[#This Row],[Column32]]))</f>
        <v>455000</v>
      </c>
      <c r="AE677" s="501"/>
      <c r="AF677" s="540">
        <v>455000</v>
      </c>
      <c r="AG677" s="405"/>
      <c r="AH677" s="380" t="s">
        <v>1205</v>
      </c>
      <c r="AI677" s="576" t="str">
        <f>VLOOKUP(Table13[[#This Row],[Column1]],[1]Sheet1!$A:$AO,35,FALSE)</f>
        <v>N/A</v>
      </c>
      <c r="AJ677" s="576">
        <v>45393</v>
      </c>
      <c r="AK677" s="576">
        <v>45393</v>
      </c>
      <c r="AL677" s="576">
        <v>45393</v>
      </c>
      <c r="AM677" s="576" t="str">
        <f>VLOOKUP(Table13[[#This Row],[Column1]],[1]Sheet1!$A:$AO,39,FALSE)</f>
        <v>N/A</v>
      </c>
      <c r="AN677" s="576" t="s">
        <v>713</v>
      </c>
      <c r="AO677" s="306" t="s">
        <v>919</v>
      </c>
      <c r="AP677" s="378"/>
      <c r="AQ677" s="237"/>
    </row>
    <row r="678" spans="1:43" s="238" customFormat="1" ht="75" customHeight="1" thickBot="1" x14ac:dyDescent="0.3">
      <c r="A678" s="297" t="s">
        <v>861</v>
      </c>
      <c r="B678" s="627" t="str">
        <f>VLOOKUP(Table13[[#This Row],[Column1]],[1]Sheet1!$A:$AO,2,FALSE)</f>
        <v>PLASTIC MOLDER SET (6 UNITS/SET) AND PLASTIC SHREDDING MACHINE</v>
      </c>
      <c r="C678" s="298" t="str">
        <f>VLOOKUP(Table13[[#This Row],[Column1]],[1]Sheet1!$A:$AO,3,FALSE)</f>
        <v>PENRO</v>
      </c>
      <c r="D678" s="298" t="s">
        <v>712</v>
      </c>
      <c r="E678" s="450" t="str">
        <f>VLOOKUP(Table13[[#This Row],[Column1]],[1]Sheet1!$A:$AO,5,FALSE)</f>
        <v>Competitive Bidding</v>
      </c>
      <c r="F678" s="446">
        <f>VLOOKUP(Table13[[#This Row],[Column1]],[1]Sheet1!$A:$AO,6,FALSE)</f>
        <v>45330</v>
      </c>
      <c r="G678" s="402">
        <f>VLOOKUP(Table13[[#This Row],[Column1]],[1]Sheet1!$A:$AO,7,FALSE)</f>
        <v>45355</v>
      </c>
      <c r="H678" s="374"/>
      <c r="I678" s="402" t="str">
        <f>VLOOKUP(Table13[[#This Row],[Column1]],[1]Sheet1!$A:$AO,9,FALSE)</f>
        <v>N/A</v>
      </c>
      <c r="J678" s="402">
        <f>VLOOKUP(Table13[[#This Row],[Column1]],[1]Sheet1!$A:$AO,10,FALSE)</f>
        <v>45370</v>
      </c>
      <c r="K678" s="402">
        <f>VLOOKUP(Table13[[#This Row],[Column1]],[1]Sheet1!$A:$AO,11,FALSE)</f>
        <v>45370</v>
      </c>
      <c r="L678" s="404"/>
      <c r="M678" s="402">
        <f>VLOOKUP(Table13[[#This Row],[Column1]],[1]Sheet1!$A:$AO,13,FALSE)</f>
        <v>45370</v>
      </c>
      <c r="N678" s="402">
        <f>VLOOKUP(Table13[[#This Row],[Column1]],[1]Sheet1!$A:$AO,14,FALSE)</f>
        <v>45399</v>
      </c>
      <c r="O678" s="402">
        <f>VLOOKUP(Table13[[#This Row],[Column1]],[1]Sheet1!$A:$AO,15,FALSE)</f>
        <v>45366</v>
      </c>
      <c r="P678" s="375"/>
      <c r="Q678" s="375"/>
      <c r="R678" s="376"/>
      <c r="S678" s="583">
        <v>45427</v>
      </c>
      <c r="T678" s="583">
        <f>VLOOKUP(Table13[[#This Row],[Column1]],[1]Sheet1!$A:$AO,20,FALSE)</f>
        <v>45439</v>
      </c>
      <c r="U678" s="583">
        <f>VLOOKUP(Table13[[#This Row],[Column1]],[1]Sheet1!$A:$AO,21,FALSE)</f>
        <v>45442</v>
      </c>
      <c r="V678" s="376"/>
      <c r="W678" s="376"/>
      <c r="X678" s="402"/>
      <c r="Y678" s="402"/>
      <c r="Z678" s="610" t="s">
        <v>1478</v>
      </c>
      <c r="AA678" s="532">
        <f>IF(Table13[[#This Row],[Column2]]="","",SUM(Table13[[#This Row],[Column28]]+Table13[[#This Row],[Column29]]))</f>
        <v>795000</v>
      </c>
      <c r="AB678" s="537"/>
      <c r="AC678" s="502">
        <v>795000</v>
      </c>
      <c r="AD678" s="532">
        <f>IF(Table13[[#This Row],[Column2]]="","",SUM(Table13[[#This Row],[Column31]]+Table13[[#This Row],[Column32]]))</f>
        <v>777000</v>
      </c>
      <c r="AE678" s="501"/>
      <c r="AF678" s="540">
        <v>777000</v>
      </c>
      <c r="AG678" s="405"/>
      <c r="AH678" s="380" t="s">
        <v>1205</v>
      </c>
      <c r="AI678" s="576" t="str">
        <f>VLOOKUP(Table13[[#This Row],[Column1]],[1]Sheet1!$A:$AO,35,FALSE)</f>
        <v>N/A</v>
      </c>
      <c r="AJ678" s="576">
        <f>VLOOKUP(Table13[[#This Row],[Column1]],[1]Sheet1!$A:$AO,36,FALSE)</f>
        <v>45366</v>
      </c>
      <c r="AK678" s="576">
        <f>VLOOKUP(Table13[[#This Row],[Column1]],[1]Sheet1!$A:$AO,37,FALSE)</f>
        <v>45366</v>
      </c>
      <c r="AL678" s="576">
        <f>VLOOKUP(Table13[[#This Row],[Column1]],[1]Sheet1!$A:$AO,38,FALSE)</f>
        <v>45366</v>
      </c>
      <c r="AM678" s="576" t="str">
        <f>VLOOKUP(Table13[[#This Row],[Column1]],[1]Sheet1!$A:$AO,39,FALSE)</f>
        <v>N/A</v>
      </c>
      <c r="AN678" s="576" t="s">
        <v>713</v>
      </c>
      <c r="AO678" s="306" t="s">
        <v>919</v>
      </c>
      <c r="AP678" s="378"/>
      <c r="AQ678" s="237"/>
    </row>
    <row r="679" spans="1:43" s="238" customFormat="1" ht="75" customHeight="1" thickBot="1" x14ac:dyDescent="0.3">
      <c r="A679" s="297" t="s">
        <v>862</v>
      </c>
      <c r="B679" s="653" t="str">
        <f>VLOOKUP(Table13[[#This Row],[Column1]],[1]Sheet1!$A:$AO,2,FALSE)</f>
        <v>INSTALLATION OF 22 TO 25KW HYBRID SOLAR POWER SYSTEM, FOR TUNNEL VENTILATED SWINE BREEDING CENTER MULTIPLIER</v>
      </c>
      <c r="C679" s="298" t="str">
        <f>VLOOKUP(Table13[[#This Row],[Column1]],[1]Sheet1!$A:$AO,3,FALSE)</f>
        <v>PVO</v>
      </c>
      <c r="D679" s="298" t="s">
        <v>712</v>
      </c>
      <c r="E679" s="450" t="str">
        <f>VLOOKUP(Table13[[#This Row],[Column1]],[1]Sheet1!$A:$AO,5,FALSE)</f>
        <v>Competitive Bidding</v>
      </c>
      <c r="F679" s="446">
        <f>VLOOKUP(Table13[[#This Row],[Column1]],[1]Sheet1!$A:$AO,6,FALSE)</f>
        <v>45356</v>
      </c>
      <c r="G679" s="402">
        <f>VLOOKUP(Table13[[#This Row],[Column1]],[1]Sheet1!$A:$AO,7,FALSE)</f>
        <v>45383</v>
      </c>
      <c r="H679" s="374"/>
      <c r="I679" s="402">
        <f>VLOOKUP(Table13[[#This Row],[Column1]],[1]Sheet1!$A:$AO,9,FALSE)</f>
        <v>45398</v>
      </c>
      <c r="J679" s="402">
        <f>VLOOKUP(Table13[[#This Row],[Column1]],[1]Sheet1!$A:$AO,10,FALSE)</f>
        <v>45412</v>
      </c>
      <c r="K679" s="402">
        <f>VLOOKUP(Table13[[#This Row],[Column1]],[1]Sheet1!$A:$AO,11,FALSE)</f>
        <v>45412</v>
      </c>
      <c r="L679" s="404"/>
      <c r="M679" s="402">
        <f>VLOOKUP(Table13[[#This Row],[Column1]],[1]Sheet1!$A:$AO,13,FALSE)</f>
        <v>45412</v>
      </c>
      <c r="N679" s="402">
        <f>VLOOKUP(Table13[[#This Row],[Column1]],[1]Sheet1!$A:$AO,14,FALSE)</f>
        <v>45422</v>
      </c>
      <c r="O679" s="402">
        <f>VLOOKUP(Table13[[#This Row],[Column1]],[1]Sheet1!$A:$AO,15,FALSE)</f>
        <v>45428</v>
      </c>
      <c r="P679" s="375"/>
      <c r="Q679" s="375"/>
      <c r="R679" s="376"/>
      <c r="S679" s="583">
        <v>45429</v>
      </c>
      <c r="T679" s="583">
        <f>VLOOKUP(Table13[[#This Row],[Column1]],[1]Sheet1!$A:$AO,20,FALSE)</f>
        <v>45434</v>
      </c>
      <c r="U679" s="583">
        <f>VLOOKUP(Table13[[#This Row],[Column1]],[1]Sheet1!$A:$AO,21,FALSE)</f>
        <v>45446</v>
      </c>
      <c r="V679" s="376"/>
      <c r="W679" s="376"/>
      <c r="X679" s="402"/>
      <c r="Y679" s="402"/>
      <c r="Z679" s="610" t="s">
        <v>1478</v>
      </c>
      <c r="AA679" s="532">
        <f>IF(Table13[[#This Row],[Column2]]="","",SUM(Table13[[#This Row],[Column28]]+Table13[[#This Row],[Column29]]))</f>
        <v>2000000</v>
      </c>
      <c r="AB679" s="537"/>
      <c r="AC679" s="502">
        <v>2000000</v>
      </c>
      <c r="AD679" s="532">
        <f>IF(Table13[[#This Row],[Column2]]="","",SUM(Table13[[#This Row],[Column31]]+Table13[[#This Row],[Column32]]))</f>
        <v>1980000</v>
      </c>
      <c r="AE679" s="501"/>
      <c r="AF679" s="540">
        <v>1980000</v>
      </c>
      <c r="AG679" s="405"/>
      <c r="AH679" s="380" t="s">
        <v>1205</v>
      </c>
      <c r="AI679" s="576">
        <f>VLOOKUP(Table13[[#This Row],[Column1]],[1]Sheet1!$A:$AO,35,FALSE)</f>
        <v>45393</v>
      </c>
      <c r="AJ679" s="576">
        <f>VLOOKUP(Table13[[#This Row],[Column1]],[1]Sheet1!$A:$AO,36,FALSE)</f>
        <v>45406</v>
      </c>
      <c r="AK679" s="576">
        <f>VLOOKUP(Table13[[#This Row],[Column1]],[1]Sheet1!$A:$AO,37,FALSE)</f>
        <v>45406</v>
      </c>
      <c r="AL679" s="576">
        <f>VLOOKUP(Table13[[#This Row],[Column1]],[1]Sheet1!$A:$AO,38,FALSE)</f>
        <v>45406</v>
      </c>
      <c r="AM679" s="576" t="str">
        <f>VLOOKUP(Table13[[#This Row],[Column1]],[1]Sheet1!$A:$AO,39,FALSE)</f>
        <v>N/A</v>
      </c>
      <c r="AN679" s="576" t="s">
        <v>713</v>
      </c>
      <c r="AO679" s="306" t="s">
        <v>919</v>
      </c>
      <c r="AP679" s="378"/>
      <c r="AQ679" s="237"/>
    </row>
    <row r="680" spans="1:43" s="238" customFormat="1" ht="75" customHeight="1" thickBot="1" x14ac:dyDescent="0.3">
      <c r="A680" s="297" t="s">
        <v>728</v>
      </c>
      <c r="B680" s="627" t="str">
        <f>VLOOKUP(Table13[[#This Row],[Column1]],[1]Sheet1!$A:$AO,2,FALSE)</f>
        <v>CONSTRUCTION MATERIALS</v>
      </c>
      <c r="C680" s="298" t="str">
        <f>VLOOKUP(Table13[[#This Row],[Column1]],[1]Sheet1!$A:$AO,3,FALSE)</f>
        <v>PDRRMO</v>
      </c>
      <c r="D680" s="298" t="s">
        <v>712</v>
      </c>
      <c r="E680" s="450" t="str">
        <f>VLOOKUP(Table13[[#This Row],[Column1]],[1]Sheet1!$A:$AO,5,FALSE)</f>
        <v>Competitive Bidding</v>
      </c>
      <c r="F680" s="446">
        <f>VLOOKUP(Table13[[#This Row],[Column1]],[1]Sheet1!$A:$AO,6,FALSE)</f>
        <v>45384</v>
      </c>
      <c r="G680" s="402">
        <f>VLOOKUP(Table13[[#This Row],[Column1]],[1]Sheet1!$A:$AO,7,FALSE)</f>
        <v>45390</v>
      </c>
      <c r="H680" s="374"/>
      <c r="I680" s="402">
        <f>VLOOKUP(Table13[[#This Row],[Column1]],[1]Sheet1!$A:$AO,9,FALSE)</f>
        <v>45398</v>
      </c>
      <c r="J680" s="402">
        <f>VLOOKUP(Table13[[#This Row],[Column1]],[1]Sheet1!$A:$AO,10,FALSE)</f>
        <v>45412</v>
      </c>
      <c r="K680" s="402">
        <f>VLOOKUP(Table13[[#This Row],[Column1]],[1]Sheet1!$A:$AO,11,FALSE)</f>
        <v>45412</v>
      </c>
      <c r="L680" s="404"/>
      <c r="M680" s="402">
        <f>VLOOKUP(Table13[[#This Row],[Column1]],[1]Sheet1!$A:$AO,13,FALSE)</f>
        <v>45412</v>
      </c>
      <c r="N680" s="402">
        <f>VLOOKUP(Table13[[#This Row],[Column1]],[1]Sheet1!$A:$AO,14,FALSE)</f>
        <v>45422</v>
      </c>
      <c r="O680" s="402">
        <f>VLOOKUP(Table13[[#This Row],[Column1]],[1]Sheet1!$A:$AO,15,FALSE)</f>
        <v>45428</v>
      </c>
      <c r="P680" s="375"/>
      <c r="Q680" s="375"/>
      <c r="R680" s="376"/>
      <c r="S680" s="583">
        <v>45433</v>
      </c>
      <c r="T680" s="583">
        <f>VLOOKUP(Table13[[#This Row],[Column1]],[1]Sheet1!$A:$AO,20,FALSE)</f>
        <v>45434</v>
      </c>
      <c r="U680" s="583">
        <f>VLOOKUP(Table13[[#This Row],[Column1]],[1]Sheet1!$A:$AO,21,FALSE)</f>
        <v>45450</v>
      </c>
      <c r="V680" s="376"/>
      <c r="W680" s="376"/>
      <c r="X680" s="402"/>
      <c r="Y680" s="402"/>
      <c r="Z680" s="610" t="s">
        <v>1478</v>
      </c>
      <c r="AA680" s="532">
        <f>IF(Table13[[#This Row],[Column2]]="","",SUM(Table13[[#This Row],[Column28]]+Table13[[#This Row],[Column29]]))</f>
        <v>1499916</v>
      </c>
      <c r="AB680" s="537"/>
      <c r="AC680" s="502">
        <v>1499916</v>
      </c>
      <c r="AD680" s="532">
        <f>IF(Table13[[#This Row],[Column2]]="","",SUM(Table13[[#This Row],[Column31]]+Table13[[#This Row],[Column32]]))</f>
        <v>1129890</v>
      </c>
      <c r="AE680" s="501"/>
      <c r="AF680" s="540">
        <v>1129890</v>
      </c>
      <c r="AG680" s="405"/>
      <c r="AH680" s="380" t="s">
        <v>1205</v>
      </c>
      <c r="AI680" s="576">
        <f>VLOOKUP(Table13[[#This Row],[Column1]],[1]Sheet1!$A:$AO,35,FALSE)</f>
        <v>45393</v>
      </c>
      <c r="AJ680" s="576">
        <f>VLOOKUP(Table13[[#This Row],[Column1]],[1]Sheet1!$A:$AO,36,FALSE)</f>
        <v>45406</v>
      </c>
      <c r="AK680" s="576">
        <f>VLOOKUP(Table13[[#This Row],[Column1]],[1]Sheet1!$A:$AO,37,FALSE)</f>
        <v>45406</v>
      </c>
      <c r="AL680" s="576">
        <f>VLOOKUP(Table13[[#This Row],[Column1]],[1]Sheet1!$A:$AO,38,FALSE)</f>
        <v>45406</v>
      </c>
      <c r="AM680" s="576" t="str">
        <f>VLOOKUP(Table13[[#This Row],[Column1]],[1]Sheet1!$A:$AO,39,FALSE)</f>
        <v>N/A</v>
      </c>
      <c r="AN680" s="576" t="s">
        <v>713</v>
      </c>
      <c r="AO680" s="306" t="s">
        <v>919</v>
      </c>
      <c r="AP680" s="378"/>
      <c r="AQ680" s="237"/>
    </row>
    <row r="681" spans="1:43" s="238" customFormat="1" ht="75" customHeight="1" thickBot="1" x14ac:dyDescent="0.3">
      <c r="A681" s="297" t="s">
        <v>735</v>
      </c>
      <c r="B681" s="627" t="str">
        <f>VLOOKUP(Table13[[#This Row],[Column1]],[1]Sheet1!$A:$AO,2,FALSE)</f>
        <v>VERTERINARY DRUGS AND BIOLOGICS</v>
      </c>
      <c r="C681" s="298" t="str">
        <f>VLOOKUP(Table13[[#This Row],[Column1]],[1]Sheet1!$A:$AO,3,FALSE)</f>
        <v>PVO</v>
      </c>
      <c r="D681" s="298" t="s">
        <v>712</v>
      </c>
      <c r="E681" s="450" t="str">
        <f>VLOOKUP(Table13[[#This Row],[Column1]],[1]Sheet1!$A:$AO,5,FALSE)</f>
        <v>Competitive Bidding</v>
      </c>
      <c r="F681" s="446" t="str">
        <f>VLOOKUP(Table13[[#This Row],[Column1]],[1]Sheet1!$A:$AO,6,FALSE)</f>
        <v>N/A</v>
      </c>
      <c r="G681" s="402">
        <f>VLOOKUP(Table13[[#This Row],[Column1]],[1]Sheet1!$A:$AO,7,FALSE)</f>
        <v>45390</v>
      </c>
      <c r="H681" s="374"/>
      <c r="I681" s="402">
        <f>VLOOKUP(Table13[[#This Row],[Column1]],[1]Sheet1!$A:$AO,9,FALSE)</f>
        <v>45398</v>
      </c>
      <c r="J681" s="402">
        <f>VLOOKUP(Table13[[#This Row],[Column1]],[1]Sheet1!$A:$AO,10,FALSE)</f>
        <v>45412</v>
      </c>
      <c r="K681" s="402">
        <f>VLOOKUP(Table13[[#This Row],[Column1]],[1]Sheet1!$A:$AO,11,FALSE)</f>
        <v>45412</v>
      </c>
      <c r="L681" s="404"/>
      <c r="M681" s="402">
        <f>VLOOKUP(Table13[[#This Row],[Column1]],[1]Sheet1!$A:$AO,13,FALSE)</f>
        <v>45412</v>
      </c>
      <c r="N681" s="402">
        <f>VLOOKUP(Table13[[#This Row],[Column1]],[1]Sheet1!$A:$AO,14,FALSE)</f>
        <v>45422</v>
      </c>
      <c r="O681" s="402">
        <f>VLOOKUP(Table13[[#This Row],[Column1]],[1]Sheet1!$A:$AO,15,FALSE)</f>
        <v>45428</v>
      </c>
      <c r="P681" s="375"/>
      <c r="Q681" s="375"/>
      <c r="R681" s="376"/>
      <c r="S681" s="583">
        <v>45428</v>
      </c>
      <c r="T681" s="583">
        <f>VLOOKUP(Table13[[#This Row],[Column1]],[1]Sheet1!$A:$AO,20,FALSE)</f>
        <v>45434</v>
      </c>
      <c r="U681" s="583">
        <f>VLOOKUP(Table13[[#This Row],[Column1]],[1]Sheet1!$A:$AO,21,FALSE)</f>
        <v>45456</v>
      </c>
      <c r="V681" s="376"/>
      <c r="W681" s="376"/>
      <c r="X681" s="402"/>
      <c r="Y681" s="402"/>
      <c r="Z681" s="610" t="s">
        <v>1478</v>
      </c>
      <c r="AA681" s="532">
        <f>IF(Table13[[#This Row],[Column2]]="","",SUM(Table13[[#This Row],[Column28]]+Table13[[#This Row],[Column29]]))</f>
        <v>1237684</v>
      </c>
      <c r="AB681" s="537"/>
      <c r="AC681" s="502">
        <v>1237684</v>
      </c>
      <c r="AD681" s="532">
        <f>IF(Table13[[#This Row],[Column2]]="","",SUM(Table13[[#This Row],[Column31]]+Table13[[#This Row],[Column32]]))</f>
        <v>1105674</v>
      </c>
      <c r="AE681" s="501"/>
      <c r="AF681" s="541">
        <v>1105674</v>
      </c>
      <c r="AG681" s="405"/>
      <c r="AH681" s="380" t="s">
        <v>1205</v>
      </c>
      <c r="AI681" s="576">
        <f>VLOOKUP(Table13[[#This Row],[Column1]],[1]Sheet1!$A:$AO,35,FALSE)</f>
        <v>45393</v>
      </c>
      <c r="AJ681" s="576">
        <f>VLOOKUP(Table13[[#This Row],[Column1]],[1]Sheet1!$A:$AO,36,FALSE)</f>
        <v>45406</v>
      </c>
      <c r="AK681" s="576">
        <f>VLOOKUP(Table13[[#This Row],[Column1]],[1]Sheet1!$A:$AO,37,FALSE)</f>
        <v>45406</v>
      </c>
      <c r="AL681" s="576">
        <f>VLOOKUP(Table13[[#This Row],[Column1]],[1]Sheet1!$A:$AO,38,FALSE)</f>
        <v>45406</v>
      </c>
      <c r="AM681" s="576" t="str">
        <f>VLOOKUP(Table13[[#This Row],[Column1]],[1]Sheet1!$A:$AO,39,FALSE)</f>
        <v>N/A</v>
      </c>
      <c r="AN681" s="576" t="s">
        <v>713</v>
      </c>
      <c r="AO681" s="306" t="s">
        <v>919</v>
      </c>
      <c r="AP681" s="378"/>
      <c r="AQ681" s="237"/>
    </row>
    <row r="682" spans="1:43" s="238" customFormat="1" ht="75" customHeight="1" thickBot="1" x14ac:dyDescent="0.3">
      <c r="A682" s="297" t="s">
        <v>863</v>
      </c>
      <c r="B682" s="627" t="str">
        <f>VLOOKUP(Table13[[#This Row],[Column1]],[1]Sheet1!$A:$AO,2,FALSE)</f>
        <v>SPAREPARTS (MOTORCYCLE)</v>
      </c>
      <c r="C682" s="298" t="str">
        <f>VLOOKUP(Table13[[#This Row],[Column1]],[1]Sheet1!$A:$AO,3,FALSE)</f>
        <v>PGSO</v>
      </c>
      <c r="D682" s="298" t="s">
        <v>712</v>
      </c>
      <c r="E682" s="450" t="str">
        <f>VLOOKUP(Table13[[#This Row],[Column1]],[1]Sheet1!$A:$AO,5,FALSE)</f>
        <v>Shopping 52.1(a) - Unforeseen Contingency</v>
      </c>
      <c r="F682" s="446" t="str">
        <f>VLOOKUP(Table13[[#This Row],[Column1]],[1]Sheet1!$A:$AO,6,FALSE)</f>
        <v>N/A</v>
      </c>
      <c r="G682" s="402">
        <f>VLOOKUP(Table13[[#This Row],[Column1]],[1]Sheet1!$A:$AO,7,FALSE)</f>
        <v>45415</v>
      </c>
      <c r="H682" s="374"/>
      <c r="I682" s="402" t="str">
        <f>VLOOKUP(Table13[[#This Row],[Column1]],[1]Sheet1!$A:$AO,9,FALSE)</f>
        <v>N/A</v>
      </c>
      <c r="J682" s="402">
        <f>VLOOKUP(Table13[[#This Row],[Column1]],[1]Sheet1!$A:$AO,10,FALSE)</f>
        <v>45426</v>
      </c>
      <c r="K682" s="402">
        <f>VLOOKUP(Table13[[#This Row],[Column1]],[1]Sheet1!$A:$AO,11,FALSE)</f>
        <v>45426</v>
      </c>
      <c r="L682" s="404"/>
      <c r="M682" s="402" t="str">
        <f>VLOOKUP(Table13[[#This Row],[Column1]],[1]Sheet1!$A:$AO,13,FALSE)</f>
        <v>N/A</v>
      </c>
      <c r="N682" s="402" t="str">
        <f>VLOOKUP(Table13[[#This Row],[Column1]],[1]Sheet1!$A:$AO,14,FALSE)</f>
        <v>N/A</v>
      </c>
      <c r="O682" s="402">
        <f>VLOOKUP(Table13[[#This Row],[Column1]],[1]Sheet1!$A:$AO,15,FALSE)</f>
        <v>45428</v>
      </c>
      <c r="P682" s="375"/>
      <c r="Q682" s="375"/>
      <c r="R682" s="376"/>
      <c r="S682" s="583" t="s">
        <v>713</v>
      </c>
      <c r="T682" s="583">
        <f>VLOOKUP(Table13[[#This Row],[Column1]],[1]Sheet1!$A:$AO,20,FALSE)</f>
        <v>45434</v>
      </c>
      <c r="U682" s="583">
        <f>VLOOKUP(Table13[[#This Row],[Column1]],[1]Sheet1!$A:$AO,21,FALSE)</f>
        <v>45450</v>
      </c>
      <c r="V682" s="376"/>
      <c r="W682" s="376"/>
      <c r="X682" s="402"/>
      <c r="Y682" s="402"/>
      <c r="Z682" s="610" t="s">
        <v>1478</v>
      </c>
      <c r="AA682" s="532">
        <f>IF(Table13[[#This Row],[Column2]]="","",SUM(Table13[[#This Row],[Column28]]+Table13[[#This Row],[Column29]]))</f>
        <v>13020</v>
      </c>
      <c r="AB682" s="537">
        <v>13020</v>
      </c>
      <c r="AC682" s="502"/>
      <c r="AD682" s="532">
        <f>IF(Table13[[#This Row],[Column2]]="","",SUM(Table13[[#This Row],[Column31]]+Table13[[#This Row],[Column32]]))</f>
        <v>13020</v>
      </c>
      <c r="AE682" s="501">
        <v>13020</v>
      </c>
      <c r="AF682" s="541"/>
      <c r="AG682" s="405"/>
      <c r="AH682" s="380" t="s">
        <v>1205</v>
      </c>
      <c r="AI682" s="576" t="str">
        <f>VLOOKUP(Table13[[#This Row],[Column1]],[1]Sheet1!$A:$AO,35,FALSE)</f>
        <v>N/A</v>
      </c>
      <c r="AJ682" s="576" t="str">
        <f>VLOOKUP(Table13[[#This Row],[Column1]],[1]Sheet1!$A:$AO,36,FALSE)</f>
        <v>N/A</v>
      </c>
      <c r="AK682" s="576" t="str">
        <f>VLOOKUP(Table13[[#This Row],[Column1]],[1]Sheet1!$A:$AO,37,FALSE)</f>
        <v>N/A</v>
      </c>
      <c r="AL682" s="576" t="str">
        <f>VLOOKUP(Table13[[#This Row],[Column1]],[1]Sheet1!$A:$AO,38,FALSE)</f>
        <v>N/A</v>
      </c>
      <c r="AM682" s="576" t="str">
        <f>VLOOKUP(Table13[[#This Row],[Column1]],[1]Sheet1!$A:$AO,39,FALSE)</f>
        <v>N/A</v>
      </c>
      <c r="AN682" s="576" t="s">
        <v>713</v>
      </c>
      <c r="AO682" s="306" t="s">
        <v>919</v>
      </c>
      <c r="AP682" s="378"/>
      <c r="AQ682" s="237"/>
    </row>
    <row r="683" spans="1:43" s="238" customFormat="1" ht="75" customHeight="1" thickBot="1" x14ac:dyDescent="0.3">
      <c r="A683" s="297" t="s">
        <v>864</v>
      </c>
      <c r="B683" s="627" t="str">
        <f>VLOOKUP(Table13[[#This Row],[Column1]],[1]Sheet1!$A:$AO,2,FALSE)</f>
        <v>SERVICES</v>
      </c>
      <c r="C683" s="298" t="str">
        <f>VLOOKUP(Table13[[#This Row],[Column1]],[1]Sheet1!$A:$AO,3,FALSE)</f>
        <v>PDRRMO</v>
      </c>
      <c r="D683" s="298" t="s">
        <v>712</v>
      </c>
      <c r="E683" s="450" t="str">
        <f>VLOOKUP(Table13[[#This Row],[Column1]],[1]Sheet1!$A:$AO,5,FALSE)</f>
        <v>Direct Contracting</v>
      </c>
      <c r="F683" s="446">
        <f>VLOOKUP(Table13[[#This Row],[Column1]],[1]Sheet1!$A:$AO,6,FALSE)</f>
        <v>45356</v>
      </c>
      <c r="G683" s="402">
        <f>VLOOKUP(Table13[[#This Row],[Column1]],[1]Sheet1!$A:$AO,7,FALSE)</f>
        <v>45418</v>
      </c>
      <c r="H683" s="374"/>
      <c r="I683" s="402" t="str">
        <f>VLOOKUP(Table13[[#This Row],[Column1]],[1]Sheet1!$A:$AO,9,FALSE)</f>
        <v>N/A</v>
      </c>
      <c r="J683" s="402">
        <f>VLOOKUP(Table13[[#This Row],[Column1]],[1]Sheet1!$A:$AO,10,FALSE)</f>
        <v>45426</v>
      </c>
      <c r="K683" s="402">
        <f>VLOOKUP(Table13[[#This Row],[Column1]],[1]Sheet1!$A:$AO,11,FALSE)</f>
        <v>45426</v>
      </c>
      <c r="L683" s="404"/>
      <c r="M683" s="402" t="str">
        <f>VLOOKUP(Table13[[#This Row],[Column1]],[1]Sheet1!$A:$AO,13,FALSE)</f>
        <v>N/A</v>
      </c>
      <c r="N683" s="402" t="str">
        <f>VLOOKUP(Table13[[#This Row],[Column1]],[1]Sheet1!$A:$AO,14,FALSE)</f>
        <v>N/A</v>
      </c>
      <c r="O683" s="402">
        <f>VLOOKUP(Table13[[#This Row],[Column1]],[1]Sheet1!$A:$AO,15,FALSE)</f>
        <v>45428</v>
      </c>
      <c r="P683" s="375"/>
      <c r="Q683" s="375"/>
      <c r="R683" s="376"/>
      <c r="S683" s="583" t="s">
        <v>713</v>
      </c>
      <c r="T683" s="583">
        <f>VLOOKUP(Table13[[#This Row],[Column1]],[1]Sheet1!$A:$AO,20,FALSE)</f>
        <v>45439</v>
      </c>
      <c r="U683" s="583">
        <f>VLOOKUP(Table13[[#This Row],[Column1]],[1]Sheet1!$A:$AO,21,FALSE)</f>
        <v>45456</v>
      </c>
      <c r="V683" s="376"/>
      <c r="W683" s="376"/>
      <c r="X683" s="402"/>
      <c r="Y683" s="402"/>
      <c r="Z683" s="610" t="s">
        <v>1478</v>
      </c>
      <c r="AA683" s="532">
        <f>IF(Table13[[#This Row],[Column2]]="","",SUM(Table13[[#This Row],[Column28]]+Table13[[#This Row],[Column29]]))</f>
        <v>29880</v>
      </c>
      <c r="AB683" s="537"/>
      <c r="AC683" s="502">
        <v>29880</v>
      </c>
      <c r="AD683" s="532">
        <f>IF(Table13[[#This Row],[Column2]]="","",SUM(Table13[[#This Row],[Column31]]+Table13[[#This Row],[Column32]]))</f>
        <v>29880</v>
      </c>
      <c r="AE683" s="501"/>
      <c r="AF683" s="541">
        <v>29880</v>
      </c>
      <c r="AG683" s="405"/>
      <c r="AH683" s="380" t="s">
        <v>1205</v>
      </c>
      <c r="AI683" s="576" t="str">
        <f>VLOOKUP(Table13[[#This Row],[Column1]],[1]Sheet1!$A:$AO,35,FALSE)</f>
        <v>N/A</v>
      </c>
      <c r="AJ683" s="576" t="str">
        <f>VLOOKUP(Table13[[#This Row],[Column1]],[1]Sheet1!$A:$AO,36,FALSE)</f>
        <v>N/A</v>
      </c>
      <c r="AK683" s="576" t="str">
        <f>VLOOKUP(Table13[[#This Row],[Column1]],[1]Sheet1!$A:$AO,37,FALSE)</f>
        <v>N/A</v>
      </c>
      <c r="AL683" s="576" t="str">
        <f>VLOOKUP(Table13[[#This Row],[Column1]],[1]Sheet1!$A:$AO,38,FALSE)</f>
        <v>N/A</v>
      </c>
      <c r="AM683" s="576" t="str">
        <f>VLOOKUP(Table13[[#This Row],[Column1]],[1]Sheet1!$A:$AO,39,FALSE)</f>
        <v>N/A</v>
      </c>
      <c r="AN683" s="576" t="s">
        <v>713</v>
      </c>
      <c r="AO683" s="306" t="s">
        <v>919</v>
      </c>
      <c r="AP683" s="378"/>
      <c r="AQ683" s="237"/>
    </row>
    <row r="684" spans="1:43" s="238" customFormat="1" ht="75" customHeight="1" thickBot="1" x14ac:dyDescent="0.3">
      <c r="A684" s="297" t="s">
        <v>865</v>
      </c>
      <c r="B684" s="627" t="str">
        <f>VLOOKUP(Table13[[#This Row],[Column1]],[1]Sheet1!$A:$AO,2,FALSE)</f>
        <v>SPAREPARTS (HEAVY EQUIPT)</v>
      </c>
      <c r="C684" s="298" t="str">
        <f>VLOOKUP(Table13[[#This Row],[Column1]],[1]Sheet1!$A:$AO,3,FALSE)</f>
        <v>PEO-Motorpool</v>
      </c>
      <c r="D684" s="298" t="s">
        <v>712</v>
      </c>
      <c r="E684" s="450" t="str">
        <f>VLOOKUP(Table13[[#This Row],[Column1]],[1]Sheet1!$A:$AO,5,FALSE)</f>
        <v>Direct Contracting</v>
      </c>
      <c r="F684" s="446" t="str">
        <f>VLOOKUP(Table13[[#This Row],[Column1]],[1]Sheet1!$A:$AO,6,FALSE)</f>
        <v>N/A</v>
      </c>
      <c r="G684" s="402">
        <f>VLOOKUP(Table13[[#This Row],[Column1]],[1]Sheet1!$A:$AO,7,FALSE)</f>
        <v>45422</v>
      </c>
      <c r="H684" s="374"/>
      <c r="I684" s="402" t="str">
        <f>VLOOKUP(Table13[[#This Row],[Column1]],[1]Sheet1!$A:$AO,9,FALSE)</f>
        <v>N/A</v>
      </c>
      <c r="J684" s="402">
        <f>VLOOKUP(Table13[[#This Row],[Column1]],[1]Sheet1!$A:$AO,10,FALSE)</f>
        <v>45426</v>
      </c>
      <c r="K684" s="402">
        <f>VLOOKUP(Table13[[#This Row],[Column1]],[1]Sheet1!$A:$AO,11,FALSE)</f>
        <v>45426</v>
      </c>
      <c r="L684" s="404"/>
      <c r="M684" s="402" t="str">
        <f>VLOOKUP(Table13[[#This Row],[Column1]],[1]Sheet1!$A:$AO,13,FALSE)</f>
        <v>N/A</v>
      </c>
      <c r="N684" s="402" t="str">
        <f>VLOOKUP(Table13[[#This Row],[Column1]],[1]Sheet1!$A:$AO,14,FALSE)</f>
        <v>N/A</v>
      </c>
      <c r="O684" s="402">
        <f>VLOOKUP(Table13[[#This Row],[Column1]],[1]Sheet1!$A:$AO,15,FALSE)</f>
        <v>45428</v>
      </c>
      <c r="P684" s="375"/>
      <c r="Q684" s="375"/>
      <c r="R684" s="376"/>
      <c r="S684" s="583" t="s">
        <v>713</v>
      </c>
      <c r="T684" s="583">
        <f>VLOOKUP(Table13[[#This Row],[Column1]],[1]Sheet1!$A:$AO,20,FALSE)</f>
        <v>45436</v>
      </c>
      <c r="U684" s="583">
        <f>VLOOKUP(Table13[[#This Row],[Column1]],[1]Sheet1!$A:$AO,21,FALSE)</f>
        <v>45440</v>
      </c>
      <c r="V684" s="376"/>
      <c r="W684" s="376"/>
      <c r="X684" s="402"/>
      <c r="Y684" s="402"/>
      <c r="Z684" s="610" t="s">
        <v>1478</v>
      </c>
      <c r="AA684" s="532">
        <f>IF(Table13[[#This Row],[Column2]]="","",SUM(Table13[[#This Row],[Column28]]+Table13[[#This Row],[Column29]]))</f>
        <v>2666830.2000000002</v>
      </c>
      <c r="AB684" s="537">
        <v>2666830.2000000002</v>
      </c>
      <c r="AC684" s="502"/>
      <c r="AD684" s="532">
        <f>IF(Table13[[#This Row],[Column2]]="","",SUM(Table13[[#This Row],[Column31]]+Table13[[#This Row],[Column32]]))</f>
        <v>2666830.2000000002</v>
      </c>
      <c r="AE684" s="501">
        <v>2666830.2000000002</v>
      </c>
      <c r="AF684" s="541"/>
      <c r="AG684" s="405"/>
      <c r="AH684" s="380" t="s">
        <v>1205</v>
      </c>
      <c r="AI684" s="576" t="str">
        <f>VLOOKUP(Table13[[#This Row],[Column1]],[1]Sheet1!$A:$AO,35,FALSE)</f>
        <v>N/A</v>
      </c>
      <c r="AJ684" s="576" t="str">
        <f>VLOOKUP(Table13[[#This Row],[Column1]],[1]Sheet1!$A:$AO,36,FALSE)</f>
        <v>N/A</v>
      </c>
      <c r="AK684" s="576" t="str">
        <f>VLOOKUP(Table13[[#This Row],[Column1]],[1]Sheet1!$A:$AO,37,FALSE)</f>
        <v>N/A</v>
      </c>
      <c r="AL684" s="576" t="str">
        <f>VLOOKUP(Table13[[#This Row],[Column1]],[1]Sheet1!$A:$AO,38,FALSE)</f>
        <v>N/A</v>
      </c>
      <c r="AM684" s="576" t="str">
        <f>VLOOKUP(Table13[[#This Row],[Column1]],[1]Sheet1!$A:$AO,39,FALSE)</f>
        <v>N/A</v>
      </c>
      <c r="AN684" s="576" t="s">
        <v>713</v>
      </c>
      <c r="AO684" s="306" t="s">
        <v>919</v>
      </c>
      <c r="AP684" s="378"/>
      <c r="AQ684" s="237"/>
    </row>
    <row r="685" spans="1:43" s="238" customFormat="1" ht="75" customHeight="1" thickBot="1" x14ac:dyDescent="0.3">
      <c r="A685" s="297" t="s">
        <v>866</v>
      </c>
      <c r="B685" s="627" t="str">
        <f>VLOOKUP(Table13[[#This Row],[Column1]],[1]Sheet1!$A:$AO,2,FALSE)</f>
        <v>CLOTH,PONGEE</v>
      </c>
      <c r="C685" s="298" t="str">
        <f>VLOOKUP(Table13[[#This Row],[Column1]],[1]Sheet1!$A:$AO,3,FALSE)</f>
        <v>PGSO</v>
      </c>
      <c r="D685" s="298" t="s">
        <v>712</v>
      </c>
      <c r="E685" s="450" t="str">
        <f>VLOOKUP(Table13[[#This Row],[Column1]],[1]Sheet1!$A:$AO,5,FALSE)</f>
        <v>NP-53.9 - Small Value Procurement</v>
      </c>
      <c r="F685" s="446" t="str">
        <f>VLOOKUP(Table13[[#This Row],[Column1]],[1]Sheet1!$A:$AO,6,FALSE)</f>
        <v>N/A</v>
      </c>
      <c r="G685" s="402">
        <f>VLOOKUP(Table13[[#This Row],[Column1]],[1]Sheet1!$A:$AO,7,FALSE)</f>
        <v>45376</v>
      </c>
      <c r="H685" s="374"/>
      <c r="I685" s="402" t="str">
        <f>VLOOKUP(Table13[[#This Row],[Column1]],[1]Sheet1!$A:$AO,9,FALSE)</f>
        <v>N/A</v>
      </c>
      <c r="J685" s="402">
        <f>VLOOKUP(Table13[[#This Row],[Column1]],[1]Sheet1!$A:$AO,10,FALSE)</f>
        <v>45426</v>
      </c>
      <c r="K685" s="402">
        <f>VLOOKUP(Table13[[#This Row],[Column1]],[1]Sheet1!$A:$AO,11,FALSE)</f>
        <v>45426</v>
      </c>
      <c r="L685" s="404"/>
      <c r="M685" s="402" t="str">
        <f>VLOOKUP(Table13[[#This Row],[Column1]],[1]Sheet1!$A:$AO,13,FALSE)</f>
        <v>N/A</v>
      </c>
      <c r="N685" s="402" t="str">
        <f>VLOOKUP(Table13[[#This Row],[Column1]],[1]Sheet1!$A:$AO,14,FALSE)</f>
        <v>N/A</v>
      </c>
      <c r="O685" s="402">
        <f>VLOOKUP(Table13[[#This Row],[Column1]],[1]Sheet1!$A:$AO,15,FALSE)</f>
        <v>45428</v>
      </c>
      <c r="P685" s="375"/>
      <c r="Q685" s="375"/>
      <c r="R685" s="376"/>
      <c r="S685" s="583" t="s">
        <v>713</v>
      </c>
      <c r="T685" s="583">
        <f>VLOOKUP(Table13[[#This Row],[Column1]],[1]Sheet1!$A:$AO,20,FALSE)</f>
        <v>45434</v>
      </c>
      <c r="U685" s="583">
        <f>VLOOKUP(Table13[[#This Row],[Column1]],[1]Sheet1!$A:$AO,21,FALSE)</f>
        <v>45449</v>
      </c>
      <c r="V685" s="376"/>
      <c r="W685" s="376"/>
      <c r="X685" s="402"/>
      <c r="Y685" s="402"/>
      <c r="Z685" s="610" t="s">
        <v>1478</v>
      </c>
      <c r="AA685" s="532">
        <f>IF(Table13[[#This Row],[Column2]]="","",SUM(Table13[[#This Row],[Column28]]+Table13[[#This Row],[Column29]]))</f>
        <v>25000</v>
      </c>
      <c r="AB685" s="537">
        <v>25000</v>
      </c>
      <c r="AC685" s="502"/>
      <c r="AD685" s="532">
        <f>IF(Table13[[#This Row],[Column2]]="","",SUM(Table13[[#This Row],[Column31]]+Table13[[#This Row],[Column32]]))</f>
        <v>24975</v>
      </c>
      <c r="AE685" s="501">
        <v>24975</v>
      </c>
      <c r="AF685" s="541"/>
      <c r="AG685" s="405"/>
      <c r="AH685" s="380" t="s">
        <v>1205</v>
      </c>
      <c r="AI685" s="576" t="str">
        <f>VLOOKUP(Table13[[#This Row],[Column1]],[1]Sheet1!$A:$AO,35,FALSE)</f>
        <v>N/A</v>
      </c>
      <c r="AJ685" s="576" t="str">
        <f>VLOOKUP(Table13[[#This Row],[Column1]],[1]Sheet1!$A:$AO,36,FALSE)</f>
        <v>N/A</v>
      </c>
      <c r="AK685" s="576" t="str">
        <f>VLOOKUP(Table13[[#This Row],[Column1]],[1]Sheet1!$A:$AO,37,FALSE)</f>
        <v>N/A</v>
      </c>
      <c r="AL685" s="576" t="str">
        <f>VLOOKUP(Table13[[#This Row],[Column1]],[1]Sheet1!$A:$AO,38,FALSE)</f>
        <v>N/A</v>
      </c>
      <c r="AM685" s="576" t="str">
        <f>VLOOKUP(Table13[[#This Row],[Column1]],[1]Sheet1!$A:$AO,39,FALSE)</f>
        <v>N/A</v>
      </c>
      <c r="AN685" s="576" t="s">
        <v>713</v>
      </c>
      <c r="AO685" s="306" t="s">
        <v>919</v>
      </c>
      <c r="AP685" s="378"/>
      <c r="AQ685" s="237"/>
    </row>
    <row r="686" spans="1:43" s="238" customFormat="1" ht="75" customHeight="1" thickBot="1" x14ac:dyDescent="0.3">
      <c r="A686" s="297" t="s">
        <v>867</v>
      </c>
      <c r="B686" s="627" t="str">
        <f>VLOOKUP(Table13[[#This Row],[Column1]],[1]Sheet1!$A:$AO,2,FALSE)</f>
        <v>SPAREPARTS (LIGHT
VEHICLES)</v>
      </c>
      <c r="C686" s="298" t="str">
        <f>VLOOKUP(Table13[[#This Row],[Column1]],[1]Sheet1!$A:$AO,3,FALSE)</f>
        <v>PDRRMO</v>
      </c>
      <c r="D686" s="298" t="s">
        <v>712</v>
      </c>
      <c r="E686" s="450" t="str">
        <f>VLOOKUP(Table13[[#This Row],[Column1]],[1]Sheet1!$A:$AO,5,FALSE)</f>
        <v>Shopping 52.1(a) - Unforeseen Contingency</v>
      </c>
      <c r="F686" s="446" t="str">
        <f>VLOOKUP(Table13[[#This Row],[Column1]],[1]Sheet1!$A:$AO,6,FALSE)</f>
        <v>N/A</v>
      </c>
      <c r="G686" s="402">
        <f>VLOOKUP(Table13[[#This Row],[Column1]],[1]Sheet1!$A:$AO,7,FALSE)</f>
        <v>45425</v>
      </c>
      <c r="H686" s="374"/>
      <c r="I686" s="402" t="str">
        <f>VLOOKUP(Table13[[#This Row],[Column1]],[1]Sheet1!$A:$AO,9,FALSE)</f>
        <v>N/A</v>
      </c>
      <c r="J686" s="402">
        <f>VLOOKUP(Table13[[#This Row],[Column1]],[1]Sheet1!$A:$AO,10,FALSE)</f>
        <v>45440</v>
      </c>
      <c r="K686" s="402">
        <f>VLOOKUP(Table13[[#This Row],[Column1]],[1]Sheet1!$A:$AO,11,FALSE)</f>
        <v>45440</v>
      </c>
      <c r="L686" s="404"/>
      <c r="M686" s="402" t="str">
        <f>VLOOKUP(Table13[[#This Row],[Column1]],[1]Sheet1!$A:$AO,13,FALSE)</f>
        <v>N/A</v>
      </c>
      <c r="N686" s="402" t="str">
        <f>VLOOKUP(Table13[[#This Row],[Column1]],[1]Sheet1!$A:$AO,14,FALSE)</f>
        <v>N/A</v>
      </c>
      <c r="O686" s="402">
        <f>VLOOKUP(Table13[[#This Row],[Column1]],[1]Sheet1!$A:$AO,15,FALSE)</f>
        <v>45441</v>
      </c>
      <c r="P686" s="375"/>
      <c r="Q686" s="375"/>
      <c r="R686" s="376"/>
      <c r="S686" s="583" t="s">
        <v>713</v>
      </c>
      <c r="T686" s="583">
        <f>VLOOKUP(Table13[[#This Row],[Column1]],[1]Sheet1!$A:$AO,20,FALSE)</f>
        <v>45456</v>
      </c>
      <c r="U686" s="583">
        <f>VLOOKUP(Table13[[#This Row],[Column1]],[1]Sheet1!$A:$AO,21,FALSE)</f>
        <v>45470</v>
      </c>
      <c r="V686" s="376"/>
      <c r="W686" s="376"/>
      <c r="X686" s="402"/>
      <c r="Y686" s="402"/>
      <c r="Z686" s="610" t="s">
        <v>1478</v>
      </c>
      <c r="AA686" s="532">
        <f>IF(Table13[[#This Row],[Column2]]="","",SUM(Table13[[#This Row],[Column28]]+Table13[[#This Row],[Column29]]))</f>
        <v>4800</v>
      </c>
      <c r="AB686" s="537">
        <v>4800</v>
      </c>
      <c r="AC686" s="502"/>
      <c r="AD686" s="532">
        <f>IF(Table13[[#This Row],[Column2]]="","",SUM(Table13[[#This Row],[Column31]]+Table13[[#This Row],[Column32]]))</f>
        <v>4800</v>
      </c>
      <c r="AE686" s="501">
        <v>4800</v>
      </c>
      <c r="AF686" s="541"/>
      <c r="AG686" s="405"/>
      <c r="AH686" s="380" t="s">
        <v>1205</v>
      </c>
      <c r="AI686" s="576" t="str">
        <f>VLOOKUP(Table13[[#This Row],[Column1]],[1]Sheet1!$A:$AO,35,FALSE)</f>
        <v>N/A</v>
      </c>
      <c r="AJ686" s="576" t="str">
        <f>VLOOKUP(Table13[[#This Row],[Column1]],[1]Sheet1!$A:$AO,36,FALSE)</f>
        <v>N/A</v>
      </c>
      <c r="AK686" s="576" t="str">
        <f>VLOOKUP(Table13[[#This Row],[Column1]],[1]Sheet1!$A:$AO,37,FALSE)</f>
        <v>N/A</v>
      </c>
      <c r="AL686" s="576" t="str">
        <f>VLOOKUP(Table13[[#This Row],[Column1]],[1]Sheet1!$A:$AO,38,FALSE)</f>
        <v>N/A</v>
      </c>
      <c r="AM686" s="576" t="str">
        <f>VLOOKUP(Table13[[#This Row],[Column1]],[1]Sheet1!$A:$AO,39,FALSE)</f>
        <v>N/A</v>
      </c>
      <c r="AN686" s="576" t="s">
        <v>713</v>
      </c>
      <c r="AO686" s="306" t="s">
        <v>919</v>
      </c>
      <c r="AP686" s="378"/>
      <c r="AQ686" s="237"/>
    </row>
    <row r="687" spans="1:43" s="238" customFormat="1" ht="75" customHeight="1" thickBot="1" x14ac:dyDescent="0.3">
      <c r="A687" s="297" t="s">
        <v>868</v>
      </c>
      <c r="B687" s="627" t="str">
        <f>VLOOKUP(Table13[[#This Row],[Column1]],[1]Sheet1!$A:$AO,2,FALSE)</f>
        <v>SPAREPARTS (LIGHT
VEHICLES)</v>
      </c>
      <c r="C687" s="298" t="str">
        <f>VLOOKUP(Table13[[#This Row],[Column1]],[1]Sheet1!$A:$AO,3,FALSE)</f>
        <v>PDRRMO</v>
      </c>
      <c r="D687" s="298" t="s">
        <v>712</v>
      </c>
      <c r="E687" s="450" t="str">
        <f>VLOOKUP(Table13[[#This Row],[Column1]],[1]Sheet1!$A:$AO,5,FALSE)</f>
        <v>Shopping 52.1(a) - Unforeseen Contingency</v>
      </c>
      <c r="F687" s="446" t="str">
        <f>VLOOKUP(Table13[[#This Row],[Column1]],[1]Sheet1!$A:$AO,6,FALSE)</f>
        <v>N/A</v>
      </c>
      <c r="G687" s="402">
        <f>VLOOKUP(Table13[[#This Row],[Column1]],[1]Sheet1!$A:$AO,7,FALSE)</f>
        <v>45425</v>
      </c>
      <c r="H687" s="374"/>
      <c r="I687" s="402" t="str">
        <f>VLOOKUP(Table13[[#This Row],[Column1]],[1]Sheet1!$A:$AO,9,FALSE)</f>
        <v>N/A</v>
      </c>
      <c r="J687" s="402">
        <f>VLOOKUP(Table13[[#This Row],[Column1]],[1]Sheet1!$A:$AO,10,FALSE)</f>
        <v>45440</v>
      </c>
      <c r="K687" s="402">
        <f>VLOOKUP(Table13[[#This Row],[Column1]],[1]Sheet1!$A:$AO,11,FALSE)</f>
        <v>45440</v>
      </c>
      <c r="L687" s="404"/>
      <c r="M687" s="402" t="str">
        <f>VLOOKUP(Table13[[#This Row],[Column1]],[1]Sheet1!$A:$AO,13,FALSE)</f>
        <v>N/A</v>
      </c>
      <c r="N687" s="402" t="str">
        <f>VLOOKUP(Table13[[#This Row],[Column1]],[1]Sheet1!$A:$AO,14,FALSE)</f>
        <v>N/A</v>
      </c>
      <c r="O687" s="402">
        <f>VLOOKUP(Table13[[#This Row],[Column1]],[1]Sheet1!$A:$AO,15,FALSE)</f>
        <v>45441</v>
      </c>
      <c r="P687" s="375"/>
      <c r="Q687" s="375"/>
      <c r="R687" s="376"/>
      <c r="S687" s="583" t="s">
        <v>713</v>
      </c>
      <c r="T687" s="583">
        <f>VLOOKUP(Table13[[#This Row],[Column1]],[1]Sheet1!$A:$AO,20,FALSE)</f>
        <v>45456</v>
      </c>
      <c r="U687" s="583">
        <f>VLOOKUP(Table13[[#This Row],[Column1]],[1]Sheet1!$A:$AO,21,FALSE)</f>
        <v>45470</v>
      </c>
      <c r="V687" s="376"/>
      <c r="W687" s="376"/>
      <c r="X687" s="402"/>
      <c r="Y687" s="402"/>
      <c r="Z687" s="610" t="s">
        <v>1478</v>
      </c>
      <c r="AA687" s="532">
        <f>IF(Table13[[#This Row],[Column2]]="","",SUM(Table13[[#This Row],[Column28]]+Table13[[#This Row],[Column29]]))</f>
        <v>2250</v>
      </c>
      <c r="AB687" s="537">
        <v>2250</v>
      </c>
      <c r="AC687" s="502"/>
      <c r="AD687" s="532">
        <f>IF(Table13[[#This Row],[Column2]]="","",SUM(Table13[[#This Row],[Column31]]+Table13[[#This Row],[Column32]]))</f>
        <v>2250</v>
      </c>
      <c r="AE687" s="501">
        <v>2250</v>
      </c>
      <c r="AF687" s="541"/>
      <c r="AG687" s="405"/>
      <c r="AH687" s="380" t="s">
        <v>1205</v>
      </c>
      <c r="AI687" s="576" t="str">
        <f>VLOOKUP(Table13[[#This Row],[Column1]],[1]Sheet1!$A:$AO,35,FALSE)</f>
        <v>N/A</v>
      </c>
      <c r="AJ687" s="576" t="str">
        <f>VLOOKUP(Table13[[#This Row],[Column1]],[1]Sheet1!$A:$AO,36,FALSE)</f>
        <v>N/A</v>
      </c>
      <c r="AK687" s="576" t="str">
        <f>VLOOKUP(Table13[[#This Row],[Column1]],[1]Sheet1!$A:$AO,37,FALSE)</f>
        <v>N/A</v>
      </c>
      <c r="AL687" s="576" t="str">
        <f>VLOOKUP(Table13[[#This Row],[Column1]],[1]Sheet1!$A:$AO,38,FALSE)</f>
        <v>N/A</v>
      </c>
      <c r="AM687" s="576" t="str">
        <f>VLOOKUP(Table13[[#This Row],[Column1]],[1]Sheet1!$A:$AO,39,FALSE)</f>
        <v>N/A</v>
      </c>
      <c r="AN687" s="576" t="s">
        <v>713</v>
      </c>
      <c r="AO687" s="306" t="s">
        <v>919</v>
      </c>
      <c r="AP687" s="378"/>
      <c r="AQ687" s="237"/>
    </row>
    <row r="688" spans="1:43" s="238" customFormat="1" ht="75" customHeight="1" thickBot="1" x14ac:dyDescent="0.3">
      <c r="A688" s="297" t="s">
        <v>869</v>
      </c>
      <c r="B688" s="627" t="str">
        <f>VLOOKUP(Table13[[#This Row],[Column1]],[1]Sheet1!$A:$AO,2,FALSE)</f>
        <v>SPAREPARTS (LIGHT
VEHICLES)</v>
      </c>
      <c r="C688" s="298" t="str">
        <f>VLOOKUP(Table13[[#This Row],[Column1]],[1]Sheet1!$A:$AO,3,FALSE)</f>
        <v>PDRRMO</v>
      </c>
      <c r="D688" s="298" t="s">
        <v>712</v>
      </c>
      <c r="E688" s="450" t="str">
        <f>VLOOKUP(Table13[[#This Row],[Column1]],[1]Sheet1!$A:$AO,5,FALSE)</f>
        <v>Shopping 52.1(a) - Unforeseen Contingency</v>
      </c>
      <c r="F688" s="446" t="str">
        <f>VLOOKUP(Table13[[#This Row],[Column1]],[1]Sheet1!$A:$AO,6,FALSE)</f>
        <v>N/A</v>
      </c>
      <c r="G688" s="402">
        <f>VLOOKUP(Table13[[#This Row],[Column1]],[1]Sheet1!$A:$AO,7,FALSE)</f>
        <v>45425</v>
      </c>
      <c r="H688" s="374"/>
      <c r="I688" s="402" t="str">
        <f>VLOOKUP(Table13[[#This Row],[Column1]],[1]Sheet1!$A:$AO,9,FALSE)</f>
        <v>N/A</v>
      </c>
      <c r="J688" s="402">
        <f>VLOOKUP(Table13[[#This Row],[Column1]],[1]Sheet1!$A:$AO,10,FALSE)</f>
        <v>45440</v>
      </c>
      <c r="K688" s="402">
        <f>VLOOKUP(Table13[[#This Row],[Column1]],[1]Sheet1!$A:$AO,11,FALSE)</f>
        <v>45440</v>
      </c>
      <c r="L688" s="404"/>
      <c r="M688" s="402" t="str">
        <f>VLOOKUP(Table13[[#This Row],[Column1]],[1]Sheet1!$A:$AO,13,FALSE)</f>
        <v>N/A</v>
      </c>
      <c r="N688" s="402" t="str">
        <f>VLOOKUP(Table13[[#This Row],[Column1]],[1]Sheet1!$A:$AO,14,FALSE)</f>
        <v>N/A</v>
      </c>
      <c r="O688" s="402">
        <f>VLOOKUP(Table13[[#This Row],[Column1]],[1]Sheet1!$A:$AO,15,FALSE)</f>
        <v>45441</v>
      </c>
      <c r="P688" s="375"/>
      <c r="Q688" s="375"/>
      <c r="R688" s="376"/>
      <c r="S688" s="583" t="s">
        <v>713</v>
      </c>
      <c r="T688" s="583">
        <f>VLOOKUP(Table13[[#This Row],[Column1]],[1]Sheet1!$A:$AO,20,FALSE)</f>
        <v>45456</v>
      </c>
      <c r="U688" s="583">
        <f>VLOOKUP(Table13[[#This Row],[Column1]],[1]Sheet1!$A:$AO,21,FALSE)</f>
        <v>45470</v>
      </c>
      <c r="V688" s="376"/>
      <c r="W688" s="376"/>
      <c r="X688" s="402"/>
      <c r="Y688" s="402"/>
      <c r="Z688" s="610" t="s">
        <v>1478</v>
      </c>
      <c r="AA688" s="532">
        <f>IF(Table13[[#This Row],[Column2]]="","",SUM(Table13[[#This Row],[Column28]]+Table13[[#This Row],[Column29]]))</f>
        <v>9800</v>
      </c>
      <c r="AB688" s="537">
        <v>9800</v>
      </c>
      <c r="AC688" s="502"/>
      <c r="AD688" s="532">
        <f>IF(Table13[[#This Row],[Column2]]="","",SUM(Table13[[#This Row],[Column31]]+Table13[[#This Row],[Column32]]))</f>
        <v>9800</v>
      </c>
      <c r="AE688" s="501">
        <v>9800</v>
      </c>
      <c r="AF688" s="541"/>
      <c r="AG688" s="405"/>
      <c r="AH688" s="380" t="s">
        <v>1205</v>
      </c>
      <c r="AI688" s="576" t="str">
        <f>VLOOKUP(Table13[[#This Row],[Column1]],[1]Sheet1!$A:$AO,35,FALSE)</f>
        <v>N/A</v>
      </c>
      <c r="AJ688" s="576" t="str">
        <f>VLOOKUP(Table13[[#This Row],[Column1]],[1]Sheet1!$A:$AO,36,FALSE)</f>
        <v>N/A</v>
      </c>
      <c r="AK688" s="576" t="str">
        <f>VLOOKUP(Table13[[#This Row],[Column1]],[1]Sheet1!$A:$AO,37,FALSE)</f>
        <v>N/A</v>
      </c>
      <c r="AL688" s="576" t="str">
        <f>VLOOKUP(Table13[[#This Row],[Column1]],[1]Sheet1!$A:$AO,38,FALSE)</f>
        <v>N/A</v>
      </c>
      <c r="AM688" s="576" t="str">
        <f>VLOOKUP(Table13[[#This Row],[Column1]],[1]Sheet1!$A:$AO,39,FALSE)</f>
        <v>N/A</v>
      </c>
      <c r="AN688" s="576" t="s">
        <v>713</v>
      </c>
      <c r="AO688" s="306" t="s">
        <v>919</v>
      </c>
      <c r="AP688" s="378"/>
      <c r="AQ688" s="237"/>
    </row>
    <row r="689" spans="1:43" s="238" customFormat="1" ht="75" customHeight="1" thickBot="1" x14ac:dyDescent="0.3">
      <c r="A689" s="297" t="s">
        <v>870</v>
      </c>
      <c r="B689" s="627" t="str">
        <f>VLOOKUP(Table13[[#This Row],[Column1]],[1]Sheet1!$A:$AO,2,FALSE)</f>
        <v>SPAREPARTS (LIGHT
VEHICLES)</v>
      </c>
      <c r="C689" s="298" t="str">
        <f>VLOOKUP(Table13[[#This Row],[Column1]],[1]Sheet1!$A:$AO,3,FALSE)</f>
        <v>SPO</v>
      </c>
      <c r="D689" s="298" t="s">
        <v>712</v>
      </c>
      <c r="E689" s="450" t="str">
        <f>VLOOKUP(Table13[[#This Row],[Column1]],[1]Sheet1!$A:$AO,5,FALSE)</f>
        <v>Shopping 52.1(a) - Unforeseen Contingency</v>
      </c>
      <c r="F689" s="446" t="str">
        <f>VLOOKUP(Table13[[#This Row],[Column1]],[1]Sheet1!$A:$AO,6,FALSE)</f>
        <v>N/A</v>
      </c>
      <c r="G689" s="402">
        <f>VLOOKUP(Table13[[#This Row],[Column1]],[1]Sheet1!$A:$AO,7,FALSE)</f>
        <v>45425</v>
      </c>
      <c r="H689" s="374"/>
      <c r="I689" s="402" t="str">
        <f>VLOOKUP(Table13[[#This Row],[Column1]],[1]Sheet1!$A:$AO,9,FALSE)</f>
        <v>N/A</v>
      </c>
      <c r="J689" s="402">
        <f>VLOOKUP(Table13[[#This Row],[Column1]],[1]Sheet1!$A:$AO,10,FALSE)</f>
        <v>45440</v>
      </c>
      <c r="K689" s="402">
        <f>VLOOKUP(Table13[[#This Row],[Column1]],[1]Sheet1!$A:$AO,11,FALSE)</f>
        <v>45440</v>
      </c>
      <c r="L689" s="404"/>
      <c r="M689" s="402" t="str">
        <f>VLOOKUP(Table13[[#This Row],[Column1]],[1]Sheet1!$A:$AO,13,FALSE)</f>
        <v>N/A</v>
      </c>
      <c r="N689" s="402" t="str">
        <f>VLOOKUP(Table13[[#This Row],[Column1]],[1]Sheet1!$A:$AO,14,FALSE)</f>
        <v>N/A</v>
      </c>
      <c r="O689" s="402">
        <f>VLOOKUP(Table13[[#This Row],[Column1]],[1]Sheet1!$A:$AO,15,FALSE)</f>
        <v>45441</v>
      </c>
      <c r="P689" s="375"/>
      <c r="Q689" s="375"/>
      <c r="R689" s="376"/>
      <c r="S689" s="583" t="s">
        <v>713</v>
      </c>
      <c r="T689" s="583">
        <f>VLOOKUP(Table13[[#This Row],[Column1]],[1]Sheet1!$A:$AO,20,FALSE)</f>
        <v>45448</v>
      </c>
      <c r="U689" s="583">
        <f>VLOOKUP(Table13[[#This Row],[Column1]],[1]Sheet1!$A:$AO,21,FALSE)</f>
        <v>45463</v>
      </c>
      <c r="V689" s="376"/>
      <c r="W689" s="376"/>
      <c r="X689" s="402"/>
      <c r="Y689" s="402"/>
      <c r="Z689" s="610" t="s">
        <v>1478</v>
      </c>
      <c r="AA689" s="532">
        <f>IF(Table13[[#This Row],[Column2]]="","",SUM(Table13[[#This Row],[Column28]]+Table13[[#This Row],[Column29]]))</f>
        <v>13500</v>
      </c>
      <c r="AB689" s="537">
        <v>13500</v>
      </c>
      <c r="AC689" s="502"/>
      <c r="AD689" s="532">
        <f>IF(Table13[[#This Row],[Column2]]="","",SUM(Table13[[#This Row],[Column31]]+Table13[[#This Row],[Column32]]))</f>
        <v>13500</v>
      </c>
      <c r="AE689" s="501">
        <v>13500</v>
      </c>
      <c r="AF689" s="541"/>
      <c r="AG689" s="405"/>
      <c r="AH689" s="380" t="s">
        <v>1205</v>
      </c>
      <c r="AI689" s="576" t="str">
        <f>VLOOKUP(Table13[[#This Row],[Column1]],[1]Sheet1!$A:$AO,35,FALSE)</f>
        <v>N/A</v>
      </c>
      <c r="AJ689" s="576" t="str">
        <f>VLOOKUP(Table13[[#This Row],[Column1]],[1]Sheet1!$A:$AO,36,FALSE)</f>
        <v>N/A</v>
      </c>
      <c r="AK689" s="576" t="str">
        <f>VLOOKUP(Table13[[#This Row],[Column1]],[1]Sheet1!$A:$AO,37,FALSE)</f>
        <v>N/A</v>
      </c>
      <c r="AL689" s="576" t="str">
        <f>VLOOKUP(Table13[[#This Row],[Column1]],[1]Sheet1!$A:$AO,38,FALSE)</f>
        <v>N/A</v>
      </c>
      <c r="AM689" s="576" t="str">
        <f>VLOOKUP(Table13[[#This Row],[Column1]],[1]Sheet1!$A:$AO,39,FALSE)</f>
        <v>N/A</v>
      </c>
      <c r="AN689" s="576" t="s">
        <v>713</v>
      </c>
      <c r="AO689" s="306" t="s">
        <v>919</v>
      </c>
      <c r="AP689" s="378"/>
      <c r="AQ689" s="237"/>
    </row>
    <row r="690" spans="1:43" s="238" customFormat="1" ht="75" customHeight="1" thickBot="1" x14ac:dyDescent="0.3">
      <c r="A690" s="297" t="s">
        <v>871</v>
      </c>
      <c r="B690" s="627" t="str">
        <f>VLOOKUP(Table13[[#This Row],[Column1]],[1]Sheet1!$A:$AO,2,FALSE)</f>
        <v>SPAREPARTS (LIGHT
VEHICLES)</v>
      </c>
      <c r="C690" s="298" t="str">
        <f>VLOOKUP(Table13[[#This Row],[Column1]],[1]Sheet1!$A:$AO,3,FALSE)</f>
        <v>PDRRMO</v>
      </c>
      <c r="D690" s="298" t="s">
        <v>712</v>
      </c>
      <c r="E690" s="450" t="str">
        <f>VLOOKUP(Table13[[#This Row],[Column1]],[1]Sheet1!$A:$AO,5,FALSE)</f>
        <v>Shopping 52.1(a) - Unforeseen Contingency</v>
      </c>
      <c r="F690" s="446" t="str">
        <f>VLOOKUP(Table13[[#This Row],[Column1]],[1]Sheet1!$A:$AO,6,FALSE)</f>
        <v>N/A</v>
      </c>
      <c r="G690" s="402">
        <f>VLOOKUP(Table13[[#This Row],[Column1]],[1]Sheet1!$A:$AO,7,FALSE)</f>
        <v>45425</v>
      </c>
      <c r="H690" s="374"/>
      <c r="I690" s="402" t="str">
        <f>VLOOKUP(Table13[[#This Row],[Column1]],[1]Sheet1!$A:$AO,9,FALSE)</f>
        <v>N/A</v>
      </c>
      <c r="J690" s="402">
        <f>VLOOKUP(Table13[[#This Row],[Column1]],[1]Sheet1!$A:$AO,10,FALSE)</f>
        <v>45440</v>
      </c>
      <c r="K690" s="402">
        <f>VLOOKUP(Table13[[#This Row],[Column1]],[1]Sheet1!$A:$AO,11,FALSE)</f>
        <v>45440</v>
      </c>
      <c r="L690" s="404"/>
      <c r="M690" s="402" t="str">
        <f>VLOOKUP(Table13[[#This Row],[Column1]],[1]Sheet1!$A:$AO,13,FALSE)</f>
        <v>N/A</v>
      </c>
      <c r="N690" s="402" t="str">
        <f>VLOOKUP(Table13[[#This Row],[Column1]],[1]Sheet1!$A:$AO,14,FALSE)</f>
        <v>N/A</v>
      </c>
      <c r="O690" s="402">
        <f>VLOOKUP(Table13[[#This Row],[Column1]],[1]Sheet1!$A:$AO,15,FALSE)</f>
        <v>45441</v>
      </c>
      <c r="P690" s="375"/>
      <c r="Q690" s="375"/>
      <c r="R690" s="376"/>
      <c r="S690" s="583" t="s">
        <v>713</v>
      </c>
      <c r="T690" s="583">
        <f>VLOOKUP(Table13[[#This Row],[Column1]],[1]Sheet1!$A:$AO,20,FALSE)</f>
        <v>45453</v>
      </c>
      <c r="U690" s="583">
        <f>VLOOKUP(Table13[[#This Row],[Column1]],[1]Sheet1!$A:$AO,21,FALSE)</f>
        <v>45470</v>
      </c>
      <c r="V690" s="376"/>
      <c r="W690" s="376"/>
      <c r="X690" s="402"/>
      <c r="Y690" s="402"/>
      <c r="Z690" s="610" t="s">
        <v>1478</v>
      </c>
      <c r="AA690" s="532">
        <f>IF(Table13[[#This Row],[Column2]]="","",SUM(Table13[[#This Row],[Column28]]+Table13[[#This Row],[Column29]]))</f>
        <v>32400</v>
      </c>
      <c r="AB690" s="537">
        <v>32400</v>
      </c>
      <c r="AC690" s="502"/>
      <c r="AD690" s="532">
        <f>IF(Table13[[#This Row],[Column2]]="","",SUM(Table13[[#This Row],[Column31]]+Table13[[#This Row],[Column32]]))</f>
        <v>32400</v>
      </c>
      <c r="AE690" s="501">
        <v>32400</v>
      </c>
      <c r="AF690" s="541"/>
      <c r="AG690" s="405"/>
      <c r="AH690" s="380" t="s">
        <v>1205</v>
      </c>
      <c r="AI690" s="576" t="str">
        <f>VLOOKUP(Table13[[#This Row],[Column1]],[1]Sheet1!$A:$AO,35,FALSE)</f>
        <v>N/A</v>
      </c>
      <c r="AJ690" s="576" t="str">
        <f>VLOOKUP(Table13[[#This Row],[Column1]],[1]Sheet1!$A:$AO,36,FALSE)</f>
        <v>N/A</v>
      </c>
      <c r="AK690" s="576" t="str">
        <f>VLOOKUP(Table13[[#This Row],[Column1]],[1]Sheet1!$A:$AO,37,FALSE)</f>
        <v>N/A</v>
      </c>
      <c r="AL690" s="576" t="str">
        <f>VLOOKUP(Table13[[#This Row],[Column1]],[1]Sheet1!$A:$AO,38,FALSE)</f>
        <v>N/A</v>
      </c>
      <c r="AM690" s="576" t="str">
        <f>VLOOKUP(Table13[[#This Row],[Column1]],[1]Sheet1!$A:$AO,39,FALSE)</f>
        <v>N/A</v>
      </c>
      <c r="AN690" s="576" t="s">
        <v>713</v>
      </c>
      <c r="AO690" s="306" t="s">
        <v>919</v>
      </c>
      <c r="AP690" s="378"/>
      <c r="AQ690" s="237"/>
    </row>
    <row r="691" spans="1:43" s="238" customFormat="1" ht="75" customHeight="1" thickBot="1" x14ac:dyDescent="0.3">
      <c r="A691" s="297" t="s">
        <v>872</v>
      </c>
      <c r="B691" s="627" t="str">
        <f>VLOOKUP(Table13[[#This Row],[Column1]],[1]Sheet1!$A:$AO,2,FALSE)</f>
        <v>SPAREPARTS (LIGHT
VEHICLES)</v>
      </c>
      <c r="C691" s="298" t="str">
        <f>VLOOKUP(Table13[[#This Row],[Column1]],[1]Sheet1!$A:$AO,3,FALSE)</f>
        <v>PDRRMO</v>
      </c>
      <c r="D691" s="298" t="s">
        <v>712</v>
      </c>
      <c r="E691" s="450" t="str">
        <f>VLOOKUP(Table13[[#This Row],[Column1]],[1]Sheet1!$A:$AO,5,FALSE)</f>
        <v>Shopping 52.1(a) - Unforeseen Contingency</v>
      </c>
      <c r="F691" s="446" t="str">
        <f>VLOOKUP(Table13[[#This Row],[Column1]],[1]Sheet1!$A:$AO,6,FALSE)</f>
        <v>N/A</v>
      </c>
      <c r="G691" s="402">
        <f>VLOOKUP(Table13[[#This Row],[Column1]],[1]Sheet1!$A:$AO,7,FALSE)</f>
        <v>45429</v>
      </c>
      <c r="H691" s="374"/>
      <c r="I691" s="402" t="str">
        <f>VLOOKUP(Table13[[#This Row],[Column1]],[1]Sheet1!$A:$AO,9,FALSE)</f>
        <v>N/A</v>
      </c>
      <c r="J691" s="402">
        <f>VLOOKUP(Table13[[#This Row],[Column1]],[1]Sheet1!$A:$AO,10,FALSE)</f>
        <v>45440</v>
      </c>
      <c r="K691" s="402">
        <f>VLOOKUP(Table13[[#This Row],[Column1]],[1]Sheet1!$A:$AO,11,FALSE)</f>
        <v>45440</v>
      </c>
      <c r="L691" s="404"/>
      <c r="M691" s="402" t="str">
        <f>VLOOKUP(Table13[[#This Row],[Column1]],[1]Sheet1!$A:$AO,13,FALSE)</f>
        <v>N/A</v>
      </c>
      <c r="N691" s="402" t="str">
        <f>VLOOKUP(Table13[[#This Row],[Column1]],[1]Sheet1!$A:$AO,14,FALSE)</f>
        <v>N/A</v>
      </c>
      <c r="O691" s="402">
        <f>VLOOKUP(Table13[[#This Row],[Column1]],[1]Sheet1!$A:$AO,15,FALSE)</f>
        <v>45441</v>
      </c>
      <c r="P691" s="375"/>
      <c r="Q691" s="375"/>
      <c r="R691" s="376"/>
      <c r="S691" s="583" t="s">
        <v>713</v>
      </c>
      <c r="T691" s="583">
        <f>VLOOKUP(Table13[[#This Row],[Column1]],[1]Sheet1!$A:$AO,20,FALSE)</f>
        <v>45456</v>
      </c>
      <c r="U691" s="583">
        <f>VLOOKUP(Table13[[#This Row],[Column1]],[1]Sheet1!$A:$AO,21,FALSE)</f>
        <v>45470</v>
      </c>
      <c r="V691" s="376"/>
      <c r="W691" s="376"/>
      <c r="X691" s="402"/>
      <c r="Y691" s="402"/>
      <c r="Z691" s="610" t="s">
        <v>1478</v>
      </c>
      <c r="AA691" s="532">
        <f>IF(Table13[[#This Row],[Column2]]="","",SUM(Table13[[#This Row],[Column28]]+Table13[[#This Row],[Column29]]))</f>
        <v>19080</v>
      </c>
      <c r="AB691" s="537">
        <v>19080</v>
      </c>
      <c r="AC691" s="502"/>
      <c r="AD691" s="532">
        <f>IF(Table13[[#This Row],[Column2]]="","",SUM(Table13[[#This Row],[Column31]]+Table13[[#This Row],[Column32]]))</f>
        <v>19080</v>
      </c>
      <c r="AE691" s="501">
        <v>19080</v>
      </c>
      <c r="AF691" s="541"/>
      <c r="AG691" s="405"/>
      <c r="AH691" s="380" t="s">
        <v>1205</v>
      </c>
      <c r="AI691" s="576" t="str">
        <f>VLOOKUP(Table13[[#This Row],[Column1]],[1]Sheet1!$A:$AO,35,FALSE)</f>
        <v>N/A</v>
      </c>
      <c r="AJ691" s="576" t="str">
        <f>VLOOKUP(Table13[[#This Row],[Column1]],[1]Sheet1!$A:$AO,36,FALSE)</f>
        <v>N/A</v>
      </c>
      <c r="AK691" s="576" t="str">
        <f>VLOOKUP(Table13[[#This Row],[Column1]],[1]Sheet1!$A:$AO,37,FALSE)</f>
        <v>N/A</v>
      </c>
      <c r="AL691" s="576" t="str">
        <f>VLOOKUP(Table13[[#This Row],[Column1]],[1]Sheet1!$A:$AO,38,FALSE)</f>
        <v>N/A</v>
      </c>
      <c r="AM691" s="576" t="str">
        <f>VLOOKUP(Table13[[#This Row],[Column1]],[1]Sheet1!$A:$AO,39,FALSE)</f>
        <v>N/A</v>
      </c>
      <c r="AN691" s="576" t="s">
        <v>713</v>
      </c>
      <c r="AO691" s="306" t="s">
        <v>919</v>
      </c>
      <c r="AP691" s="378"/>
      <c r="AQ691" s="237"/>
    </row>
    <row r="692" spans="1:43" s="238" customFormat="1" ht="75" customHeight="1" thickBot="1" x14ac:dyDescent="0.3">
      <c r="A692" s="297" t="s">
        <v>873</v>
      </c>
      <c r="B692" s="627" t="str">
        <f>VLOOKUP(Table13[[#This Row],[Column1]],[1]Sheet1!$A:$AO,2,FALSE)</f>
        <v>SPAREPARTS (LIGHT
VEHICLES)</v>
      </c>
      <c r="C692" s="298" t="str">
        <f>VLOOKUP(Table13[[#This Row],[Column1]],[1]Sheet1!$A:$AO,3,FALSE)</f>
        <v>PDRRMO</v>
      </c>
      <c r="D692" s="298" t="s">
        <v>712</v>
      </c>
      <c r="E692" s="450" t="str">
        <f>VLOOKUP(Table13[[#This Row],[Column1]],[1]Sheet1!$A:$AO,5,FALSE)</f>
        <v>Shopping 52.1(a) - Unforeseen Contingency</v>
      </c>
      <c r="F692" s="446" t="str">
        <f>VLOOKUP(Table13[[#This Row],[Column1]],[1]Sheet1!$A:$AO,6,FALSE)</f>
        <v>N/A</v>
      </c>
      <c r="G692" s="402">
        <f>VLOOKUP(Table13[[#This Row],[Column1]],[1]Sheet1!$A:$AO,7,FALSE)</f>
        <v>45429</v>
      </c>
      <c r="H692" s="374"/>
      <c r="I692" s="402" t="str">
        <f>VLOOKUP(Table13[[#This Row],[Column1]],[1]Sheet1!$A:$AO,9,FALSE)</f>
        <v>N/A</v>
      </c>
      <c r="J692" s="402">
        <f>VLOOKUP(Table13[[#This Row],[Column1]],[1]Sheet1!$A:$AO,10,FALSE)</f>
        <v>45440</v>
      </c>
      <c r="K692" s="402">
        <f>VLOOKUP(Table13[[#This Row],[Column1]],[1]Sheet1!$A:$AO,11,FALSE)</f>
        <v>45440</v>
      </c>
      <c r="L692" s="404"/>
      <c r="M692" s="402" t="str">
        <f>VLOOKUP(Table13[[#This Row],[Column1]],[1]Sheet1!$A:$AO,13,FALSE)</f>
        <v>N/A</v>
      </c>
      <c r="N692" s="402" t="str">
        <f>VLOOKUP(Table13[[#This Row],[Column1]],[1]Sheet1!$A:$AO,14,FALSE)</f>
        <v>N/A</v>
      </c>
      <c r="O692" s="402">
        <f>VLOOKUP(Table13[[#This Row],[Column1]],[1]Sheet1!$A:$AO,15,FALSE)</f>
        <v>45441</v>
      </c>
      <c r="P692" s="375"/>
      <c r="Q692" s="375"/>
      <c r="R692" s="376"/>
      <c r="S692" s="583" t="s">
        <v>713</v>
      </c>
      <c r="T692" s="583">
        <f>VLOOKUP(Table13[[#This Row],[Column1]],[1]Sheet1!$A:$AO,20,FALSE)</f>
        <v>45454</v>
      </c>
      <c r="U692" s="583">
        <f>VLOOKUP(Table13[[#This Row],[Column1]],[1]Sheet1!$A:$AO,21,FALSE)</f>
        <v>45470</v>
      </c>
      <c r="V692" s="376"/>
      <c r="W692" s="376"/>
      <c r="X692" s="402"/>
      <c r="Y692" s="402"/>
      <c r="Z692" s="610" t="s">
        <v>1478</v>
      </c>
      <c r="AA692" s="532">
        <f>IF(Table13[[#This Row],[Column2]]="","",SUM(Table13[[#This Row],[Column28]]+Table13[[#This Row],[Column29]]))</f>
        <v>18100</v>
      </c>
      <c r="AB692" s="537">
        <v>18100</v>
      </c>
      <c r="AC692" s="502"/>
      <c r="AD692" s="532">
        <f>IF(Table13[[#This Row],[Column2]]="","",SUM(Table13[[#This Row],[Column31]]+Table13[[#This Row],[Column32]]))</f>
        <v>18100</v>
      </c>
      <c r="AE692" s="501">
        <v>18100</v>
      </c>
      <c r="AF692" s="541"/>
      <c r="AG692" s="405"/>
      <c r="AH692" s="380" t="s">
        <v>1205</v>
      </c>
      <c r="AI692" s="576" t="str">
        <f>VLOOKUP(Table13[[#This Row],[Column1]],[1]Sheet1!$A:$AO,35,FALSE)</f>
        <v>N/A</v>
      </c>
      <c r="AJ692" s="576" t="str">
        <f>VLOOKUP(Table13[[#This Row],[Column1]],[1]Sheet1!$A:$AO,36,FALSE)</f>
        <v>N/A</v>
      </c>
      <c r="AK692" s="576" t="str">
        <f>VLOOKUP(Table13[[#This Row],[Column1]],[1]Sheet1!$A:$AO,37,FALSE)</f>
        <v>N/A</v>
      </c>
      <c r="AL692" s="576" t="str">
        <f>VLOOKUP(Table13[[#This Row],[Column1]],[1]Sheet1!$A:$AO,38,FALSE)</f>
        <v>N/A</v>
      </c>
      <c r="AM692" s="576" t="str">
        <f>VLOOKUP(Table13[[#This Row],[Column1]],[1]Sheet1!$A:$AO,39,FALSE)</f>
        <v>N/A</v>
      </c>
      <c r="AN692" s="576" t="s">
        <v>713</v>
      </c>
      <c r="AO692" s="306" t="s">
        <v>919</v>
      </c>
      <c r="AP692" s="378"/>
      <c r="AQ692" s="237"/>
    </row>
    <row r="693" spans="1:43" s="238" customFormat="1" ht="75" customHeight="1" thickBot="1" x14ac:dyDescent="0.3">
      <c r="A693" s="297" t="s">
        <v>874</v>
      </c>
      <c r="B693" s="627" t="str">
        <f>VLOOKUP(Table13[[#This Row],[Column1]],[1]Sheet1!$A:$AO,2,FALSE)</f>
        <v>SPAREPARTS (LIGHT
VEHICLES)</v>
      </c>
      <c r="C693" s="298" t="str">
        <f>VLOOKUP(Table13[[#This Row],[Column1]],[1]Sheet1!$A:$AO,3,FALSE)</f>
        <v>PDRRMO</v>
      </c>
      <c r="D693" s="298" t="s">
        <v>712</v>
      </c>
      <c r="E693" s="450" t="str">
        <f>VLOOKUP(Table13[[#This Row],[Column1]],[1]Sheet1!$A:$AO,5,FALSE)</f>
        <v>Shopping 52.1(a) - Unforeseen Contingency</v>
      </c>
      <c r="F693" s="446" t="str">
        <f>VLOOKUP(Table13[[#This Row],[Column1]],[1]Sheet1!$A:$AO,6,FALSE)</f>
        <v>N/A</v>
      </c>
      <c r="G693" s="402">
        <f>VLOOKUP(Table13[[#This Row],[Column1]],[1]Sheet1!$A:$AO,7,FALSE)</f>
        <v>45434</v>
      </c>
      <c r="H693" s="374"/>
      <c r="I693" s="402" t="str">
        <f>VLOOKUP(Table13[[#This Row],[Column1]],[1]Sheet1!$A:$AO,9,FALSE)</f>
        <v>N/A</v>
      </c>
      <c r="J693" s="402">
        <f>VLOOKUP(Table13[[#This Row],[Column1]],[1]Sheet1!$A:$AO,10,FALSE)</f>
        <v>45440</v>
      </c>
      <c r="K693" s="402">
        <f>VLOOKUP(Table13[[#This Row],[Column1]],[1]Sheet1!$A:$AO,11,FALSE)</f>
        <v>45440</v>
      </c>
      <c r="L693" s="404"/>
      <c r="M693" s="402" t="str">
        <f>VLOOKUP(Table13[[#This Row],[Column1]],[1]Sheet1!$A:$AO,13,FALSE)</f>
        <v>N/A</v>
      </c>
      <c r="N693" s="402" t="str">
        <f>VLOOKUP(Table13[[#This Row],[Column1]],[1]Sheet1!$A:$AO,14,FALSE)</f>
        <v>N/A</v>
      </c>
      <c r="O693" s="402">
        <f>VLOOKUP(Table13[[#This Row],[Column1]],[1]Sheet1!$A:$AO,15,FALSE)</f>
        <v>45441</v>
      </c>
      <c r="P693" s="375"/>
      <c r="Q693" s="375"/>
      <c r="R693" s="376"/>
      <c r="S693" s="583" t="s">
        <v>713</v>
      </c>
      <c r="T693" s="583">
        <f>VLOOKUP(Table13[[#This Row],[Column1]],[1]Sheet1!$A:$AO,20,FALSE)</f>
        <v>45454</v>
      </c>
      <c r="U693" s="583">
        <f>VLOOKUP(Table13[[#This Row],[Column1]],[1]Sheet1!$A:$AO,21,FALSE)</f>
        <v>45470</v>
      </c>
      <c r="V693" s="376"/>
      <c r="W693" s="376"/>
      <c r="X693" s="402"/>
      <c r="Y693" s="402"/>
      <c r="Z693" s="610" t="s">
        <v>1478</v>
      </c>
      <c r="AA693" s="532">
        <f>IF(Table13[[#This Row],[Column2]]="","",SUM(Table13[[#This Row],[Column28]]+Table13[[#This Row],[Column29]]))</f>
        <v>11800</v>
      </c>
      <c r="AB693" s="537">
        <v>11800</v>
      </c>
      <c r="AC693" s="502"/>
      <c r="AD693" s="532">
        <f>IF(Table13[[#This Row],[Column2]]="","",SUM(Table13[[#This Row],[Column31]]+Table13[[#This Row],[Column32]]))</f>
        <v>11800</v>
      </c>
      <c r="AE693" s="501">
        <v>11800</v>
      </c>
      <c r="AF693" s="541"/>
      <c r="AG693" s="405"/>
      <c r="AH693" s="380" t="s">
        <v>1205</v>
      </c>
      <c r="AI693" s="576" t="str">
        <f>VLOOKUP(Table13[[#This Row],[Column1]],[1]Sheet1!$A:$AO,35,FALSE)</f>
        <v>N/A</v>
      </c>
      <c r="AJ693" s="576" t="str">
        <f>VLOOKUP(Table13[[#This Row],[Column1]],[1]Sheet1!$A:$AO,36,FALSE)</f>
        <v>N/A</v>
      </c>
      <c r="AK693" s="576" t="str">
        <f>VLOOKUP(Table13[[#This Row],[Column1]],[1]Sheet1!$A:$AO,37,FALSE)</f>
        <v>N/A</v>
      </c>
      <c r="AL693" s="576" t="str">
        <f>VLOOKUP(Table13[[#This Row],[Column1]],[1]Sheet1!$A:$AO,38,FALSE)</f>
        <v>N/A</v>
      </c>
      <c r="AM693" s="576" t="str">
        <f>VLOOKUP(Table13[[#This Row],[Column1]],[1]Sheet1!$A:$AO,39,FALSE)</f>
        <v>N/A</v>
      </c>
      <c r="AN693" s="576" t="s">
        <v>713</v>
      </c>
      <c r="AO693" s="306" t="s">
        <v>919</v>
      </c>
      <c r="AP693" s="378"/>
      <c r="AQ693" s="237"/>
    </row>
    <row r="694" spans="1:43" s="238" customFormat="1" ht="75" customHeight="1" thickBot="1" x14ac:dyDescent="0.3">
      <c r="A694" s="297" t="s">
        <v>875</v>
      </c>
      <c r="B694" s="627" t="str">
        <f>VLOOKUP(Table13[[#This Row],[Column1]],[1]Sheet1!$A:$AO,2,FALSE)</f>
        <v>SPAREPARTS (LIGHT
VEHICLES)</v>
      </c>
      <c r="C694" s="298" t="str">
        <f>VLOOKUP(Table13[[#This Row],[Column1]],[1]Sheet1!$A:$AO,3,FALSE)</f>
        <v>DDOPH-Montevista</v>
      </c>
      <c r="D694" s="298" t="s">
        <v>712</v>
      </c>
      <c r="E694" s="450" t="str">
        <f>VLOOKUP(Table13[[#This Row],[Column1]],[1]Sheet1!$A:$AO,5,FALSE)</f>
        <v>Shopping 52.1(a) - Unforeseen Contingency</v>
      </c>
      <c r="F694" s="446" t="str">
        <f>VLOOKUP(Table13[[#This Row],[Column1]],[1]Sheet1!$A:$AO,6,FALSE)</f>
        <v>N/A</v>
      </c>
      <c r="G694" s="402">
        <f>VLOOKUP(Table13[[#This Row],[Column1]],[1]Sheet1!$A:$AO,7,FALSE)</f>
        <v>45434</v>
      </c>
      <c r="H694" s="374"/>
      <c r="I694" s="402" t="str">
        <f>VLOOKUP(Table13[[#This Row],[Column1]],[1]Sheet1!$A:$AO,9,FALSE)</f>
        <v>N/A</v>
      </c>
      <c r="J694" s="402">
        <f>VLOOKUP(Table13[[#This Row],[Column1]],[1]Sheet1!$A:$AO,10,FALSE)</f>
        <v>45440</v>
      </c>
      <c r="K694" s="402">
        <f>VLOOKUP(Table13[[#This Row],[Column1]],[1]Sheet1!$A:$AO,11,FALSE)</f>
        <v>45440</v>
      </c>
      <c r="L694" s="404"/>
      <c r="M694" s="402" t="str">
        <f>VLOOKUP(Table13[[#This Row],[Column1]],[1]Sheet1!$A:$AO,13,FALSE)</f>
        <v>N/A</v>
      </c>
      <c r="N694" s="402" t="str">
        <f>VLOOKUP(Table13[[#This Row],[Column1]],[1]Sheet1!$A:$AO,14,FALSE)</f>
        <v>N/A</v>
      </c>
      <c r="O694" s="402">
        <f>VLOOKUP(Table13[[#This Row],[Column1]],[1]Sheet1!$A:$AO,15,FALSE)</f>
        <v>45441</v>
      </c>
      <c r="P694" s="375"/>
      <c r="Q694" s="375"/>
      <c r="R694" s="376"/>
      <c r="S694" s="583" t="s">
        <v>713</v>
      </c>
      <c r="T694" s="583">
        <f>VLOOKUP(Table13[[#This Row],[Column1]],[1]Sheet1!$A:$AO,20,FALSE)</f>
        <v>45450</v>
      </c>
      <c r="U694" s="583">
        <f>VLOOKUP(Table13[[#This Row],[Column1]],[1]Sheet1!$A:$AO,21,FALSE)</f>
        <v>45470</v>
      </c>
      <c r="V694" s="376"/>
      <c r="W694" s="376"/>
      <c r="X694" s="402"/>
      <c r="Y694" s="402"/>
      <c r="Z694" s="610" t="s">
        <v>1478</v>
      </c>
      <c r="AA694" s="532">
        <f>IF(Table13[[#This Row],[Column2]]="","",SUM(Table13[[#This Row],[Column28]]+Table13[[#This Row],[Column29]]))</f>
        <v>9800</v>
      </c>
      <c r="AB694" s="537">
        <v>9800</v>
      </c>
      <c r="AC694" s="502"/>
      <c r="AD694" s="532">
        <f>IF(Table13[[#This Row],[Column2]]="","",SUM(Table13[[#This Row],[Column31]]+Table13[[#This Row],[Column32]]))</f>
        <v>9800</v>
      </c>
      <c r="AE694" s="501">
        <v>9800</v>
      </c>
      <c r="AF694" s="541"/>
      <c r="AG694" s="405"/>
      <c r="AH694" s="380" t="s">
        <v>1205</v>
      </c>
      <c r="AI694" s="576" t="str">
        <f>VLOOKUP(Table13[[#This Row],[Column1]],[1]Sheet1!$A:$AO,35,FALSE)</f>
        <v>N/A</v>
      </c>
      <c r="AJ694" s="576" t="str">
        <f>VLOOKUP(Table13[[#This Row],[Column1]],[1]Sheet1!$A:$AO,36,FALSE)</f>
        <v>N/A</v>
      </c>
      <c r="AK694" s="576" t="str">
        <f>VLOOKUP(Table13[[#This Row],[Column1]],[1]Sheet1!$A:$AO,37,FALSE)</f>
        <v>N/A</v>
      </c>
      <c r="AL694" s="576" t="str">
        <f>VLOOKUP(Table13[[#This Row],[Column1]],[1]Sheet1!$A:$AO,38,FALSE)</f>
        <v>N/A</v>
      </c>
      <c r="AM694" s="576" t="str">
        <f>VLOOKUP(Table13[[#This Row],[Column1]],[1]Sheet1!$A:$AO,39,FALSE)</f>
        <v>N/A</v>
      </c>
      <c r="AN694" s="576" t="s">
        <v>713</v>
      </c>
      <c r="AO694" s="306" t="s">
        <v>919</v>
      </c>
      <c r="AP694" s="378"/>
      <c r="AQ694" s="237"/>
    </row>
    <row r="695" spans="1:43" s="238" customFormat="1" ht="75" customHeight="1" thickBot="1" x14ac:dyDescent="0.3">
      <c r="A695" s="542" t="s">
        <v>1032</v>
      </c>
      <c r="B695" s="627" t="str">
        <f>VLOOKUP(Table13[[#This Row],[Column1]],[1]Sheet1!$A:$AO,2,FALSE)</f>
        <v>SPAREPARTS (GENERATOR ENGINE)</v>
      </c>
      <c r="C695" s="298" t="str">
        <f>VLOOKUP(Table13[[#This Row],[Column1]],[1]Sheet1!$A:$AO,3,FALSE)</f>
        <v>SPO</v>
      </c>
      <c r="D695" s="298" t="s">
        <v>712</v>
      </c>
      <c r="E695" s="557" t="s">
        <v>101</v>
      </c>
      <c r="F695" s="446" t="str">
        <f>VLOOKUP(Table13[[#This Row],[Column1]],[1]Sheet1!$A:$AO,6,FALSE)</f>
        <v>N/A</v>
      </c>
      <c r="G695" s="402">
        <f>VLOOKUP(Table13[[#This Row],[Column1]],[1]Sheet1!$A:$AO,7,FALSE)</f>
        <v>45335</v>
      </c>
      <c r="H695" s="544"/>
      <c r="I695" s="402" t="str">
        <f>VLOOKUP(Table13[[#This Row],[Column1]],[1]Sheet1!$A:$AO,9,FALSE)</f>
        <v>N/A</v>
      </c>
      <c r="J695" s="402">
        <f>VLOOKUP(Table13[[#This Row],[Column1]],[1]Sheet1!$A:$AO,10,FALSE)</f>
        <v>45342</v>
      </c>
      <c r="K695" s="402">
        <f>VLOOKUP(Table13[[#This Row],[Column1]],[1]Sheet1!$A:$AO,11,FALSE)</f>
        <v>45342</v>
      </c>
      <c r="L695" s="545"/>
      <c r="M695" s="402" t="str">
        <f>VLOOKUP(Table13[[#This Row],[Column1]],[1]Sheet1!$A:$AO,13,FALSE)</f>
        <v>N/A</v>
      </c>
      <c r="N695" s="402" t="str">
        <f>VLOOKUP(Table13[[#This Row],[Column1]],[1]Sheet1!$A:$AO,14,FALSE)</f>
        <v>N/A</v>
      </c>
      <c r="O695" s="402">
        <f>VLOOKUP(Table13[[#This Row],[Column1]],[1]Sheet1!$A:$AO,15,FALSE)</f>
        <v>45344</v>
      </c>
      <c r="P695" s="546"/>
      <c r="Q695" s="546"/>
      <c r="R695" s="547"/>
      <c r="S695" s="583" t="s">
        <v>713</v>
      </c>
      <c r="T695" s="583">
        <f>VLOOKUP(Table13[[#This Row],[Column1]],[1]Sheet1!$A:$AO,20,FALSE)</f>
        <v>45372</v>
      </c>
      <c r="U695" s="583">
        <f>VLOOKUP(Table13[[#This Row],[Column1]],[1]Sheet1!$A:$AO,21,FALSE)</f>
        <v>45373</v>
      </c>
      <c r="V695" s="547"/>
      <c r="W695" s="547"/>
      <c r="X695" s="548"/>
      <c r="Y695" s="402"/>
      <c r="Z695" s="610" t="s">
        <v>1478</v>
      </c>
      <c r="AA695" s="549">
        <f>IF(Table13[[#This Row],[Column2]]="","",SUM(Table13[[#This Row],[Column28]]+Table13[[#This Row],[Column29]]))</f>
        <v>31860</v>
      </c>
      <c r="AB695" s="558">
        <v>31860</v>
      </c>
      <c r="AC695" s="551"/>
      <c r="AD695" s="552">
        <f>IF(Table13[[#This Row],[Column2]]="","",SUM(Table13[[#This Row],[Column31]]+Table13[[#This Row],[Column32]]))</f>
        <v>31660</v>
      </c>
      <c r="AE695" s="559">
        <v>31660</v>
      </c>
      <c r="AF695" s="646"/>
      <c r="AG695" s="554"/>
      <c r="AH695" s="380" t="s">
        <v>1205</v>
      </c>
      <c r="AI695" s="576" t="str">
        <f>VLOOKUP(Table13[[#This Row],[Column1]],[1]Sheet1!$A:$AO,35,FALSE)</f>
        <v>N/A</v>
      </c>
      <c r="AJ695" s="576" t="str">
        <f>VLOOKUP(Table13[[#This Row],[Column1]],[1]Sheet1!$A:$AO,36,FALSE)</f>
        <v>N/A</v>
      </c>
      <c r="AK695" s="576" t="str">
        <f>VLOOKUP(Table13[[#This Row],[Column1]],[1]Sheet1!$A:$AO,37,FALSE)</f>
        <v>N/A</v>
      </c>
      <c r="AL695" s="576" t="str">
        <f>VLOOKUP(Table13[[#This Row],[Column1]],[1]Sheet1!$A:$AO,38,FALSE)</f>
        <v>N/A</v>
      </c>
      <c r="AM695" s="576" t="str">
        <f>VLOOKUP(Table13[[#This Row],[Column1]],[1]Sheet1!$A:$AO,39,FALSE)</f>
        <v>N/A</v>
      </c>
      <c r="AN695" s="576" t="s">
        <v>713</v>
      </c>
      <c r="AO695" s="306" t="s">
        <v>919</v>
      </c>
      <c r="AP695" s="555"/>
      <c r="AQ695" s="237"/>
    </row>
    <row r="696" spans="1:43" s="238" customFormat="1" ht="75" customHeight="1" thickBot="1" x14ac:dyDescent="0.3">
      <c r="A696" s="542" t="s">
        <v>1034</v>
      </c>
      <c r="B696" s="627" t="str">
        <f>VLOOKUP(Table13[[#This Row],[Column1]],[1]Sheet1!$A:$AO,2,FALSE)</f>
        <v>TARPAULIN</v>
      </c>
      <c r="C696" s="298" t="str">
        <f>VLOOKUP(Table13[[#This Row],[Column1]],[1]Sheet1!$A:$AO,3,FALSE)</f>
        <v>PAGRO</v>
      </c>
      <c r="D696" s="298" t="s">
        <v>712</v>
      </c>
      <c r="E696" s="557" t="s">
        <v>101</v>
      </c>
      <c r="F696" s="446"/>
      <c r="G696" s="402"/>
      <c r="H696" s="544"/>
      <c r="I696" s="402"/>
      <c r="J696" s="402"/>
      <c r="K696" s="402"/>
      <c r="L696" s="545"/>
      <c r="M696" s="402" t="str">
        <f>VLOOKUP(Table13[[#This Row],[Column1]],[1]Sheet1!$A:$AO,13,FALSE)</f>
        <v>N/A</v>
      </c>
      <c r="N696" s="402" t="str">
        <f>VLOOKUP(Table13[[#This Row],[Column1]],[1]Sheet1!$A:$AO,14,FALSE)</f>
        <v>N/A</v>
      </c>
      <c r="O696" s="402">
        <f>VLOOKUP(Table13[[#This Row],[Column1]],[1]Sheet1!$A:$AO,15,FALSE)</f>
        <v>45394</v>
      </c>
      <c r="P696" s="546"/>
      <c r="Q696" s="546"/>
      <c r="R696" s="547"/>
      <c r="S696" s="583" t="s">
        <v>713</v>
      </c>
      <c r="T696" s="583">
        <f>VLOOKUP(Table13[[#This Row],[Column1]],[1]Sheet1!$A:$AO,20,FALSE)</f>
        <v>45405</v>
      </c>
      <c r="U696" s="583">
        <f>VLOOKUP(Table13[[#This Row],[Column1]],[1]Sheet1!$A:$AO,21,FALSE)</f>
        <v>45426</v>
      </c>
      <c r="V696" s="547"/>
      <c r="W696" s="547"/>
      <c r="X696" s="548"/>
      <c r="Y696" s="402"/>
      <c r="Z696" s="610" t="s">
        <v>1478</v>
      </c>
      <c r="AA696" s="549">
        <f>IF(Table13[[#This Row],[Column2]]="","",SUM(Table13[[#This Row],[Column28]]+Table13[[#This Row],[Column29]]))</f>
        <v>31860</v>
      </c>
      <c r="AB696" s="558">
        <v>31860</v>
      </c>
      <c r="AC696" s="551"/>
      <c r="AD696" s="552">
        <f>IF(Table13[[#This Row],[Column2]]="","",SUM(Table13[[#This Row],[Column31]]+Table13[[#This Row],[Column32]]))</f>
        <v>31660</v>
      </c>
      <c r="AE696" s="559">
        <v>31660</v>
      </c>
      <c r="AF696" s="646"/>
      <c r="AG696" s="554"/>
      <c r="AH696" s="380" t="s">
        <v>1205</v>
      </c>
      <c r="AI696" s="576" t="str">
        <f>VLOOKUP(Table13[[#This Row],[Column1]],[1]Sheet1!$A:$AO,35,FALSE)</f>
        <v>N/A</v>
      </c>
      <c r="AJ696" s="576" t="str">
        <f>VLOOKUP(Table13[[#This Row],[Column1]],[1]Sheet1!$A:$AO,36,FALSE)</f>
        <v>N/A</v>
      </c>
      <c r="AK696" s="576" t="str">
        <f>VLOOKUP(Table13[[#This Row],[Column1]],[1]Sheet1!$A:$AO,37,FALSE)</f>
        <v>N/A</v>
      </c>
      <c r="AL696" s="576" t="str">
        <f>VLOOKUP(Table13[[#This Row],[Column1]],[1]Sheet1!$A:$AO,38,FALSE)</f>
        <v>N/A</v>
      </c>
      <c r="AM696" s="576" t="str">
        <f>VLOOKUP(Table13[[#This Row],[Column1]],[1]Sheet1!$A:$AO,39,FALSE)</f>
        <v>N/A</v>
      </c>
      <c r="AN696" s="576" t="s">
        <v>713</v>
      </c>
      <c r="AO696" s="306" t="s">
        <v>919</v>
      </c>
      <c r="AP696" s="555"/>
      <c r="AQ696" s="237"/>
    </row>
    <row r="697" spans="1:43" s="238" customFormat="1" ht="75" customHeight="1" thickBot="1" x14ac:dyDescent="0.3">
      <c r="A697" s="542" t="s">
        <v>1033</v>
      </c>
      <c r="B697" s="627" t="str">
        <f>VLOOKUP(Table13[[#This Row],[Column1]],[1]Sheet1!$A:$AO,2,FALSE)</f>
        <v>POSTAGE AND DELIVERIES</v>
      </c>
      <c r="C697" s="298" t="str">
        <f>VLOOKUP(Table13[[#This Row],[Column1]],[1]Sheet1!$A:$AO,3,FALSE)</f>
        <v>PAO-ADMIN</v>
      </c>
      <c r="D697" s="298" t="s">
        <v>712</v>
      </c>
      <c r="E697" s="557" t="s">
        <v>101</v>
      </c>
      <c r="F697" s="446">
        <f>VLOOKUP(Table13[[#This Row],[Column1]],[1]Sheet1!$A:$AO,6,FALSE)</f>
        <v>45322</v>
      </c>
      <c r="G697" s="402">
        <f>VLOOKUP(Table13[[#This Row],[Column1]],[1]Sheet1!$A:$AO,7,FALSE)</f>
        <v>45324</v>
      </c>
      <c r="H697" s="544"/>
      <c r="I697" s="402" t="str">
        <f>VLOOKUP(Table13[[#This Row],[Column1]],[1]Sheet1!$A:$AO,9,FALSE)</f>
        <v>N/A</v>
      </c>
      <c r="J697" s="402">
        <f>VLOOKUP(Table13[[#This Row],[Column1]],[1]Sheet1!$A:$AO,10,FALSE)</f>
        <v>45342</v>
      </c>
      <c r="K697" s="402">
        <f>VLOOKUP(Table13[[#This Row],[Column1]],[1]Sheet1!$A:$AO,11,FALSE)</f>
        <v>45342</v>
      </c>
      <c r="L697" s="545"/>
      <c r="M697" s="402" t="str">
        <f>VLOOKUP(Table13[[#This Row],[Column1]],[1]Sheet1!$A:$AO,13,FALSE)</f>
        <v>N/A</v>
      </c>
      <c r="N697" s="402" t="str">
        <f>VLOOKUP(Table13[[#This Row],[Column1]],[1]Sheet1!$A:$AO,14,FALSE)</f>
        <v>N/A</v>
      </c>
      <c r="O697" s="402">
        <f>VLOOKUP(Table13[[#This Row],[Column1]],[1]Sheet1!$A:$AO,15,FALSE)</f>
        <v>45344</v>
      </c>
      <c r="P697" s="546"/>
      <c r="Q697" s="546"/>
      <c r="R697" s="547"/>
      <c r="S697" s="583" t="s">
        <v>713</v>
      </c>
      <c r="T697" s="583">
        <f>VLOOKUP(Table13[[#This Row],[Column1]],[1]Sheet1!$A:$AO,20,FALSE)</f>
        <v>45351</v>
      </c>
      <c r="U697" s="583">
        <f>VLOOKUP(Table13[[#This Row],[Column1]],[1]Sheet1!$A:$AO,21,FALSE)</f>
        <v>45358</v>
      </c>
      <c r="V697" s="547"/>
      <c r="W697" s="547"/>
      <c r="X697" s="548"/>
      <c r="Y697" s="402"/>
      <c r="Z697" s="610" t="s">
        <v>1478</v>
      </c>
      <c r="AA697" s="549">
        <f>IF(Table13[[#This Row],[Column2]]="","",SUM(Table13[[#This Row],[Column28]]+Table13[[#This Row],[Column29]]))</f>
        <v>2550</v>
      </c>
      <c r="AB697" s="558">
        <v>2550</v>
      </c>
      <c r="AC697" s="551"/>
      <c r="AD697" s="552">
        <f>IF(Table13[[#This Row],[Column2]]="","",SUM(Table13[[#This Row],[Column31]]+Table13[[#This Row],[Column32]]))</f>
        <v>2550</v>
      </c>
      <c r="AE697" s="559">
        <v>2550</v>
      </c>
      <c r="AF697" s="646"/>
      <c r="AG697" s="554"/>
      <c r="AH697" s="380" t="s">
        <v>1205</v>
      </c>
      <c r="AI697" s="576" t="str">
        <f>VLOOKUP(Table13[[#This Row],[Column1]],[1]Sheet1!$A:$AO,35,FALSE)</f>
        <v>N/A</v>
      </c>
      <c r="AJ697" s="576" t="str">
        <f>VLOOKUP(Table13[[#This Row],[Column1]],[1]Sheet1!$A:$AO,36,FALSE)</f>
        <v>N/A</v>
      </c>
      <c r="AK697" s="576" t="str">
        <f>VLOOKUP(Table13[[#This Row],[Column1]],[1]Sheet1!$A:$AO,37,FALSE)</f>
        <v>N/A</v>
      </c>
      <c r="AL697" s="576" t="str">
        <f>VLOOKUP(Table13[[#This Row],[Column1]],[1]Sheet1!$A:$AO,38,FALSE)</f>
        <v>N/A</v>
      </c>
      <c r="AM697" s="576" t="str">
        <f>VLOOKUP(Table13[[#This Row],[Column1]],[1]Sheet1!$A:$AO,39,FALSE)</f>
        <v>N/A</v>
      </c>
      <c r="AN697" s="576" t="s">
        <v>713</v>
      </c>
      <c r="AO697" s="306" t="s">
        <v>919</v>
      </c>
      <c r="AP697" s="555"/>
      <c r="AQ697" s="237"/>
    </row>
    <row r="698" spans="1:43" s="238" customFormat="1" ht="75" customHeight="1" thickBot="1" x14ac:dyDescent="0.3">
      <c r="A698" s="542" t="s">
        <v>1036</v>
      </c>
      <c r="B698" s="627" t="str">
        <f>VLOOKUP(Table13[[#This Row],[Column1]],[1]Sheet1!$A:$AO,2,FALSE)</f>
        <v>SPAREPARTS (LIGHT VEHICLES)</v>
      </c>
      <c r="C698" s="298" t="str">
        <f>VLOOKUP(Table13[[#This Row],[Column1]],[1]Sheet1!$A:$AO,3,FALSE)</f>
        <v>PGSO</v>
      </c>
      <c r="D698" s="298" t="s">
        <v>712</v>
      </c>
      <c r="E698" s="557" t="s">
        <v>101</v>
      </c>
      <c r="F698" s="446">
        <f>VLOOKUP(Table13[[#This Row],[Column1]],[1]Sheet1!$A:$AO,6,FALSE)</f>
        <v>45370</v>
      </c>
      <c r="G698" s="402">
        <f>VLOOKUP(Table13[[#This Row],[Column1]],[1]Sheet1!$A:$AO,7,FALSE)</f>
        <v>45376</v>
      </c>
      <c r="H698" s="544"/>
      <c r="I698" s="402" t="str">
        <f>VLOOKUP(Table13[[#This Row],[Column1]],[1]Sheet1!$A:$AO,9,FALSE)</f>
        <v>N/A</v>
      </c>
      <c r="J698" s="402">
        <f>VLOOKUP(Table13[[#This Row],[Column1]],[1]Sheet1!$A:$AO,10,FALSE)</f>
        <v>45390</v>
      </c>
      <c r="K698" s="402">
        <f>VLOOKUP(Table13[[#This Row],[Column1]],[1]Sheet1!$A:$AO,11,FALSE)</f>
        <v>45390</v>
      </c>
      <c r="L698" s="545"/>
      <c r="M698" s="402" t="str">
        <f>VLOOKUP(Table13[[#This Row],[Column1]],[1]Sheet1!$A:$AO,13,FALSE)</f>
        <v>N/A</v>
      </c>
      <c r="N698" s="402" t="str">
        <f>VLOOKUP(Table13[[#This Row],[Column1]],[1]Sheet1!$A:$AO,14,FALSE)</f>
        <v>N/A</v>
      </c>
      <c r="O698" s="402">
        <f>VLOOKUP(Table13[[#This Row],[Column1]],[1]Sheet1!$A:$AO,15,FALSE)</f>
        <v>45394</v>
      </c>
      <c r="P698" s="546"/>
      <c r="Q698" s="546"/>
      <c r="R698" s="547"/>
      <c r="S698" s="583" t="s">
        <v>713</v>
      </c>
      <c r="T698" s="583">
        <f>VLOOKUP(Table13[[#This Row],[Column1]],[1]Sheet1!$A:$AO,20,FALSE)</f>
        <v>45405</v>
      </c>
      <c r="U698" s="583">
        <f>VLOOKUP(Table13[[#This Row],[Column1]],[1]Sheet1!$A:$AO,21,FALSE)</f>
        <v>45426</v>
      </c>
      <c r="V698" s="547"/>
      <c r="W698" s="547"/>
      <c r="X698" s="548"/>
      <c r="Y698" s="402"/>
      <c r="Z698" s="610" t="s">
        <v>1478</v>
      </c>
      <c r="AA698" s="549">
        <f>IF(Table13[[#This Row],[Column2]]="","",SUM(Table13[[#This Row],[Column28]]+Table13[[#This Row],[Column29]]))</f>
        <v>58000</v>
      </c>
      <c r="AB698" s="558">
        <v>58000</v>
      </c>
      <c r="AC698" s="560"/>
      <c r="AD698" s="561">
        <f>IF(Table13[[#This Row],[Column2]]="","",SUM(Table13[[#This Row],[Column31]]+Table13[[#This Row],[Column32]]))</f>
        <v>56800</v>
      </c>
      <c r="AE698" s="559">
        <v>56800</v>
      </c>
      <c r="AF698" s="541"/>
      <c r="AG698" s="554"/>
      <c r="AH698" s="380" t="s">
        <v>1205</v>
      </c>
      <c r="AI698" s="576" t="str">
        <f>VLOOKUP(Table13[[#This Row],[Column1]],[1]Sheet1!$A:$AO,35,FALSE)</f>
        <v>N/A</v>
      </c>
      <c r="AJ698" s="576" t="str">
        <f>VLOOKUP(Table13[[#This Row],[Column1]],[1]Sheet1!$A:$AO,36,FALSE)</f>
        <v>N/A</v>
      </c>
      <c r="AK698" s="576" t="str">
        <f>VLOOKUP(Table13[[#This Row],[Column1]],[1]Sheet1!$A:$AO,37,FALSE)</f>
        <v>N/A</v>
      </c>
      <c r="AL698" s="576" t="str">
        <f>VLOOKUP(Table13[[#This Row],[Column1]],[1]Sheet1!$A:$AO,38,FALSE)</f>
        <v>N/A</v>
      </c>
      <c r="AM698" s="576" t="str">
        <f>VLOOKUP(Table13[[#This Row],[Column1]],[1]Sheet1!$A:$AO,39,FALSE)</f>
        <v>N/A</v>
      </c>
      <c r="AN698" s="576" t="s">
        <v>713</v>
      </c>
      <c r="AO698" s="306" t="s">
        <v>919</v>
      </c>
      <c r="AP698" s="555"/>
      <c r="AQ698" s="237"/>
    </row>
    <row r="699" spans="1:43" s="238" customFormat="1" ht="75" customHeight="1" thickBot="1" x14ac:dyDescent="0.3">
      <c r="A699" s="542" t="s">
        <v>1037</v>
      </c>
      <c r="B699" s="627" t="str">
        <f>VLOOKUP(Table13[[#This Row],[Column1]],[1]Sheet1!$A:$AO,2,FALSE)</f>
        <v>FOOD/CATERING SERVICES</v>
      </c>
      <c r="C699" s="298" t="str">
        <f>VLOOKUP(Table13[[#This Row],[Column1]],[1]Sheet1!$A:$AO,3,FALSE)</f>
        <v>PGO</v>
      </c>
      <c r="D699" s="298" t="s">
        <v>712</v>
      </c>
      <c r="E699" s="557" t="s">
        <v>101</v>
      </c>
      <c r="F699" s="446">
        <f>VLOOKUP(Table13[[#This Row],[Column1]],[1]Sheet1!$A:$AO,6,FALSE)</f>
        <v>45373</v>
      </c>
      <c r="G699" s="402">
        <f>VLOOKUP(Table13[[#This Row],[Column1]],[1]Sheet1!$A:$AO,7,FALSE)</f>
        <v>45384</v>
      </c>
      <c r="H699" s="544"/>
      <c r="I699" s="402" t="str">
        <f>VLOOKUP(Table13[[#This Row],[Column1]],[1]Sheet1!$A:$AO,9,FALSE)</f>
        <v>N/A</v>
      </c>
      <c r="J699" s="402">
        <f>VLOOKUP(Table13[[#This Row],[Column1]],[1]Sheet1!$A:$AO,10,FALSE)</f>
        <v>45390</v>
      </c>
      <c r="K699" s="402">
        <f>VLOOKUP(Table13[[#This Row],[Column1]],[1]Sheet1!$A:$AO,11,FALSE)</f>
        <v>45390</v>
      </c>
      <c r="L699" s="545"/>
      <c r="M699" s="402" t="str">
        <f>VLOOKUP(Table13[[#This Row],[Column1]],[1]Sheet1!$A:$AO,13,FALSE)</f>
        <v>N/A</v>
      </c>
      <c r="N699" s="402" t="str">
        <f>VLOOKUP(Table13[[#This Row],[Column1]],[1]Sheet1!$A:$AO,14,FALSE)</f>
        <v>N/A</v>
      </c>
      <c r="O699" s="402">
        <f>VLOOKUP(Table13[[#This Row],[Column1]],[1]Sheet1!$A:$AO,15,FALSE)</f>
        <v>45394</v>
      </c>
      <c r="P699" s="546"/>
      <c r="Q699" s="546"/>
      <c r="R699" s="547"/>
      <c r="S699" s="583" t="s">
        <v>713</v>
      </c>
      <c r="T699" s="583">
        <f>VLOOKUP(Table13[[#This Row],[Column1]],[1]Sheet1!$A:$AO,20,FALSE)</f>
        <v>45399</v>
      </c>
      <c r="U699" s="583">
        <f>VLOOKUP(Table13[[#This Row],[Column1]],[1]Sheet1!$A:$AO,21,FALSE)</f>
        <v>45419</v>
      </c>
      <c r="V699" s="547"/>
      <c r="W699" s="547"/>
      <c r="X699" s="548"/>
      <c r="Y699" s="402"/>
      <c r="Z699" s="610" t="s">
        <v>1478</v>
      </c>
      <c r="AA699" s="549">
        <f>IF(Table13[[#This Row],[Column2]]="","",SUM(Table13[[#This Row],[Column28]]+Table13[[#This Row],[Column29]]))</f>
        <v>479000</v>
      </c>
      <c r="AB699" s="558"/>
      <c r="AC699" s="560">
        <v>479000</v>
      </c>
      <c r="AD699" s="561">
        <f>IF(Table13[[#This Row],[Column2]]="","",SUM(Table13[[#This Row],[Column31]]+Table13[[#This Row],[Column32]]))</f>
        <v>474400</v>
      </c>
      <c r="AE699" s="559"/>
      <c r="AF699" s="541">
        <v>474400</v>
      </c>
      <c r="AG699" s="554"/>
      <c r="AH699" s="380" t="s">
        <v>1205</v>
      </c>
      <c r="AI699" s="576" t="str">
        <f>VLOOKUP(Table13[[#This Row],[Column1]],[1]Sheet1!$A:$AO,35,FALSE)</f>
        <v>N/A</v>
      </c>
      <c r="AJ699" s="576" t="str">
        <f>VLOOKUP(Table13[[#This Row],[Column1]],[1]Sheet1!$A:$AO,36,FALSE)</f>
        <v>N/A</v>
      </c>
      <c r="AK699" s="576" t="str">
        <f>VLOOKUP(Table13[[#This Row],[Column1]],[1]Sheet1!$A:$AO,37,FALSE)</f>
        <v>N/A</v>
      </c>
      <c r="AL699" s="576" t="str">
        <f>VLOOKUP(Table13[[#This Row],[Column1]],[1]Sheet1!$A:$AO,38,FALSE)</f>
        <v>N/A</v>
      </c>
      <c r="AM699" s="576" t="str">
        <f>VLOOKUP(Table13[[#This Row],[Column1]],[1]Sheet1!$A:$AO,39,FALSE)</f>
        <v>N/A</v>
      </c>
      <c r="AN699" s="576" t="s">
        <v>713</v>
      </c>
      <c r="AO699" s="306" t="s">
        <v>919</v>
      </c>
      <c r="AP699" s="555"/>
      <c r="AQ699" s="237"/>
    </row>
    <row r="700" spans="1:43" s="238" customFormat="1" ht="75" customHeight="1" thickBot="1" x14ac:dyDescent="0.3">
      <c r="A700" s="542" t="s">
        <v>1038</v>
      </c>
      <c r="B700" s="627" t="str">
        <f>VLOOKUP(Table13[[#This Row],[Column1]],[1]Sheet1!$A:$AO,2,FALSE)</f>
        <v>DRUGS AND MEDICINES</v>
      </c>
      <c r="C700" s="298" t="str">
        <f>VLOOKUP(Table13[[#This Row],[Column1]],[1]Sheet1!$A:$AO,3,FALSE)</f>
        <v>PHO</v>
      </c>
      <c r="D700" s="298" t="s">
        <v>712</v>
      </c>
      <c r="E700" s="557" t="s">
        <v>101</v>
      </c>
      <c r="F700" s="446" t="str">
        <f>VLOOKUP(Table13[[#This Row],[Column1]],[1]Sheet1!$A:$AO,6,FALSE)</f>
        <v>N/A</v>
      </c>
      <c r="G700" s="402">
        <f>VLOOKUP(Table13[[#This Row],[Column1]],[1]Sheet1!$A:$AO,7,FALSE)</f>
        <v>45385</v>
      </c>
      <c r="H700" s="544"/>
      <c r="I700" s="402" t="str">
        <f>VLOOKUP(Table13[[#This Row],[Column1]],[1]Sheet1!$A:$AO,9,FALSE)</f>
        <v>N/A</v>
      </c>
      <c r="J700" s="402">
        <f>VLOOKUP(Table13[[#This Row],[Column1]],[1]Sheet1!$A:$AO,10,FALSE)</f>
        <v>45412</v>
      </c>
      <c r="K700" s="402">
        <f>VLOOKUP(Table13[[#This Row],[Column1]],[1]Sheet1!$A:$AO,11,FALSE)</f>
        <v>45412</v>
      </c>
      <c r="L700" s="545"/>
      <c r="M700" s="402" t="str">
        <f>VLOOKUP(Table13[[#This Row],[Column1]],[1]Sheet1!$A:$AO,13,FALSE)</f>
        <v>N/A</v>
      </c>
      <c r="N700" s="402" t="str">
        <f>VLOOKUP(Table13[[#This Row],[Column1]],[1]Sheet1!$A:$AO,14,FALSE)</f>
        <v>N/A</v>
      </c>
      <c r="O700" s="402">
        <f>VLOOKUP(Table13[[#This Row],[Column1]],[1]Sheet1!$A:$AO,15,FALSE)</f>
        <v>45415</v>
      </c>
      <c r="P700" s="546"/>
      <c r="Q700" s="546"/>
      <c r="R700" s="547"/>
      <c r="S700" s="583" t="s">
        <v>713</v>
      </c>
      <c r="T700" s="583">
        <f>VLOOKUP(Table13[[#This Row],[Column1]],[1]Sheet1!$A:$AO,20,FALSE)</f>
        <v>45425</v>
      </c>
      <c r="U700" s="583">
        <f>VLOOKUP(Table13[[#This Row],[Column1]],[1]Sheet1!$A:$AO,21,FALSE)</f>
        <v>45435</v>
      </c>
      <c r="V700" s="547"/>
      <c r="W700" s="547"/>
      <c r="X700" s="548"/>
      <c r="Y700" s="402"/>
      <c r="Z700" s="610" t="s">
        <v>1478</v>
      </c>
      <c r="AA700" s="549">
        <f>IF(Table13[[#This Row],[Column2]]="","",SUM(Table13[[#This Row],[Column28]]+Table13[[#This Row],[Column29]]))</f>
        <v>74256</v>
      </c>
      <c r="AB700" s="558"/>
      <c r="AC700" s="560">
        <v>74256</v>
      </c>
      <c r="AD700" s="561">
        <f>IF(Table13[[#This Row],[Column2]]="","",SUM(Table13[[#This Row],[Column31]]+Table13[[#This Row],[Column32]]))</f>
        <v>36283</v>
      </c>
      <c r="AE700" s="559"/>
      <c r="AF700" s="541">
        <v>36283</v>
      </c>
      <c r="AG700" s="554"/>
      <c r="AH700" s="380" t="s">
        <v>1205</v>
      </c>
      <c r="AI700" s="576" t="str">
        <f>VLOOKUP(Table13[[#This Row],[Column1]],[1]Sheet1!$A:$AO,35,FALSE)</f>
        <v>N/A</v>
      </c>
      <c r="AJ700" s="576" t="str">
        <f>VLOOKUP(Table13[[#This Row],[Column1]],[1]Sheet1!$A:$AO,36,FALSE)</f>
        <v>N/A</v>
      </c>
      <c r="AK700" s="576" t="str">
        <f>VLOOKUP(Table13[[#This Row],[Column1]],[1]Sheet1!$A:$AO,37,FALSE)</f>
        <v>N/A</v>
      </c>
      <c r="AL700" s="576" t="str">
        <f>VLOOKUP(Table13[[#This Row],[Column1]],[1]Sheet1!$A:$AO,38,FALSE)</f>
        <v>N/A</v>
      </c>
      <c r="AM700" s="576" t="str">
        <f>VLOOKUP(Table13[[#This Row],[Column1]],[1]Sheet1!$A:$AO,39,FALSE)</f>
        <v>N/A</v>
      </c>
      <c r="AN700" s="576" t="s">
        <v>713</v>
      </c>
      <c r="AO700" s="306" t="s">
        <v>919</v>
      </c>
      <c r="AP700" s="555"/>
      <c r="AQ700" s="237"/>
    </row>
    <row r="701" spans="1:43" s="238" customFormat="1" ht="75" customHeight="1" thickBot="1" x14ac:dyDescent="0.3">
      <c r="A701" s="542" t="s">
        <v>1042</v>
      </c>
      <c r="B701" s="627" t="str">
        <f>VLOOKUP(Table13[[#This Row],[Column1]],[1]Sheet1!$A:$AO,2,FALSE)</f>
        <v>FOOD/CATERING SERVICES</v>
      </c>
      <c r="C701" s="298" t="str">
        <f>VLOOKUP(Table13[[#This Row],[Column1]],[1]Sheet1!$A:$AO,3,FALSE)</f>
        <v>PGO</v>
      </c>
      <c r="D701" s="543"/>
      <c r="E701" s="557" t="s">
        <v>101</v>
      </c>
      <c r="F701" s="446" t="str">
        <f>VLOOKUP(Table13[[#This Row],[Column1]],[1]Sheet1!$A:$AO,6,FALSE)</f>
        <v>N/A</v>
      </c>
      <c r="G701" s="402">
        <f>VLOOKUP(Table13[[#This Row],[Column1]],[1]Sheet1!$A:$AO,7,FALSE)</f>
        <v>45404</v>
      </c>
      <c r="H701" s="544"/>
      <c r="I701" s="402" t="str">
        <f>VLOOKUP(Table13[[#This Row],[Column1]],[1]Sheet1!$A:$AO,9,FALSE)</f>
        <v>N/A</v>
      </c>
      <c r="J701" s="402">
        <f>VLOOKUP(Table13[[#This Row],[Column1]],[1]Sheet1!$A:$AO,10,FALSE)</f>
        <v>45426</v>
      </c>
      <c r="K701" s="402">
        <f>VLOOKUP(Table13[[#This Row],[Column1]],[1]Sheet1!$A:$AO,11,FALSE)</f>
        <v>45426</v>
      </c>
      <c r="L701" s="545"/>
      <c r="M701" s="402" t="str">
        <f>VLOOKUP(Table13[[#This Row],[Column1]],[1]Sheet1!$A:$AO,13,FALSE)</f>
        <v>N/A</v>
      </c>
      <c r="N701" s="402" t="str">
        <f>VLOOKUP(Table13[[#This Row],[Column1]],[1]Sheet1!$A:$AO,14,FALSE)</f>
        <v>N/A</v>
      </c>
      <c r="O701" s="402">
        <f>VLOOKUP(Table13[[#This Row],[Column1]],[1]Sheet1!$A:$AO,15,FALSE)</f>
        <v>45428</v>
      </c>
      <c r="P701" s="546"/>
      <c r="Q701" s="546"/>
      <c r="R701" s="547"/>
      <c r="S701" s="583" t="s">
        <v>713</v>
      </c>
      <c r="T701" s="583">
        <f>VLOOKUP(Table13[[#This Row],[Column1]],[1]Sheet1!$A:$AO,20,FALSE)</f>
        <v>45448</v>
      </c>
      <c r="U701" s="583">
        <f>VLOOKUP(Table13[[#This Row],[Column1]],[1]Sheet1!$A:$AO,21,FALSE)</f>
        <v>45456</v>
      </c>
      <c r="V701" s="547"/>
      <c r="W701" s="547"/>
      <c r="X701" s="548"/>
      <c r="Y701" s="402"/>
      <c r="Z701" s="610" t="s">
        <v>1478</v>
      </c>
      <c r="AA701" s="549">
        <f>Table13[[#This Row],[Column28]]+Table13[[#This Row],[Column29]]</f>
        <v>280000</v>
      </c>
      <c r="AB701" s="558"/>
      <c r="AC701" s="560">
        <v>280000</v>
      </c>
      <c r="AD701" s="561">
        <f>Table13[[#This Row],[Column31]]+Table13[[#This Row],[Column32]]</f>
        <v>279000</v>
      </c>
      <c r="AE701" s="559"/>
      <c r="AF701" s="541">
        <v>279000</v>
      </c>
      <c r="AG701" s="554"/>
      <c r="AH701" s="380" t="s">
        <v>1205</v>
      </c>
      <c r="AI701" s="576" t="str">
        <f>VLOOKUP(Table13[[#This Row],[Column1]],[1]Sheet1!$A:$AO,35,FALSE)</f>
        <v>N/A</v>
      </c>
      <c r="AJ701" s="576" t="str">
        <f>VLOOKUP(Table13[[#This Row],[Column1]],[1]Sheet1!$A:$AO,36,FALSE)</f>
        <v>N/A</v>
      </c>
      <c r="AK701" s="576" t="str">
        <f>VLOOKUP(Table13[[#This Row],[Column1]],[1]Sheet1!$A:$AO,37,FALSE)</f>
        <v>N/A</v>
      </c>
      <c r="AL701" s="576" t="str">
        <f>VLOOKUP(Table13[[#This Row],[Column1]],[1]Sheet1!$A:$AO,38,FALSE)</f>
        <v>N/A</v>
      </c>
      <c r="AM701" s="576" t="str">
        <f>VLOOKUP(Table13[[#This Row],[Column1]],[1]Sheet1!$A:$AO,39,FALSE)</f>
        <v>N/A</v>
      </c>
      <c r="AN701" s="576" t="s">
        <v>713</v>
      </c>
      <c r="AO701" s="306" t="s">
        <v>919</v>
      </c>
      <c r="AP701" s="555"/>
      <c r="AQ701" s="237"/>
    </row>
    <row r="702" spans="1:43" s="238" customFormat="1" ht="75" customHeight="1" thickBot="1" x14ac:dyDescent="0.3">
      <c r="A702" s="542" t="s">
        <v>1043</v>
      </c>
      <c r="B702" s="627" t="str">
        <f>VLOOKUP(Table13[[#This Row],[Column1]],[1]Sheet1!$A:$AO,2,FALSE)</f>
        <v>FOOD/CATERING SERVICES</v>
      </c>
      <c r="C702" s="298" t="str">
        <f>VLOOKUP(Table13[[#This Row],[Column1]],[1]Sheet1!$A:$AO,3,FALSE)</f>
        <v>PGO</v>
      </c>
      <c r="D702" s="543"/>
      <c r="E702" s="557" t="s">
        <v>101</v>
      </c>
      <c r="F702" s="446" t="str">
        <f>VLOOKUP(Table13[[#This Row],[Column1]],[1]Sheet1!$A:$AO,6,FALSE)</f>
        <v>N/A</v>
      </c>
      <c r="G702" s="402">
        <f>VLOOKUP(Table13[[#This Row],[Column1]],[1]Sheet1!$A:$AO,7,FALSE)</f>
        <v>45422</v>
      </c>
      <c r="H702" s="544"/>
      <c r="I702" s="402" t="str">
        <f>VLOOKUP(Table13[[#This Row],[Column1]],[1]Sheet1!$A:$AO,9,FALSE)</f>
        <v>N/A</v>
      </c>
      <c r="J702" s="402">
        <f>VLOOKUP(Table13[[#This Row],[Column1]],[1]Sheet1!$A:$AO,10,FALSE)</f>
        <v>45426</v>
      </c>
      <c r="K702" s="402">
        <f>VLOOKUP(Table13[[#This Row],[Column1]],[1]Sheet1!$A:$AO,11,FALSE)</f>
        <v>45426</v>
      </c>
      <c r="L702" s="545"/>
      <c r="M702" s="402" t="str">
        <f>VLOOKUP(Table13[[#This Row],[Column1]],[1]Sheet1!$A:$AO,13,FALSE)</f>
        <v>N/A</v>
      </c>
      <c r="N702" s="402" t="str">
        <f>VLOOKUP(Table13[[#This Row],[Column1]],[1]Sheet1!$A:$AO,14,FALSE)</f>
        <v>N/A</v>
      </c>
      <c r="O702" s="402">
        <f>VLOOKUP(Table13[[#This Row],[Column1]],[1]Sheet1!$A:$AO,15,FALSE)</f>
        <v>45428</v>
      </c>
      <c r="P702" s="546"/>
      <c r="Q702" s="546"/>
      <c r="R702" s="547"/>
      <c r="S702" s="583" t="s">
        <v>713</v>
      </c>
      <c r="T702" s="583">
        <f>VLOOKUP(Table13[[#This Row],[Column1]],[1]Sheet1!$A:$AO,20,FALSE)</f>
        <v>45435</v>
      </c>
      <c r="U702" s="583">
        <f>VLOOKUP(Table13[[#This Row],[Column1]],[1]Sheet1!$A:$AO,21,FALSE)</f>
        <v>45436</v>
      </c>
      <c r="V702" s="547"/>
      <c r="W702" s="547"/>
      <c r="X702" s="548"/>
      <c r="Y702" s="402"/>
      <c r="Z702" s="610" t="s">
        <v>1478</v>
      </c>
      <c r="AA702" s="549">
        <f>Table13[[#This Row],[Column28]]+Table13[[#This Row],[Column29]]</f>
        <v>190000</v>
      </c>
      <c r="AB702" s="558"/>
      <c r="AC702" s="560">
        <v>190000</v>
      </c>
      <c r="AD702" s="561">
        <f>Table13[[#This Row],[Column31]]+Table13[[#This Row],[Column32]]</f>
        <v>184500</v>
      </c>
      <c r="AE702" s="559"/>
      <c r="AF702" s="541">
        <v>184500</v>
      </c>
      <c r="AG702" s="554"/>
      <c r="AH702" s="380" t="s">
        <v>1205</v>
      </c>
      <c r="AI702" s="576" t="str">
        <f>VLOOKUP(Table13[[#This Row],[Column1]],[1]Sheet1!$A:$AO,35,FALSE)</f>
        <v>N/A</v>
      </c>
      <c r="AJ702" s="576" t="str">
        <f>VLOOKUP(Table13[[#This Row],[Column1]],[1]Sheet1!$A:$AO,36,FALSE)</f>
        <v>N/A</v>
      </c>
      <c r="AK702" s="576" t="str">
        <f>VLOOKUP(Table13[[#This Row],[Column1]],[1]Sheet1!$A:$AO,37,FALSE)</f>
        <v>N/A</v>
      </c>
      <c r="AL702" s="576" t="str">
        <f>VLOOKUP(Table13[[#This Row],[Column1]],[1]Sheet1!$A:$AO,38,FALSE)</f>
        <v>N/A</v>
      </c>
      <c r="AM702" s="576" t="str">
        <f>VLOOKUP(Table13[[#This Row],[Column1]],[1]Sheet1!$A:$AO,39,FALSE)</f>
        <v>N/A</v>
      </c>
      <c r="AN702" s="576" t="s">
        <v>713</v>
      </c>
      <c r="AO702" s="306" t="s">
        <v>919</v>
      </c>
      <c r="AP702" s="555"/>
      <c r="AQ702" s="237"/>
    </row>
    <row r="703" spans="1:43" s="238" customFormat="1" ht="75" customHeight="1" x14ac:dyDescent="0.25">
      <c r="A703" s="297" t="s">
        <v>915</v>
      </c>
      <c r="B703" s="627" t="str">
        <f>VLOOKUP(Table13[[#This Row],[Column1]],[1]Sheet1!$A:$AO,2,FALSE)</f>
        <v>INTERNET SUBSCRIPTION</v>
      </c>
      <c r="C703" s="298" t="str">
        <f>VLOOKUP(Table13[[#This Row],[Column1]],[1]Sheet1!$A:$AO,3,FALSE)</f>
        <v>SPO</v>
      </c>
      <c r="D703" s="298" t="s">
        <v>712</v>
      </c>
      <c r="E703" s="402" t="str">
        <f>VLOOKUP(Table13[[#This Row],[Column1]],[1]Sheet1!$A:$AO,5,FALSE)</f>
        <v>Direct Contracting</v>
      </c>
      <c r="F703" s="446" t="str">
        <f>VLOOKUP(Table13[[#This Row],[Column1]],[1]Sheet1!$A:$AO,6,FALSE)</f>
        <v>N/A</v>
      </c>
      <c r="G703" s="402">
        <f>VLOOKUP(Table13[[#This Row],[Column1]],[1]Sheet1!$A:$AO,7,FALSE)</f>
        <v>45335</v>
      </c>
      <c r="H703" s="374"/>
      <c r="I703" s="402" t="str">
        <f>VLOOKUP(Table13[[#This Row],[Column1]],[1]Sheet1!$A:$AO,9,FALSE)</f>
        <v>N/A</v>
      </c>
      <c r="J703" s="402">
        <f>VLOOKUP(Table13[[#This Row],[Column1]],[1]Sheet1!$A:$AO,10,FALSE)</f>
        <v>45342</v>
      </c>
      <c r="K703" s="402">
        <f>VLOOKUP(Table13[[#This Row],[Column1]],[1]Sheet1!$A:$AO,11,FALSE)</f>
        <v>45342</v>
      </c>
      <c r="L703" s="404"/>
      <c r="M703" s="402" t="str">
        <f>VLOOKUP(Table13[[#This Row],[Column1]],[1]Sheet1!$A:$AO,13,FALSE)</f>
        <v>N/A</v>
      </c>
      <c r="N703" s="402" t="str">
        <f>VLOOKUP(Table13[[#This Row],[Column1]],[1]Sheet1!$A:$AO,14,FALSE)</f>
        <v>N/A</v>
      </c>
      <c r="O703" s="402">
        <f>VLOOKUP(Table13[[#This Row],[Column1]],[1]Sheet1!$A:$AO,15,FALSE)</f>
        <v>45344</v>
      </c>
      <c r="P703" s="375"/>
      <c r="Q703" s="375"/>
      <c r="R703" s="376"/>
      <c r="S703" s="583" t="str">
        <f>VLOOKUP(Table13[[#This Row],[Column1]],[1]Sheet1!$A:$AO,19,FALSE)</f>
        <v>N/A</v>
      </c>
      <c r="T703" s="583">
        <f>VLOOKUP(Table13[[#This Row],[Column1]],[1]Sheet1!$A:$AO,20,FALSE)</f>
        <v>45425</v>
      </c>
      <c r="U703" s="583"/>
      <c r="V703" s="376"/>
      <c r="W703" s="376"/>
      <c r="X703" s="402"/>
      <c r="Y703" s="402"/>
      <c r="Z703" s="610" t="s">
        <v>1478</v>
      </c>
      <c r="AA703" s="532">
        <f>IF(Table13[[#This Row],[Column2]]="","",SUM(Table13[[#This Row],[Column28]]+Table13[[#This Row],[Column29]]))</f>
        <v>360000</v>
      </c>
      <c r="AB703" s="537">
        <v>360000</v>
      </c>
      <c r="AC703" s="502"/>
      <c r="AD703" s="532">
        <f>IF(Table13[[#This Row],[Column2]]="","",SUM(Table13[[#This Row],[Column31]]+Table13[[#This Row],[Column32]]))</f>
        <v>248640</v>
      </c>
      <c r="AE703" s="501">
        <v>248640</v>
      </c>
      <c r="AF703" s="541"/>
      <c r="AG703" s="405"/>
      <c r="AH703" s="380" t="s">
        <v>1205</v>
      </c>
      <c r="AI703" s="576" t="str">
        <f>VLOOKUP(Table13[[#This Row],[Column1]],[1]Sheet1!$A:$AO,35,FALSE)</f>
        <v>N/A</v>
      </c>
      <c r="AJ703" s="576" t="str">
        <f>VLOOKUP(Table13[[#This Row],[Column1]],[1]Sheet1!$A:$AO,36,FALSE)</f>
        <v>N/A</v>
      </c>
      <c r="AK703" s="576" t="str">
        <f>VLOOKUP(Table13[[#This Row],[Column1]],[1]Sheet1!$A:$AO,37,FALSE)</f>
        <v>N/A</v>
      </c>
      <c r="AL703" s="576" t="str">
        <f>VLOOKUP(Table13[[#This Row],[Column1]],[1]Sheet1!$A:$AO,38,FALSE)</f>
        <v>N/A</v>
      </c>
      <c r="AM703" s="576" t="str">
        <f>VLOOKUP(Table13[[#This Row],[Column1]],[1]Sheet1!$A:$AO,39,FALSE)</f>
        <v>N/A</v>
      </c>
      <c r="AN703" s="576" t="s">
        <v>713</v>
      </c>
      <c r="AO703" s="303" t="s">
        <v>1172</v>
      </c>
      <c r="AP703" s="378"/>
      <c r="AQ703" s="237"/>
    </row>
    <row r="704" spans="1:43" s="238" customFormat="1" ht="75" customHeight="1" x14ac:dyDescent="0.25">
      <c r="A704" s="297" t="s">
        <v>916</v>
      </c>
      <c r="B704" s="627" t="str">
        <f>VLOOKUP(Table13[[#This Row],[Column1]],[1]Sheet1!$A:$AO,2,FALSE)</f>
        <v>OFFICE SUPPLIES</v>
      </c>
      <c r="C704" s="298" t="str">
        <f>VLOOKUP(Table13[[#This Row],[Column1]],[1]Sheet1!$A:$AO,3,FALSE)</f>
        <v>PGO</v>
      </c>
      <c r="D704" s="298" t="s">
        <v>712</v>
      </c>
      <c r="E704" s="450" t="str">
        <f>VLOOKUP(Table13[[#This Row],[Column1]],[1]Sheet1!$A:$AO,5,FALSE)</f>
        <v>Shopping 52.1(b) - Regular Office Supplies and Equipment no available in PS</v>
      </c>
      <c r="F704" s="446" t="str">
        <f>VLOOKUP(Table13[[#This Row],[Column1]],[1]Sheet1!$A:$AO,6,FALSE)</f>
        <v>N/A</v>
      </c>
      <c r="G704" s="402">
        <f>VLOOKUP(Table13[[#This Row],[Column1]],[1]Sheet1!$A:$AO,7,FALSE)</f>
        <v>45376</v>
      </c>
      <c r="H704" s="374"/>
      <c r="I704" s="402" t="str">
        <f>VLOOKUP(Table13[[#This Row],[Column1]],[1]Sheet1!$A:$AO,9,FALSE)</f>
        <v>N/A</v>
      </c>
      <c r="J704" s="402">
        <f>VLOOKUP(Table13[[#This Row],[Column1]],[1]Sheet1!$A:$AO,10,FALSE)</f>
        <v>45398</v>
      </c>
      <c r="K704" s="402">
        <f>VLOOKUP(Table13[[#This Row],[Column1]],[1]Sheet1!$A:$AO,11,FALSE)</f>
        <v>45398</v>
      </c>
      <c r="L704" s="404"/>
      <c r="M704" s="402" t="str">
        <f>VLOOKUP(Table13[[#This Row],[Column1]],[1]Sheet1!$A:$AO,13,FALSE)</f>
        <v>N/A</v>
      </c>
      <c r="N704" s="402" t="str">
        <f>VLOOKUP(Table13[[#This Row],[Column1]],[1]Sheet1!$A:$AO,14,FALSE)</f>
        <v>N/A</v>
      </c>
      <c r="O704" s="402">
        <f>VLOOKUP(Table13[[#This Row],[Column1]],[1]Sheet1!$A:$AO,15,FALSE)</f>
        <v>45405</v>
      </c>
      <c r="P704" s="375"/>
      <c r="Q704" s="375"/>
      <c r="R704" s="376"/>
      <c r="S704" s="583" t="str">
        <f>VLOOKUP(Table13[[#This Row],[Column1]],[1]Sheet1!$A:$AO,19,FALSE)</f>
        <v>N/A</v>
      </c>
      <c r="T704" s="583">
        <f>VLOOKUP(Table13[[#This Row],[Column1]],[1]Sheet1!$A:$AO,20,FALSE)</f>
        <v>45422</v>
      </c>
      <c r="U704" s="583"/>
      <c r="V704" s="376"/>
      <c r="W704" s="376"/>
      <c r="X704" s="402"/>
      <c r="Y704" s="402"/>
      <c r="Z704" s="610" t="s">
        <v>1478</v>
      </c>
      <c r="AA704" s="532">
        <f>IF(Table13[[#This Row],[Column2]]="","",SUM(Table13[[#This Row],[Column28]]+Table13[[#This Row],[Column29]]))</f>
        <v>2040</v>
      </c>
      <c r="AB704" s="537"/>
      <c r="AC704" s="502">
        <v>2040</v>
      </c>
      <c r="AD704" s="532">
        <f>IF(Table13[[#This Row],[Column2]]="","",SUM(Table13[[#This Row],[Column31]]+Table13[[#This Row],[Column32]]))</f>
        <v>2040</v>
      </c>
      <c r="AE704" s="501"/>
      <c r="AF704" s="541">
        <v>2040</v>
      </c>
      <c r="AG704" s="405"/>
      <c r="AH704" s="380" t="s">
        <v>1205</v>
      </c>
      <c r="AI704" s="576" t="str">
        <f>VLOOKUP(Table13[[#This Row],[Column1]],[1]Sheet1!$A:$AO,35,FALSE)</f>
        <v>N/A</v>
      </c>
      <c r="AJ704" s="576" t="str">
        <f>VLOOKUP(Table13[[#This Row],[Column1]],[1]Sheet1!$A:$AO,36,FALSE)</f>
        <v>N/A</v>
      </c>
      <c r="AK704" s="576" t="str">
        <f>VLOOKUP(Table13[[#This Row],[Column1]],[1]Sheet1!$A:$AO,37,FALSE)</f>
        <v>N/A</v>
      </c>
      <c r="AL704" s="576" t="str">
        <f>VLOOKUP(Table13[[#This Row],[Column1]],[1]Sheet1!$A:$AO,38,FALSE)</f>
        <v>N/A</v>
      </c>
      <c r="AM704" s="576" t="str">
        <f>VLOOKUP(Table13[[#This Row],[Column1]],[1]Sheet1!$A:$AO,39,FALSE)</f>
        <v>N/A</v>
      </c>
      <c r="AN704" s="576" t="s">
        <v>713</v>
      </c>
      <c r="AO704" s="303" t="s">
        <v>1172</v>
      </c>
      <c r="AP704" s="378"/>
      <c r="AQ704" s="237"/>
    </row>
    <row r="705" spans="1:43" s="238" customFormat="1" ht="75" customHeight="1" x14ac:dyDescent="0.25">
      <c r="A705" s="297" t="s">
        <v>917</v>
      </c>
      <c r="B705" s="627" t="str">
        <f>VLOOKUP(Table13[[#This Row],[Column1]],[1]Sheet1!$A:$AO,2,FALSE)</f>
        <v>SPAREPARTS (MOTORCYCLE)</v>
      </c>
      <c r="C705" s="298" t="str">
        <f>VLOOKUP(Table13[[#This Row],[Column1]],[1]Sheet1!$A:$AO,3,FALSE)</f>
        <v>PGSO</v>
      </c>
      <c r="D705" s="298" t="s">
        <v>712</v>
      </c>
      <c r="E705" s="450" t="str">
        <f>VLOOKUP(Table13[[#This Row],[Column1]],[1]Sheet1!$A:$AO,5,FALSE)</f>
        <v>NP-53.9 - Small Value Procurement</v>
      </c>
      <c r="F705" s="446">
        <f>VLOOKUP(Table13[[#This Row],[Column1]],[1]Sheet1!$A:$AO,6,FALSE)</f>
        <v>45370</v>
      </c>
      <c r="G705" s="402">
        <f>VLOOKUP(Table13[[#This Row],[Column1]],[1]Sheet1!$A:$AO,7,FALSE)</f>
        <v>45376</v>
      </c>
      <c r="H705" s="374"/>
      <c r="I705" s="402" t="str">
        <f>VLOOKUP(Table13[[#This Row],[Column1]],[1]Sheet1!$A:$AO,9,FALSE)</f>
        <v>N/A</v>
      </c>
      <c r="J705" s="402">
        <f>VLOOKUP(Table13[[#This Row],[Column1]],[1]Sheet1!$A:$AO,10,FALSE)</f>
        <v>45398</v>
      </c>
      <c r="K705" s="402">
        <f>VLOOKUP(Table13[[#This Row],[Column1]],[1]Sheet1!$A:$AO,11,FALSE)</f>
        <v>45398</v>
      </c>
      <c r="L705" s="404"/>
      <c r="M705" s="402" t="str">
        <f>VLOOKUP(Table13[[#This Row],[Column1]],[1]Sheet1!$A:$AO,13,FALSE)</f>
        <v>N/A</v>
      </c>
      <c r="N705" s="402" t="str">
        <f>VLOOKUP(Table13[[#This Row],[Column1]],[1]Sheet1!$A:$AO,14,FALSE)</f>
        <v>N/A</v>
      </c>
      <c r="O705" s="402">
        <f>VLOOKUP(Table13[[#This Row],[Column1]],[1]Sheet1!$A:$AO,15,FALSE)</f>
        <v>45405</v>
      </c>
      <c r="P705" s="375"/>
      <c r="Q705" s="375"/>
      <c r="R705" s="376"/>
      <c r="S705" s="583" t="str">
        <f>VLOOKUP(Table13[[#This Row],[Column1]],[1]Sheet1!$A:$AO,19,FALSE)</f>
        <v>N/A</v>
      </c>
      <c r="T705" s="583">
        <f>VLOOKUP(Table13[[#This Row],[Column1]],[1]Sheet1!$A:$AO,20,FALSE)</f>
        <v>45407</v>
      </c>
      <c r="U705" s="583"/>
      <c r="V705" s="376"/>
      <c r="W705" s="376"/>
      <c r="X705" s="402"/>
      <c r="Y705" s="402"/>
      <c r="Z705" s="610" t="s">
        <v>1478</v>
      </c>
      <c r="AA705" s="532">
        <f>IF(Table13[[#This Row],[Column2]]="","",SUM(Table13[[#This Row],[Column28]]+Table13[[#This Row],[Column29]]))</f>
        <v>4200</v>
      </c>
      <c r="AB705" s="537">
        <v>4200</v>
      </c>
      <c r="AC705" s="502"/>
      <c r="AD705" s="532">
        <f>IF(Table13[[#This Row],[Column2]]="","",SUM(Table13[[#This Row],[Column31]]+Table13[[#This Row],[Column32]]))</f>
        <v>4200</v>
      </c>
      <c r="AE705" s="501">
        <v>4200</v>
      </c>
      <c r="AF705" s="541"/>
      <c r="AG705" s="405"/>
      <c r="AH705" s="380" t="s">
        <v>1205</v>
      </c>
      <c r="AI705" s="576" t="str">
        <f>VLOOKUP(Table13[[#This Row],[Column1]],[1]Sheet1!$A:$AO,35,FALSE)</f>
        <v>N/A</v>
      </c>
      <c r="AJ705" s="576" t="str">
        <f>VLOOKUP(Table13[[#This Row],[Column1]],[1]Sheet1!$A:$AO,36,FALSE)</f>
        <v>N/A</v>
      </c>
      <c r="AK705" s="576" t="str">
        <f>VLOOKUP(Table13[[#This Row],[Column1]],[1]Sheet1!$A:$AO,37,FALSE)</f>
        <v>N/A</v>
      </c>
      <c r="AL705" s="576" t="str">
        <f>VLOOKUP(Table13[[#This Row],[Column1]],[1]Sheet1!$A:$AO,38,FALSE)</f>
        <v>N/A</v>
      </c>
      <c r="AM705" s="576" t="str">
        <f>VLOOKUP(Table13[[#This Row],[Column1]],[1]Sheet1!$A:$AO,39,FALSE)</f>
        <v>N/A</v>
      </c>
      <c r="AN705" s="576" t="s">
        <v>713</v>
      </c>
      <c r="AO705" s="303" t="s">
        <v>1172</v>
      </c>
      <c r="AP705" s="378"/>
      <c r="AQ705" s="237"/>
    </row>
    <row r="706" spans="1:43" s="238" customFormat="1" ht="75" customHeight="1" x14ac:dyDescent="0.25">
      <c r="A706" s="297" t="s">
        <v>918</v>
      </c>
      <c r="B706" s="627" t="str">
        <f>VLOOKUP(Table13[[#This Row],[Column1]],[1]Sheet1!$A:$AO,2,FALSE)</f>
        <v>T-SHIRT WITH PRINT</v>
      </c>
      <c r="C706" s="298" t="str">
        <f>VLOOKUP(Table13[[#This Row],[Column1]],[1]Sheet1!$A:$AO,3,FALSE)</f>
        <v>PGO</v>
      </c>
      <c r="D706" s="298" t="s">
        <v>712</v>
      </c>
      <c r="E706" s="450" t="str">
        <f>VLOOKUP(Table13[[#This Row],[Column1]],[1]Sheet1!$A:$AO,5,FALSE)</f>
        <v>NP-53.9 - Small Value Procurement</v>
      </c>
      <c r="F706" s="446" t="str">
        <f>VLOOKUP(Table13[[#This Row],[Column1]],[1]Sheet1!$A:$AO,6,FALSE)</f>
        <v>N/A</v>
      </c>
      <c r="G706" s="402">
        <f>VLOOKUP(Table13[[#This Row],[Column1]],[1]Sheet1!$A:$AO,7,FALSE)</f>
        <v>45397</v>
      </c>
      <c r="H706" s="374"/>
      <c r="I706" s="402" t="str">
        <f>VLOOKUP(Table13[[#This Row],[Column1]],[1]Sheet1!$A:$AO,9,FALSE)</f>
        <v>N/A</v>
      </c>
      <c r="J706" s="402">
        <f>VLOOKUP(Table13[[#This Row],[Column1]],[1]Sheet1!$A:$AO,10,FALSE)</f>
        <v>45407</v>
      </c>
      <c r="K706" s="402">
        <f>VLOOKUP(Table13[[#This Row],[Column1]],[1]Sheet1!$A:$AO,11,FALSE)</f>
        <v>45407</v>
      </c>
      <c r="L706" s="404"/>
      <c r="M706" s="402" t="str">
        <f>VLOOKUP(Table13[[#This Row],[Column1]],[1]Sheet1!$A:$AO,13,FALSE)</f>
        <v>N/A</v>
      </c>
      <c r="N706" s="402" t="str">
        <f>VLOOKUP(Table13[[#This Row],[Column1]],[1]Sheet1!$A:$AO,14,FALSE)</f>
        <v>N/A</v>
      </c>
      <c r="O706" s="402">
        <f>VLOOKUP(Table13[[#This Row],[Column1]],[1]Sheet1!$A:$AO,15,FALSE)</f>
        <v>45411</v>
      </c>
      <c r="P706" s="375"/>
      <c r="Q706" s="375"/>
      <c r="R706" s="376"/>
      <c r="S706" s="583">
        <f>VLOOKUP(Table13[[#This Row],[Column1]],[1]Sheet1!$A:$AO,19,FALSE)</f>
        <v>45414</v>
      </c>
      <c r="T706" s="583">
        <f>VLOOKUP(Table13[[#This Row],[Column1]],[1]Sheet1!$A:$AO,20,FALSE)</f>
        <v>45424</v>
      </c>
      <c r="U706" s="583"/>
      <c r="V706" s="376"/>
      <c r="W706" s="376"/>
      <c r="X706" s="402"/>
      <c r="Y706" s="402"/>
      <c r="Z706" s="610" t="s">
        <v>1478</v>
      </c>
      <c r="AA706" s="532">
        <f>IF(Table13[[#This Row],[Column2]]="","",SUM(Table13[[#This Row],[Column28]]+Table13[[#This Row],[Column29]]))</f>
        <v>13475</v>
      </c>
      <c r="AB706" s="537"/>
      <c r="AC706" s="502">
        <v>13475</v>
      </c>
      <c r="AD706" s="532">
        <f>IF(Table13[[#This Row],[Column2]]="","",SUM(Table13[[#This Row],[Column31]]+Table13[[#This Row],[Column32]]))</f>
        <v>13475</v>
      </c>
      <c r="AE706" s="501"/>
      <c r="AF706" s="541">
        <v>13475</v>
      </c>
      <c r="AG706" s="405"/>
      <c r="AH706" s="380" t="s">
        <v>1205</v>
      </c>
      <c r="AI706" s="576" t="str">
        <f>VLOOKUP(Table13[[#This Row],[Column1]],[1]Sheet1!$A:$AO,35,FALSE)</f>
        <v>N/A</v>
      </c>
      <c r="AJ706" s="576" t="str">
        <f>VLOOKUP(Table13[[#This Row],[Column1]],[1]Sheet1!$A:$AO,36,FALSE)</f>
        <v>N/A</v>
      </c>
      <c r="AK706" s="576" t="str">
        <f>VLOOKUP(Table13[[#This Row],[Column1]],[1]Sheet1!$A:$AO,37,FALSE)</f>
        <v>N/A</v>
      </c>
      <c r="AL706" s="576" t="str">
        <f>VLOOKUP(Table13[[#This Row],[Column1]],[1]Sheet1!$A:$AO,38,FALSE)</f>
        <v>N/A</v>
      </c>
      <c r="AM706" s="576" t="str">
        <f>VLOOKUP(Table13[[#This Row],[Column1]],[1]Sheet1!$A:$AO,39,FALSE)</f>
        <v>N/A</v>
      </c>
      <c r="AN706" s="576" t="s">
        <v>713</v>
      </c>
      <c r="AO706" s="303" t="s">
        <v>1172</v>
      </c>
      <c r="AP706" s="378"/>
      <c r="AQ706" s="237"/>
    </row>
    <row r="707" spans="1:43" s="238" customFormat="1" ht="75" customHeight="1" x14ac:dyDescent="0.25">
      <c r="A707" s="542" t="s">
        <v>1035</v>
      </c>
      <c r="B707" s="627" t="str">
        <f>VLOOKUP(Table13[[#This Row],[Column1]],[1]Sheet1!$A:$AO,2,FALSE)</f>
        <v>SPAREPARTS (LIGHT VEHICLES)</v>
      </c>
      <c r="C707" s="298" t="str">
        <f>VLOOKUP(Table13[[#This Row],[Column1]],[1]Sheet1!$A:$AO,3,FALSE)</f>
        <v>PGSO</v>
      </c>
      <c r="D707" s="298" t="s">
        <v>712</v>
      </c>
      <c r="E707" s="450" t="str">
        <f>VLOOKUP(Table13[[#This Row],[Column1]],[1]Sheet1!$A:$AO,5,FALSE)</f>
        <v>NP-53.9 - Small Value Procurement</v>
      </c>
      <c r="F707" s="446">
        <f>VLOOKUP(Table13[[#This Row],[Column1]],[1]Sheet1!$A:$AO,6,FALSE)</f>
        <v>45370</v>
      </c>
      <c r="G707" s="402">
        <f>VLOOKUP(Table13[[#This Row],[Column1]],[1]Sheet1!$A:$AO,7,FALSE)</f>
        <v>45376</v>
      </c>
      <c r="H707" s="544"/>
      <c r="I707" s="402" t="str">
        <f>VLOOKUP(Table13[[#This Row],[Column1]],[1]Sheet1!$A:$AO,9,FALSE)</f>
        <v>N/A</v>
      </c>
      <c r="J707" s="402">
        <f>VLOOKUP(Table13[[#This Row],[Column1]],[1]Sheet1!$A:$AO,10,FALSE)</f>
        <v>45390</v>
      </c>
      <c r="K707" s="402">
        <f>VLOOKUP(Table13[[#This Row],[Column1]],[1]Sheet1!$A:$AO,11,FALSE)</f>
        <v>45390</v>
      </c>
      <c r="L707" s="545"/>
      <c r="M707" s="402" t="str">
        <f>VLOOKUP(Table13[[#This Row],[Column1]],[1]Sheet1!$A:$AO,13,FALSE)</f>
        <v>N/A</v>
      </c>
      <c r="N707" s="402" t="str">
        <f>VLOOKUP(Table13[[#This Row],[Column1]],[1]Sheet1!$A:$AO,14,FALSE)</f>
        <v>N/A</v>
      </c>
      <c r="O707" s="402">
        <f>VLOOKUP(Table13[[#This Row],[Column1]],[1]Sheet1!$A:$AO,15,FALSE)</f>
        <v>45394</v>
      </c>
      <c r="P707" s="546"/>
      <c r="Q707" s="546"/>
      <c r="R707" s="547"/>
      <c r="S707" s="583" t="str">
        <f>VLOOKUP(Table13[[#This Row],[Column1]],[1]Sheet1!$A:$AO,19,FALSE)</f>
        <v>N/A</v>
      </c>
      <c r="T707" s="583">
        <f>VLOOKUP(Table13[[#This Row],[Column1]],[1]Sheet1!$A:$AO,20,FALSE)</f>
        <v>45405</v>
      </c>
      <c r="U707" s="583"/>
      <c r="V707" s="547"/>
      <c r="W707" s="547"/>
      <c r="X707" s="548"/>
      <c r="Y707" s="402"/>
      <c r="Z707" s="610" t="s">
        <v>1478</v>
      </c>
      <c r="AA707" s="549">
        <f>IF(Table13[[#This Row],[Column2]]="","",SUM(Table13[[#This Row],[Column28]]+Table13[[#This Row],[Column29]]))</f>
        <v>9650</v>
      </c>
      <c r="AB707" s="550">
        <v>9650</v>
      </c>
      <c r="AC707" s="551"/>
      <c r="AD707" s="552">
        <f>IF(Table13[[#This Row],[Column2]]="","",SUM(Table13[[#This Row],[Column31]]+Table13[[#This Row],[Column32]]))</f>
        <v>9500</v>
      </c>
      <c r="AE707" s="553">
        <v>9500</v>
      </c>
      <c r="AF707" s="646"/>
      <c r="AG707" s="554"/>
      <c r="AH707" s="380" t="s">
        <v>1205</v>
      </c>
      <c r="AI707" s="576" t="str">
        <f>VLOOKUP(Table13[[#This Row],[Column1]],[1]Sheet1!$A:$AO,35,FALSE)</f>
        <v>N/A</v>
      </c>
      <c r="AJ707" s="576" t="str">
        <f>VLOOKUP(Table13[[#This Row],[Column1]],[1]Sheet1!$A:$AO,36,FALSE)</f>
        <v>N/A</v>
      </c>
      <c r="AK707" s="576" t="str">
        <f>VLOOKUP(Table13[[#This Row],[Column1]],[1]Sheet1!$A:$AO,37,FALSE)</f>
        <v>N/A</v>
      </c>
      <c r="AL707" s="576" t="str">
        <f>VLOOKUP(Table13[[#This Row],[Column1]],[1]Sheet1!$A:$AO,38,FALSE)</f>
        <v>N/A</v>
      </c>
      <c r="AM707" s="576" t="str">
        <f>VLOOKUP(Table13[[#This Row],[Column1]],[1]Sheet1!$A:$AO,39,FALSE)</f>
        <v>N/A</v>
      </c>
      <c r="AN707" s="576" t="s">
        <v>713</v>
      </c>
      <c r="AO707" s="303" t="s">
        <v>1172</v>
      </c>
      <c r="AP707" s="555"/>
      <c r="AQ707" s="237"/>
    </row>
    <row r="708" spans="1:43" s="238" customFormat="1" ht="75" customHeight="1" x14ac:dyDescent="0.25">
      <c r="A708" s="297" t="s">
        <v>920</v>
      </c>
      <c r="B708" s="627" t="str">
        <f>VLOOKUP(Table13[[#This Row],[Column1]],[1]Sheet1!$A:$AO,2,FALSE)</f>
        <v>OFFICE EQUIPMENT</v>
      </c>
      <c r="C708" s="298" t="str">
        <f>VLOOKUP(Table13[[#This Row],[Column1]],[1]Sheet1!$A:$AO,3,FALSE)</f>
        <v>SEF</v>
      </c>
      <c r="D708" s="298" t="s">
        <v>712</v>
      </c>
      <c r="E708" s="450" t="str">
        <f>VLOOKUP(Table13[[#This Row],[Column1]],[1]Sheet1!$A:$AO,5,FALSE)</f>
        <v>Competitive Bidding</v>
      </c>
      <c r="F708" s="446">
        <f>VLOOKUP(Table13[[#This Row],[Column1]],[1]Sheet1!$A:$AO,6,FALSE)</f>
        <v>45342</v>
      </c>
      <c r="G708" s="402">
        <f>VLOOKUP(Table13[[#This Row],[Column1]],[1]Sheet1!$A:$AO,7,FALSE)</f>
        <v>45348</v>
      </c>
      <c r="H708" s="374"/>
      <c r="I708" s="402">
        <f>VLOOKUP(Table13[[#This Row],[Column1]],[1]Sheet1!$A:$AO,9,FALSE)</f>
        <v>45356</v>
      </c>
      <c r="J708" s="402">
        <f>VLOOKUP(Table13[[#This Row],[Column1]],[1]Sheet1!$A:$AO,10,FALSE)</f>
        <v>45370</v>
      </c>
      <c r="K708" s="402">
        <f>VLOOKUP(Table13[[#This Row],[Column1]],[1]Sheet1!$A:$AO,11,FALSE)</f>
        <v>45370</v>
      </c>
      <c r="L708" s="404"/>
      <c r="M708" s="402">
        <f>VLOOKUP(Table13[[#This Row],[Column1]],[1]Sheet1!$A:$AO,13,FALSE)</f>
        <v>45370</v>
      </c>
      <c r="N708" s="402">
        <f>VLOOKUP(Table13[[#This Row],[Column1]],[1]Sheet1!$A:$AO,14,FALSE)</f>
        <v>45405</v>
      </c>
      <c r="O708" s="402">
        <f>VLOOKUP(Table13[[#This Row],[Column1]],[1]Sheet1!$A:$AO,15,FALSE)</f>
        <v>45411</v>
      </c>
      <c r="P708" s="375"/>
      <c r="Q708" s="375"/>
      <c r="R708" s="376"/>
      <c r="S708" s="583">
        <v>45420</v>
      </c>
      <c r="T708" s="583">
        <f>VLOOKUP(Table13[[#This Row],[Column1]],[1]Sheet1!$A:$AO,20,FALSE)</f>
        <v>45428</v>
      </c>
      <c r="U708" s="583"/>
      <c r="V708" s="376"/>
      <c r="W708" s="376"/>
      <c r="X708" s="402"/>
      <c r="Y708" s="402"/>
      <c r="Z708" s="610" t="s">
        <v>1478</v>
      </c>
      <c r="AA708" s="532">
        <f>IF(Table13[[#This Row],[Column2]]="","",SUM(Table13[[#This Row],[Column28]]+Table13[[#This Row],[Column29]]))</f>
        <v>4250000</v>
      </c>
      <c r="AB708" s="537"/>
      <c r="AC708" s="502">
        <v>4250000</v>
      </c>
      <c r="AD708" s="532">
        <f>IF(Table13[[#This Row],[Column2]]="","",SUM(Table13[[#This Row],[Column31]]+Table13[[#This Row],[Column32]]))</f>
        <v>2068707.77</v>
      </c>
      <c r="AE708" s="501"/>
      <c r="AF708" s="541">
        <v>2068707.77</v>
      </c>
      <c r="AG708" s="405"/>
      <c r="AH708" s="380" t="s">
        <v>1205</v>
      </c>
      <c r="AI708" s="576">
        <f>VLOOKUP(Table13[[#This Row],[Column1]],[1]Sheet1!$A:$AO,35,FALSE)</f>
        <v>45352</v>
      </c>
      <c r="AJ708" s="576">
        <f>VLOOKUP(Table13[[#This Row],[Column1]],[1]Sheet1!$A:$AO,36,FALSE)</f>
        <v>45366</v>
      </c>
      <c r="AK708" s="576">
        <f>VLOOKUP(Table13[[#This Row],[Column1]],[1]Sheet1!$A:$AO,37,FALSE)</f>
        <v>45366</v>
      </c>
      <c r="AL708" s="576">
        <f>VLOOKUP(Table13[[#This Row],[Column1]],[1]Sheet1!$A:$AO,38,FALSE)</f>
        <v>45366</v>
      </c>
      <c r="AM708" s="576" t="str">
        <f>VLOOKUP(Table13[[#This Row],[Column1]],[1]Sheet1!$A:$AO,39,FALSE)</f>
        <v>N/A</v>
      </c>
      <c r="AN708" s="576" t="s">
        <v>713</v>
      </c>
      <c r="AO708" s="303" t="s">
        <v>1172</v>
      </c>
      <c r="AP708" s="378"/>
      <c r="AQ708" s="237"/>
    </row>
    <row r="709" spans="1:43" s="238" customFormat="1" ht="75" customHeight="1" x14ac:dyDescent="0.25">
      <c r="A709" s="297" t="s">
        <v>921</v>
      </c>
      <c r="B709" s="627" t="str">
        <f>VLOOKUP(Table13[[#This Row],[Column1]],[1]Sheet1!$A:$AO,2,FALSE)</f>
        <v>GARMENTS</v>
      </c>
      <c r="C709" s="298" t="str">
        <f>VLOOKUP(Table13[[#This Row],[Column1]],[1]Sheet1!$A:$AO,3,FALSE)</f>
        <v>PGO</v>
      </c>
      <c r="D709" s="298" t="s">
        <v>712</v>
      </c>
      <c r="E709" s="450" t="str">
        <f>VLOOKUP(Table13[[#This Row],[Column1]],[1]Sheet1!$A:$AO,5,FALSE)</f>
        <v>NP-53.9 - Small Value Procurement</v>
      </c>
      <c r="F709" s="446" t="str">
        <f>VLOOKUP(Table13[[#This Row],[Column1]],[1]Sheet1!$A:$AO,6,FALSE)</f>
        <v>N/A</v>
      </c>
      <c r="G709" s="402">
        <f>VLOOKUP(Table13[[#This Row],[Column1]],[1]Sheet1!$A:$AO,7,FALSE)</f>
        <v>45390</v>
      </c>
      <c r="H709" s="374"/>
      <c r="I709" s="402" t="str">
        <f>VLOOKUP(Table13[[#This Row],[Column1]],[1]Sheet1!$A:$AO,9,FALSE)</f>
        <v>N/A</v>
      </c>
      <c r="J709" s="402">
        <f>VLOOKUP(Table13[[#This Row],[Column1]],[1]Sheet1!$A:$AO,10,FALSE)</f>
        <v>45407</v>
      </c>
      <c r="K709" s="402">
        <f>VLOOKUP(Table13[[#This Row],[Column1]],[1]Sheet1!$A:$AO,11,FALSE)</f>
        <v>45407</v>
      </c>
      <c r="L709" s="404"/>
      <c r="M709" s="402" t="str">
        <f>VLOOKUP(Table13[[#This Row],[Column1]],[1]Sheet1!$A:$AO,13,FALSE)</f>
        <v>N/A</v>
      </c>
      <c r="N709" s="402" t="str">
        <f>VLOOKUP(Table13[[#This Row],[Column1]],[1]Sheet1!$A:$AO,14,FALSE)</f>
        <v>N/A</v>
      </c>
      <c r="O709" s="402">
        <f>VLOOKUP(Table13[[#This Row],[Column1]],[1]Sheet1!$A:$AO,15,FALSE)</f>
        <v>45411</v>
      </c>
      <c r="P709" s="375"/>
      <c r="Q709" s="375"/>
      <c r="R709" s="376"/>
      <c r="S709" s="583" t="s">
        <v>713</v>
      </c>
      <c r="T709" s="583">
        <f>VLOOKUP(Table13[[#This Row],[Column1]],[1]Sheet1!$A:$AO,20,FALSE)</f>
        <v>45425</v>
      </c>
      <c r="U709" s="583"/>
      <c r="V709" s="376"/>
      <c r="W709" s="376"/>
      <c r="X709" s="402"/>
      <c r="Y709" s="402"/>
      <c r="Z709" s="610" t="s">
        <v>1478</v>
      </c>
      <c r="AA709" s="532">
        <f>IF(Table13[[#This Row],[Column2]]="","",SUM(Table13[[#This Row],[Column28]]+Table13[[#This Row],[Column29]]))</f>
        <v>28000</v>
      </c>
      <c r="AB709" s="537"/>
      <c r="AC709" s="502">
        <v>28000</v>
      </c>
      <c r="AD709" s="532">
        <f>IF(Table13[[#This Row],[Column2]]="","",SUM(Table13[[#This Row],[Column31]]+Table13[[#This Row],[Column32]]))</f>
        <v>28000</v>
      </c>
      <c r="AE709" s="501"/>
      <c r="AF709" s="541">
        <v>28000</v>
      </c>
      <c r="AG709" s="405"/>
      <c r="AH709" s="380" t="s">
        <v>1205</v>
      </c>
      <c r="AI709" s="576" t="str">
        <f>VLOOKUP(Table13[[#This Row],[Column1]],[1]Sheet1!$A:$AO,35,FALSE)</f>
        <v>N/A</v>
      </c>
      <c r="AJ709" s="576" t="str">
        <f>VLOOKUP(Table13[[#This Row],[Column1]],[1]Sheet1!$A:$AO,36,FALSE)</f>
        <v>N/A</v>
      </c>
      <c r="AK709" s="576" t="str">
        <f>VLOOKUP(Table13[[#This Row],[Column1]],[1]Sheet1!$A:$AO,37,FALSE)</f>
        <v>N/A</v>
      </c>
      <c r="AL709" s="576" t="str">
        <f>VLOOKUP(Table13[[#This Row],[Column1]],[1]Sheet1!$A:$AO,38,FALSE)</f>
        <v>N/A</v>
      </c>
      <c r="AM709" s="576" t="str">
        <f>VLOOKUP(Table13[[#This Row],[Column1]],[1]Sheet1!$A:$AO,39,FALSE)</f>
        <v>N/A</v>
      </c>
      <c r="AN709" s="576" t="s">
        <v>713</v>
      </c>
      <c r="AO709" s="303" t="s">
        <v>1172</v>
      </c>
      <c r="AP709" s="378"/>
      <c r="AQ709" s="237"/>
    </row>
    <row r="710" spans="1:43" s="238" customFormat="1" ht="75" customHeight="1" x14ac:dyDescent="0.25">
      <c r="A710" s="297" t="s">
        <v>922</v>
      </c>
      <c r="B710" s="627" t="str">
        <f>VLOOKUP(Table13[[#This Row],[Column1]],[1]Sheet1!$A:$AO,2,FALSE)</f>
        <v>FREON</v>
      </c>
      <c r="C710" s="298" t="str">
        <f>VLOOKUP(Table13[[#This Row],[Column1]],[1]Sheet1!$A:$AO,3,FALSE)</f>
        <v>SPO</v>
      </c>
      <c r="D710" s="298" t="s">
        <v>712</v>
      </c>
      <c r="E710" s="450" t="str">
        <f>VLOOKUP(Table13[[#This Row],[Column1]],[1]Sheet1!$A:$AO,5,FALSE)</f>
        <v>NP-53.9 - Small Value Procurement</v>
      </c>
      <c r="F710" s="446" t="str">
        <f>VLOOKUP(Table13[[#This Row],[Column1]],[1]Sheet1!$A:$AO,6,FALSE)</f>
        <v>N/A</v>
      </c>
      <c r="G710" s="402">
        <f>VLOOKUP(Table13[[#This Row],[Column1]],[1]Sheet1!$A:$AO,7,FALSE)</f>
        <v>45359</v>
      </c>
      <c r="H710" s="374"/>
      <c r="I710" s="402" t="str">
        <f>VLOOKUP(Table13[[#This Row],[Column1]],[1]Sheet1!$A:$AO,9,FALSE)</f>
        <v>N/A</v>
      </c>
      <c r="J710" s="402">
        <f>VLOOKUP(Table13[[#This Row],[Column1]],[1]Sheet1!$A:$AO,10,FALSE)</f>
        <v>45407</v>
      </c>
      <c r="K710" s="402">
        <f>VLOOKUP(Table13[[#This Row],[Column1]],[1]Sheet1!$A:$AO,11,FALSE)</f>
        <v>45407</v>
      </c>
      <c r="L710" s="404"/>
      <c r="M710" s="402" t="str">
        <f>VLOOKUP(Table13[[#This Row],[Column1]],[1]Sheet1!$A:$AO,13,FALSE)</f>
        <v>N/A</v>
      </c>
      <c r="N710" s="402" t="str">
        <f>VLOOKUP(Table13[[#This Row],[Column1]],[1]Sheet1!$A:$AO,14,FALSE)</f>
        <v>N/A</v>
      </c>
      <c r="O710" s="402">
        <f>VLOOKUP(Table13[[#This Row],[Column1]],[1]Sheet1!$A:$AO,15,FALSE)</f>
        <v>45411</v>
      </c>
      <c r="P710" s="375"/>
      <c r="Q710" s="375"/>
      <c r="R710" s="376"/>
      <c r="S710" s="583" t="s">
        <v>713</v>
      </c>
      <c r="T710" s="583">
        <f>VLOOKUP(Table13[[#This Row],[Column1]],[1]Sheet1!$A:$AO,20,FALSE)</f>
        <v>45449</v>
      </c>
      <c r="U710" s="583"/>
      <c r="V710" s="376"/>
      <c r="W710" s="376"/>
      <c r="X710" s="402"/>
      <c r="Y710" s="402"/>
      <c r="Z710" s="610" t="s">
        <v>1478</v>
      </c>
      <c r="AA710" s="532">
        <f>IF(Table13[[#This Row],[Column2]]="","",SUM(Table13[[#This Row],[Column28]]+Table13[[#This Row],[Column29]]))</f>
        <v>9300</v>
      </c>
      <c r="AB710" s="537">
        <v>9300</v>
      </c>
      <c r="AC710" s="502"/>
      <c r="AD710" s="532">
        <f>IF(Table13[[#This Row],[Column2]]="","",SUM(Table13[[#This Row],[Column31]]+Table13[[#This Row],[Column32]]))</f>
        <v>9150</v>
      </c>
      <c r="AE710" s="501">
        <v>9150</v>
      </c>
      <c r="AF710" s="541"/>
      <c r="AG710" s="405"/>
      <c r="AH710" s="380" t="s">
        <v>1205</v>
      </c>
      <c r="AI710" s="576" t="str">
        <f>VLOOKUP(Table13[[#This Row],[Column1]],[1]Sheet1!$A:$AO,35,FALSE)</f>
        <v>N/A</v>
      </c>
      <c r="AJ710" s="576" t="str">
        <f>VLOOKUP(Table13[[#This Row],[Column1]],[1]Sheet1!$A:$AO,36,FALSE)</f>
        <v>N/A</v>
      </c>
      <c r="AK710" s="576" t="str">
        <f>VLOOKUP(Table13[[#This Row],[Column1]],[1]Sheet1!$A:$AO,37,FALSE)</f>
        <v>N/A</v>
      </c>
      <c r="AL710" s="576" t="str">
        <f>VLOOKUP(Table13[[#This Row],[Column1]],[1]Sheet1!$A:$AO,38,FALSE)</f>
        <v>N/A</v>
      </c>
      <c r="AM710" s="576" t="str">
        <f>VLOOKUP(Table13[[#This Row],[Column1]],[1]Sheet1!$A:$AO,39,FALSE)</f>
        <v>N/A</v>
      </c>
      <c r="AN710" s="576" t="s">
        <v>713</v>
      </c>
      <c r="AO710" s="303" t="s">
        <v>1172</v>
      </c>
      <c r="AP710" s="378"/>
      <c r="AQ710" s="237"/>
    </row>
    <row r="711" spans="1:43" s="238" customFormat="1" ht="75" customHeight="1" x14ac:dyDescent="0.25">
      <c r="A711" s="297" t="s">
        <v>923</v>
      </c>
      <c r="B711" s="627" t="str">
        <f>VLOOKUP(Table13[[#This Row],[Column1]],[1]Sheet1!$A:$AO,2,FALSE)</f>
        <v>SPAREPARTS (LIGHT VEHICLES)</v>
      </c>
      <c r="C711" s="298" t="str">
        <f>VLOOKUP(Table13[[#This Row],[Column1]],[1]Sheet1!$A:$AO,3,FALSE)</f>
        <v>SPO</v>
      </c>
      <c r="D711" s="298" t="s">
        <v>712</v>
      </c>
      <c r="E711" s="450" t="str">
        <f>VLOOKUP(Table13[[#This Row],[Column1]],[1]Sheet1!$A:$AO,5,FALSE)</f>
        <v>Shopping 52.1(a) - Unforeseen Contingency</v>
      </c>
      <c r="F711" s="446" t="str">
        <f>VLOOKUP(Table13[[#This Row],[Column1]],[1]Sheet1!$A:$AO,6,FALSE)</f>
        <v>N/A</v>
      </c>
      <c r="G711" s="402">
        <f>VLOOKUP(Table13[[#This Row],[Column1]],[1]Sheet1!$A:$AO,7,FALSE)</f>
        <v>45397</v>
      </c>
      <c r="H711" s="374"/>
      <c r="I711" s="402" t="str">
        <f>VLOOKUP(Table13[[#This Row],[Column1]],[1]Sheet1!$A:$AO,9,FALSE)</f>
        <v>N/A</v>
      </c>
      <c r="J711" s="402">
        <f>VLOOKUP(Table13[[#This Row],[Column1]],[1]Sheet1!$A:$AO,10,FALSE)</f>
        <v>45412</v>
      </c>
      <c r="K711" s="402">
        <f>VLOOKUP(Table13[[#This Row],[Column1]],[1]Sheet1!$A:$AO,11,FALSE)</f>
        <v>45412</v>
      </c>
      <c r="L711" s="404"/>
      <c r="M711" s="402" t="str">
        <f>VLOOKUP(Table13[[#This Row],[Column1]],[1]Sheet1!$A:$AO,13,FALSE)</f>
        <v>N/A</v>
      </c>
      <c r="N711" s="402" t="str">
        <f>VLOOKUP(Table13[[#This Row],[Column1]],[1]Sheet1!$A:$AO,14,FALSE)</f>
        <v>N/A</v>
      </c>
      <c r="O711" s="402">
        <f>VLOOKUP(Table13[[#This Row],[Column1]],[1]Sheet1!$A:$AO,15,FALSE)</f>
        <v>0</v>
      </c>
      <c r="P711" s="375"/>
      <c r="Q711" s="375"/>
      <c r="R711" s="376"/>
      <c r="S711" s="583" t="s">
        <v>713</v>
      </c>
      <c r="T711" s="583">
        <f>VLOOKUP(Table13[[#This Row],[Column1]],[1]Sheet1!$A:$AO,20,FALSE)</f>
        <v>45449</v>
      </c>
      <c r="U711" s="583"/>
      <c r="V711" s="376"/>
      <c r="W711" s="376"/>
      <c r="X711" s="402"/>
      <c r="Y711" s="402"/>
      <c r="Z711" s="610" t="s">
        <v>1478</v>
      </c>
      <c r="AA711" s="532">
        <f>IF(Table13[[#This Row],[Column2]]="","",SUM(Table13[[#This Row],[Column28]]+Table13[[#This Row],[Column29]]))</f>
        <v>29900</v>
      </c>
      <c r="AB711" s="537">
        <v>29900</v>
      </c>
      <c r="AC711" s="502"/>
      <c r="AD711" s="532">
        <f>IF(Table13[[#This Row],[Column2]]="","",SUM(Table13[[#This Row],[Column31]]+Table13[[#This Row],[Column32]]))</f>
        <v>29900</v>
      </c>
      <c r="AE711" s="501">
        <v>29900</v>
      </c>
      <c r="AF711" s="541"/>
      <c r="AG711" s="405"/>
      <c r="AH711" s="380" t="s">
        <v>1205</v>
      </c>
      <c r="AI711" s="576" t="str">
        <f>VLOOKUP(Table13[[#This Row],[Column1]],[1]Sheet1!$A:$AO,35,FALSE)</f>
        <v>N/A</v>
      </c>
      <c r="AJ711" s="576" t="str">
        <f>VLOOKUP(Table13[[#This Row],[Column1]],[1]Sheet1!$A:$AO,36,FALSE)</f>
        <v>N/A</v>
      </c>
      <c r="AK711" s="576" t="str">
        <f>VLOOKUP(Table13[[#This Row],[Column1]],[1]Sheet1!$A:$AO,37,FALSE)</f>
        <v>N/A</v>
      </c>
      <c r="AL711" s="576" t="str">
        <f>VLOOKUP(Table13[[#This Row],[Column1]],[1]Sheet1!$A:$AO,38,FALSE)</f>
        <v>N/A</v>
      </c>
      <c r="AM711" s="576" t="str">
        <f>VLOOKUP(Table13[[#This Row],[Column1]],[1]Sheet1!$A:$AO,39,FALSE)</f>
        <v>N/A</v>
      </c>
      <c r="AN711" s="576" t="s">
        <v>713</v>
      </c>
      <c r="AO711" s="303" t="s">
        <v>1172</v>
      </c>
      <c r="AP711" s="378"/>
      <c r="AQ711" s="237"/>
    </row>
    <row r="712" spans="1:43" s="238" customFormat="1" ht="75" customHeight="1" x14ac:dyDescent="0.25">
      <c r="A712" s="297" t="s">
        <v>924</v>
      </c>
      <c r="B712" s="627" t="str">
        <f>VLOOKUP(Table13[[#This Row],[Column1]],[1]Sheet1!$A:$AO,2,FALSE)</f>
        <v>SPAREPARTS (LIGHT VEHICLES)</v>
      </c>
      <c r="C712" s="298" t="str">
        <f>VLOOKUP(Table13[[#This Row],[Column1]],[1]Sheet1!$A:$AO,3,FALSE)</f>
        <v>PGSO</v>
      </c>
      <c r="D712" s="298" t="s">
        <v>712</v>
      </c>
      <c r="E712" s="450" t="str">
        <f>VLOOKUP(Table13[[#This Row],[Column1]],[1]Sheet1!$A:$AO,5,FALSE)</f>
        <v>Shopping 52.1(a) - Unforeseen Contingency</v>
      </c>
      <c r="F712" s="446" t="str">
        <f>VLOOKUP(Table13[[#This Row],[Column1]],[1]Sheet1!$A:$AO,6,FALSE)</f>
        <v>N/A</v>
      </c>
      <c r="G712" s="402">
        <f>VLOOKUP(Table13[[#This Row],[Column1]],[1]Sheet1!$A:$AO,7,FALSE)</f>
        <v>45404</v>
      </c>
      <c r="H712" s="374"/>
      <c r="I712" s="402" t="str">
        <f>VLOOKUP(Table13[[#This Row],[Column1]],[1]Sheet1!$A:$AO,9,FALSE)</f>
        <v>N/A</v>
      </c>
      <c r="J712" s="402">
        <f>VLOOKUP(Table13[[#This Row],[Column1]],[1]Sheet1!$A:$AO,10,FALSE)</f>
        <v>45412</v>
      </c>
      <c r="K712" s="402">
        <f>VLOOKUP(Table13[[#This Row],[Column1]],[1]Sheet1!$A:$AO,11,FALSE)</f>
        <v>45412</v>
      </c>
      <c r="L712" s="404"/>
      <c r="M712" s="402" t="str">
        <f>VLOOKUP(Table13[[#This Row],[Column1]],[1]Sheet1!$A:$AO,13,FALSE)</f>
        <v>N/A</v>
      </c>
      <c r="N712" s="402" t="str">
        <f>VLOOKUP(Table13[[#This Row],[Column1]],[1]Sheet1!$A:$AO,14,FALSE)</f>
        <v>N/A</v>
      </c>
      <c r="O712" s="402">
        <f>VLOOKUP(Table13[[#This Row],[Column1]],[1]Sheet1!$A:$AO,15,FALSE)</f>
        <v>0</v>
      </c>
      <c r="P712" s="375"/>
      <c r="Q712" s="375"/>
      <c r="R712" s="376"/>
      <c r="S712" s="583" t="s">
        <v>713</v>
      </c>
      <c r="T712" s="583">
        <f>VLOOKUP(Table13[[#This Row],[Column1]],[1]Sheet1!$A:$AO,20,FALSE)</f>
        <v>45427</v>
      </c>
      <c r="U712" s="583"/>
      <c r="V712" s="376"/>
      <c r="W712" s="376"/>
      <c r="X712" s="402"/>
      <c r="Y712" s="402"/>
      <c r="Z712" s="610" t="s">
        <v>1478</v>
      </c>
      <c r="AA712" s="532">
        <f>IF(Table13[[#This Row],[Column2]]="","",SUM(Table13[[#This Row],[Column28]]+Table13[[#This Row],[Column29]]))</f>
        <v>1950</v>
      </c>
      <c r="AB712" s="537">
        <v>1950</v>
      </c>
      <c r="AC712" s="502"/>
      <c r="AD712" s="532">
        <f>IF(Table13[[#This Row],[Column2]]="","",SUM(Table13[[#This Row],[Column31]]+Table13[[#This Row],[Column32]]))</f>
        <v>1950</v>
      </c>
      <c r="AE712" s="501">
        <v>1950</v>
      </c>
      <c r="AF712" s="541"/>
      <c r="AG712" s="405"/>
      <c r="AH712" s="380" t="s">
        <v>1205</v>
      </c>
      <c r="AI712" s="576" t="str">
        <f>VLOOKUP(Table13[[#This Row],[Column1]],[1]Sheet1!$A:$AO,35,FALSE)</f>
        <v>N/A</v>
      </c>
      <c r="AJ712" s="576" t="str">
        <f>VLOOKUP(Table13[[#This Row],[Column1]],[1]Sheet1!$A:$AO,36,FALSE)</f>
        <v>N/A</v>
      </c>
      <c r="AK712" s="576" t="str">
        <f>VLOOKUP(Table13[[#This Row],[Column1]],[1]Sheet1!$A:$AO,37,FALSE)</f>
        <v>N/A</v>
      </c>
      <c r="AL712" s="576" t="str">
        <f>VLOOKUP(Table13[[#This Row],[Column1]],[1]Sheet1!$A:$AO,38,FALSE)</f>
        <v>N/A</v>
      </c>
      <c r="AM712" s="576" t="str">
        <f>VLOOKUP(Table13[[#This Row],[Column1]],[1]Sheet1!$A:$AO,39,FALSE)</f>
        <v>N/A</v>
      </c>
      <c r="AN712" s="576" t="s">
        <v>713</v>
      </c>
      <c r="AO712" s="303" t="s">
        <v>1172</v>
      </c>
      <c r="AP712" s="378"/>
      <c r="AQ712" s="237"/>
    </row>
    <row r="713" spans="1:43" s="238" customFormat="1" ht="75" customHeight="1" x14ac:dyDescent="0.25">
      <c r="A713" s="297" t="s">
        <v>925</v>
      </c>
      <c r="B713" s="627" t="str">
        <f>VLOOKUP(Table13[[#This Row],[Column1]],[1]Sheet1!$A:$AO,2,FALSE)</f>
        <v>SPAREPARTS (LIGHT VEHICLES)</v>
      </c>
      <c r="C713" s="298" t="str">
        <f>VLOOKUP(Table13[[#This Row],[Column1]],[1]Sheet1!$A:$AO,3,FALSE)</f>
        <v>PGSO</v>
      </c>
      <c r="D713" s="298" t="s">
        <v>712</v>
      </c>
      <c r="E713" s="450" t="str">
        <f>VLOOKUP(Table13[[#This Row],[Column1]],[1]Sheet1!$A:$AO,5,FALSE)</f>
        <v>NP-53.9 - Small Value Procurement</v>
      </c>
      <c r="F713" s="446">
        <f>VLOOKUP(Table13[[#This Row],[Column1]],[1]Sheet1!$A:$AO,6,FALSE)</f>
        <v>45384</v>
      </c>
      <c r="G713" s="402">
        <f>VLOOKUP(Table13[[#This Row],[Column1]],[1]Sheet1!$A:$AO,7,FALSE)</f>
        <v>45390</v>
      </c>
      <c r="H713" s="374"/>
      <c r="I713" s="402" t="str">
        <f>VLOOKUP(Table13[[#This Row],[Column1]],[1]Sheet1!$A:$AO,9,FALSE)</f>
        <v>N/A</v>
      </c>
      <c r="J713" s="402">
        <f>VLOOKUP(Table13[[#This Row],[Column1]],[1]Sheet1!$A:$AO,10,FALSE)</f>
        <v>45412</v>
      </c>
      <c r="K713" s="402">
        <f>VLOOKUP(Table13[[#This Row],[Column1]],[1]Sheet1!$A:$AO,11,FALSE)</f>
        <v>45412</v>
      </c>
      <c r="L713" s="404"/>
      <c r="M713" s="402" t="str">
        <f>VLOOKUP(Table13[[#This Row],[Column1]],[1]Sheet1!$A:$AO,13,FALSE)</f>
        <v>N/A</v>
      </c>
      <c r="N713" s="402" t="str">
        <f>VLOOKUP(Table13[[#This Row],[Column1]],[1]Sheet1!$A:$AO,14,FALSE)</f>
        <v>N/A</v>
      </c>
      <c r="O713" s="402">
        <f>VLOOKUP(Table13[[#This Row],[Column1]],[1]Sheet1!$A:$AO,15,FALSE)</f>
        <v>45415</v>
      </c>
      <c r="P713" s="375"/>
      <c r="Q713" s="375"/>
      <c r="R713" s="376"/>
      <c r="S713" s="583" t="s">
        <v>713</v>
      </c>
      <c r="T713" s="583">
        <f>VLOOKUP(Table13[[#This Row],[Column1]],[1]Sheet1!$A:$AO,20,FALSE)</f>
        <v>45453</v>
      </c>
      <c r="U713" s="583"/>
      <c r="V713" s="376"/>
      <c r="W713" s="376"/>
      <c r="X713" s="402"/>
      <c r="Y713" s="402"/>
      <c r="Z713" s="610" t="s">
        <v>1478</v>
      </c>
      <c r="AA713" s="532">
        <f>IF(Table13[[#This Row],[Column2]]="","",SUM(Table13[[#This Row],[Column28]]+Table13[[#This Row],[Column29]]))</f>
        <v>1950</v>
      </c>
      <c r="AB713" s="537">
        <v>1950</v>
      </c>
      <c r="AC713" s="502"/>
      <c r="AD713" s="532">
        <f>IF(Table13[[#This Row],[Column2]]="","",SUM(Table13[[#This Row],[Column31]]+Table13[[#This Row],[Column32]]))</f>
        <v>1950</v>
      </c>
      <c r="AE713" s="501">
        <v>1950</v>
      </c>
      <c r="AF713" s="541"/>
      <c r="AG713" s="405"/>
      <c r="AH713" s="380" t="s">
        <v>1205</v>
      </c>
      <c r="AI713" s="576" t="str">
        <f>VLOOKUP(Table13[[#This Row],[Column1]],[1]Sheet1!$A:$AO,35,FALSE)</f>
        <v>N/A</v>
      </c>
      <c r="AJ713" s="576" t="str">
        <f>VLOOKUP(Table13[[#This Row],[Column1]],[1]Sheet1!$A:$AO,36,FALSE)</f>
        <v>N/A</v>
      </c>
      <c r="AK713" s="576" t="str">
        <f>VLOOKUP(Table13[[#This Row],[Column1]],[1]Sheet1!$A:$AO,37,FALSE)</f>
        <v>N/A</v>
      </c>
      <c r="AL713" s="576" t="str">
        <f>VLOOKUP(Table13[[#This Row],[Column1]],[1]Sheet1!$A:$AO,38,FALSE)</f>
        <v>N/A</v>
      </c>
      <c r="AM713" s="576" t="str">
        <f>VLOOKUP(Table13[[#This Row],[Column1]],[1]Sheet1!$A:$AO,39,FALSE)</f>
        <v>N/A</v>
      </c>
      <c r="AN713" s="576" t="s">
        <v>713</v>
      </c>
      <c r="AO713" s="303" t="s">
        <v>1172</v>
      </c>
      <c r="AP713" s="378"/>
      <c r="AQ713" s="237"/>
    </row>
    <row r="714" spans="1:43" s="238" customFormat="1" ht="75" customHeight="1" x14ac:dyDescent="0.25">
      <c r="A714" s="297" t="s">
        <v>926</v>
      </c>
      <c r="B714" s="627" t="str">
        <f>VLOOKUP(Table13[[#This Row],[Column1]],[1]Sheet1!$A:$AO,2,FALSE)</f>
        <v>SPAREPARTS (LIGHT VEHICLES)</v>
      </c>
      <c r="C714" s="298" t="str">
        <f>VLOOKUP(Table13[[#This Row],[Column1]],[1]Sheet1!$A:$AO,3,FALSE)</f>
        <v>PGSO</v>
      </c>
      <c r="D714" s="298" t="s">
        <v>712</v>
      </c>
      <c r="E714" s="450" t="str">
        <f>VLOOKUP(Table13[[#This Row],[Column1]],[1]Sheet1!$A:$AO,5,FALSE)</f>
        <v>NP-53.9 - Small Value Procurement</v>
      </c>
      <c r="F714" s="446">
        <f>VLOOKUP(Table13[[#This Row],[Column1]],[1]Sheet1!$A:$AO,6,FALSE)</f>
        <v>45384</v>
      </c>
      <c r="G714" s="402">
        <f>VLOOKUP(Table13[[#This Row],[Column1]],[1]Sheet1!$A:$AO,7,FALSE)</f>
        <v>45390</v>
      </c>
      <c r="H714" s="374"/>
      <c r="I714" s="402" t="str">
        <f>VLOOKUP(Table13[[#This Row],[Column1]],[1]Sheet1!$A:$AO,9,FALSE)</f>
        <v>N/A</v>
      </c>
      <c r="J714" s="402">
        <f>VLOOKUP(Table13[[#This Row],[Column1]],[1]Sheet1!$A:$AO,10,FALSE)</f>
        <v>45412</v>
      </c>
      <c r="K714" s="402">
        <f>VLOOKUP(Table13[[#This Row],[Column1]],[1]Sheet1!$A:$AO,11,FALSE)</f>
        <v>45412</v>
      </c>
      <c r="L714" s="404"/>
      <c r="M714" s="402" t="str">
        <f>VLOOKUP(Table13[[#This Row],[Column1]],[1]Sheet1!$A:$AO,13,FALSE)</f>
        <v>N/A</v>
      </c>
      <c r="N714" s="402" t="str">
        <f>VLOOKUP(Table13[[#This Row],[Column1]],[1]Sheet1!$A:$AO,14,FALSE)</f>
        <v>N/A</v>
      </c>
      <c r="O714" s="402">
        <f>VLOOKUP(Table13[[#This Row],[Column1]],[1]Sheet1!$A:$AO,15,FALSE)</f>
        <v>45415</v>
      </c>
      <c r="P714" s="375"/>
      <c r="Q714" s="375"/>
      <c r="R714" s="376"/>
      <c r="S714" s="583" t="s">
        <v>713</v>
      </c>
      <c r="T714" s="583">
        <f>VLOOKUP(Table13[[#This Row],[Column1]],[1]Sheet1!$A:$AO,20,FALSE)</f>
        <v>45426</v>
      </c>
      <c r="U714" s="583"/>
      <c r="V714" s="376"/>
      <c r="W714" s="376"/>
      <c r="X714" s="402"/>
      <c r="Y714" s="402"/>
      <c r="Z714" s="610" t="s">
        <v>1478</v>
      </c>
      <c r="AA714" s="532">
        <f>IF(Table13[[#This Row],[Column2]]="","",SUM(Table13[[#This Row],[Column28]]+Table13[[#This Row],[Column29]]))</f>
        <v>5300</v>
      </c>
      <c r="AB714" s="537">
        <v>5300</v>
      </c>
      <c r="AC714" s="502"/>
      <c r="AD714" s="532">
        <f>IF(Table13[[#This Row],[Column2]]="","",SUM(Table13[[#This Row],[Column31]]+Table13[[#This Row],[Column32]]))</f>
        <v>5300</v>
      </c>
      <c r="AE714" s="501">
        <v>5300</v>
      </c>
      <c r="AF714" s="541"/>
      <c r="AG714" s="405"/>
      <c r="AH714" s="380" t="s">
        <v>1205</v>
      </c>
      <c r="AI714" s="576" t="str">
        <f>VLOOKUP(Table13[[#This Row],[Column1]],[1]Sheet1!$A:$AO,35,FALSE)</f>
        <v>N/A</v>
      </c>
      <c r="AJ714" s="576" t="str">
        <f>VLOOKUP(Table13[[#This Row],[Column1]],[1]Sheet1!$A:$AO,36,FALSE)</f>
        <v>N/A</v>
      </c>
      <c r="AK714" s="576" t="str">
        <f>VLOOKUP(Table13[[#This Row],[Column1]],[1]Sheet1!$A:$AO,37,FALSE)</f>
        <v>N/A</v>
      </c>
      <c r="AL714" s="576" t="str">
        <f>VLOOKUP(Table13[[#This Row],[Column1]],[1]Sheet1!$A:$AO,38,FALSE)</f>
        <v>N/A</v>
      </c>
      <c r="AM714" s="576" t="str">
        <f>VLOOKUP(Table13[[#This Row],[Column1]],[1]Sheet1!$A:$AO,39,FALSE)</f>
        <v>N/A</v>
      </c>
      <c r="AN714" s="576" t="s">
        <v>713</v>
      </c>
      <c r="AO714" s="303" t="s">
        <v>1172</v>
      </c>
      <c r="AP714" s="378"/>
      <c r="AQ714" s="237"/>
    </row>
    <row r="715" spans="1:43" s="238" customFormat="1" ht="75" customHeight="1" x14ac:dyDescent="0.25">
      <c r="A715" s="297" t="s">
        <v>927</v>
      </c>
      <c r="B715" s="627" t="str">
        <f>VLOOKUP(Table13[[#This Row],[Column1]],[1]Sheet1!$A:$AO,2,FALSE)</f>
        <v>PAINTING MATERIALS</v>
      </c>
      <c r="C715" s="298" t="str">
        <f>VLOOKUP(Table13[[#This Row],[Column1]],[1]Sheet1!$A:$AO,3,FALSE)</f>
        <v>PEO-Motorpool</v>
      </c>
      <c r="D715" s="298" t="s">
        <v>712</v>
      </c>
      <c r="E715" s="450" t="str">
        <f>VLOOKUP(Table13[[#This Row],[Column1]],[1]Sheet1!$A:$AO,5,FALSE)</f>
        <v>NP-53.9 - Small Value Procurement</v>
      </c>
      <c r="F715" s="446">
        <f>VLOOKUP(Table13[[#This Row],[Column1]],[1]Sheet1!$A:$AO,6,FALSE)</f>
        <v>45384</v>
      </c>
      <c r="G715" s="402">
        <f>VLOOKUP(Table13[[#This Row],[Column1]],[1]Sheet1!$A:$AO,7,FALSE)</f>
        <v>45390</v>
      </c>
      <c r="H715" s="374"/>
      <c r="I715" s="402" t="str">
        <f>VLOOKUP(Table13[[#This Row],[Column1]],[1]Sheet1!$A:$AO,9,FALSE)</f>
        <v>N/A</v>
      </c>
      <c r="J715" s="402">
        <f>VLOOKUP(Table13[[#This Row],[Column1]],[1]Sheet1!$A:$AO,10,FALSE)</f>
        <v>45421</v>
      </c>
      <c r="K715" s="402">
        <f>VLOOKUP(Table13[[#This Row],[Column1]],[1]Sheet1!$A:$AO,11,FALSE)</f>
        <v>45421</v>
      </c>
      <c r="L715" s="404"/>
      <c r="M715" s="402" t="str">
        <f>VLOOKUP(Table13[[#This Row],[Column1]],[1]Sheet1!$A:$AO,13,FALSE)</f>
        <v>N/A</v>
      </c>
      <c r="N715" s="402" t="str">
        <f>VLOOKUP(Table13[[#This Row],[Column1]],[1]Sheet1!$A:$AO,14,FALSE)</f>
        <v>N/A</v>
      </c>
      <c r="O715" s="402">
        <f>VLOOKUP(Table13[[#This Row],[Column1]],[1]Sheet1!$A:$AO,15,FALSE)</f>
        <v>45425</v>
      </c>
      <c r="P715" s="375"/>
      <c r="Q715" s="375"/>
      <c r="R715" s="376"/>
      <c r="S715" s="583">
        <f>VLOOKUP(Table13[[#This Row],[Column1]],[1]Sheet1!$A:$AO,19,FALSE)</f>
        <v>45428</v>
      </c>
      <c r="T715" s="583">
        <f>VLOOKUP(Table13[[#This Row],[Column1]],[1]Sheet1!$A:$AO,20,FALSE)</f>
        <v>45435</v>
      </c>
      <c r="U715" s="583"/>
      <c r="V715" s="376"/>
      <c r="W715" s="376"/>
      <c r="X715" s="402"/>
      <c r="Y715" s="402"/>
      <c r="Z715" s="610" t="s">
        <v>1478</v>
      </c>
      <c r="AA715" s="532">
        <f>IF(Table13[[#This Row],[Column2]]="","",SUM(Table13[[#This Row],[Column28]]+Table13[[#This Row],[Column29]]))</f>
        <v>274632</v>
      </c>
      <c r="AB715" s="537">
        <v>274632</v>
      </c>
      <c r="AC715" s="502"/>
      <c r="AD715" s="532">
        <f>IF(Table13[[#This Row],[Column2]]="","",SUM(Table13[[#This Row],[Column31]]+Table13[[#This Row],[Column32]]))</f>
        <v>271008</v>
      </c>
      <c r="AE715" s="501">
        <v>271008</v>
      </c>
      <c r="AF715" s="541"/>
      <c r="AG715" s="405"/>
      <c r="AH715" s="380" t="s">
        <v>1205</v>
      </c>
      <c r="AI715" s="576" t="str">
        <f>VLOOKUP(Table13[[#This Row],[Column1]],[1]Sheet1!$A:$AO,35,FALSE)</f>
        <v>N/A</v>
      </c>
      <c r="AJ715" s="576" t="str">
        <f>VLOOKUP(Table13[[#This Row],[Column1]],[1]Sheet1!$A:$AO,36,FALSE)</f>
        <v>N/A</v>
      </c>
      <c r="AK715" s="576" t="str">
        <f>VLOOKUP(Table13[[#This Row],[Column1]],[1]Sheet1!$A:$AO,37,FALSE)</f>
        <v>N/A</v>
      </c>
      <c r="AL715" s="576" t="str">
        <f>VLOOKUP(Table13[[#This Row],[Column1]],[1]Sheet1!$A:$AO,38,FALSE)</f>
        <v>N/A</v>
      </c>
      <c r="AM715" s="576" t="str">
        <f>VLOOKUP(Table13[[#This Row],[Column1]],[1]Sheet1!$A:$AO,39,FALSE)</f>
        <v>N/A</v>
      </c>
      <c r="AN715" s="576" t="s">
        <v>713</v>
      </c>
      <c r="AO715" s="303" t="s">
        <v>1172</v>
      </c>
      <c r="AP715" s="378"/>
      <c r="AQ715" s="237"/>
    </row>
    <row r="716" spans="1:43" s="238" customFormat="1" ht="75" customHeight="1" x14ac:dyDescent="0.25">
      <c r="A716" s="297" t="s">
        <v>928</v>
      </c>
      <c r="B716" s="627" t="str">
        <f>VLOOKUP(Table13[[#This Row],[Column1]],[1]Sheet1!$A:$AO,2,FALSE)</f>
        <v>SPAREPARTS (MOTORCYCLE)</v>
      </c>
      <c r="C716" s="298" t="str">
        <f>VLOOKUP(Table13[[#This Row],[Column1]],[1]Sheet1!$A:$AO,3,FALSE)</f>
        <v>PGSO</v>
      </c>
      <c r="D716" s="298" t="s">
        <v>712</v>
      </c>
      <c r="E716" s="450" t="str">
        <f>VLOOKUP(Table13[[#This Row],[Column1]],[1]Sheet1!$A:$AO,5,FALSE)</f>
        <v>NP-53.9 - Small Value Procurement</v>
      </c>
      <c r="F716" s="446">
        <f>VLOOKUP(Table13[[#This Row],[Column1]],[1]Sheet1!$A:$AO,6,FALSE)</f>
        <v>45407</v>
      </c>
      <c r="G716" s="402">
        <f>VLOOKUP(Table13[[#This Row],[Column1]],[1]Sheet1!$A:$AO,7,FALSE)</f>
        <v>45412</v>
      </c>
      <c r="H716" s="374"/>
      <c r="I716" s="402" t="str">
        <f>VLOOKUP(Table13[[#This Row],[Column1]],[1]Sheet1!$A:$AO,9,FALSE)</f>
        <v>N/A</v>
      </c>
      <c r="J716" s="402">
        <f>VLOOKUP(Table13[[#This Row],[Column1]],[1]Sheet1!$A:$AO,10,FALSE)</f>
        <v>45421</v>
      </c>
      <c r="K716" s="402">
        <f>VLOOKUP(Table13[[#This Row],[Column1]],[1]Sheet1!$A:$AO,11,FALSE)</f>
        <v>45421</v>
      </c>
      <c r="L716" s="404"/>
      <c r="M716" s="402" t="str">
        <f>VLOOKUP(Table13[[#This Row],[Column1]],[1]Sheet1!$A:$AO,13,FALSE)</f>
        <v>N/A</v>
      </c>
      <c r="N716" s="402" t="str">
        <f>VLOOKUP(Table13[[#This Row],[Column1]],[1]Sheet1!$A:$AO,14,FALSE)</f>
        <v>N/A</v>
      </c>
      <c r="O716" s="402">
        <f>VLOOKUP(Table13[[#This Row],[Column1]],[1]Sheet1!$A:$AO,15,FALSE)</f>
        <v>45425</v>
      </c>
      <c r="P716" s="375"/>
      <c r="Q716" s="375"/>
      <c r="R716" s="376"/>
      <c r="S716" s="583" t="s">
        <v>713</v>
      </c>
      <c r="T716" s="583">
        <f>VLOOKUP(Table13[[#This Row],[Column1]],[1]Sheet1!$A:$AO,20,FALSE)</f>
        <v>45435</v>
      </c>
      <c r="U716" s="583"/>
      <c r="V716" s="376"/>
      <c r="W716" s="376"/>
      <c r="X716" s="402"/>
      <c r="Y716" s="402"/>
      <c r="Z716" s="610" t="s">
        <v>1478</v>
      </c>
      <c r="AA716" s="532">
        <f>IF(Table13[[#This Row],[Column2]]="","",SUM(Table13[[#This Row],[Column28]]+Table13[[#This Row],[Column29]]))</f>
        <v>23000</v>
      </c>
      <c r="AB716" s="537">
        <v>23000</v>
      </c>
      <c r="AC716" s="502"/>
      <c r="AD716" s="532">
        <f>IF(Table13[[#This Row],[Column2]]="","",SUM(Table13[[#This Row],[Column31]]+Table13[[#This Row],[Column32]]))</f>
        <v>23000</v>
      </c>
      <c r="AE716" s="501">
        <v>23000</v>
      </c>
      <c r="AF716" s="541"/>
      <c r="AG716" s="405"/>
      <c r="AH716" s="380" t="s">
        <v>1205</v>
      </c>
      <c r="AI716" s="576" t="str">
        <f>VLOOKUP(Table13[[#This Row],[Column1]],[1]Sheet1!$A:$AO,35,FALSE)</f>
        <v>N/A</v>
      </c>
      <c r="AJ716" s="576" t="str">
        <f>VLOOKUP(Table13[[#This Row],[Column1]],[1]Sheet1!$A:$AO,36,FALSE)</f>
        <v>N/A</v>
      </c>
      <c r="AK716" s="576" t="str">
        <f>VLOOKUP(Table13[[#This Row],[Column1]],[1]Sheet1!$A:$AO,37,FALSE)</f>
        <v>N/A</v>
      </c>
      <c r="AL716" s="576" t="str">
        <f>VLOOKUP(Table13[[#This Row],[Column1]],[1]Sheet1!$A:$AO,38,FALSE)</f>
        <v>N/A</v>
      </c>
      <c r="AM716" s="576" t="str">
        <f>VLOOKUP(Table13[[#This Row],[Column1]],[1]Sheet1!$A:$AO,39,FALSE)</f>
        <v>N/A</v>
      </c>
      <c r="AN716" s="576" t="s">
        <v>713</v>
      </c>
      <c r="AO716" s="303" t="s">
        <v>1172</v>
      </c>
      <c r="AP716" s="378"/>
      <c r="AQ716" s="237"/>
    </row>
    <row r="717" spans="1:43" s="238" customFormat="1" ht="75" customHeight="1" x14ac:dyDescent="0.25">
      <c r="A717" s="297" t="s">
        <v>929</v>
      </c>
      <c r="B717" s="627" t="str">
        <f>VLOOKUP(Table13[[#This Row],[Column1]],[1]Sheet1!$A:$AO,2,FALSE)</f>
        <v>INSTALLATION OF THREE PHASE ELECTRICAL TRANSMISSION LINE</v>
      </c>
      <c r="C717" s="298" t="str">
        <f>VLOOKUP(Table13[[#This Row],[Column1]],[1]Sheet1!$A:$AO,3,FALSE)</f>
        <v>PAGRO</v>
      </c>
      <c r="D717" s="298" t="s">
        <v>712</v>
      </c>
      <c r="E717" s="450" t="str">
        <f>VLOOKUP(Table13[[#This Row],[Column1]],[1]Sheet1!$A:$AO,5,FALSE)</f>
        <v>Competitive Bidding</v>
      </c>
      <c r="F717" s="446">
        <f>VLOOKUP(Table13[[#This Row],[Column1]],[1]Sheet1!$A:$AO,6,FALSE)</f>
        <v>45384</v>
      </c>
      <c r="G717" s="402">
        <f>VLOOKUP(Table13[[#This Row],[Column1]],[1]Sheet1!$A:$AO,7,FALSE)</f>
        <v>45390</v>
      </c>
      <c r="H717" s="374"/>
      <c r="I717" s="402">
        <f>VLOOKUP(Table13[[#This Row],[Column1]],[1]Sheet1!$A:$AO,9,FALSE)</f>
        <v>45398</v>
      </c>
      <c r="J717" s="402">
        <f>VLOOKUP(Table13[[#This Row],[Column1]],[1]Sheet1!$A:$AO,10,FALSE)</f>
        <v>45412</v>
      </c>
      <c r="K717" s="402">
        <f>VLOOKUP(Table13[[#This Row],[Column1]],[1]Sheet1!$A:$AO,11,FALSE)</f>
        <v>45412</v>
      </c>
      <c r="L717" s="404"/>
      <c r="M717" s="402">
        <f>VLOOKUP(Table13[[#This Row],[Column1]],[1]Sheet1!$A:$AO,13,FALSE)</f>
        <v>45412</v>
      </c>
      <c r="N717" s="402">
        <f>VLOOKUP(Table13[[#This Row],[Column1]],[1]Sheet1!$A:$AO,14,FALSE)</f>
        <v>45422</v>
      </c>
      <c r="O717" s="402">
        <f>VLOOKUP(Table13[[#This Row],[Column1]],[1]Sheet1!$A:$AO,15,FALSE)</f>
        <v>45428</v>
      </c>
      <c r="P717" s="375"/>
      <c r="Q717" s="375"/>
      <c r="R717" s="376"/>
      <c r="S717" s="583">
        <v>45428</v>
      </c>
      <c r="T717" s="583">
        <f>VLOOKUP(Table13[[#This Row],[Column1]],[1]Sheet1!$A:$AO,20,FALSE)</f>
        <v>45434</v>
      </c>
      <c r="U717" s="583"/>
      <c r="V717" s="376"/>
      <c r="W717" s="376"/>
      <c r="X717" s="402"/>
      <c r="Y717" s="402"/>
      <c r="Z717" s="610" t="s">
        <v>1478</v>
      </c>
      <c r="AA717" s="532">
        <f>IF(Table13[[#This Row],[Column2]]="","",SUM(Table13[[#This Row],[Column28]]+Table13[[#This Row],[Column29]]))</f>
        <v>3937264.26</v>
      </c>
      <c r="AB717" s="537"/>
      <c r="AC717" s="502">
        <v>3937264.26</v>
      </c>
      <c r="AD717" s="532">
        <f>IF(Table13[[#This Row],[Column2]]="","",SUM(Table13[[#This Row],[Column31]]+Table13[[#This Row],[Column32]]))</f>
        <v>3936264.26</v>
      </c>
      <c r="AE717" s="501"/>
      <c r="AF717" s="541">
        <v>3936264.26</v>
      </c>
      <c r="AG717" s="405"/>
      <c r="AH717" s="380" t="s">
        <v>1205</v>
      </c>
      <c r="AI717" s="576">
        <f>VLOOKUP(Table13[[#This Row],[Column1]],[1]Sheet1!$A:$AO,35,FALSE)</f>
        <v>45393</v>
      </c>
      <c r="AJ717" s="576">
        <f>VLOOKUP(Table13[[#This Row],[Column1]],[1]Sheet1!$A:$AO,36,FALSE)</f>
        <v>45406</v>
      </c>
      <c r="AK717" s="576">
        <f>VLOOKUP(Table13[[#This Row],[Column1]],[1]Sheet1!$A:$AO,37,FALSE)</f>
        <v>45406</v>
      </c>
      <c r="AL717" s="576">
        <f>VLOOKUP(Table13[[#This Row],[Column1]],[1]Sheet1!$A:$AO,38,FALSE)</f>
        <v>45406</v>
      </c>
      <c r="AM717" s="576" t="str">
        <f>VLOOKUP(Table13[[#This Row],[Column1]],[1]Sheet1!$A:$AO,39,FALSE)</f>
        <v>N/A</v>
      </c>
      <c r="AN717" s="576" t="s">
        <v>713</v>
      </c>
      <c r="AO717" s="303" t="s">
        <v>1172</v>
      </c>
      <c r="AP717" s="378"/>
      <c r="AQ717" s="237"/>
    </row>
    <row r="718" spans="1:43" s="238" customFormat="1" ht="75" customHeight="1" x14ac:dyDescent="0.25">
      <c r="A718" s="297" t="s">
        <v>930</v>
      </c>
      <c r="B718" s="627" t="str">
        <f>VLOOKUP(Table13[[#This Row],[Column1]],[1]Sheet1!$A:$AO,2,FALSE)</f>
        <v>JOB OUT: TIRE CHANGING &amp; VULCANIZING</v>
      </c>
      <c r="C718" s="298" t="str">
        <f>VLOOKUP(Table13[[#This Row],[Column1]],[1]Sheet1!$A:$AO,3,FALSE)</f>
        <v>PGSO</v>
      </c>
      <c r="D718" s="298" t="s">
        <v>712</v>
      </c>
      <c r="E718" s="450" t="str">
        <f>VLOOKUP(Table13[[#This Row],[Column1]],[1]Sheet1!$A:$AO,5,FALSE)</f>
        <v>Shopping 52.1(a) - Unforeseen Contingency</v>
      </c>
      <c r="F718" s="446" t="str">
        <f>VLOOKUP(Table13[[#This Row],[Column1]],[1]Sheet1!$A:$AO,6,FALSE)</f>
        <v>N/A</v>
      </c>
      <c r="G718" s="402">
        <f>VLOOKUP(Table13[[#This Row],[Column1]],[1]Sheet1!$A:$AO,7,FALSE)</f>
        <v>45404</v>
      </c>
      <c r="H718" s="374"/>
      <c r="I718" s="402" t="str">
        <f>VLOOKUP(Table13[[#This Row],[Column1]],[1]Sheet1!$A:$AO,9,FALSE)</f>
        <v>N/A</v>
      </c>
      <c r="J718" s="402">
        <f>VLOOKUP(Table13[[#This Row],[Column1]],[1]Sheet1!$A:$AO,10,FALSE)</f>
        <v>45426</v>
      </c>
      <c r="K718" s="402">
        <f>VLOOKUP(Table13[[#This Row],[Column1]],[1]Sheet1!$A:$AO,11,FALSE)</f>
        <v>45426</v>
      </c>
      <c r="L718" s="404"/>
      <c r="M718" s="402" t="str">
        <f>VLOOKUP(Table13[[#This Row],[Column1]],[1]Sheet1!$A:$AO,13,FALSE)</f>
        <v>N/A</v>
      </c>
      <c r="N718" s="402" t="str">
        <f>VLOOKUP(Table13[[#This Row],[Column1]],[1]Sheet1!$A:$AO,14,FALSE)</f>
        <v>N/A</v>
      </c>
      <c r="O718" s="402">
        <f>VLOOKUP(Table13[[#This Row],[Column1]],[1]Sheet1!$A:$AO,15,FALSE)</f>
        <v>45428</v>
      </c>
      <c r="P718" s="375"/>
      <c r="Q718" s="375"/>
      <c r="R718" s="376"/>
      <c r="S718" s="583" t="s">
        <v>713</v>
      </c>
      <c r="T718" s="583">
        <f>VLOOKUP(Table13[[#This Row],[Column1]],[1]Sheet1!$A:$AO,20,FALSE)</f>
        <v>45434</v>
      </c>
      <c r="U718" s="583"/>
      <c r="V718" s="376"/>
      <c r="W718" s="376"/>
      <c r="X718" s="402"/>
      <c r="Y718" s="402"/>
      <c r="Z718" s="610" t="s">
        <v>1478</v>
      </c>
      <c r="AA718" s="532">
        <f>IF(Table13[[#This Row],[Column2]]="","",SUM(Table13[[#This Row],[Column28]]+Table13[[#This Row],[Column29]]))</f>
        <v>700</v>
      </c>
      <c r="AB718" s="537">
        <v>700</v>
      </c>
      <c r="AC718" s="502"/>
      <c r="AD718" s="532">
        <f>IF(Table13[[#This Row],[Column2]]="","",SUM(Table13[[#This Row],[Column31]]+Table13[[#This Row],[Column32]]))</f>
        <v>700</v>
      </c>
      <c r="AE718" s="501">
        <v>700</v>
      </c>
      <c r="AF718" s="541"/>
      <c r="AG718" s="405"/>
      <c r="AH718" s="380" t="s">
        <v>1205</v>
      </c>
      <c r="AI718" s="576" t="str">
        <f>VLOOKUP(Table13[[#This Row],[Column1]],[1]Sheet1!$A:$AO,35,FALSE)</f>
        <v>N/A</v>
      </c>
      <c r="AJ718" s="576" t="str">
        <f>VLOOKUP(Table13[[#This Row],[Column1]],[1]Sheet1!$A:$AO,36,FALSE)</f>
        <v>N/A</v>
      </c>
      <c r="AK718" s="576" t="str">
        <f>VLOOKUP(Table13[[#This Row],[Column1]],[1]Sheet1!$A:$AO,37,FALSE)</f>
        <v>N/A</v>
      </c>
      <c r="AL718" s="576" t="str">
        <f>VLOOKUP(Table13[[#This Row],[Column1]],[1]Sheet1!$A:$AO,38,FALSE)</f>
        <v>N/A</v>
      </c>
      <c r="AM718" s="576" t="str">
        <f>VLOOKUP(Table13[[#This Row],[Column1]],[1]Sheet1!$A:$AO,39,FALSE)</f>
        <v>N/A</v>
      </c>
      <c r="AN718" s="576" t="s">
        <v>713</v>
      </c>
      <c r="AO718" s="303" t="s">
        <v>1172</v>
      </c>
      <c r="AP718" s="378"/>
      <c r="AQ718" s="237"/>
    </row>
    <row r="719" spans="1:43" s="238" customFormat="1" ht="75" customHeight="1" x14ac:dyDescent="0.25">
      <c r="A719" s="297" t="s">
        <v>931</v>
      </c>
      <c r="B719" s="627" t="str">
        <f>VLOOKUP(Table13[[#This Row],[Column1]],[1]Sheet1!$A:$AO,2,FALSE)</f>
        <v>OFFICE SUPPLIES</v>
      </c>
      <c r="C719" s="298" t="str">
        <f>VLOOKUP(Table13[[#This Row],[Column1]],[1]Sheet1!$A:$AO,3,FALSE)</f>
        <v>PGO</v>
      </c>
      <c r="D719" s="298" t="s">
        <v>712</v>
      </c>
      <c r="E719" s="450" t="str">
        <f>VLOOKUP(Table13[[#This Row],[Column1]],[1]Sheet1!$A:$AO,5,FALSE)</f>
        <v>Shopping 52.1(b) - Regular Office Supplies and Equipment no available in PS</v>
      </c>
      <c r="F719" s="446">
        <f>VLOOKUP(Table13[[#This Row],[Column1]],[1]Sheet1!$A:$AO,6,FALSE)</f>
        <v>45390</v>
      </c>
      <c r="G719" s="402">
        <f>VLOOKUP(Table13[[#This Row],[Column1]],[1]Sheet1!$A:$AO,7,FALSE)</f>
        <v>45397</v>
      </c>
      <c r="H719" s="374"/>
      <c r="I719" s="402" t="str">
        <f>VLOOKUP(Table13[[#This Row],[Column1]],[1]Sheet1!$A:$AO,9,FALSE)</f>
        <v>N/A</v>
      </c>
      <c r="J719" s="402">
        <f>VLOOKUP(Table13[[#This Row],[Column1]],[1]Sheet1!$A:$AO,10,FALSE)</f>
        <v>45426</v>
      </c>
      <c r="K719" s="402">
        <f>VLOOKUP(Table13[[#This Row],[Column1]],[1]Sheet1!$A:$AO,11,FALSE)</f>
        <v>45426</v>
      </c>
      <c r="L719" s="404"/>
      <c r="M719" s="402" t="str">
        <f>VLOOKUP(Table13[[#This Row],[Column1]],[1]Sheet1!$A:$AO,13,FALSE)</f>
        <v>N/A</v>
      </c>
      <c r="N719" s="402" t="str">
        <f>VLOOKUP(Table13[[#This Row],[Column1]],[1]Sheet1!$A:$AO,14,FALSE)</f>
        <v>N/A</v>
      </c>
      <c r="O719" s="402">
        <f>VLOOKUP(Table13[[#This Row],[Column1]],[1]Sheet1!$A:$AO,15,FALSE)</f>
        <v>45428</v>
      </c>
      <c r="P719" s="375"/>
      <c r="Q719" s="375"/>
      <c r="R719" s="376"/>
      <c r="S719" s="583">
        <v>45428</v>
      </c>
      <c r="T719" s="583">
        <f>VLOOKUP(Table13[[#This Row],[Column1]],[1]Sheet1!$A:$AO,20,FALSE)</f>
        <v>45434</v>
      </c>
      <c r="U719" s="583"/>
      <c r="V719" s="376"/>
      <c r="W719" s="376"/>
      <c r="X719" s="402"/>
      <c r="Y719" s="402"/>
      <c r="Z719" s="610" t="s">
        <v>1478</v>
      </c>
      <c r="AA719" s="532">
        <f>IF(Table13[[#This Row],[Column2]]="","",SUM(Table13[[#This Row],[Column28]]+Table13[[#This Row],[Column29]]))</f>
        <v>53678</v>
      </c>
      <c r="AB719" s="537"/>
      <c r="AC719" s="502">
        <v>53678</v>
      </c>
      <c r="AD719" s="532">
        <f>IF(Table13[[#This Row],[Column2]]="","",SUM(Table13[[#This Row],[Column31]]+Table13[[#This Row],[Column32]]))</f>
        <v>53678</v>
      </c>
      <c r="AE719" s="501"/>
      <c r="AF719" s="541">
        <v>53678</v>
      </c>
      <c r="AG719" s="405"/>
      <c r="AH719" s="380" t="s">
        <v>1205</v>
      </c>
      <c r="AI719" s="576" t="str">
        <f>VLOOKUP(Table13[[#This Row],[Column1]],[1]Sheet1!$A:$AO,35,FALSE)</f>
        <v>N/A</v>
      </c>
      <c r="AJ719" s="576" t="str">
        <f>VLOOKUP(Table13[[#This Row],[Column1]],[1]Sheet1!$A:$AO,36,FALSE)</f>
        <v>N/A</v>
      </c>
      <c r="AK719" s="576" t="str">
        <f>VLOOKUP(Table13[[#This Row],[Column1]],[1]Sheet1!$A:$AO,37,FALSE)</f>
        <v>N/A</v>
      </c>
      <c r="AL719" s="576" t="str">
        <f>VLOOKUP(Table13[[#This Row],[Column1]],[1]Sheet1!$A:$AO,38,FALSE)</f>
        <v>N/A</v>
      </c>
      <c r="AM719" s="576" t="str">
        <f>VLOOKUP(Table13[[#This Row],[Column1]],[1]Sheet1!$A:$AO,39,FALSE)</f>
        <v>N/A</v>
      </c>
      <c r="AN719" s="576" t="s">
        <v>713</v>
      </c>
      <c r="AO719" s="303" t="s">
        <v>1172</v>
      </c>
      <c r="AP719" s="378"/>
      <c r="AQ719" s="237"/>
    </row>
    <row r="720" spans="1:43" s="238" customFormat="1" ht="75" customHeight="1" x14ac:dyDescent="0.25">
      <c r="A720" s="297" t="s">
        <v>932</v>
      </c>
      <c r="B720" s="627" t="str">
        <f>VLOOKUP(Table13[[#This Row],[Column1]],[1]Sheet1!$A:$AO,2,FALSE)</f>
        <v>DUPLICATING PRODUCTS/SPAREPARTS</v>
      </c>
      <c r="C720" s="298" t="str">
        <f>VLOOKUP(Table13[[#This Row],[Column1]],[1]Sheet1!$A:$AO,3,FALSE)</f>
        <v>SPO</v>
      </c>
      <c r="D720" s="298" t="s">
        <v>712</v>
      </c>
      <c r="E720" s="450" t="str">
        <f>VLOOKUP(Table13[[#This Row],[Column1]],[1]Sheet1!$A:$AO,5,FALSE)</f>
        <v>Direct Contracting</v>
      </c>
      <c r="F720" s="446" t="str">
        <f>VLOOKUP(Table13[[#This Row],[Column1]],[1]Sheet1!$A:$AO,6,FALSE)</f>
        <v>N/A</v>
      </c>
      <c r="G720" s="402">
        <f>VLOOKUP(Table13[[#This Row],[Column1]],[1]Sheet1!$A:$AO,7,FALSE)</f>
        <v>45422</v>
      </c>
      <c r="H720" s="374"/>
      <c r="I720" s="402" t="str">
        <f>VLOOKUP(Table13[[#This Row],[Column1]],[1]Sheet1!$A:$AO,9,FALSE)</f>
        <v>N/A</v>
      </c>
      <c r="J720" s="402">
        <f>VLOOKUP(Table13[[#This Row],[Column1]],[1]Sheet1!$A:$AO,10,FALSE)</f>
        <v>45426</v>
      </c>
      <c r="K720" s="402">
        <f>VLOOKUP(Table13[[#This Row],[Column1]],[1]Sheet1!$A:$AO,11,FALSE)</f>
        <v>45426</v>
      </c>
      <c r="L720" s="404"/>
      <c r="M720" s="402" t="str">
        <f>VLOOKUP(Table13[[#This Row],[Column1]],[1]Sheet1!$A:$AO,13,FALSE)</f>
        <v>N/A</v>
      </c>
      <c r="N720" s="402" t="str">
        <f>VLOOKUP(Table13[[#This Row],[Column1]],[1]Sheet1!$A:$AO,14,FALSE)</f>
        <v>N/A</v>
      </c>
      <c r="O720" s="402">
        <f>VLOOKUP(Table13[[#This Row],[Column1]],[1]Sheet1!$A:$AO,15,FALSE)</f>
        <v>45428</v>
      </c>
      <c r="P720" s="375"/>
      <c r="Q720" s="375"/>
      <c r="R720" s="376"/>
      <c r="S720" s="583" t="s">
        <v>713</v>
      </c>
      <c r="T720" s="583">
        <f>VLOOKUP(Table13[[#This Row],[Column1]],[1]Sheet1!$A:$AO,20,FALSE)</f>
        <v>45467</v>
      </c>
      <c r="U720" s="583"/>
      <c r="V720" s="376"/>
      <c r="W720" s="376"/>
      <c r="X720" s="402"/>
      <c r="Y720" s="402"/>
      <c r="Z720" s="610" t="s">
        <v>1478</v>
      </c>
      <c r="AA720" s="532">
        <f>IF(Table13[[#This Row],[Column2]]="","",SUM(Table13[[#This Row],[Column28]]+Table13[[#This Row],[Column29]]))</f>
        <v>44301</v>
      </c>
      <c r="AB720" s="537">
        <v>44301</v>
      </c>
      <c r="AC720" s="502"/>
      <c r="AD720" s="532">
        <f>IF(Table13[[#This Row],[Column2]]="","",SUM(Table13[[#This Row],[Column31]]+Table13[[#This Row],[Column32]]))</f>
        <v>42261</v>
      </c>
      <c r="AE720" s="501">
        <v>42261</v>
      </c>
      <c r="AF720" s="541"/>
      <c r="AG720" s="405"/>
      <c r="AH720" s="380" t="s">
        <v>1205</v>
      </c>
      <c r="AI720" s="576" t="str">
        <f>VLOOKUP(Table13[[#This Row],[Column1]],[1]Sheet1!$A:$AO,35,FALSE)</f>
        <v>N/A</v>
      </c>
      <c r="AJ720" s="576" t="str">
        <f>VLOOKUP(Table13[[#This Row],[Column1]],[1]Sheet1!$A:$AO,36,FALSE)</f>
        <v>N/A</v>
      </c>
      <c r="AK720" s="576" t="str">
        <f>VLOOKUP(Table13[[#This Row],[Column1]],[1]Sheet1!$A:$AO,37,FALSE)</f>
        <v>N/A</v>
      </c>
      <c r="AL720" s="576" t="str">
        <f>VLOOKUP(Table13[[#This Row],[Column1]],[1]Sheet1!$A:$AO,38,FALSE)</f>
        <v>N/A</v>
      </c>
      <c r="AM720" s="576" t="str">
        <f>VLOOKUP(Table13[[#This Row],[Column1]],[1]Sheet1!$A:$AO,39,FALSE)</f>
        <v>N/A</v>
      </c>
      <c r="AN720" s="576" t="s">
        <v>713</v>
      </c>
      <c r="AO720" s="303" t="s">
        <v>1172</v>
      </c>
      <c r="AP720" s="378"/>
      <c r="AQ720" s="237"/>
    </row>
    <row r="721" spans="1:43" s="238" customFormat="1" ht="75" customHeight="1" x14ac:dyDescent="0.25">
      <c r="A721" s="297" t="s">
        <v>933</v>
      </c>
      <c r="B721" s="627" t="str">
        <f>VLOOKUP(Table13[[#This Row],[Column1]],[1]Sheet1!$A:$AO,2,FALSE)</f>
        <v>SPAREPARTS (MOTORCYCLE)</v>
      </c>
      <c r="C721" s="298" t="str">
        <f>VLOOKUP(Table13[[#This Row],[Column1]],[1]Sheet1!$A:$AO,3,FALSE)</f>
        <v>PGSO</v>
      </c>
      <c r="D721" s="298" t="s">
        <v>712</v>
      </c>
      <c r="E721" s="450" t="str">
        <f>VLOOKUP(Table13[[#This Row],[Column1]],[1]Sheet1!$A:$AO,5,FALSE)</f>
        <v>NP-53.9 - Small Value Procurement</v>
      </c>
      <c r="F721" s="446">
        <f>VLOOKUP(Table13[[#This Row],[Column1]],[1]Sheet1!$A:$AO,6,FALSE)</f>
        <v>45407</v>
      </c>
      <c r="G721" s="402">
        <f>VLOOKUP(Table13[[#This Row],[Column1]],[1]Sheet1!$A:$AO,7,FALSE)</f>
        <v>45412</v>
      </c>
      <c r="H721" s="374"/>
      <c r="I721" s="402" t="str">
        <f>VLOOKUP(Table13[[#This Row],[Column1]],[1]Sheet1!$A:$AO,9,FALSE)</f>
        <v>N/A</v>
      </c>
      <c r="J721" s="402">
        <f>VLOOKUP(Table13[[#This Row],[Column1]],[1]Sheet1!$A:$AO,10,FALSE)</f>
        <v>45426</v>
      </c>
      <c r="K721" s="402">
        <f>VLOOKUP(Table13[[#This Row],[Column1]],[1]Sheet1!$A:$AO,11,FALSE)</f>
        <v>45426</v>
      </c>
      <c r="L721" s="404"/>
      <c r="M721" s="402" t="str">
        <f>VLOOKUP(Table13[[#This Row],[Column1]],[1]Sheet1!$A:$AO,13,FALSE)</f>
        <v>N/A</v>
      </c>
      <c r="N721" s="402" t="str">
        <f>VLOOKUP(Table13[[#This Row],[Column1]],[1]Sheet1!$A:$AO,14,FALSE)</f>
        <v>N/A</v>
      </c>
      <c r="O721" s="402">
        <f>VLOOKUP(Table13[[#This Row],[Column1]],[1]Sheet1!$A:$AO,15,FALSE)</f>
        <v>45428</v>
      </c>
      <c r="P721" s="375"/>
      <c r="Q721" s="375"/>
      <c r="R721" s="376"/>
      <c r="S721" s="583" t="s">
        <v>713</v>
      </c>
      <c r="T721" s="583">
        <f>VLOOKUP(Table13[[#This Row],[Column1]],[1]Sheet1!$A:$AO,20,FALSE)</f>
        <v>45435</v>
      </c>
      <c r="U721" s="583"/>
      <c r="V721" s="376"/>
      <c r="W721" s="376"/>
      <c r="X721" s="402"/>
      <c r="Y721" s="402"/>
      <c r="Z721" s="610" t="s">
        <v>1478</v>
      </c>
      <c r="AA721" s="532">
        <f>IF(Table13[[#This Row],[Column2]]="","",SUM(Table13[[#This Row],[Column28]]+Table13[[#This Row],[Column29]]))</f>
        <v>9200</v>
      </c>
      <c r="AB721" s="537">
        <v>9200</v>
      </c>
      <c r="AC721" s="502"/>
      <c r="AD721" s="532">
        <f>IF(Table13[[#This Row],[Column2]]="","",SUM(Table13[[#This Row],[Column31]]+Table13[[#This Row],[Column32]]))</f>
        <v>9166</v>
      </c>
      <c r="AE721" s="501">
        <v>9166</v>
      </c>
      <c r="AF721" s="541"/>
      <c r="AG721" s="405"/>
      <c r="AH721" s="380" t="s">
        <v>1205</v>
      </c>
      <c r="AI721" s="576" t="str">
        <f>VLOOKUP(Table13[[#This Row],[Column1]],[1]Sheet1!$A:$AO,35,FALSE)</f>
        <v>N/A</v>
      </c>
      <c r="AJ721" s="576" t="str">
        <f>VLOOKUP(Table13[[#This Row],[Column1]],[1]Sheet1!$A:$AO,36,FALSE)</f>
        <v>N/A</v>
      </c>
      <c r="AK721" s="576" t="str">
        <f>VLOOKUP(Table13[[#This Row],[Column1]],[1]Sheet1!$A:$AO,37,FALSE)</f>
        <v>N/A</v>
      </c>
      <c r="AL721" s="576" t="str">
        <f>VLOOKUP(Table13[[#This Row],[Column1]],[1]Sheet1!$A:$AO,38,FALSE)</f>
        <v>N/A</v>
      </c>
      <c r="AM721" s="576" t="str">
        <f>VLOOKUP(Table13[[#This Row],[Column1]],[1]Sheet1!$A:$AO,39,FALSE)</f>
        <v>N/A</v>
      </c>
      <c r="AN721" s="576" t="s">
        <v>713</v>
      </c>
      <c r="AO721" s="303" t="s">
        <v>1172</v>
      </c>
      <c r="AP721" s="378"/>
      <c r="AQ721" s="237"/>
    </row>
    <row r="722" spans="1:43" s="238" customFormat="1" ht="75" customHeight="1" x14ac:dyDescent="0.25">
      <c r="A722" s="297" t="s">
        <v>934</v>
      </c>
      <c r="B722" s="627" t="str">
        <f>VLOOKUP(Table13[[#This Row],[Column1]],[1]Sheet1!$A:$AO,2,FALSE)</f>
        <v>MEDICAL KIT</v>
      </c>
      <c r="C722" s="298" t="str">
        <f>VLOOKUP(Table13[[#This Row],[Column1]],[1]Sheet1!$A:$AO,3,FALSE)</f>
        <v>SEF</v>
      </c>
      <c r="D722" s="298" t="s">
        <v>712</v>
      </c>
      <c r="E722" s="450" t="str">
        <f>VLOOKUP(Table13[[#This Row],[Column1]],[1]Sheet1!$A:$AO,5,FALSE)</f>
        <v>NP-53.9 - Small Value Procurement</v>
      </c>
      <c r="F722" s="446">
        <f>VLOOKUP(Table13[[#This Row],[Column1]],[1]Sheet1!$A:$AO,6,FALSE)</f>
        <v>45390</v>
      </c>
      <c r="G722" s="402">
        <f>VLOOKUP(Table13[[#This Row],[Column1]],[1]Sheet1!$A:$AO,7,FALSE)</f>
        <v>45397</v>
      </c>
      <c r="H722" s="374"/>
      <c r="I722" s="402" t="str">
        <f>VLOOKUP(Table13[[#This Row],[Column1]],[1]Sheet1!$A:$AO,9,FALSE)</f>
        <v>N/A</v>
      </c>
      <c r="J722" s="402">
        <f>VLOOKUP(Table13[[#This Row],[Column1]],[1]Sheet1!$A:$AO,10,FALSE)</f>
        <v>45426</v>
      </c>
      <c r="K722" s="402">
        <f>VLOOKUP(Table13[[#This Row],[Column1]],[1]Sheet1!$A:$AO,11,FALSE)</f>
        <v>45426</v>
      </c>
      <c r="L722" s="404"/>
      <c r="M722" s="402" t="str">
        <f>VLOOKUP(Table13[[#This Row],[Column1]],[1]Sheet1!$A:$AO,13,FALSE)</f>
        <v>N/A</v>
      </c>
      <c r="N722" s="402" t="str">
        <f>VLOOKUP(Table13[[#This Row],[Column1]],[1]Sheet1!$A:$AO,14,FALSE)</f>
        <v>N/A</v>
      </c>
      <c r="O722" s="402">
        <f>VLOOKUP(Table13[[#This Row],[Column1]],[1]Sheet1!$A:$AO,15,FALSE)</f>
        <v>45428</v>
      </c>
      <c r="P722" s="375"/>
      <c r="Q722" s="375"/>
      <c r="R722" s="376"/>
      <c r="S722" s="583" t="s">
        <v>713</v>
      </c>
      <c r="T722" s="583">
        <f>VLOOKUP(Table13[[#This Row],[Column1]],[1]Sheet1!$A:$AO,20,FALSE)</f>
        <v>45434</v>
      </c>
      <c r="U722" s="583"/>
      <c r="V722" s="376"/>
      <c r="W722" s="376"/>
      <c r="X722" s="402"/>
      <c r="Y722" s="402"/>
      <c r="Z722" s="610" t="s">
        <v>1478</v>
      </c>
      <c r="AA722" s="532">
        <f>IF(Table13[[#This Row],[Column2]]="","",SUM(Table13[[#This Row],[Column28]]+Table13[[#This Row],[Column29]]))</f>
        <v>1925</v>
      </c>
      <c r="AB722" s="537"/>
      <c r="AC722" s="502">
        <v>1925</v>
      </c>
      <c r="AD722" s="532">
        <f>IF(Table13[[#This Row],[Column2]]="","",SUM(Table13[[#This Row],[Column31]]+Table13[[#This Row],[Column32]]))</f>
        <v>1920</v>
      </c>
      <c r="AE722" s="501"/>
      <c r="AF722" s="541">
        <v>1920</v>
      </c>
      <c r="AG722" s="405"/>
      <c r="AH722" s="380" t="s">
        <v>1205</v>
      </c>
      <c r="AI722" s="576" t="str">
        <f>VLOOKUP(Table13[[#This Row],[Column1]],[1]Sheet1!$A:$AO,35,FALSE)</f>
        <v>N/A</v>
      </c>
      <c r="AJ722" s="576" t="str">
        <f>VLOOKUP(Table13[[#This Row],[Column1]],[1]Sheet1!$A:$AO,36,FALSE)</f>
        <v>N/A</v>
      </c>
      <c r="AK722" s="576" t="str">
        <f>VLOOKUP(Table13[[#This Row],[Column1]],[1]Sheet1!$A:$AO,37,FALSE)</f>
        <v>N/A</v>
      </c>
      <c r="AL722" s="576" t="str">
        <f>VLOOKUP(Table13[[#This Row],[Column1]],[1]Sheet1!$A:$AO,38,FALSE)</f>
        <v>N/A</v>
      </c>
      <c r="AM722" s="576" t="str">
        <f>VLOOKUP(Table13[[#This Row],[Column1]],[1]Sheet1!$A:$AO,39,FALSE)</f>
        <v>N/A</v>
      </c>
      <c r="AN722" s="576" t="s">
        <v>713</v>
      </c>
      <c r="AO722" s="303" t="s">
        <v>1172</v>
      </c>
      <c r="AP722" s="378"/>
      <c r="AQ722" s="237"/>
    </row>
    <row r="723" spans="1:43" s="238" customFormat="1" ht="75" customHeight="1" x14ac:dyDescent="0.25">
      <c r="A723" s="297" t="s">
        <v>935</v>
      </c>
      <c r="B723" s="627" t="str">
        <f>VLOOKUP(Table13[[#This Row],[Column1]],[1]Sheet1!$A:$AO,2,FALSE)</f>
        <v>AGRICULTURAL SUPPLIES</v>
      </c>
      <c r="C723" s="298" t="str">
        <f>VLOOKUP(Table13[[#This Row],[Column1]],[1]Sheet1!$A:$AO,3,FALSE)</f>
        <v>PDRRMO</v>
      </c>
      <c r="D723" s="298" t="s">
        <v>712</v>
      </c>
      <c r="E723" s="450" t="str">
        <f>VLOOKUP(Table13[[#This Row],[Column1]],[1]Sheet1!$A:$AO,5,FALSE)</f>
        <v>NP-53.1 Two Failed Biddings</v>
      </c>
      <c r="F723" s="446" t="str">
        <f>VLOOKUP(Table13[[#This Row],[Column1]],[1]Sheet1!$A:$AO,6,FALSE)</f>
        <v>N/A</v>
      </c>
      <c r="G723" s="402">
        <f>VLOOKUP(Table13[[#This Row],[Column1]],[1]Sheet1!$A:$AO,7,FALSE)</f>
        <v>45404</v>
      </c>
      <c r="H723" s="374"/>
      <c r="I723" s="402" t="str">
        <f>VLOOKUP(Table13[[#This Row],[Column1]],[1]Sheet1!$A:$AO,9,FALSE)</f>
        <v>N/A</v>
      </c>
      <c r="J723" s="402">
        <f>VLOOKUP(Table13[[#This Row],[Column1]],[1]Sheet1!$A:$AO,10,FALSE)</f>
        <v>45426</v>
      </c>
      <c r="K723" s="402">
        <f>VLOOKUP(Table13[[#This Row],[Column1]],[1]Sheet1!$A:$AO,11,FALSE)</f>
        <v>45426</v>
      </c>
      <c r="L723" s="404"/>
      <c r="M723" s="402" t="str">
        <f>VLOOKUP(Table13[[#This Row],[Column1]],[1]Sheet1!$A:$AO,13,FALSE)</f>
        <v>N/A</v>
      </c>
      <c r="N723" s="402" t="str">
        <f>VLOOKUP(Table13[[#This Row],[Column1]],[1]Sheet1!$A:$AO,14,FALSE)</f>
        <v>N/A</v>
      </c>
      <c r="O723" s="402">
        <f>VLOOKUP(Table13[[#This Row],[Column1]],[1]Sheet1!$A:$AO,15,FALSE)</f>
        <v>45428</v>
      </c>
      <c r="P723" s="375"/>
      <c r="Q723" s="375"/>
      <c r="R723" s="376"/>
      <c r="S723" s="583">
        <v>45428</v>
      </c>
      <c r="T723" s="583">
        <f>VLOOKUP(Table13[[#This Row],[Column1]],[1]Sheet1!$A:$AO,20,FALSE)</f>
        <v>45434</v>
      </c>
      <c r="U723" s="583"/>
      <c r="V723" s="376"/>
      <c r="W723" s="376"/>
      <c r="X723" s="402"/>
      <c r="Y723" s="402"/>
      <c r="Z723" s="610" t="s">
        <v>1478</v>
      </c>
      <c r="AA723" s="532">
        <f>IF(Table13[[#This Row],[Column2]]="","",SUM(Table13[[#This Row],[Column28]]+Table13[[#This Row],[Column29]]))</f>
        <v>381472</v>
      </c>
      <c r="AB723" s="537"/>
      <c r="AC723" s="502">
        <v>381472</v>
      </c>
      <c r="AD723" s="532">
        <f>IF(Table13[[#This Row],[Column2]]="","",SUM(Table13[[#This Row],[Column31]]+Table13[[#This Row],[Column32]]))</f>
        <v>379255</v>
      </c>
      <c r="AE723" s="501"/>
      <c r="AF723" s="541">
        <v>379255</v>
      </c>
      <c r="AG723" s="405"/>
      <c r="AH723" s="380" t="s">
        <v>1205</v>
      </c>
      <c r="AI723" s="576" t="str">
        <f>VLOOKUP(Table13[[#This Row],[Column1]],[1]Sheet1!$A:$AO,35,FALSE)</f>
        <v>N/A</v>
      </c>
      <c r="AJ723" s="576" t="str">
        <f>VLOOKUP(Table13[[#This Row],[Column1]],[1]Sheet1!$A:$AO,36,FALSE)</f>
        <v>N/A</v>
      </c>
      <c r="AK723" s="576" t="str">
        <f>VLOOKUP(Table13[[#This Row],[Column1]],[1]Sheet1!$A:$AO,37,FALSE)</f>
        <v>N/A</v>
      </c>
      <c r="AL723" s="576" t="str">
        <f>VLOOKUP(Table13[[#This Row],[Column1]],[1]Sheet1!$A:$AO,38,FALSE)</f>
        <v>N/A</v>
      </c>
      <c r="AM723" s="576" t="str">
        <f>VLOOKUP(Table13[[#This Row],[Column1]],[1]Sheet1!$A:$AO,39,FALSE)</f>
        <v>N/A</v>
      </c>
      <c r="AN723" s="576" t="s">
        <v>713</v>
      </c>
      <c r="AO723" s="303" t="s">
        <v>1172</v>
      </c>
      <c r="AP723" s="378"/>
      <c r="AQ723" s="237"/>
    </row>
    <row r="724" spans="1:43" s="238" customFormat="1" ht="75" customHeight="1" x14ac:dyDescent="0.25">
      <c r="A724" s="297" t="s">
        <v>936</v>
      </c>
      <c r="B724" s="627" t="str">
        <f>VLOOKUP(Table13[[#This Row],[Column1]],[1]Sheet1!$A:$AO,2,FALSE)</f>
        <v>INTERNET FIREWALL
SUBSCRIPTION</v>
      </c>
      <c r="C724" s="298" t="str">
        <f>VLOOKUP(Table13[[#This Row],[Column1]],[1]Sheet1!$A:$AO,3,FALSE)</f>
        <v>PICTO</v>
      </c>
      <c r="D724" s="298" t="s">
        <v>712</v>
      </c>
      <c r="E724" s="450" t="str">
        <f>VLOOKUP(Table13[[#This Row],[Column1]],[1]Sheet1!$A:$AO,5,FALSE)</f>
        <v>Direct Contracting</v>
      </c>
      <c r="F724" s="446" t="str">
        <f>VLOOKUP(Table13[[#This Row],[Column1]],[1]Sheet1!$A:$AO,6,FALSE)</f>
        <v>N/A</v>
      </c>
      <c r="G724" s="402">
        <f>VLOOKUP(Table13[[#This Row],[Column1]],[1]Sheet1!$A:$AO,7,FALSE)</f>
        <v>45425</v>
      </c>
      <c r="H724" s="374"/>
      <c r="I724" s="402" t="str">
        <f>VLOOKUP(Table13[[#This Row],[Column1]],[1]Sheet1!$A:$AO,9,FALSE)</f>
        <v>N/A</v>
      </c>
      <c r="J724" s="402">
        <f>VLOOKUP(Table13[[#This Row],[Column1]],[1]Sheet1!$A:$AO,10,FALSE)</f>
        <v>45440</v>
      </c>
      <c r="K724" s="402">
        <f>VLOOKUP(Table13[[#This Row],[Column1]],[1]Sheet1!$A:$AO,11,FALSE)</f>
        <v>45440</v>
      </c>
      <c r="L724" s="404"/>
      <c r="M724" s="402" t="str">
        <f>VLOOKUP(Table13[[#This Row],[Column1]],[1]Sheet1!$A:$AO,13,FALSE)</f>
        <v>N/A</v>
      </c>
      <c r="N724" s="402" t="str">
        <f>VLOOKUP(Table13[[#This Row],[Column1]],[1]Sheet1!$A:$AO,14,FALSE)</f>
        <v>N/A</v>
      </c>
      <c r="O724" s="402">
        <f>VLOOKUP(Table13[[#This Row],[Column1]],[1]Sheet1!$A:$AO,15,FALSE)</f>
        <v>45441</v>
      </c>
      <c r="P724" s="375"/>
      <c r="Q724" s="375"/>
      <c r="R724" s="376"/>
      <c r="S724" s="583" t="s">
        <v>713</v>
      </c>
      <c r="T724" s="583">
        <f>VLOOKUP(Table13[[#This Row],[Column1]],[1]Sheet1!$A:$AO,20,FALSE)</f>
        <v>45454</v>
      </c>
      <c r="U724" s="583"/>
      <c r="V724" s="376"/>
      <c r="W724" s="376"/>
      <c r="X724" s="402"/>
      <c r="Y724" s="402"/>
      <c r="Z724" s="610" t="s">
        <v>1478</v>
      </c>
      <c r="AA724" s="532">
        <f>IF(Table13[[#This Row],[Column2]]="","",SUM(Table13[[#This Row],[Column28]]+Table13[[#This Row],[Column29]]))</f>
        <v>395000</v>
      </c>
      <c r="AB724" s="537">
        <v>395000</v>
      </c>
      <c r="AC724" s="502"/>
      <c r="AD724" s="532">
        <f>IF(Table13[[#This Row],[Column2]]="","",SUM(Table13[[#This Row],[Column31]]+Table13[[#This Row],[Column32]]))</f>
        <v>395000</v>
      </c>
      <c r="AE724" s="501">
        <v>395000</v>
      </c>
      <c r="AF724" s="541"/>
      <c r="AG724" s="405"/>
      <c r="AH724" s="380" t="s">
        <v>1205</v>
      </c>
      <c r="AI724" s="576" t="str">
        <f>VLOOKUP(Table13[[#This Row],[Column1]],[1]Sheet1!$A:$AO,35,FALSE)</f>
        <v>N/A</v>
      </c>
      <c r="AJ724" s="576" t="str">
        <f>VLOOKUP(Table13[[#This Row],[Column1]],[1]Sheet1!$A:$AO,36,FALSE)</f>
        <v>N/A</v>
      </c>
      <c r="AK724" s="576" t="str">
        <f>VLOOKUP(Table13[[#This Row],[Column1]],[1]Sheet1!$A:$AO,37,FALSE)</f>
        <v>N/A</v>
      </c>
      <c r="AL724" s="576" t="str">
        <f>VLOOKUP(Table13[[#This Row],[Column1]],[1]Sheet1!$A:$AO,38,FALSE)</f>
        <v>N/A</v>
      </c>
      <c r="AM724" s="576" t="str">
        <f>VLOOKUP(Table13[[#This Row],[Column1]],[1]Sheet1!$A:$AO,39,FALSE)</f>
        <v>N/A</v>
      </c>
      <c r="AN724" s="576" t="s">
        <v>713</v>
      </c>
      <c r="AO724" s="303" t="s">
        <v>1172</v>
      </c>
      <c r="AP724" s="378"/>
      <c r="AQ724" s="237"/>
    </row>
    <row r="725" spans="1:43" s="238" customFormat="1" ht="75" customHeight="1" x14ac:dyDescent="0.25">
      <c r="A725" s="297" t="s">
        <v>937</v>
      </c>
      <c r="B725" s="627" t="str">
        <f>VLOOKUP(Table13[[#This Row],[Column1]],[1]Sheet1!$A:$AO,2,FALSE)</f>
        <v>SPAREPARTS ( HOSPITAL
EQUIPMENT ) BATTERY
PACK, LB 1-A &amp; UD CONT
2002X</v>
      </c>
      <c r="C725" s="298" t="str">
        <f>VLOOKUP(Table13[[#This Row],[Column1]],[1]Sheet1!$A:$AO,3,FALSE)</f>
        <v>PEEMO</v>
      </c>
      <c r="D725" s="298" t="s">
        <v>712</v>
      </c>
      <c r="E725" s="450" t="str">
        <f>VLOOKUP(Table13[[#This Row],[Column1]],[1]Sheet1!$A:$AO,5,FALSE)</f>
        <v>Direct Contracting</v>
      </c>
      <c r="F725" s="446">
        <f>VLOOKUP(Table13[[#This Row],[Column1]],[1]Sheet1!$A:$AO,6,FALSE)</f>
        <v>45398</v>
      </c>
      <c r="G725" s="402">
        <f>VLOOKUP(Table13[[#This Row],[Column1]],[1]Sheet1!$A:$AO,7,FALSE)</f>
        <v>45404</v>
      </c>
      <c r="H725" s="374"/>
      <c r="I725" s="402" t="str">
        <f>VLOOKUP(Table13[[#This Row],[Column1]],[1]Sheet1!$A:$AO,9,FALSE)</f>
        <v>N/A</v>
      </c>
      <c r="J725" s="402">
        <f>VLOOKUP(Table13[[#This Row],[Column1]],[1]Sheet1!$A:$AO,10,FALSE)</f>
        <v>45440</v>
      </c>
      <c r="K725" s="402">
        <f>VLOOKUP(Table13[[#This Row],[Column1]],[1]Sheet1!$A:$AO,11,FALSE)</f>
        <v>45440</v>
      </c>
      <c r="L725" s="404"/>
      <c r="M725" s="402" t="str">
        <f>VLOOKUP(Table13[[#This Row],[Column1]],[1]Sheet1!$A:$AO,13,FALSE)</f>
        <v>N/A</v>
      </c>
      <c r="N725" s="402" t="str">
        <f>VLOOKUP(Table13[[#This Row],[Column1]],[1]Sheet1!$A:$AO,14,FALSE)</f>
        <v>N/A</v>
      </c>
      <c r="O725" s="402">
        <f>VLOOKUP(Table13[[#This Row],[Column1]],[1]Sheet1!$A:$AO,15,FALSE)</f>
        <v>45441</v>
      </c>
      <c r="P725" s="375"/>
      <c r="Q725" s="375"/>
      <c r="R725" s="376"/>
      <c r="S725" s="583" t="s">
        <v>713</v>
      </c>
      <c r="T725" s="583">
        <f>VLOOKUP(Table13[[#This Row],[Column1]],[1]Sheet1!$A:$AO,20,FALSE)</f>
        <v>45454</v>
      </c>
      <c r="U725" s="583"/>
      <c r="V725" s="376"/>
      <c r="W725" s="376"/>
      <c r="X725" s="402"/>
      <c r="Y725" s="402"/>
      <c r="Z725" s="610" t="s">
        <v>1478</v>
      </c>
      <c r="AA725" s="532">
        <f>IF(Table13[[#This Row],[Column2]]="","",SUM(Table13[[#This Row],[Column28]]+Table13[[#This Row],[Column29]]))</f>
        <v>428510</v>
      </c>
      <c r="AB725" s="537">
        <v>428510</v>
      </c>
      <c r="AC725" s="502"/>
      <c r="AD725" s="532">
        <f>IF(Table13[[#This Row],[Column2]]="","",SUM(Table13[[#This Row],[Column31]]+Table13[[#This Row],[Column32]]))</f>
        <v>428510</v>
      </c>
      <c r="AE725" s="501">
        <v>428510</v>
      </c>
      <c r="AF725" s="541"/>
      <c r="AG725" s="405"/>
      <c r="AH725" s="380" t="s">
        <v>1205</v>
      </c>
      <c r="AI725" s="576" t="str">
        <f>VLOOKUP(Table13[[#This Row],[Column1]],[1]Sheet1!$A:$AO,35,FALSE)</f>
        <v>N/A</v>
      </c>
      <c r="AJ725" s="576" t="str">
        <f>VLOOKUP(Table13[[#This Row],[Column1]],[1]Sheet1!$A:$AO,36,FALSE)</f>
        <v>N/A</v>
      </c>
      <c r="AK725" s="576" t="str">
        <f>VLOOKUP(Table13[[#This Row],[Column1]],[1]Sheet1!$A:$AO,37,FALSE)</f>
        <v>N/A</v>
      </c>
      <c r="AL725" s="576" t="str">
        <f>VLOOKUP(Table13[[#This Row],[Column1]],[1]Sheet1!$A:$AO,38,FALSE)</f>
        <v>N/A</v>
      </c>
      <c r="AM725" s="576" t="str">
        <f>VLOOKUP(Table13[[#This Row],[Column1]],[1]Sheet1!$A:$AO,39,FALSE)</f>
        <v>N/A</v>
      </c>
      <c r="AN725" s="576" t="s">
        <v>713</v>
      </c>
      <c r="AO725" s="303" t="s">
        <v>1172</v>
      </c>
      <c r="AP725" s="378"/>
      <c r="AQ725" s="237"/>
    </row>
    <row r="726" spans="1:43" s="238" customFormat="1" ht="75" customHeight="1" x14ac:dyDescent="0.25">
      <c r="A726" s="297" t="s">
        <v>938</v>
      </c>
      <c r="B726" s="627" t="str">
        <f>VLOOKUP(Table13[[#This Row],[Column1]],[1]Sheet1!$A:$AO,2,FALSE)</f>
        <v>CLOUD SERVER
SUBSCRIPTION</v>
      </c>
      <c r="C726" s="298" t="str">
        <f>VLOOKUP(Table13[[#This Row],[Column1]],[1]Sheet1!$A:$AO,3,FALSE)</f>
        <v>PICTO</v>
      </c>
      <c r="D726" s="298" t="s">
        <v>712</v>
      </c>
      <c r="E726" s="450" t="str">
        <f>VLOOKUP(Table13[[#This Row],[Column1]],[1]Sheet1!$A:$AO,5,FALSE)</f>
        <v>Direct Contracting</v>
      </c>
      <c r="F726" s="446" t="str">
        <f>VLOOKUP(Table13[[#This Row],[Column1]],[1]Sheet1!$A:$AO,6,FALSE)</f>
        <v>N/A</v>
      </c>
      <c r="G726" s="402">
        <f>VLOOKUP(Table13[[#This Row],[Column1]],[1]Sheet1!$A:$AO,7,FALSE)</f>
        <v>45425</v>
      </c>
      <c r="H726" s="374"/>
      <c r="I726" s="402" t="str">
        <f>VLOOKUP(Table13[[#This Row],[Column1]],[1]Sheet1!$A:$AO,9,FALSE)</f>
        <v>N/A</v>
      </c>
      <c r="J726" s="402">
        <f>VLOOKUP(Table13[[#This Row],[Column1]],[1]Sheet1!$A:$AO,10,FALSE)</f>
        <v>45440</v>
      </c>
      <c r="K726" s="402">
        <f>VLOOKUP(Table13[[#This Row],[Column1]],[1]Sheet1!$A:$AO,11,FALSE)</f>
        <v>45440</v>
      </c>
      <c r="L726" s="404"/>
      <c r="M726" s="402" t="str">
        <f>VLOOKUP(Table13[[#This Row],[Column1]],[1]Sheet1!$A:$AO,13,FALSE)</f>
        <v>N/A</v>
      </c>
      <c r="N726" s="402" t="str">
        <f>VLOOKUP(Table13[[#This Row],[Column1]],[1]Sheet1!$A:$AO,14,FALSE)</f>
        <v>N/A</v>
      </c>
      <c r="O726" s="402">
        <f>VLOOKUP(Table13[[#This Row],[Column1]],[1]Sheet1!$A:$AO,15,FALSE)</f>
        <v>45441</v>
      </c>
      <c r="P726" s="375"/>
      <c r="Q726" s="375"/>
      <c r="R726" s="376"/>
      <c r="S726" s="583" t="s">
        <v>713</v>
      </c>
      <c r="T726" s="583">
        <f>VLOOKUP(Table13[[#This Row],[Column1]],[1]Sheet1!$A:$AO,20,FALSE)</f>
        <v>45453</v>
      </c>
      <c r="U726" s="583"/>
      <c r="V726" s="376"/>
      <c r="W726" s="376"/>
      <c r="X726" s="402"/>
      <c r="Y726" s="402"/>
      <c r="Z726" s="610" t="s">
        <v>1478</v>
      </c>
      <c r="AA726" s="532">
        <f>IF(Table13[[#This Row],[Column2]]="","",SUM(Table13[[#This Row],[Column28]]+Table13[[#This Row],[Column29]]))</f>
        <v>513190.86</v>
      </c>
      <c r="AB726" s="537">
        <v>513190.86</v>
      </c>
      <c r="AC726" s="502"/>
      <c r="AD726" s="532">
        <f>IF(Table13[[#This Row],[Column2]]="","",SUM(Table13[[#This Row],[Column31]]+Table13[[#This Row],[Column32]]))</f>
        <v>513190.86</v>
      </c>
      <c r="AE726" s="501">
        <v>513190.86</v>
      </c>
      <c r="AF726" s="541"/>
      <c r="AG726" s="405"/>
      <c r="AH726" s="380" t="s">
        <v>1205</v>
      </c>
      <c r="AI726" s="576" t="str">
        <f>VLOOKUP(Table13[[#This Row],[Column1]],[1]Sheet1!$A:$AO,35,FALSE)</f>
        <v>N/A</v>
      </c>
      <c r="AJ726" s="576" t="str">
        <f>VLOOKUP(Table13[[#This Row],[Column1]],[1]Sheet1!$A:$AO,36,FALSE)</f>
        <v>N/A</v>
      </c>
      <c r="AK726" s="576" t="str">
        <f>VLOOKUP(Table13[[#This Row],[Column1]],[1]Sheet1!$A:$AO,37,FALSE)</f>
        <v>N/A</v>
      </c>
      <c r="AL726" s="576" t="str">
        <f>VLOOKUP(Table13[[#This Row],[Column1]],[1]Sheet1!$A:$AO,38,FALSE)</f>
        <v>N/A</v>
      </c>
      <c r="AM726" s="576" t="str">
        <f>VLOOKUP(Table13[[#This Row],[Column1]],[1]Sheet1!$A:$AO,39,FALSE)</f>
        <v>N/A</v>
      </c>
      <c r="AN726" s="576" t="s">
        <v>713</v>
      </c>
      <c r="AO726" s="303" t="s">
        <v>1172</v>
      </c>
      <c r="AP726" s="378"/>
      <c r="AQ726" s="237"/>
    </row>
    <row r="727" spans="1:43" s="238" customFormat="1" ht="75" customHeight="1" x14ac:dyDescent="0.25">
      <c r="A727" s="297" t="s">
        <v>939</v>
      </c>
      <c r="B727" s="627" t="str">
        <f>VLOOKUP(Table13[[#This Row],[Column1]],[1]Sheet1!$A:$AO,2,FALSE)</f>
        <v>SPAREPARTS (MOTOR
CYCLE)</v>
      </c>
      <c r="C727" s="298" t="str">
        <f>VLOOKUP(Table13[[#This Row],[Column1]],[1]Sheet1!$A:$AO,3,FALSE)</f>
        <v>PGSO</v>
      </c>
      <c r="D727" s="298" t="s">
        <v>712</v>
      </c>
      <c r="E727" s="450" t="str">
        <f>VLOOKUP(Table13[[#This Row],[Column1]],[1]Sheet1!$A:$AO,5,FALSE)</f>
        <v>Shopping 52.1(a) - Unforeseen Contingency</v>
      </c>
      <c r="F727" s="446" t="str">
        <f>VLOOKUP(Table13[[#This Row],[Column1]],[1]Sheet1!$A:$AO,6,FALSE)</f>
        <v>N/A</v>
      </c>
      <c r="G727" s="402">
        <f>VLOOKUP(Table13[[#This Row],[Column1]],[1]Sheet1!$A:$AO,7,FALSE)</f>
        <v>45415</v>
      </c>
      <c r="H727" s="374"/>
      <c r="I727" s="402" t="str">
        <f>VLOOKUP(Table13[[#This Row],[Column1]],[1]Sheet1!$A:$AO,9,FALSE)</f>
        <v>N/A</v>
      </c>
      <c r="J727" s="402">
        <f>VLOOKUP(Table13[[#This Row],[Column1]],[1]Sheet1!$A:$AO,10,FALSE)</f>
        <v>45440</v>
      </c>
      <c r="K727" s="402">
        <f>VLOOKUP(Table13[[#This Row],[Column1]],[1]Sheet1!$A:$AO,11,FALSE)</f>
        <v>45440</v>
      </c>
      <c r="L727" s="404"/>
      <c r="M727" s="402" t="str">
        <f>VLOOKUP(Table13[[#This Row],[Column1]],[1]Sheet1!$A:$AO,13,FALSE)</f>
        <v>N/A</v>
      </c>
      <c r="N727" s="402" t="str">
        <f>VLOOKUP(Table13[[#This Row],[Column1]],[1]Sheet1!$A:$AO,14,FALSE)</f>
        <v>N/A</v>
      </c>
      <c r="O727" s="402">
        <f>VLOOKUP(Table13[[#This Row],[Column1]],[1]Sheet1!$A:$AO,15,FALSE)</f>
        <v>45441</v>
      </c>
      <c r="P727" s="375"/>
      <c r="Q727" s="375"/>
      <c r="R727" s="376"/>
      <c r="S727" s="583" t="s">
        <v>713</v>
      </c>
      <c r="T727" s="583">
        <f>VLOOKUP(Table13[[#This Row],[Column1]],[1]Sheet1!$A:$AO,20,FALSE)</f>
        <v>45450</v>
      </c>
      <c r="U727" s="583"/>
      <c r="V727" s="376"/>
      <c r="W727" s="376"/>
      <c r="X727" s="402"/>
      <c r="Y727" s="402"/>
      <c r="Z727" s="610" t="s">
        <v>1478</v>
      </c>
      <c r="AA727" s="532">
        <f>IF(Table13[[#This Row],[Column2]]="","",SUM(Table13[[#This Row],[Column28]]+Table13[[#This Row],[Column29]]))</f>
        <v>7550</v>
      </c>
      <c r="AB727" s="537">
        <v>7550</v>
      </c>
      <c r="AC727" s="502"/>
      <c r="AD727" s="532">
        <f>IF(Table13[[#This Row],[Column2]]="","",SUM(Table13[[#This Row],[Column31]]+Table13[[#This Row],[Column32]]))</f>
        <v>7550</v>
      </c>
      <c r="AE727" s="501">
        <v>7550</v>
      </c>
      <c r="AF727" s="541"/>
      <c r="AG727" s="405"/>
      <c r="AH727" s="380" t="s">
        <v>1205</v>
      </c>
      <c r="AI727" s="576" t="str">
        <f>VLOOKUP(Table13[[#This Row],[Column1]],[1]Sheet1!$A:$AO,35,FALSE)</f>
        <v>N/A</v>
      </c>
      <c r="AJ727" s="576" t="str">
        <f>VLOOKUP(Table13[[#This Row],[Column1]],[1]Sheet1!$A:$AO,36,FALSE)</f>
        <v>N/A</v>
      </c>
      <c r="AK727" s="576" t="str">
        <f>VLOOKUP(Table13[[#This Row],[Column1]],[1]Sheet1!$A:$AO,37,FALSE)</f>
        <v>N/A</v>
      </c>
      <c r="AL727" s="576" t="str">
        <f>VLOOKUP(Table13[[#This Row],[Column1]],[1]Sheet1!$A:$AO,38,FALSE)</f>
        <v>N/A</v>
      </c>
      <c r="AM727" s="576" t="str">
        <f>VLOOKUP(Table13[[#This Row],[Column1]],[1]Sheet1!$A:$AO,39,FALSE)</f>
        <v>N/A</v>
      </c>
      <c r="AN727" s="576" t="s">
        <v>713</v>
      </c>
      <c r="AO727" s="303" t="s">
        <v>1172</v>
      </c>
      <c r="AP727" s="378"/>
      <c r="AQ727" s="237"/>
    </row>
    <row r="728" spans="1:43" s="238" customFormat="1" ht="75" customHeight="1" x14ac:dyDescent="0.25">
      <c r="A728" s="297" t="s">
        <v>940</v>
      </c>
      <c r="B728" s="627" t="str">
        <f>VLOOKUP(Table13[[#This Row],[Column1]],[1]Sheet1!$A:$AO,2,FALSE)</f>
        <v>SPAREPARTS (HEAVY
EQUIPT)</v>
      </c>
      <c r="C728" s="298" t="str">
        <f>VLOOKUP(Table13[[#This Row],[Column1]],[1]Sheet1!$A:$AO,3,FALSE)</f>
        <v>PDRRMO</v>
      </c>
      <c r="D728" s="298" t="s">
        <v>712</v>
      </c>
      <c r="E728" s="450" t="str">
        <f>VLOOKUP(Table13[[#This Row],[Column1]],[1]Sheet1!$A:$AO,5,FALSE)</f>
        <v>Shopping 52.1(a) - Unforeseen Contingency</v>
      </c>
      <c r="F728" s="446" t="str">
        <f>VLOOKUP(Table13[[#This Row],[Column1]],[1]Sheet1!$A:$AO,6,FALSE)</f>
        <v>N/A</v>
      </c>
      <c r="G728" s="402">
        <f>VLOOKUP(Table13[[#This Row],[Column1]],[1]Sheet1!$A:$AO,7,FALSE)</f>
        <v>45425</v>
      </c>
      <c r="H728" s="374"/>
      <c r="I728" s="402" t="str">
        <f>VLOOKUP(Table13[[#This Row],[Column1]],[1]Sheet1!$A:$AO,9,FALSE)</f>
        <v>N/A</v>
      </c>
      <c r="J728" s="402">
        <f>VLOOKUP(Table13[[#This Row],[Column1]],[1]Sheet1!$A:$AO,10,FALSE)</f>
        <v>45440</v>
      </c>
      <c r="K728" s="402">
        <f>VLOOKUP(Table13[[#This Row],[Column1]],[1]Sheet1!$A:$AO,11,FALSE)</f>
        <v>45440</v>
      </c>
      <c r="L728" s="404"/>
      <c r="M728" s="402" t="str">
        <f>VLOOKUP(Table13[[#This Row],[Column1]],[1]Sheet1!$A:$AO,13,FALSE)</f>
        <v>N/A</v>
      </c>
      <c r="N728" s="402" t="str">
        <f>VLOOKUP(Table13[[#This Row],[Column1]],[1]Sheet1!$A:$AO,14,FALSE)</f>
        <v>N/A</v>
      </c>
      <c r="O728" s="402">
        <f>VLOOKUP(Table13[[#This Row],[Column1]],[1]Sheet1!$A:$AO,15,FALSE)</f>
        <v>45441</v>
      </c>
      <c r="P728" s="375"/>
      <c r="Q728" s="375"/>
      <c r="R728" s="376"/>
      <c r="S728" s="583" t="s">
        <v>713</v>
      </c>
      <c r="T728" s="583">
        <f>VLOOKUP(Table13[[#This Row],[Column1]],[1]Sheet1!$A:$AO,20,FALSE)</f>
        <v>45453</v>
      </c>
      <c r="U728" s="583"/>
      <c r="V728" s="376"/>
      <c r="W728" s="376"/>
      <c r="X728" s="402"/>
      <c r="Y728" s="402"/>
      <c r="Z728" s="610" t="s">
        <v>1478</v>
      </c>
      <c r="AA728" s="532">
        <f>IF(Table13[[#This Row],[Column2]]="","",SUM(Table13[[#This Row],[Column28]]+Table13[[#This Row],[Column29]]))</f>
        <v>23690</v>
      </c>
      <c r="AB728" s="537">
        <v>23690</v>
      </c>
      <c r="AC728" s="502"/>
      <c r="AD728" s="532">
        <f>IF(Table13[[#This Row],[Column2]]="","",SUM(Table13[[#This Row],[Column31]]+Table13[[#This Row],[Column32]]))</f>
        <v>23690</v>
      </c>
      <c r="AE728" s="501">
        <v>23690</v>
      </c>
      <c r="AF728" s="541"/>
      <c r="AG728" s="405"/>
      <c r="AH728" s="380" t="s">
        <v>1205</v>
      </c>
      <c r="AI728" s="576" t="str">
        <f>VLOOKUP(Table13[[#This Row],[Column1]],[1]Sheet1!$A:$AO,35,FALSE)</f>
        <v>N/A</v>
      </c>
      <c r="AJ728" s="576" t="str">
        <f>VLOOKUP(Table13[[#This Row],[Column1]],[1]Sheet1!$A:$AO,36,FALSE)</f>
        <v>N/A</v>
      </c>
      <c r="AK728" s="576" t="str">
        <f>VLOOKUP(Table13[[#This Row],[Column1]],[1]Sheet1!$A:$AO,37,FALSE)</f>
        <v>N/A</v>
      </c>
      <c r="AL728" s="576" t="str">
        <f>VLOOKUP(Table13[[#This Row],[Column1]],[1]Sheet1!$A:$AO,38,FALSE)</f>
        <v>N/A</v>
      </c>
      <c r="AM728" s="576" t="str">
        <f>VLOOKUP(Table13[[#This Row],[Column1]],[1]Sheet1!$A:$AO,39,FALSE)</f>
        <v>N/A</v>
      </c>
      <c r="AN728" s="576" t="s">
        <v>713</v>
      </c>
      <c r="AO728" s="303" t="s">
        <v>1172</v>
      </c>
      <c r="AP728" s="378"/>
      <c r="AQ728" s="237"/>
    </row>
    <row r="729" spans="1:43" s="238" customFormat="1" ht="75" customHeight="1" x14ac:dyDescent="0.25">
      <c r="A729" s="297" t="s">
        <v>941</v>
      </c>
      <c r="B729" s="627" t="str">
        <f>VLOOKUP(Table13[[#This Row],[Column1]],[1]Sheet1!$A:$AO,2,FALSE)</f>
        <v>SPAREPARTS (HEAVY
EQUIPT)</v>
      </c>
      <c r="C729" s="298" t="str">
        <f>VLOOKUP(Table13[[#This Row],[Column1]],[1]Sheet1!$A:$AO,3,FALSE)</f>
        <v>PDRRMO</v>
      </c>
      <c r="D729" s="298" t="s">
        <v>712</v>
      </c>
      <c r="E729" s="450" t="str">
        <f>VLOOKUP(Table13[[#This Row],[Column1]],[1]Sheet1!$A:$AO,5,FALSE)</f>
        <v>Shopping 52.1(a) - Unforeseen Contingency</v>
      </c>
      <c r="F729" s="446" t="str">
        <f>VLOOKUP(Table13[[#This Row],[Column1]],[1]Sheet1!$A:$AO,6,FALSE)</f>
        <v>N/A</v>
      </c>
      <c r="G729" s="402">
        <f>VLOOKUP(Table13[[#This Row],[Column1]],[1]Sheet1!$A:$AO,7,FALSE)</f>
        <v>45425</v>
      </c>
      <c r="H729" s="374"/>
      <c r="I729" s="402" t="str">
        <f>VLOOKUP(Table13[[#This Row],[Column1]],[1]Sheet1!$A:$AO,9,FALSE)</f>
        <v>N/A</v>
      </c>
      <c r="J729" s="402">
        <f>VLOOKUP(Table13[[#This Row],[Column1]],[1]Sheet1!$A:$AO,10,FALSE)</f>
        <v>45440</v>
      </c>
      <c r="K729" s="402">
        <f>VLOOKUP(Table13[[#This Row],[Column1]],[1]Sheet1!$A:$AO,11,FALSE)</f>
        <v>45440</v>
      </c>
      <c r="L729" s="404"/>
      <c r="M729" s="402" t="str">
        <f>VLOOKUP(Table13[[#This Row],[Column1]],[1]Sheet1!$A:$AO,13,FALSE)</f>
        <v>N/A</v>
      </c>
      <c r="N729" s="402" t="str">
        <f>VLOOKUP(Table13[[#This Row],[Column1]],[1]Sheet1!$A:$AO,14,FALSE)</f>
        <v>N/A</v>
      </c>
      <c r="O729" s="402">
        <f>VLOOKUP(Table13[[#This Row],[Column1]],[1]Sheet1!$A:$AO,15,FALSE)</f>
        <v>45441</v>
      </c>
      <c r="P729" s="375"/>
      <c r="Q729" s="375"/>
      <c r="R729" s="376"/>
      <c r="S729" s="583" t="s">
        <v>713</v>
      </c>
      <c r="T729" s="583">
        <f>VLOOKUP(Table13[[#This Row],[Column1]],[1]Sheet1!$A:$AO,20,FALSE)</f>
        <v>45453</v>
      </c>
      <c r="U729" s="583"/>
      <c r="V729" s="376"/>
      <c r="W729" s="376"/>
      <c r="X729" s="402"/>
      <c r="Y729" s="402"/>
      <c r="Z729" s="610" t="s">
        <v>1478</v>
      </c>
      <c r="AA729" s="532">
        <f>IF(Table13[[#This Row],[Column2]]="","",SUM(Table13[[#This Row],[Column28]]+Table13[[#This Row],[Column29]]))</f>
        <v>12000</v>
      </c>
      <c r="AB729" s="537">
        <v>12000</v>
      </c>
      <c r="AC729" s="502"/>
      <c r="AD729" s="532">
        <f>IF(Table13[[#This Row],[Column2]]="","",SUM(Table13[[#This Row],[Column31]]+Table13[[#This Row],[Column32]]))</f>
        <v>12000</v>
      </c>
      <c r="AE729" s="501">
        <v>12000</v>
      </c>
      <c r="AF729" s="541"/>
      <c r="AG729" s="405"/>
      <c r="AH729" s="380" t="s">
        <v>1205</v>
      </c>
      <c r="AI729" s="576" t="str">
        <f>VLOOKUP(Table13[[#This Row],[Column1]],[1]Sheet1!$A:$AO,35,FALSE)</f>
        <v>N/A</v>
      </c>
      <c r="AJ729" s="576" t="str">
        <f>VLOOKUP(Table13[[#This Row],[Column1]],[1]Sheet1!$A:$AO,36,FALSE)</f>
        <v>N/A</v>
      </c>
      <c r="AK729" s="576" t="str">
        <f>VLOOKUP(Table13[[#This Row],[Column1]],[1]Sheet1!$A:$AO,37,FALSE)</f>
        <v>N/A</v>
      </c>
      <c r="AL729" s="576" t="str">
        <f>VLOOKUP(Table13[[#This Row],[Column1]],[1]Sheet1!$A:$AO,38,FALSE)</f>
        <v>N/A</v>
      </c>
      <c r="AM729" s="576" t="str">
        <f>VLOOKUP(Table13[[#This Row],[Column1]],[1]Sheet1!$A:$AO,39,FALSE)</f>
        <v>N/A</v>
      </c>
      <c r="AN729" s="576" t="s">
        <v>713</v>
      </c>
      <c r="AO729" s="303" t="s">
        <v>1172</v>
      </c>
      <c r="AP729" s="378"/>
      <c r="AQ729" s="237"/>
    </row>
    <row r="730" spans="1:43" s="238" customFormat="1" ht="75" customHeight="1" x14ac:dyDescent="0.25">
      <c r="A730" s="297" t="s">
        <v>942</v>
      </c>
      <c r="B730" s="627" t="str">
        <f>VLOOKUP(Table13[[#This Row],[Column1]],[1]Sheet1!$A:$AO,2,FALSE)</f>
        <v>SPAREPARTS (LIGHT
VEHICLES)</v>
      </c>
      <c r="C730" s="298" t="str">
        <f>VLOOKUP(Table13[[#This Row],[Column1]],[1]Sheet1!$A:$AO,3,FALSE)</f>
        <v>PDRRMO</v>
      </c>
      <c r="D730" s="298" t="s">
        <v>712</v>
      </c>
      <c r="E730" s="450" t="str">
        <f>VLOOKUP(Table13[[#This Row],[Column1]],[1]Sheet1!$A:$AO,5,FALSE)</f>
        <v>Shopping 52.1(a) - Unforeseen Contingency</v>
      </c>
      <c r="F730" s="446" t="str">
        <f>VLOOKUP(Table13[[#This Row],[Column1]],[1]Sheet1!$A:$AO,6,FALSE)</f>
        <v>N/A</v>
      </c>
      <c r="G730" s="402">
        <f>VLOOKUP(Table13[[#This Row],[Column1]],[1]Sheet1!$A:$AO,7,FALSE)</f>
        <v>45425</v>
      </c>
      <c r="H730" s="374"/>
      <c r="I730" s="402" t="str">
        <f>VLOOKUP(Table13[[#This Row],[Column1]],[1]Sheet1!$A:$AO,9,FALSE)</f>
        <v>N/A</v>
      </c>
      <c r="J730" s="402">
        <f>VLOOKUP(Table13[[#This Row],[Column1]],[1]Sheet1!$A:$AO,10,FALSE)</f>
        <v>45440</v>
      </c>
      <c r="K730" s="402">
        <f>VLOOKUP(Table13[[#This Row],[Column1]],[1]Sheet1!$A:$AO,11,FALSE)</f>
        <v>45440</v>
      </c>
      <c r="L730" s="404"/>
      <c r="M730" s="402" t="str">
        <f>VLOOKUP(Table13[[#This Row],[Column1]],[1]Sheet1!$A:$AO,13,FALSE)</f>
        <v>N/A</v>
      </c>
      <c r="N730" s="402" t="str">
        <f>VLOOKUP(Table13[[#This Row],[Column1]],[1]Sheet1!$A:$AO,14,FALSE)</f>
        <v>N/A</v>
      </c>
      <c r="O730" s="402">
        <f>VLOOKUP(Table13[[#This Row],[Column1]],[1]Sheet1!$A:$AO,15,FALSE)</f>
        <v>45441</v>
      </c>
      <c r="P730" s="375"/>
      <c r="Q730" s="375"/>
      <c r="R730" s="376"/>
      <c r="S730" s="583" t="s">
        <v>713</v>
      </c>
      <c r="T730" s="583">
        <f>VLOOKUP(Table13[[#This Row],[Column1]],[1]Sheet1!$A:$AO,20,FALSE)</f>
        <v>45454</v>
      </c>
      <c r="U730" s="583"/>
      <c r="V730" s="376"/>
      <c r="W730" s="376"/>
      <c r="X730" s="402"/>
      <c r="Y730" s="402"/>
      <c r="Z730" s="610" t="s">
        <v>1478</v>
      </c>
      <c r="AA730" s="532">
        <f>IF(Table13[[#This Row],[Column2]]="","",SUM(Table13[[#This Row],[Column28]]+Table13[[#This Row],[Column29]]))</f>
        <v>39000</v>
      </c>
      <c r="AB730" s="537">
        <v>39000</v>
      </c>
      <c r="AC730" s="502"/>
      <c r="AD730" s="532">
        <f>IF(Table13[[#This Row],[Column2]]="","",SUM(Table13[[#This Row],[Column31]]+Table13[[#This Row],[Column32]]))</f>
        <v>39000</v>
      </c>
      <c r="AE730" s="501">
        <v>39000</v>
      </c>
      <c r="AF730" s="541"/>
      <c r="AG730" s="405"/>
      <c r="AH730" s="380" t="s">
        <v>1205</v>
      </c>
      <c r="AI730" s="576" t="str">
        <f>VLOOKUP(Table13[[#This Row],[Column1]],[1]Sheet1!$A:$AO,35,FALSE)</f>
        <v>N/A</v>
      </c>
      <c r="AJ730" s="576" t="str">
        <f>VLOOKUP(Table13[[#This Row],[Column1]],[1]Sheet1!$A:$AO,36,FALSE)</f>
        <v>N/A</v>
      </c>
      <c r="AK730" s="576" t="str">
        <f>VLOOKUP(Table13[[#This Row],[Column1]],[1]Sheet1!$A:$AO,37,FALSE)</f>
        <v>N/A</v>
      </c>
      <c r="AL730" s="576" t="str">
        <f>VLOOKUP(Table13[[#This Row],[Column1]],[1]Sheet1!$A:$AO,38,FALSE)</f>
        <v>N/A</v>
      </c>
      <c r="AM730" s="576" t="str">
        <f>VLOOKUP(Table13[[#This Row],[Column1]],[1]Sheet1!$A:$AO,39,FALSE)</f>
        <v>N/A</v>
      </c>
      <c r="AN730" s="576" t="s">
        <v>713</v>
      </c>
      <c r="AO730" s="303" t="s">
        <v>1172</v>
      </c>
      <c r="AP730" s="378"/>
      <c r="AQ730" s="237"/>
    </row>
    <row r="731" spans="1:43" s="238" customFormat="1" ht="75" customHeight="1" x14ac:dyDescent="0.25">
      <c r="A731" s="297" t="s">
        <v>943</v>
      </c>
      <c r="B731" s="627" t="str">
        <f>VLOOKUP(Table13[[#This Row],[Column1]],[1]Sheet1!$A:$AO,2,FALSE)</f>
        <v>SPAREPARTS (LIGHT
VEHICLES)</v>
      </c>
      <c r="C731" s="298" t="str">
        <f>VLOOKUP(Table13[[#This Row],[Column1]],[1]Sheet1!$A:$AO,3,FALSE)</f>
        <v>PDRRMO</v>
      </c>
      <c r="D731" s="298" t="s">
        <v>712</v>
      </c>
      <c r="E731" s="450" t="str">
        <f>VLOOKUP(Table13[[#This Row],[Column1]],[1]Sheet1!$A:$AO,5,FALSE)</f>
        <v>Shopping 52.1(a) - Unforeseen Contingency</v>
      </c>
      <c r="F731" s="446" t="str">
        <f>VLOOKUP(Table13[[#This Row],[Column1]],[1]Sheet1!$A:$AO,6,FALSE)</f>
        <v>N/A</v>
      </c>
      <c r="G731" s="402">
        <f>VLOOKUP(Table13[[#This Row],[Column1]],[1]Sheet1!$A:$AO,7,FALSE)</f>
        <v>45425</v>
      </c>
      <c r="H731" s="374"/>
      <c r="I731" s="402" t="str">
        <f>VLOOKUP(Table13[[#This Row],[Column1]],[1]Sheet1!$A:$AO,9,FALSE)</f>
        <v>N/A</v>
      </c>
      <c r="J731" s="402">
        <f>VLOOKUP(Table13[[#This Row],[Column1]],[1]Sheet1!$A:$AO,10,FALSE)</f>
        <v>45440</v>
      </c>
      <c r="K731" s="402">
        <f>VLOOKUP(Table13[[#This Row],[Column1]],[1]Sheet1!$A:$AO,11,FALSE)</f>
        <v>45440</v>
      </c>
      <c r="L731" s="404"/>
      <c r="M731" s="402" t="str">
        <f>VLOOKUP(Table13[[#This Row],[Column1]],[1]Sheet1!$A:$AO,13,FALSE)</f>
        <v>N/A</v>
      </c>
      <c r="N731" s="402" t="str">
        <f>VLOOKUP(Table13[[#This Row],[Column1]],[1]Sheet1!$A:$AO,14,FALSE)</f>
        <v>N/A</v>
      </c>
      <c r="O731" s="402">
        <f>VLOOKUP(Table13[[#This Row],[Column1]],[1]Sheet1!$A:$AO,15,FALSE)</f>
        <v>45441</v>
      </c>
      <c r="P731" s="375"/>
      <c r="Q731" s="375"/>
      <c r="R731" s="376"/>
      <c r="S731" s="583" t="s">
        <v>713</v>
      </c>
      <c r="T731" s="583">
        <f>VLOOKUP(Table13[[#This Row],[Column1]],[1]Sheet1!$A:$AO,20,FALSE)</f>
        <v>45453</v>
      </c>
      <c r="U731" s="583"/>
      <c r="V731" s="376"/>
      <c r="W731" s="376"/>
      <c r="X731" s="402"/>
      <c r="Y731" s="402"/>
      <c r="Z731" s="610" t="s">
        <v>1478</v>
      </c>
      <c r="AA731" s="532">
        <f>IF(Table13[[#This Row],[Column2]]="","",SUM(Table13[[#This Row],[Column28]]+Table13[[#This Row],[Column29]]))</f>
        <v>4500</v>
      </c>
      <c r="AB731" s="537"/>
      <c r="AC731" s="502">
        <v>4500</v>
      </c>
      <c r="AD731" s="532">
        <f>IF(Table13[[#This Row],[Column2]]="","",SUM(Table13[[#This Row],[Column31]]+Table13[[#This Row],[Column32]]))</f>
        <v>4500</v>
      </c>
      <c r="AE731" s="501"/>
      <c r="AF731" s="541">
        <v>4500</v>
      </c>
      <c r="AG731" s="405"/>
      <c r="AH731" s="380" t="s">
        <v>1205</v>
      </c>
      <c r="AI731" s="576" t="str">
        <f>VLOOKUP(Table13[[#This Row],[Column1]],[1]Sheet1!$A:$AO,35,FALSE)</f>
        <v>N/A</v>
      </c>
      <c r="AJ731" s="576" t="str">
        <f>VLOOKUP(Table13[[#This Row],[Column1]],[1]Sheet1!$A:$AO,36,FALSE)</f>
        <v>N/A</v>
      </c>
      <c r="AK731" s="576" t="str">
        <f>VLOOKUP(Table13[[#This Row],[Column1]],[1]Sheet1!$A:$AO,37,FALSE)</f>
        <v>N/A</v>
      </c>
      <c r="AL731" s="576" t="str">
        <f>VLOOKUP(Table13[[#This Row],[Column1]],[1]Sheet1!$A:$AO,38,FALSE)</f>
        <v>N/A</v>
      </c>
      <c r="AM731" s="576" t="str">
        <f>VLOOKUP(Table13[[#This Row],[Column1]],[1]Sheet1!$A:$AO,39,FALSE)</f>
        <v>N/A</v>
      </c>
      <c r="AN731" s="576" t="s">
        <v>713</v>
      </c>
      <c r="AO731" s="303" t="s">
        <v>1172</v>
      </c>
      <c r="AP731" s="378"/>
      <c r="AQ731" s="237"/>
    </row>
    <row r="732" spans="1:43" s="238" customFormat="1" ht="75" customHeight="1" x14ac:dyDescent="0.25">
      <c r="A732" s="297" t="s">
        <v>944</v>
      </c>
      <c r="B732" s="627" t="str">
        <f>VLOOKUP(Table13[[#This Row],[Column1]],[1]Sheet1!$A:$AO,2,FALSE)</f>
        <v>JOB ORDER(LABOR &amp;</v>
      </c>
      <c r="C732" s="298" t="str">
        <f>VLOOKUP(Table13[[#This Row],[Column1]],[1]Sheet1!$A:$AO,3,FALSE)</f>
        <v>PGSO</v>
      </c>
      <c r="D732" s="298" t="s">
        <v>712</v>
      </c>
      <c r="E732" s="450" t="str">
        <f>VLOOKUP(Table13[[#This Row],[Column1]],[1]Sheet1!$A:$AO,5,FALSE)</f>
        <v>Shopping 52.1(a) - Unforeseen Contingency</v>
      </c>
      <c r="F732" s="446" t="str">
        <f>VLOOKUP(Table13[[#This Row],[Column1]],[1]Sheet1!$A:$AO,6,FALSE)</f>
        <v>N/A</v>
      </c>
      <c r="G732" s="402">
        <f>VLOOKUP(Table13[[#This Row],[Column1]],[1]Sheet1!$A:$AO,7,FALSE)</f>
        <v>45425</v>
      </c>
      <c r="H732" s="374"/>
      <c r="I732" s="402" t="str">
        <f>VLOOKUP(Table13[[#This Row],[Column1]],[1]Sheet1!$A:$AO,9,FALSE)</f>
        <v>N/A</v>
      </c>
      <c r="J732" s="402">
        <f>VLOOKUP(Table13[[#This Row],[Column1]],[1]Sheet1!$A:$AO,10,FALSE)</f>
        <v>45440</v>
      </c>
      <c r="K732" s="402">
        <f>VLOOKUP(Table13[[#This Row],[Column1]],[1]Sheet1!$A:$AO,11,FALSE)</f>
        <v>45440</v>
      </c>
      <c r="L732" s="404"/>
      <c r="M732" s="402" t="str">
        <f>VLOOKUP(Table13[[#This Row],[Column1]],[1]Sheet1!$A:$AO,13,FALSE)</f>
        <v>N/A</v>
      </c>
      <c r="N732" s="402" t="str">
        <f>VLOOKUP(Table13[[#This Row],[Column1]],[1]Sheet1!$A:$AO,14,FALSE)</f>
        <v>N/A</v>
      </c>
      <c r="O732" s="402">
        <f>VLOOKUP(Table13[[#This Row],[Column1]],[1]Sheet1!$A:$AO,15,FALSE)</f>
        <v>45441</v>
      </c>
      <c r="P732" s="375"/>
      <c r="Q732" s="375"/>
      <c r="R732" s="376"/>
      <c r="S732" s="583" t="s">
        <v>713</v>
      </c>
      <c r="T732" s="583">
        <f>VLOOKUP(Table13[[#This Row],[Column1]],[1]Sheet1!$A:$AO,20,FALSE)</f>
        <v>45454</v>
      </c>
      <c r="U732" s="583"/>
      <c r="V732" s="376"/>
      <c r="W732" s="376"/>
      <c r="X732" s="402"/>
      <c r="Y732" s="402"/>
      <c r="Z732" s="610" t="s">
        <v>1478</v>
      </c>
      <c r="AA732" s="532">
        <f>IF(Table13[[#This Row],[Column2]]="","",SUM(Table13[[#This Row],[Column28]]+Table13[[#This Row],[Column29]]))</f>
        <v>3560</v>
      </c>
      <c r="AB732" s="537">
        <v>3560</v>
      </c>
      <c r="AC732" s="502"/>
      <c r="AD732" s="532">
        <f>IF(Table13[[#This Row],[Column2]]="","",SUM(Table13[[#This Row],[Column31]]+Table13[[#This Row],[Column32]]))</f>
        <v>3560</v>
      </c>
      <c r="AE732" s="501">
        <v>3560</v>
      </c>
      <c r="AF732" s="541"/>
      <c r="AG732" s="405"/>
      <c r="AH732" s="380" t="s">
        <v>1205</v>
      </c>
      <c r="AI732" s="576" t="str">
        <f>VLOOKUP(Table13[[#This Row],[Column1]],[1]Sheet1!$A:$AO,35,FALSE)</f>
        <v>N/A</v>
      </c>
      <c r="AJ732" s="576" t="str">
        <f>VLOOKUP(Table13[[#This Row],[Column1]],[1]Sheet1!$A:$AO,36,FALSE)</f>
        <v>N/A</v>
      </c>
      <c r="AK732" s="576" t="str">
        <f>VLOOKUP(Table13[[#This Row],[Column1]],[1]Sheet1!$A:$AO,37,FALSE)</f>
        <v>N/A</v>
      </c>
      <c r="AL732" s="576" t="str">
        <f>VLOOKUP(Table13[[#This Row],[Column1]],[1]Sheet1!$A:$AO,38,FALSE)</f>
        <v>N/A</v>
      </c>
      <c r="AM732" s="576" t="str">
        <f>VLOOKUP(Table13[[#This Row],[Column1]],[1]Sheet1!$A:$AO,39,FALSE)</f>
        <v>N/A</v>
      </c>
      <c r="AN732" s="576" t="s">
        <v>713</v>
      </c>
      <c r="AO732" s="303" t="s">
        <v>1172</v>
      </c>
      <c r="AP732" s="378"/>
      <c r="AQ732" s="237"/>
    </row>
    <row r="733" spans="1:43" s="238" customFormat="1" ht="75" customHeight="1" x14ac:dyDescent="0.25">
      <c r="A733" s="297" t="s">
        <v>945</v>
      </c>
      <c r="B733" s="627" t="str">
        <f>VLOOKUP(Table13[[#This Row],[Column1]],[1]Sheet1!$A:$AO,2,FALSE)</f>
        <v>SPAREPARTS (LIGHT
VEHICLES)</v>
      </c>
      <c r="C733" s="298" t="str">
        <f>VLOOKUP(Table13[[#This Row],[Column1]],[1]Sheet1!$A:$AO,3,FALSE)</f>
        <v>SPO</v>
      </c>
      <c r="D733" s="298" t="s">
        <v>712</v>
      </c>
      <c r="E733" s="450" t="str">
        <f>VLOOKUP(Table13[[#This Row],[Column1]],[1]Sheet1!$A:$AO,5,FALSE)</f>
        <v>Shopping 52.1(a) - Unforeseen Contingency</v>
      </c>
      <c r="F733" s="446" t="str">
        <f>VLOOKUP(Table13[[#This Row],[Column1]],[1]Sheet1!$A:$AO,6,FALSE)</f>
        <v>N/A</v>
      </c>
      <c r="G733" s="402">
        <f>VLOOKUP(Table13[[#This Row],[Column1]],[1]Sheet1!$A:$AO,7,FALSE)</f>
        <v>45425</v>
      </c>
      <c r="H733" s="374"/>
      <c r="I733" s="402" t="str">
        <f>VLOOKUP(Table13[[#This Row],[Column1]],[1]Sheet1!$A:$AO,9,FALSE)</f>
        <v>N/A</v>
      </c>
      <c r="J733" s="402">
        <f>VLOOKUP(Table13[[#This Row],[Column1]],[1]Sheet1!$A:$AO,10,FALSE)</f>
        <v>45440</v>
      </c>
      <c r="K733" s="402">
        <f>VLOOKUP(Table13[[#This Row],[Column1]],[1]Sheet1!$A:$AO,11,FALSE)</f>
        <v>45440</v>
      </c>
      <c r="L733" s="404"/>
      <c r="M733" s="402" t="str">
        <f>VLOOKUP(Table13[[#This Row],[Column1]],[1]Sheet1!$A:$AO,13,FALSE)</f>
        <v>N/A</v>
      </c>
      <c r="N733" s="402" t="str">
        <f>VLOOKUP(Table13[[#This Row],[Column1]],[1]Sheet1!$A:$AO,14,FALSE)</f>
        <v>N/A</v>
      </c>
      <c r="O733" s="402">
        <f>VLOOKUP(Table13[[#This Row],[Column1]],[1]Sheet1!$A:$AO,15,FALSE)</f>
        <v>45441</v>
      </c>
      <c r="P733" s="375"/>
      <c r="Q733" s="375"/>
      <c r="R733" s="376"/>
      <c r="S733" s="583" t="s">
        <v>713</v>
      </c>
      <c r="T733" s="583">
        <f>VLOOKUP(Table13[[#This Row],[Column1]],[1]Sheet1!$A:$AO,20,FALSE)</f>
        <v>45450</v>
      </c>
      <c r="U733" s="583"/>
      <c r="V733" s="376"/>
      <c r="W733" s="376"/>
      <c r="X733" s="402"/>
      <c r="Y733" s="402"/>
      <c r="Z733" s="610" t="s">
        <v>1478</v>
      </c>
      <c r="AA733" s="532">
        <f>IF(Table13[[#This Row],[Column2]]="","",SUM(Table13[[#This Row],[Column28]]+Table13[[#This Row],[Column29]]))</f>
        <v>45400</v>
      </c>
      <c r="AB733" s="537">
        <v>45400</v>
      </c>
      <c r="AC733" s="502"/>
      <c r="AD733" s="532">
        <f>IF(Table13[[#This Row],[Column2]]="","",SUM(Table13[[#This Row],[Column31]]+Table13[[#This Row],[Column32]]))</f>
        <v>45400</v>
      </c>
      <c r="AE733" s="501">
        <v>45400</v>
      </c>
      <c r="AF733" s="541"/>
      <c r="AG733" s="405"/>
      <c r="AH733" s="380" t="s">
        <v>1205</v>
      </c>
      <c r="AI733" s="576" t="str">
        <f>VLOOKUP(Table13[[#This Row],[Column1]],[1]Sheet1!$A:$AO,35,FALSE)</f>
        <v>N/A</v>
      </c>
      <c r="AJ733" s="576" t="str">
        <f>VLOOKUP(Table13[[#This Row],[Column1]],[1]Sheet1!$A:$AO,36,FALSE)</f>
        <v>N/A</v>
      </c>
      <c r="AK733" s="576" t="str">
        <f>VLOOKUP(Table13[[#This Row],[Column1]],[1]Sheet1!$A:$AO,37,FALSE)</f>
        <v>N/A</v>
      </c>
      <c r="AL733" s="576" t="str">
        <f>VLOOKUP(Table13[[#This Row],[Column1]],[1]Sheet1!$A:$AO,38,FALSE)</f>
        <v>N/A</v>
      </c>
      <c r="AM733" s="576" t="str">
        <f>VLOOKUP(Table13[[#This Row],[Column1]],[1]Sheet1!$A:$AO,39,FALSE)</f>
        <v>N/A</v>
      </c>
      <c r="AN733" s="576" t="s">
        <v>713</v>
      </c>
      <c r="AO733" s="303" t="s">
        <v>1172</v>
      </c>
      <c r="AP733" s="378"/>
      <c r="AQ733" s="237"/>
    </row>
    <row r="734" spans="1:43" s="238" customFormat="1" ht="75" customHeight="1" x14ac:dyDescent="0.25">
      <c r="A734" s="297" t="s">
        <v>946</v>
      </c>
      <c r="B734" s="627" t="str">
        <f>VLOOKUP(Table13[[#This Row],[Column1]],[1]Sheet1!$A:$AO,2,FALSE)</f>
        <v>JOB ORDER(LABOR &amp;
MATERIALS)</v>
      </c>
      <c r="C734" s="298" t="str">
        <f>VLOOKUP(Table13[[#This Row],[Column1]],[1]Sheet1!$A:$AO,3,FALSE)</f>
        <v>SPO</v>
      </c>
      <c r="D734" s="298" t="s">
        <v>712</v>
      </c>
      <c r="E734" s="450" t="str">
        <f>VLOOKUP(Table13[[#This Row],[Column1]],[1]Sheet1!$A:$AO,5,FALSE)</f>
        <v>Shopping 52.1(a) - Unforeseen Contingency</v>
      </c>
      <c r="F734" s="446" t="str">
        <f>VLOOKUP(Table13[[#This Row],[Column1]],[1]Sheet1!$A:$AO,6,FALSE)</f>
        <v>N/A</v>
      </c>
      <c r="G734" s="402">
        <f>VLOOKUP(Table13[[#This Row],[Column1]],[1]Sheet1!$A:$AO,7,FALSE)</f>
        <v>45425</v>
      </c>
      <c r="H734" s="374"/>
      <c r="I734" s="402" t="str">
        <f>VLOOKUP(Table13[[#This Row],[Column1]],[1]Sheet1!$A:$AO,9,FALSE)</f>
        <v>N/A</v>
      </c>
      <c r="J734" s="402">
        <f>VLOOKUP(Table13[[#This Row],[Column1]],[1]Sheet1!$A:$AO,10,FALSE)</f>
        <v>45440</v>
      </c>
      <c r="K734" s="402">
        <f>VLOOKUP(Table13[[#This Row],[Column1]],[1]Sheet1!$A:$AO,11,FALSE)</f>
        <v>45440</v>
      </c>
      <c r="L734" s="404"/>
      <c r="M734" s="402" t="str">
        <f>VLOOKUP(Table13[[#This Row],[Column1]],[1]Sheet1!$A:$AO,13,FALSE)</f>
        <v>N/A</v>
      </c>
      <c r="N734" s="402" t="str">
        <f>VLOOKUP(Table13[[#This Row],[Column1]],[1]Sheet1!$A:$AO,14,FALSE)</f>
        <v>N/A</v>
      </c>
      <c r="O734" s="402">
        <f>VLOOKUP(Table13[[#This Row],[Column1]],[1]Sheet1!$A:$AO,15,FALSE)</f>
        <v>45441</v>
      </c>
      <c r="P734" s="375"/>
      <c r="Q734" s="375"/>
      <c r="R734" s="376"/>
      <c r="S734" s="583" t="s">
        <v>713</v>
      </c>
      <c r="T734" s="583">
        <f>VLOOKUP(Table13[[#This Row],[Column1]],[1]Sheet1!$A:$AO,20,FALSE)</f>
        <v>45453</v>
      </c>
      <c r="U734" s="583"/>
      <c r="V734" s="376"/>
      <c r="W734" s="376"/>
      <c r="X734" s="402"/>
      <c r="Y734" s="402"/>
      <c r="Z734" s="610" t="s">
        <v>1478</v>
      </c>
      <c r="AA734" s="532">
        <f>IF(Table13[[#This Row],[Column2]]="","",SUM(Table13[[#This Row],[Column28]]+Table13[[#This Row],[Column29]]))</f>
        <v>2000</v>
      </c>
      <c r="AB734" s="537">
        <v>2000</v>
      </c>
      <c r="AC734" s="502"/>
      <c r="AD734" s="532">
        <f>IF(Table13[[#This Row],[Column2]]="","",SUM(Table13[[#This Row],[Column31]]+Table13[[#This Row],[Column32]]))</f>
        <v>2000</v>
      </c>
      <c r="AE734" s="501">
        <v>2000</v>
      </c>
      <c r="AF734" s="541"/>
      <c r="AG734" s="405"/>
      <c r="AH734" s="380" t="s">
        <v>1205</v>
      </c>
      <c r="AI734" s="576" t="str">
        <f>VLOOKUP(Table13[[#This Row],[Column1]],[1]Sheet1!$A:$AO,35,FALSE)</f>
        <v>N/A</v>
      </c>
      <c r="AJ734" s="576" t="str">
        <f>VLOOKUP(Table13[[#This Row],[Column1]],[1]Sheet1!$A:$AO,36,FALSE)</f>
        <v>N/A</v>
      </c>
      <c r="AK734" s="576" t="str">
        <f>VLOOKUP(Table13[[#This Row],[Column1]],[1]Sheet1!$A:$AO,37,FALSE)</f>
        <v>N/A</v>
      </c>
      <c r="AL734" s="576" t="str">
        <f>VLOOKUP(Table13[[#This Row],[Column1]],[1]Sheet1!$A:$AO,38,FALSE)</f>
        <v>N/A</v>
      </c>
      <c r="AM734" s="576" t="str">
        <f>VLOOKUP(Table13[[#This Row],[Column1]],[1]Sheet1!$A:$AO,39,FALSE)</f>
        <v>N/A</v>
      </c>
      <c r="AN734" s="576" t="s">
        <v>713</v>
      </c>
      <c r="AO734" s="303" t="s">
        <v>1172</v>
      </c>
      <c r="AP734" s="378"/>
      <c r="AQ734" s="237"/>
    </row>
    <row r="735" spans="1:43" s="238" customFormat="1" ht="75" customHeight="1" x14ac:dyDescent="0.25">
      <c r="A735" s="297" t="s">
        <v>947</v>
      </c>
      <c r="B735" s="627" t="str">
        <f>VLOOKUP(Table13[[#This Row],[Column1]],[1]Sheet1!$A:$AO,2,FALSE)</f>
        <v>SPAREPARTS (LIGHT
VEHICLES)</v>
      </c>
      <c r="C735" s="298" t="str">
        <f>VLOOKUP(Table13[[#This Row],[Column1]],[1]Sheet1!$A:$AO,3,FALSE)</f>
        <v>PDRRMO</v>
      </c>
      <c r="D735" s="298" t="s">
        <v>712</v>
      </c>
      <c r="E735" s="450" t="str">
        <f>VLOOKUP(Table13[[#This Row],[Column1]],[1]Sheet1!$A:$AO,5,FALSE)</f>
        <v>Shopping 52.1(a) - Unforeseen Contingency</v>
      </c>
      <c r="F735" s="446" t="str">
        <f>VLOOKUP(Table13[[#This Row],[Column1]],[1]Sheet1!$A:$AO,6,FALSE)</f>
        <v>N/A</v>
      </c>
      <c r="G735" s="402">
        <f>VLOOKUP(Table13[[#This Row],[Column1]],[1]Sheet1!$A:$AO,7,FALSE)</f>
        <v>45425</v>
      </c>
      <c r="H735" s="374"/>
      <c r="I735" s="402" t="str">
        <f>VLOOKUP(Table13[[#This Row],[Column1]],[1]Sheet1!$A:$AO,9,FALSE)</f>
        <v>N/A</v>
      </c>
      <c r="J735" s="402">
        <f>VLOOKUP(Table13[[#This Row],[Column1]],[1]Sheet1!$A:$AO,10,FALSE)</f>
        <v>45440</v>
      </c>
      <c r="K735" s="402">
        <f>VLOOKUP(Table13[[#This Row],[Column1]],[1]Sheet1!$A:$AO,11,FALSE)</f>
        <v>45440</v>
      </c>
      <c r="L735" s="404"/>
      <c r="M735" s="402" t="str">
        <f>VLOOKUP(Table13[[#This Row],[Column1]],[1]Sheet1!$A:$AO,13,FALSE)</f>
        <v>N/A</v>
      </c>
      <c r="N735" s="402" t="str">
        <f>VLOOKUP(Table13[[#This Row],[Column1]],[1]Sheet1!$A:$AO,14,FALSE)</f>
        <v>N/A</v>
      </c>
      <c r="O735" s="402">
        <f>VLOOKUP(Table13[[#This Row],[Column1]],[1]Sheet1!$A:$AO,15,FALSE)</f>
        <v>45441</v>
      </c>
      <c r="P735" s="375"/>
      <c r="Q735" s="375"/>
      <c r="R735" s="376"/>
      <c r="S735" s="583" t="s">
        <v>713</v>
      </c>
      <c r="T735" s="583">
        <f>VLOOKUP(Table13[[#This Row],[Column1]],[1]Sheet1!$A:$AO,20,FALSE)</f>
        <v>45453</v>
      </c>
      <c r="U735" s="583"/>
      <c r="V735" s="376"/>
      <c r="W735" s="376"/>
      <c r="X735" s="402"/>
      <c r="Y735" s="402"/>
      <c r="Z735" s="610" t="s">
        <v>1478</v>
      </c>
      <c r="AA735" s="532">
        <f>IF(Table13[[#This Row],[Column2]]="","",SUM(Table13[[#This Row],[Column28]]+Table13[[#This Row],[Column29]]))</f>
        <v>13500</v>
      </c>
      <c r="AB735" s="537">
        <v>13500</v>
      </c>
      <c r="AC735" s="502"/>
      <c r="AD735" s="532">
        <f>IF(Table13[[#This Row],[Column2]]="","",SUM(Table13[[#This Row],[Column31]]+Table13[[#This Row],[Column32]]))</f>
        <v>13500</v>
      </c>
      <c r="AE735" s="501">
        <v>13500</v>
      </c>
      <c r="AF735" s="541"/>
      <c r="AG735" s="405"/>
      <c r="AH735" s="380" t="s">
        <v>1205</v>
      </c>
      <c r="AI735" s="576" t="str">
        <f>VLOOKUP(Table13[[#This Row],[Column1]],[1]Sheet1!$A:$AO,35,FALSE)</f>
        <v>N/A</v>
      </c>
      <c r="AJ735" s="576" t="str">
        <f>VLOOKUP(Table13[[#This Row],[Column1]],[1]Sheet1!$A:$AO,36,FALSE)</f>
        <v>N/A</v>
      </c>
      <c r="AK735" s="576" t="str">
        <f>VLOOKUP(Table13[[#This Row],[Column1]],[1]Sheet1!$A:$AO,37,FALSE)</f>
        <v>N/A</v>
      </c>
      <c r="AL735" s="576" t="str">
        <f>VLOOKUP(Table13[[#This Row],[Column1]],[1]Sheet1!$A:$AO,38,FALSE)</f>
        <v>N/A</v>
      </c>
      <c r="AM735" s="576" t="str">
        <f>VLOOKUP(Table13[[#This Row],[Column1]],[1]Sheet1!$A:$AO,39,FALSE)</f>
        <v>N/A</v>
      </c>
      <c r="AN735" s="576" t="s">
        <v>713</v>
      </c>
      <c r="AO735" s="303" t="s">
        <v>1172</v>
      </c>
      <c r="AP735" s="378"/>
      <c r="AQ735" s="237"/>
    </row>
    <row r="736" spans="1:43" s="238" customFormat="1" ht="75" customHeight="1" x14ac:dyDescent="0.25">
      <c r="A736" s="297" t="s">
        <v>948</v>
      </c>
      <c r="B736" s="627" t="str">
        <f>VLOOKUP(Table13[[#This Row],[Column1]],[1]Sheet1!$A:$AO,2,FALSE)</f>
        <v>SPAREPARTS (LIGHT
VEHICLES)</v>
      </c>
      <c r="C736" s="298" t="str">
        <f>VLOOKUP(Table13[[#This Row],[Column1]],[1]Sheet1!$A:$AO,3,FALSE)</f>
        <v>PDRRMO</v>
      </c>
      <c r="D736" s="298" t="s">
        <v>712</v>
      </c>
      <c r="E736" s="450" t="str">
        <f>VLOOKUP(Table13[[#This Row],[Column1]],[1]Sheet1!$A:$AO,5,FALSE)</f>
        <v>Shopping 52.1(a) - Unforeseen Contingency</v>
      </c>
      <c r="F736" s="446" t="str">
        <f>VLOOKUP(Table13[[#This Row],[Column1]],[1]Sheet1!$A:$AO,6,FALSE)</f>
        <v>N/A</v>
      </c>
      <c r="G736" s="402">
        <f>VLOOKUP(Table13[[#This Row],[Column1]],[1]Sheet1!$A:$AO,7,FALSE)</f>
        <v>45425</v>
      </c>
      <c r="H736" s="374"/>
      <c r="I736" s="402" t="str">
        <f>VLOOKUP(Table13[[#This Row],[Column1]],[1]Sheet1!$A:$AO,9,FALSE)</f>
        <v>N/A</v>
      </c>
      <c r="J736" s="402">
        <f>VLOOKUP(Table13[[#This Row],[Column1]],[1]Sheet1!$A:$AO,10,FALSE)</f>
        <v>45440</v>
      </c>
      <c r="K736" s="402">
        <f>VLOOKUP(Table13[[#This Row],[Column1]],[1]Sheet1!$A:$AO,11,FALSE)</f>
        <v>45440</v>
      </c>
      <c r="L736" s="404"/>
      <c r="M736" s="402" t="str">
        <f>VLOOKUP(Table13[[#This Row],[Column1]],[1]Sheet1!$A:$AO,13,FALSE)</f>
        <v>N/A</v>
      </c>
      <c r="N736" s="402" t="str">
        <f>VLOOKUP(Table13[[#This Row],[Column1]],[1]Sheet1!$A:$AO,14,FALSE)</f>
        <v>N/A</v>
      </c>
      <c r="O736" s="402">
        <f>VLOOKUP(Table13[[#This Row],[Column1]],[1]Sheet1!$A:$AO,15,FALSE)</f>
        <v>45441</v>
      </c>
      <c r="P736" s="375"/>
      <c r="Q736" s="375"/>
      <c r="R736" s="376"/>
      <c r="S736" s="583" t="s">
        <v>713</v>
      </c>
      <c r="T736" s="583">
        <f>VLOOKUP(Table13[[#This Row],[Column1]],[1]Sheet1!$A:$AO,20,FALSE)</f>
        <v>45453</v>
      </c>
      <c r="U736" s="583"/>
      <c r="V736" s="376"/>
      <c r="W736" s="376"/>
      <c r="X736" s="402"/>
      <c r="Y736" s="402"/>
      <c r="Z736" s="610" t="s">
        <v>1478</v>
      </c>
      <c r="AA736" s="532">
        <f>IF(Table13[[#This Row],[Column2]]="","",SUM(Table13[[#This Row],[Column28]]+Table13[[#This Row],[Column29]]))</f>
        <v>1500</v>
      </c>
      <c r="AB736" s="537">
        <v>1500</v>
      </c>
      <c r="AC736" s="502"/>
      <c r="AD736" s="532">
        <f>IF(Table13[[#This Row],[Column2]]="","",SUM(Table13[[#This Row],[Column31]]+Table13[[#This Row],[Column32]]))</f>
        <v>1500</v>
      </c>
      <c r="AE736" s="501">
        <v>1500</v>
      </c>
      <c r="AF736" s="541"/>
      <c r="AG736" s="405"/>
      <c r="AH736" s="380" t="s">
        <v>1205</v>
      </c>
      <c r="AI736" s="576" t="str">
        <f>VLOOKUP(Table13[[#This Row],[Column1]],[1]Sheet1!$A:$AO,35,FALSE)</f>
        <v>N/A</v>
      </c>
      <c r="AJ736" s="576" t="str">
        <f>VLOOKUP(Table13[[#This Row],[Column1]],[1]Sheet1!$A:$AO,36,FALSE)</f>
        <v>N/A</v>
      </c>
      <c r="AK736" s="576" t="str">
        <f>VLOOKUP(Table13[[#This Row],[Column1]],[1]Sheet1!$A:$AO,37,FALSE)</f>
        <v>N/A</v>
      </c>
      <c r="AL736" s="576" t="str">
        <f>VLOOKUP(Table13[[#This Row],[Column1]],[1]Sheet1!$A:$AO,38,FALSE)</f>
        <v>N/A</v>
      </c>
      <c r="AM736" s="576" t="str">
        <f>VLOOKUP(Table13[[#This Row],[Column1]],[1]Sheet1!$A:$AO,39,FALSE)</f>
        <v>N/A</v>
      </c>
      <c r="AN736" s="576" t="s">
        <v>713</v>
      </c>
      <c r="AO736" s="303" t="s">
        <v>1172</v>
      </c>
      <c r="AP736" s="378"/>
      <c r="AQ736" s="237"/>
    </row>
    <row r="737" spans="1:43" s="238" customFormat="1" ht="75" customHeight="1" x14ac:dyDescent="0.25">
      <c r="A737" s="297" t="s">
        <v>949</v>
      </c>
      <c r="B737" s="627" t="str">
        <f>VLOOKUP(Table13[[#This Row],[Column1]],[1]Sheet1!$A:$AO,2,FALSE)</f>
        <v>SPAREPARTS (MOTOR
CYCLE)</v>
      </c>
      <c r="C737" s="298" t="str">
        <f>VLOOKUP(Table13[[#This Row],[Column1]],[1]Sheet1!$A:$AO,3,FALSE)</f>
        <v>PGSO</v>
      </c>
      <c r="D737" s="298" t="s">
        <v>712</v>
      </c>
      <c r="E737" s="450" t="str">
        <f>VLOOKUP(Table13[[#This Row],[Column1]],[1]Sheet1!$A:$AO,5,FALSE)</f>
        <v>Shopping 52.1(a) - Unforeseen Contingency</v>
      </c>
      <c r="F737" s="446" t="str">
        <f>VLOOKUP(Table13[[#This Row],[Column1]],[1]Sheet1!$A:$AO,6,FALSE)</f>
        <v>N/A</v>
      </c>
      <c r="G737" s="402">
        <f>VLOOKUP(Table13[[#This Row],[Column1]],[1]Sheet1!$A:$AO,7,FALSE)</f>
        <v>45429</v>
      </c>
      <c r="H737" s="374"/>
      <c r="I737" s="402" t="str">
        <f>VLOOKUP(Table13[[#This Row],[Column1]],[1]Sheet1!$A:$AO,9,FALSE)</f>
        <v>N/A</v>
      </c>
      <c r="J737" s="402">
        <f>VLOOKUP(Table13[[#This Row],[Column1]],[1]Sheet1!$A:$AO,10,FALSE)</f>
        <v>45440</v>
      </c>
      <c r="K737" s="402">
        <f>VLOOKUP(Table13[[#This Row],[Column1]],[1]Sheet1!$A:$AO,11,FALSE)</f>
        <v>45440</v>
      </c>
      <c r="L737" s="404"/>
      <c r="M737" s="402" t="str">
        <f>VLOOKUP(Table13[[#This Row],[Column1]],[1]Sheet1!$A:$AO,13,FALSE)</f>
        <v>N/A</v>
      </c>
      <c r="N737" s="402" t="str">
        <f>VLOOKUP(Table13[[#This Row],[Column1]],[1]Sheet1!$A:$AO,14,FALSE)</f>
        <v>N/A</v>
      </c>
      <c r="O737" s="402">
        <f>VLOOKUP(Table13[[#This Row],[Column1]],[1]Sheet1!$A:$AO,15,FALSE)</f>
        <v>45441</v>
      </c>
      <c r="P737" s="375"/>
      <c r="Q737" s="375"/>
      <c r="R737" s="376"/>
      <c r="S737" s="583" t="s">
        <v>713</v>
      </c>
      <c r="T737" s="583">
        <f>VLOOKUP(Table13[[#This Row],[Column1]],[1]Sheet1!$A:$AO,20,FALSE)</f>
        <v>45454</v>
      </c>
      <c r="U737" s="583"/>
      <c r="V737" s="376"/>
      <c r="W737" s="376"/>
      <c r="X737" s="402"/>
      <c r="Y737" s="402"/>
      <c r="Z737" s="610" t="s">
        <v>1478</v>
      </c>
      <c r="AA737" s="532">
        <f>IF(Table13[[#This Row],[Column2]]="","",SUM(Table13[[#This Row],[Column28]]+Table13[[#This Row],[Column29]]))</f>
        <v>3320</v>
      </c>
      <c r="AB737" s="537">
        <v>3320</v>
      </c>
      <c r="AC737" s="502"/>
      <c r="AD737" s="532">
        <f>IF(Table13[[#This Row],[Column2]]="","",SUM(Table13[[#This Row],[Column31]]+Table13[[#This Row],[Column32]]))</f>
        <v>3320</v>
      </c>
      <c r="AE737" s="501">
        <v>3320</v>
      </c>
      <c r="AF737" s="541"/>
      <c r="AG737" s="405"/>
      <c r="AH737" s="380" t="s">
        <v>1205</v>
      </c>
      <c r="AI737" s="576" t="str">
        <f>VLOOKUP(Table13[[#This Row],[Column1]],[1]Sheet1!$A:$AO,35,FALSE)</f>
        <v>N/A</v>
      </c>
      <c r="AJ737" s="576" t="str">
        <f>VLOOKUP(Table13[[#This Row],[Column1]],[1]Sheet1!$A:$AO,36,FALSE)</f>
        <v>N/A</v>
      </c>
      <c r="AK737" s="576" t="str">
        <f>VLOOKUP(Table13[[#This Row],[Column1]],[1]Sheet1!$A:$AO,37,FALSE)</f>
        <v>N/A</v>
      </c>
      <c r="AL737" s="576" t="str">
        <f>VLOOKUP(Table13[[#This Row],[Column1]],[1]Sheet1!$A:$AO,38,FALSE)</f>
        <v>N/A</v>
      </c>
      <c r="AM737" s="576" t="str">
        <f>VLOOKUP(Table13[[#This Row],[Column1]],[1]Sheet1!$A:$AO,39,FALSE)</f>
        <v>N/A</v>
      </c>
      <c r="AN737" s="576" t="s">
        <v>713</v>
      </c>
      <c r="AO737" s="303" t="s">
        <v>1172</v>
      </c>
      <c r="AP737" s="378"/>
      <c r="AQ737" s="237"/>
    </row>
    <row r="738" spans="1:43" s="238" customFormat="1" ht="75" customHeight="1" x14ac:dyDescent="0.25">
      <c r="A738" s="297" t="s">
        <v>950</v>
      </c>
      <c r="B738" s="627" t="str">
        <f>VLOOKUP(Table13[[#This Row],[Column1]],[1]Sheet1!$A:$AO,2,FALSE)</f>
        <v>SPAREPARTS (MOTOR
CYCLE)</v>
      </c>
      <c r="C738" s="298" t="str">
        <f>VLOOKUP(Table13[[#This Row],[Column1]],[1]Sheet1!$A:$AO,3,FALSE)</f>
        <v>PGSO</v>
      </c>
      <c r="D738" s="298" t="s">
        <v>712</v>
      </c>
      <c r="E738" s="450" t="str">
        <f>VLOOKUP(Table13[[#This Row],[Column1]],[1]Sheet1!$A:$AO,5,FALSE)</f>
        <v>Shopping 52.1(a) - Unforeseen Contingency</v>
      </c>
      <c r="F738" s="446" t="str">
        <f>VLOOKUP(Table13[[#This Row],[Column1]],[1]Sheet1!$A:$AO,6,FALSE)</f>
        <v>N/A</v>
      </c>
      <c r="G738" s="402">
        <f>VLOOKUP(Table13[[#This Row],[Column1]],[1]Sheet1!$A:$AO,7,FALSE)</f>
        <v>45434</v>
      </c>
      <c r="H738" s="374"/>
      <c r="I738" s="402" t="str">
        <f>VLOOKUP(Table13[[#This Row],[Column1]],[1]Sheet1!$A:$AO,9,FALSE)</f>
        <v>N/A</v>
      </c>
      <c r="J738" s="402">
        <f>VLOOKUP(Table13[[#This Row],[Column1]],[1]Sheet1!$A:$AO,10,FALSE)</f>
        <v>45440</v>
      </c>
      <c r="K738" s="402">
        <f>VLOOKUP(Table13[[#This Row],[Column1]],[1]Sheet1!$A:$AO,11,FALSE)</f>
        <v>45440</v>
      </c>
      <c r="L738" s="404"/>
      <c r="M738" s="402" t="str">
        <f>VLOOKUP(Table13[[#This Row],[Column1]],[1]Sheet1!$A:$AO,13,FALSE)</f>
        <v>N/A</v>
      </c>
      <c r="N738" s="402" t="str">
        <f>VLOOKUP(Table13[[#This Row],[Column1]],[1]Sheet1!$A:$AO,14,FALSE)</f>
        <v>N/A</v>
      </c>
      <c r="O738" s="402">
        <f>VLOOKUP(Table13[[#This Row],[Column1]],[1]Sheet1!$A:$AO,15,FALSE)</f>
        <v>45441</v>
      </c>
      <c r="P738" s="375"/>
      <c r="Q738" s="375"/>
      <c r="R738" s="376"/>
      <c r="S738" s="583" t="s">
        <v>713</v>
      </c>
      <c r="T738" s="583">
        <f>VLOOKUP(Table13[[#This Row],[Column1]],[1]Sheet1!$A:$AO,20,FALSE)</f>
        <v>45450</v>
      </c>
      <c r="U738" s="583"/>
      <c r="V738" s="376"/>
      <c r="W738" s="376"/>
      <c r="X738" s="402"/>
      <c r="Y738" s="402"/>
      <c r="Z738" s="610" t="s">
        <v>1478</v>
      </c>
      <c r="AA738" s="532">
        <f>IF(Table13[[#This Row],[Column2]]="","",SUM(Table13[[#This Row],[Column28]]+Table13[[#This Row],[Column29]]))</f>
        <v>10600</v>
      </c>
      <c r="AB738" s="537">
        <v>10600</v>
      </c>
      <c r="AC738" s="502"/>
      <c r="AD738" s="532">
        <f>IF(Table13[[#This Row],[Column2]]="","",SUM(Table13[[#This Row],[Column31]]+Table13[[#This Row],[Column32]]))</f>
        <v>10600</v>
      </c>
      <c r="AE738" s="501">
        <v>10600</v>
      </c>
      <c r="AF738" s="541"/>
      <c r="AG738" s="405"/>
      <c r="AH738" s="380" t="s">
        <v>1205</v>
      </c>
      <c r="AI738" s="576" t="str">
        <f>VLOOKUP(Table13[[#This Row],[Column1]],[1]Sheet1!$A:$AO,35,FALSE)</f>
        <v>N/A</v>
      </c>
      <c r="AJ738" s="576" t="str">
        <f>VLOOKUP(Table13[[#This Row],[Column1]],[1]Sheet1!$A:$AO,36,FALSE)</f>
        <v>N/A</v>
      </c>
      <c r="AK738" s="576" t="str">
        <f>VLOOKUP(Table13[[#This Row],[Column1]],[1]Sheet1!$A:$AO,37,FALSE)</f>
        <v>N/A</v>
      </c>
      <c r="AL738" s="576" t="str">
        <f>VLOOKUP(Table13[[#This Row],[Column1]],[1]Sheet1!$A:$AO,38,FALSE)</f>
        <v>N/A</v>
      </c>
      <c r="AM738" s="576" t="str">
        <f>VLOOKUP(Table13[[#This Row],[Column1]],[1]Sheet1!$A:$AO,39,FALSE)</f>
        <v>N/A</v>
      </c>
      <c r="AN738" s="576" t="s">
        <v>713</v>
      </c>
      <c r="AO738" s="303" t="s">
        <v>1172</v>
      </c>
      <c r="AP738" s="378"/>
      <c r="AQ738" s="237"/>
    </row>
    <row r="739" spans="1:43" s="238" customFormat="1" ht="75" customHeight="1" x14ac:dyDescent="0.25">
      <c r="A739" s="297" t="s">
        <v>951</v>
      </c>
      <c r="B739" s="627" t="str">
        <f>VLOOKUP(Table13[[#This Row],[Column1]],[1]Sheet1!$A:$AO,2,FALSE)</f>
        <v>SPAREPARTS (LIGHT
VEHICLES)</v>
      </c>
      <c r="C739" s="298" t="str">
        <f>VLOOKUP(Table13[[#This Row],[Column1]],[1]Sheet1!$A:$AO,3,FALSE)</f>
        <v>PGSO</v>
      </c>
      <c r="D739" s="298" t="s">
        <v>712</v>
      </c>
      <c r="E739" s="450" t="str">
        <f>VLOOKUP(Table13[[#This Row],[Column1]],[1]Sheet1!$A:$AO,5,FALSE)</f>
        <v>Shopping 52.1(a) - Unforeseen Contingency</v>
      </c>
      <c r="F739" s="446" t="str">
        <f>VLOOKUP(Table13[[#This Row],[Column1]],[1]Sheet1!$A:$AO,6,FALSE)</f>
        <v>N/A</v>
      </c>
      <c r="G739" s="402">
        <f>VLOOKUP(Table13[[#This Row],[Column1]],[1]Sheet1!$A:$AO,7,FALSE)</f>
        <v>45434</v>
      </c>
      <c r="H739" s="374"/>
      <c r="I739" s="402" t="str">
        <f>VLOOKUP(Table13[[#This Row],[Column1]],[1]Sheet1!$A:$AO,9,FALSE)</f>
        <v>N/A</v>
      </c>
      <c r="J739" s="402">
        <f>VLOOKUP(Table13[[#This Row],[Column1]],[1]Sheet1!$A:$AO,10,FALSE)</f>
        <v>45440</v>
      </c>
      <c r="K739" s="402">
        <f>VLOOKUP(Table13[[#This Row],[Column1]],[1]Sheet1!$A:$AO,11,FALSE)</f>
        <v>45440</v>
      </c>
      <c r="L739" s="404"/>
      <c r="M739" s="402" t="str">
        <f>VLOOKUP(Table13[[#This Row],[Column1]],[1]Sheet1!$A:$AO,13,FALSE)</f>
        <v>N/A</v>
      </c>
      <c r="N739" s="402" t="str">
        <f>VLOOKUP(Table13[[#This Row],[Column1]],[1]Sheet1!$A:$AO,14,FALSE)</f>
        <v>N/A</v>
      </c>
      <c r="O739" s="402">
        <f>VLOOKUP(Table13[[#This Row],[Column1]],[1]Sheet1!$A:$AO,15,FALSE)</f>
        <v>45441</v>
      </c>
      <c r="P739" s="375"/>
      <c r="Q739" s="375"/>
      <c r="R739" s="376"/>
      <c r="S739" s="583" t="s">
        <v>713</v>
      </c>
      <c r="T739" s="583">
        <f>VLOOKUP(Table13[[#This Row],[Column1]],[1]Sheet1!$A:$AO,20,FALSE)</f>
        <v>45450</v>
      </c>
      <c r="U739" s="583"/>
      <c r="V739" s="376"/>
      <c r="W739" s="376"/>
      <c r="X739" s="402"/>
      <c r="Y739" s="402"/>
      <c r="Z739" s="610" t="s">
        <v>1478</v>
      </c>
      <c r="AA739" s="532">
        <f>IF(Table13[[#This Row],[Column2]]="","",SUM(Table13[[#This Row],[Column28]]+Table13[[#This Row],[Column29]]))</f>
        <v>9400</v>
      </c>
      <c r="AB739" s="537">
        <v>9400</v>
      </c>
      <c r="AC739" s="502"/>
      <c r="AD739" s="532">
        <f>IF(Table13[[#This Row],[Column2]]="","",SUM(Table13[[#This Row],[Column31]]+Table13[[#This Row],[Column32]]))</f>
        <v>9400</v>
      </c>
      <c r="AE739" s="501">
        <v>9400</v>
      </c>
      <c r="AF739" s="541"/>
      <c r="AG739" s="405"/>
      <c r="AH739" s="380" t="s">
        <v>1205</v>
      </c>
      <c r="AI739" s="576" t="str">
        <f>VLOOKUP(Table13[[#This Row],[Column1]],[1]Sheet1!$A:$AO,35,FALSE)</f>
        <v>N/A</v>
      </c>
      <c r="AJ739" s="576" t="str">
        <f>VLOOKUP(Table13[[#This Row],[Column1]],[1]Sheet1!$A:$AO,36,FALSE)</f>
        <v>N/A</v>
      </c>
      <c r="AK739" s="576" t="str">
        <f>VLOOKUP(Table13[[#This Row],[Column1]],[1]Sheet1!$A:$AO,37,FALSE)</f>
        <v>N/A</v>
      </c>
      <c r="AL739" s="576" t="str">
        <f>VLOOKUP(Table13[[#This Row],[Column1]],[1]Sheet1!$A:$AO,38,FALSE)</f>
        <v>N/A</v>
      </c>
      <c r="AM739" s="576" t="str">
        <f>VLOOKUP(Table13[[#This Row],[Column1]],[1]Sheet1!$A:$AO,39,FALSE)</f>
        <v>N/A</v>
      </c>
      <c r="AN739" s="576" t="s">
        <v>713</v>
      </c>
      <c r="AO739" s="303" t="s">
        <v>1172</v>
      </c>
      <c r="AP739" s="378"/>
      <c r="AQ739" s="237"/>
    </row>
    <row r="740" spans="1:43" s="238" customFormat="1" ht="75" customHeight="1" x14ac:dyDescent="0.25">
      <c r="A740" s="297" t="s">
        <v>952</v>
      </c>
      <c r="B740" s="627" t="str">
        <f>VLOOKUP(Table13[[#This Row],[Column1]],[1]Sheet1!$A:$AO,2,FALSE)</f>
        <v>SPAREPARTS (LIGHT
VEHICLES)</v>
      </c>
      <c r="C740" s="298" t="str">
        <f>VLOOKUP(Table13[[#This Row],[Column1]],[1]Sheet1!$A:$AO,3,FALSE)</f>
        <v>PGSO</v>
      </c>
      <c r="D740" s="298" t="s">
        <v>712</v>
      </c>
      <c r="E740" s="450" t="str">
        <f>VLOOKUP(Table13[[#This Row],[Column1]],[1]Sheet1!$A:$AO,5,FALSE)</f>
        <v>Shopping 52.1(a) - Unforeseen Contingency</v>
      </c>
      <c r="F740" s="446" t="str">
        <f>VLOOKUP(Table13[[#This Row],[Column1]],[1]Sheet1!$A:$AO,6,FALSE)</f>
        <v>N/A</v>
      </c>
      <c r="G740" s="402">
        <f>VLOOKUP(Table13[[#This Row],[Column1]],[1]Sheet1!$A:$AO,7,FALSE)</f>
        <v>45434</v>
      </c>
      <c r="H740" s="374"/>
      <c r="I740" s="402" t="str">
        <f>VLOOKUP(Table13[[#This Row],[Column1]],[1]Sheet1!$A:$AO,9,FALSE)</f>
        <v>N/A</v>
      </c>
      <c r="J740" s="402">
        <f>VLOOKUP(Table13[[#This Row],[Column1]],[1]Sheet1!$A:$AO,10,FALSE)</f>
        <v>45440</v>
      </c>
      <c r="K740" s="402">
        <f>VLOOKUP(Table13[[#This Row],[Column1]],[1]Sheet1!$A:$AO,11,FALSE)</f>
        <v>45440</v>
      </c>
      <c r="L740" s="404"/>
      <c r="M740" s="402" t="str">
        <f>VLOOKUP(Table13[[#This Row],[Column1]],[1]Sheet1!$A:$AO,13,FALSE)</f>
        <v>N/A</v>
      </c>
      <c r="N740" s="402" t="str">
        <f>VLOOKUP(Table13[[#This Row],[Column1]],[1]Sheet1!$A:$AO,14,FALSE)</f>
        <v>N/A</v>
      </c>
      <c r="O740" s="402">
        <f>VLOOKUP(Table13[[#This Row],[Column1]],[1]Sheet1!$A:$AO,15,FALSE)</f>
        <v>45441</v>
      </c>
      <c r="P740" s="375"/>
      <c r="Q740" s="375"/>
      <c r="R740" s="376"/>
      <c r="S740" s="583" t="s">
        <v>713</v>
      </c>
      <c r="T740" s="583">
        <f>VLOOKUP(Table13[[#This Row],[Column1]],[1]Sheet1!$A:$AO,20,FALSE)</f>
        <v>45450</v>
      </c>
      <c r="U740" s="583"/>
      <c r="V740" s="376"/>
      <c r="W740" s="376"/>
      <c r="X740" s="402"/>
      <c r="Y740" s="402"/>
      <c r="Z740" s="610" t="s">
        <v>1478</v>
      </c>
      <c r="AA740" s="532">
        <f>IF(Table13[[#This Row],[Column2]]="","",SUM(Table13[[#This Row],[Column28]]+Table13[[#This Row],[Column29]]))</f>
        <v>12000</v>
      </c>
      <c r="AB740" s="537">
        <v>12000</v>
      </c>
      <c r="AC740" s="502"/>
      <c r="AD740" s="532">
        <f>IF(Table13[[#This Row],[Column2]]="","",SUM(Table13[[#This Row],[Column31]]+Table13[[#This Row],[Column32]]))</f>
        <v>12000</v>
      </c>
      <c r="AE740" s="501">
        <v>12000</v>
      </c>
      <c r="AF740" s="541"/>
      <c r="AG740" s="405"/>
      <c r="AH740" s="380" t="s">
        <v>1205</v>
      </c>
      <c r="AI740" s="576" t="str">
        <f>VLOOKUP(Table13[[#This Row],[Column1]],[1]Sheet1!$A:$AO,35,FALSE)</f>
        <v>N/A</v>
      </c>
      <c r="AJ740" s="576" t="str">
        <f>VLOOKUP(Table13[[#This Row],[Column1]],[1]Sheet1!$A:$AO,36,FALSE)</f>
        <v>N/A</v>
      </c>
      <c r="AK740" s="576" t="str">
        <f>VLOOKUP(Table13[[#This Row],[Column1]],[1]Sheet1!$A:$AO,37,FALSE)</f>
        <v>N/A</v>
      </c>
      <c r="AL740" s="576" t="str">
        <f>VLOOKUP(Table13[[#This Row],[Column1]],[1]Sheet1!$A:$AO,38,FALSE)</f>
        <v>N/A</v>
      </c>
      <c r="AM740" s="576" t="str">
        <f>VLOOKUP(Table13[[#This Row],[Column1]],[1]Sheet1!$A:$AO,39,FALSE)</f>
        <v>N/A</v>
      </c>
      <c r="AN740" s="576" t="s">
        <v>713</v>
      </c>
      <c r="AO740" s="303" t="s">
        <v>1172</v>
      </c>
      <c r="AP740" s="378"/>
      <c r="AQ740" s="237"/>
    </row>
    <row r="741" spans="1:43" s="238" customFormat="1" ht="75" customHeight="1" x14ac:dyDescent="0.25">
      <c r="A741" s="297" t="s">
        <v>953</v>
      </c>
      <c r="B741" s="627" t="str">
        <f>VLOOKUP(Table13[[#This Row],[Column1]],[1]Sheet1!$A:$AO,2,FALSE)</f>
        <v>SPAREPARTS (MOTOR
CYCLE)</v>
      </c>
      <c r="C741" s="298" t="str">
        <f>VLOOKUP(Table13[[#This Row],[Column1]],[1]Sheet1!$A:$AO,3,FALSE)</f>
        <v>PGSO</v>
      </c>
      <c r="D741" s="298" t="s">
        <v>712</v>
      </c>
      <c r="E741" s="450" t="str">
        <f>VLOOKUP(Table13[[#This Row],[Column1]],[1]Sheet1!$A:$AO,5,FALSE)</f>
        <v>Shopping 52.1(a) - Unforeseen Contingency</v>
      </c>
      <c r="F741" s="446" t="str">
        <f>VLOOKUP(Table13[[#This Row],[Column1]],[1]Sheet1!$A:$AO,6,FALSE)</f>
        <v>N/A</v>
      </c>
      <c r="G741" s="402">
        <f>VLOOKUP(Table13[[#This Row],[Column1]],[1]Sheet1!$A:$AO,7,FALSE)</f>
        <v>45434</v>
      </c>
      <c r="H741" s="374"/>
      <c r="I741" s="402" t="str">
        <f>VLOOKUP(Table13[[#This Row],[Column1]],[1]Sheet1!$A:$AO,9,FALSE)</f>
        <v>N/A</v>
      </c>
      <c r="J741" s="402">
        <f>VLOOKUP(Table13[[#This Row],[Column1]],[1]Sheet1!$A:$AO,10,FALSE)</f>
        <v>45440</v>
      </c>
      <c r="K741" s="402">
        <f>VLOOKUP(Table13[[#This Row],[Column1]],[1]Sheet1!$A:$AO,11,FALSE)</f>
        <v>45440</v>
      </c>
      <c r="L741" s="404"/>
      <c r="M741" s="402" t="str">
        <f>VLOOKUP(Table13[[#This Row],[Column1]],[1]Sheet1!$A:$AO,13,FALSE)</f>
        <v>N/A</v>
      </c>
      <c r="N741" s="402" t="str">
        <f>VLOOKUP(Table13[[#This Row],[Column1]],[1]Sheet1!$A:$AO,14,FALSE)</f>
        <v>N/A</v>
      </c>
      <c r="O741" s="402">
        <f>VLOOKUP(Table13[[#This Row],[Column1]],[1]Sheet1!$A:$AO,15,FALSE)</f>
        <v>45441</v>
      </c>
      <c r="P741" s="375"/>
      <c r="Q741" s="375"/>
      <c r="R741" s="376"/>
      <c r="S741" s="583" t="s">
        <v>713</v>
      </c>
      <c r="T741" s="583">
        <f>VLOOKUP(Table13[[#This Row],[Column1]],[1]Sheet1!$A:$AO,20,FALSE)</f>
        <v>45450</v>
      </c>
      <c r="U741" s="583"/>
      <c r="V741" s="376"/>
      <c r="W741" s="376"/>
      <c r="X741" s="402"/>
      <c r="Y741" s="402"/>
      <c r="Z741" s="610" t="s">
        <v>1478</v>
      </c>
      <c r="AA741" s="532">
        <f>IF(Table13[[#This Row],[Column2]]="","",SUM(Table13[[#This Row],[Column28]]+Table13[[#This Row],[Column29]]))</f>
        <v>12570</v>
      </c>
      <c r="AB741" s="537">
        <v>12570</v>
      </c>
      <c r="AC741" s="502"/>
      <c r="AD741" s="532">
        <f>IF(Table13[[#This Row],[Column2]]="","",SUM(Table13[[#This Row],[Column31]]+Table13[[#This Row],[Column32]]))</f>
        <v>12570</v>
      </c>
      <c r="AE741" s="501">
        <v>12570</v>
      </c>
      <c r="AF741" s="541"/>
      <c r="AG741" s="405"/>
      <c r="AH741" s="380" t="s">
        <v>1205</v>
      </c>
      <c r="AI741" s="576" t="str">
        <f>VLOOKUP(Table13[[#This Row],[Column1]],[1]Sheet1!$A:$AO,35,FALSE)</f>
        <v>N/A</v>
      </c>
      <c r="AJ741" s="576" t="str">
        <f>VLOOKUP(Table13[[#This Row],[Column1]],[1]Sheet1!$A:$AO,36,FALSE)</f>
        <v>N/A</v>
      </c>
      <c r="AK741" s="576" t="str">
        <f>VLOOKUP(Table13[[#This Row],[Column1]],[1]Sheet1!$A:$AO,37,FALSE)</f>
        <v>N/A</v>
      </c>
      <c r="AL741" s="576" t="str">
        <f>VLOOKUP(Table13[[#This Row],[Column1]],[1]Sheet1!$A:$AO,38,FALSE)</f>
        <v>N/A</v>
      </c>
      <c r="AM741" s="576" t="str">
        <f>VLOOKUP(Table13[[#This Row],[Column1]],[1]Sheet1!$A:$AO,39,FALSE)</f>
        <v>N/A</v>
      </c>
      <c r="AN741" s="576" t="s">
        <v>713</v>
      </c>
      <c r="AO741" s="303" t="s">
        <v>1172</v>
      </c>
      <c r="AP741" s="378"/>
      <c r="AQ741" s="237"/>
    </row>
    <row r="742" spans="1:43" s="238" customFormat="1" ht="75" customHeight="1" x14ac:dyDescent="0.25">
      <c r="A742" s="297" t="s">
        <v>954</v>
      </c>
      <c r="B742" s="627" t="str">
        <f>VLOOKUP(Table13[[#This Row],[Column1]],[1]Sheet1!$A:$AO,2,FALSE)</f>
        <v>SPAREPARTS (LIGHT
VEHICLES)</v>
      </c>
      <c r="C742" s="298" t="str">
        <f>VLOOKUP(Table13[[#This Row],[Column1]],[1]Sheet1!$A:$AO,3,FALSE)</f>
        <v>PDRRMO</v>
      </c>
      <c r="D742" s="298" t="s">
        <v>712</v>
      </c>
      <c r="E742" s="450" t="str">
        <f>VLOOKUP(Table13[[#This Row],[Column1]],[1]Sheet1!$A:$AO,5,FALSE)</f>
        <v>Shopping 52.1(a) - Unforeseen Contingency</v>
      </c>
      <c r="F742" s="446" t="str">
        <f>VLOOKUP(Table13[[#This Row],[Column1]],[1]Sheet1!$A:$AO,6,FALSE)</f>
        <v>N/A</v>
      </c>
      <c r="G742" s="402">
        <f>VLOOKUP(Table13[[#This Row],[Column1]],[1]Sheet1!$A:$AO,7,FALSE)</f>
        <v>45425</v>
      </c>
      <c r="H742" s="374"/>
      <c r="I742" s="402" t="str">
        <f>VLOOKUP(Table13[[#This Row],[Column1]],[1]Sheet1!$A:$AO,9,FALSE)</f>
        <v>N/A</v>
      </c>
      <c r="J742" s="402">
        <f>VLOOKUP(Table13[[#This Row],[Column1]],[1]Sheet1!$A:$AO,10,FALSE)</f>
        <v>45440</v>
      </c>
      <c r="K742" s="402">
        <f>VLOOKUP(Table13[[#This Row],[Column1]],[1]Sheet1!$A:$AO,11,FALSE)</f>
        <v>45440</v>
      </c>
      <c r="L742" s="404"/>
      <c r="M742" s="402" t="str">
        <f>VLOOKUP(Table13[[#This Row],[Column1]],[1]Sheet1!$A:$AO,13,FALSE)</f>
        <v>N/A</v>
      </c>
      <c r="N742" s="402" t="str">
        <f>VLOOKUP(Table13[[#This Row],[Column1]],[1]Sheet1!$A:$AO,14,FALSE)</f>
        <v>N/A</v>
      </c>
      <c r="O742" s="402">
        <f>VLOOKUP(Table13[[#This Row],[Column1]],[1]Sheet1!$A:$AO,15,FALSE)</f>
        <v>45441</v>
      </c>
      <c r="P742" s="375"/>
      <c r="Q742" s="375"/>
      <c r="R742" s="376"/>
      <c r="S742" s="583" t="s">
        <v>713</v>
      </c>
      <c r="T742" s="583">
        <f>VLOOKUP(Table13[[#This Row],[Column1]],[1]Sheet1!$A:$AO,20,FALSE)</f>
        <v>45450</v>
      </c>
      <c r="U742" s="583"/>
      <c r="V742" s="376"/>
      <c r="W742" s="376"/>
      <c r="X742" s="402"/>
      <c r="Y742" s="402"/>
      <c r="Z742" s="610" t="s">
        <v>1478</v>
      </c>
      <c r="AA742" s="532">
        <f>IF(Table13[[#This Row],[Column2]]="","",SUM(Table13[[#This Row],[Column28]]+Table13[[#This Row],[Column29]]))</f>
        <v>1500</v>
      </c>
      <c r="AB742" s="537">
        <v>1500</v>
      </c>
      <c r="AC742" s="502"/>
      <c r="AD742" s="532">
        <f>IF(Table13[[#This Row],[Column2]]="","",SUM(Table13[[#This Row],[Column31]]+Table13[[#This Row],[Column32]]))</f>
        <v>1500</v>
      </c>
      <c r="AE742" s="501">
        <v>1500</v>
      </c>
      <c r="AF742" s="541"/>
      <c r="AG742" s="405"/>
      <c r="AH742" s="380" t="s">
        <v>1205</v>
      </c>
      <c r="AI742" s="576" t="str">
        <f>VLOOKUP(Table13[[#This Row],[Column1]],[1]Sheet1!$A:$AO,35,FALSE)</f>
        <v>N/A</v>
      </c>
      <c r="AJ742" s="576" t="str">
        <f>VLOOKUP(Table13[[#This Row],[Column1]],[1]Sheet1!$A:$AO,36,FALSE)</f>
        <v>N/A</v>
      </c>
      <c r="AK742" s="576" t="str">
        <f>VLOOKUP(Table13[[#This Row],[Column1]],[1]Sheet1!$A:$AO,37,FALSE)</f>
        <v>N/A</v>
      </c>
      <c r="AL742" s="576" t="str">
        <f>VLOOKUP(Table13[[#This Row],[Column1]],[1]Sheet1!$A:$AO,38,FALSE)</f>
        <v>N/A</v>
      </c>
      <c r="AM742" s="576" t="str">
        <f>VLOOKUP(Table13[[#This Row],[Column1]],[1]Sheet1!$A:$AO,39,FALSE)</f>
        <v>N/A</v>
      </c>
      <c r="AN742" s="576" t="s">
        <v>713</v>
      </c>
      <c r="AO742" s="303" t="s">
        <v>1172</v>
      </c>
      <c r="AP742" s="378"/>
      <c r="AQ742" s="237"/>
    </row>
    <row r="743" spans="1:43" s="238" customFormat="1" ht="75" customHeight="1" x14ac:dyDescent="0.25">
      <c r="A743" s="297" t="s">
        <v>955</v>
      </c>
      <c r="B743" s="627" t="str">
        <f>VLOOKUP(Table13[[#This Row],[Column1]],[1]Sheet1!$A:$AO,2,FALSE)</f>
        <v>SPAREPARTS (LIGHT
VEHICLES)</v>
      </c>
      <c r="C743" s="298" t="str">
        <f>VLOOKUP(Table13[[#This Row],[Column1]],[1]Sheet1!$A:$AO,3,FALSE)</f>
        <v>PGSO</v>
      </c>
      <c r="D743" s="298" t="s">
        <v>712</v>
      </c>
      <c r="E743" s="450" t="str">
        <f>VLOOKUP(Table13[[#This Row],[Column1]],[1]Sheet1!$A:$AO,5,FALSE)</f>
        <v>Shopping 52.1(a) - Unforeseen Contingency</v>
      </c>
      <c r="F743" s="446">
        <f>VLOOKUP(Table13[[#This Row],[Column1]],[1]Sheet1!$A:$AO,6,FALSE)</f>
        <v>45398</v>
      </c>
      <c r="G743" s="402">
        <f>VLOOKUP(Table13[[#This Row],[Column1]],[1]Sheet1!$A:$AO,7,FALSE)</f>
        <v>45404</v>
      </c>
      <c r="H743" s="374"/>
      <c r="I743" s="402" t="str">
        <f>VLOOKUP(Table13[[#This Row],[Column1]],[1]Sheet1!$A:$AO,9,FALSE)</f>
        <v>N/A</v>
      </c>
      <c r="J743" s="402">
        <f>VLOOKUP(Table13[[#This Row],[Column1]],[1]Sheet1!$A:$AO,10,FALSE)</f>
        <v>45440</v>
      </c>
      <c r="K743" s="402">
        <f>VLOOKUP(Table13[[#This Row],[Column1]],[1]Sheet1!$A:$AO,11,FALSE)</f>
        <v>45440</v>
      </c>
      <c r="L743" s="404"/>
      <c r="M743" s="402" t="str">
        <f>VLOOKUP(Table13[[#This Row],[Column1]],[1]Sheet1!$A:$AO,13,FALSE)</f>
        <v>N/A</v>
      </c>
      <c r="N743" s="402" t="str">
        <f>VLOOKUP(Table13[[#This Row],[Column1]],[1]Sheet1!$A:$AO,14,FALSE)</f>
        <v>N/A</v>
      </c>
      <c r="O743" s="402">
        <f>VLOOKUP(Table13[[#This Row],[Column1]],[1]Sheet1!$A:$AO,15,FALSE)</f>
        <v>45441</v>
      </c>
      <c r="P743" s="375"/>
      <c r="Q743" s="375"/>
      <c r="R743" s="376"/>
      <c r="S743" s="583" t="s">
        <v>713</v>
      </c>
      <c r="T743" s="583">
        <f>VLOOKUP(Table13[[#This Row],[Column1]],[1]Sheet1!$A:$AO,20,FALSE)</f>
        <v>45456</v>
      </c>
      <c r="U743" s="583"/>
      <c r="V743" s="376"/>
      <c r="W743" s="376"/>
      <c r="X743" s="402"/>
      <c r="Y743" s="402"/>
      <c r="Z743" s="610" t="s">
        <v>1478</v>
      </c>
      <c r="AA743" s="532">
        <f>IF(Table13[[#This Row],[Column2]]="","",SUM(Table13[[#This Row],[Column28]]+Table13[[#This Row],[Column29]]))</f>
        <v>1850</v>
      </c>
      <c r="AB743" s="537">
        <v>1850</v>
      </c>
      <c r="AC743" s="502"/>
      <c r="AD743" s="532">
        <f>IF(Table13[[#This Row],[Column2]]="","",SUM(Table13[[#This Row],[Column31]]+Table13[[#This Row],[Column32]]))</f>
        <v>1850</v>
      </c>
      <c r="AE743" s="501">
        <v>1850</v>
      </c>
      <c r="AF743" s="541"/>
      <c r="AG743" s="405"/>
      <c r="AH743" s="380" t="s">
        <v>1205</v>
      </c>
      <c r="AI743" s="576" t="str">
        <f>VLOOKUP(Table13[[#This Row],[Column1]],[1]Sheet1!$A:$AO,35,FALSE)</f>
        <v>N/A</v>
      </c>
      <c r="AJ743" s="576" t="str">
        <f>VLOOKUP(Table13[[#This Row],[Column1]],[1]Sheet1!$A:$AO,36,FALSE)</f>
        <v>N/A</v>
      </c>
      <c r="AK743" s="576" t="str">
        <f>VLOOKUP(Table13[[#This Row],[Column1]],[1]Sheet1!$A:$AO,37,FALSE)</f>
        <v>N/A</v>
      </c>
      <c r="AL743" s="576" t="str">
        <f>VLOOKUP(Table13[[#This Row],[Column1]],[1]Sheet1!$A:$AO,38,FALSE)</f>
        <v>N/A</v>
      </c>
      <c r="AM743" s="576" t="str">
        <f>VLOOKUP(Table13[[#This Row],[Column1]],[1]Sheet1!$A:$AO,39,FALSE)</f>
        <v>N/A</v>
      </c>
      <c r="AN743" s="576" t="s">
        <v>713</v>
      </c>
      <c r="AO743" s="303" t="s">
        <v>1172</v>
      </c>
      <c r="AP743" s="378"/>
      <c r="AQ743" s="237"/>
    </row>
    <row r="744" spans="1:43" s="238" customFormat="1" ht="75" customHeight="1" x14ac:dyDescent="0.25">
      <c r="A744" s="297" t="s">
        <v>956</v>
      </c>
      <c r="B744" s="627" t="str">
        <f>VLOOKUP(Table13[[#This Row],[Column1]],[1]Sheet1!$A:$AO,2,FALSE)</f>
        <v>OFFICE SUPPLIES</v>
      </c>
      <c r="C744" s="298" t="str">
        <f>VLOOKUP(Table13[[#This Row],[Column1]],[1]Sheet1!$A:$AO,3,FALSE)</f>
        <v>PAO-IPRD</v>
      </c>
      <c r="D744" s="298" t="s">
        <v>712</v>
      </c>
      <c r="E744" s="450" t="str">
        <f>VLOOKUP(Table13[[#This Row],[Column1]],[1]Sheet1!$A:$AO,5,FALSE)</f>
        <v>Shopping 52.1(b) - Regular Office Supplies and Equipment no available in PS</v>
      </c>
      <c r="F744" s="446">
        <f>VLOOKUP(Table13[[#This Row],[Column1]],[1]Sheet1!$A:$AO,6,FALSE)</f>
        <v>45407</v>
      </c>
      <c r="G744" s="402">
        <f>VLOOKUP(Table13[[#This Row],[Column1]],[1]Sheet1!$A:$AO,7,FALSE)</f>
        <v>45412</v>
      </c>
      <c r="H744" s="374"/>
      <c r="I744" s="402" t="str">
        <f>VLOOKUP(Table13[[#This Row],[Column1]],[1]Sheet1!$A:$AO,9,FALSE)</f>
        <v>N/A</v>
      </c>
      <c r="J744" s="402">
        <f>VLOOKUP(Table13[[#This Row],[Column1]],[1]Sheet1!$A:$AO,10,FALSE)</f>
        <v>45440</v>
      </c>
      <c r="K744" s="402">
        <f>VLOOKUP(Table13[[#This Row],[Column1]],[1]Sheet1!$A:$AO,11,FALSE)</f>
        <v>45440</v>
      </c>
      <c r="L744" s="404"/>
      <c r="M744" s="402" t="str">
        <f>VLOOKUP(Table13[[#This Row],[Column1]],[1]Sheet1!$A:$AO,13,FALSE)</f>
        <v>N/A</v>
      </c>
      <c r="N744" s="402" t="str">
        <f>VLOOKUP(Table13[[#This Row],[Column1]],[1]Sheet1!$A:$AO,14,FALSE)</f>
        <v>N/A</v>
      </c>
      <c r="O744" s="402">
        <f>VLOOKUP(Table13[[#This Row],[Column1]],[1]Sheet1!$A:$AO,15,FALSE)</f>
        <v>45441</v>
      </c>
      <c r="P744" s="375"/>
      <c r="Q744" s="375"/>
      <c r="R744" s="376"/>
      <c r="S744" s="583" t="s">
        <v>713</v>
      </c>
      <c r="T744" s="583">
        <f>VLOOKUP(Table13[[#This Row],[Column1]],[1]Sheet1!$A:$AO,20,FALSE)</f>
        <v>45453</v>
      </c>
      <c r="U744" s="583"/>
      <c r="V744" s="376"/>
      <c r="W744" s="376"/>
      <c r="X744" s="402"/>
      <c r="Y744" s="402"/>
      <c r="Z744" s="610" t="s">
        <v>1478</v>
      </c>
      <c r="AA744" s="532">
        <f>IF(Table13[[#This Row],[Column2]]="","",SUM(Table13[[#This Row],[Column28]]+Table13[[#This Row],[Column29]]))</f>
        <v>7449</v>
      </c>
      <c r="AB744" s="537">
        <v>7449</v>
      </c>
      <c r="AC744" s="502"/>
      <c r="AD744" s="532">
        <f>IF(Table13[[#This Row],[Column2]]="","",SUM(Table13[[#This Row],[Column31]]+Table13[[#This Row],[Column32]]))</f>
        <v>7116</v>
      </c>
      <c r="AE744" s="501">
        <v>7116</v>
      </c>
      <c r="AF744" s="541"/>
      <c r="AG744" s="405"/>
      <c r="AH744" s="380" t="s">
        <v>1205</v>
      </c>
      <c r="AI744" s="576" t="str">
        <f>VLOOKUP(Table13[[#This Row],[Column1]],[1]Sheet1!$A:$AO,35,FALSE)</f>
        <v>N/A</v>
      </c>
      <c r="AJ744" s="576" t="str">
        <f>VLOOKUP(Table13[[#This Row],[Column1]],[1]Sheet1!$A:$AO,36,FALSE)</f>
        <v>N/A</v>
      </c>
      <c r="AK744" s="576" t="str">
        <f>VLOOKUP(Table13[[#This Row],[Column1]],[1]Sheet1!$A:$AO,37,FALSE)</f>
        <v>N/A</v>
      </c>
      <c r="AL744" s="576" t="str">
        <f>VLOOKUP(Table13[[#This Row],[Column1]],[1]Sheet1!$A:$AO,38,FALSE)</f>
        <v>N/A</v>
      </c>
      <c r="AM744" s="576" t="str">
        <f>VLOOKUP(Table13[[#This Row],[Column1]],[1]Sheet1!$A:$AO,39,FALSE)</f>
        <v>N/A</v>
      </c>
      <c r="AN744" s="576" t="s">
        <v>713</v>
      </c>
      <c r="AO744" s="303" t="s">
        <v>1172</v>
      </c>
      <c r="AP744" s="378"/>
      <c r="AQ744" s="237"/>
    </row>
    <row r="745" spans="1:43" s="238" customFormat="1" ht="75" customHeight="1" x14ac:dyDescent="0.25">
      <c r="A745" s="297" t="s">
        <v>957</v>
      </c>
      <c r="B745" s="627" t="str">
        <f>VLOOKUP(Table13[[#This Row],[Column1]],[1]Sheet1!$A:$AO,2,FALSE)</f>
        <v>OFFICE SUPPLIES
(COLLATERAL FOLDER WITH
SAMPLE DESIGN)</v>
      </c>
      <c r="C745" s="298" t="str">
        <f>VLOOKUP(Table13[[#This Row],[Column1]],[1]Sheet1!$A:$AO,3,FALSE)</f>
        <v>PAO-IPRD</v>
      </c>
      <c r="D745" s="298" t="s">
        <v>712</v>
      </c>
      <c r="E745" s="450" t="str">
        <f>VLOOKUP(Table13[[#This Row],[Column1]],[1]Sheet1!$A:$AO,5,FALSE)</f>
        <v>Shopping 52.1(b) - Regular Office Supplies and Equipment no available in PS</v>
      </c>
      <c r="F745" s="446">
        <f>VLOOKUP(Table13[[#This Row],[Column1]],[1]Sheet1!$A:$AO,6,FALSE)</f>
        <v>45407</v>
      </c>
      <c r="G745" s="402">
        <f>VLOOKUP(Table13[[#This Row],[Column1]],[1]Sheet1!$A:$AO,7,FALSE)</f>
        <v>45412</v>
      </c>
      <c r="H745" s="374"/>
      <c r="I745" s="402" t="str">
        <f>VLOOKUP(Table13[[#This Row],[Column1]],[1]Sheet1!$A:$AO,9,FALSE)</f>
        <v>N/A</v>
      </c>
      <c r="J745" s="402">
        <f>VLOOKUP(Table13[[#This Row],[Column1]],[1]Sheet1!$A:$AO,10,FALSE)</f>
        <v>45440</v>
      </c>
      <c r="K745" s="402">
        <f>VLOOKUP(Table13[[#This Row],[Column1]],[1]Sheet1!$A:$AO,11,FALSE)</f>
        <v>45440</v>
      </c>
      <c r="L745" s="404"/>
      <c r="M745" s="402" t="str">
        <f>VLOOKUP(Table13[[#This Row],[Column1]],[1]Sheet1!$A:$AO,13,FALSE)</f>
        <v>N/A</v>
      </c>
      <c r="N745" s="402" t="str">
        <f>VLOOKUP(Table13[[#This Row],[Column1]],[1]Sheet1!$A:$AO,14,FALSE)</f>
        <v>N/A</v>
      </c>
      <c r="O745" s="402">
        <f>VLOOKUP(Table13[[#This Row],[Column1]],[1]Sheet1!$A:$AO,15,FALSE)</f>
        <v>45441</v>
      </c>
      <c r="P745" s="375"/>
      <c r="Q745" s="375"/>
      <c r="R745" s="376"/>
      <c r="S745" s="583" t="s">
        <v>713</v>
      </c>
      <c r="T745" s="583">
        <f>VLOOKUP(Table13[[#This Row],[Column1]],[1]Sheet1!$A:$AO,20,FALSE)</f>
        <v>45454</v>
      </c>
      <c r="U745" s="583"/>
      <c r="V745" s="376"/>
      <c r="W745" s="376"/>
      <c r="X745" s="402"/>
      <c r="Y745" s="402"/>
      <c r="Z745" s="610" t="s">
        <v>1478</v>
      </c>
      <c r="AA745" s="532">
        <f>IF(Table13[[#This Row],[Column2]]="","",SUM(Table13[[#This Row],[Column28]]+Table13[[#This Row],[Column29]]))</f>
        <v>5500</v>
      </c>
      <c r="AB745" s="537">
        <v>5500</v>
      </c>
      <c r="AC745" s="502"/>
      <c r="AD745" s="532">
        <f>IF(Table13[[#This Row],[Column2]]="","",SUM(Table13[[#This Row],[Column31]]+Table13[[#This Row],[Column32]]))</f>
        <v>5500</v>
      </c>
      <c r="AE745" s="501">
        <v>5500</v>
      </c>
      <c r="AF745" s="541"/>
      <c r="AG745" s="405"/>
      <c r="AH745" s="380" t="s">
        <v>1205</v>
      </c>
      <c r="AI745" s="576" t="str">
        <f>VLOOKUP(Table13[[#This Row],[Column1]],[1]Sheet1!$A:$AO,35,FALSE)</f>
        <v>N/A</v>
      </c>
      <c r="AJ745" s="576" t="str">
        <f>VLOOKUP(Table13[[#This Row],[Column1]],[1]Sheet1!$A:$AO,36,FALSE)</f>
        <v>N/A</v>
      </c>
      <c r="AK745" s="576" t="str">
        <f>VLOOKUP(Table13[[#This Row],[Column1]],[1]Sheet1!$A:$AO,37,FALSE)</f>
        <v>N/A</v>
      </c>
      <c r="AL745" s="576" t="str">
        <f>VLOOKUP(Table13[[#This Row],[Column1]],[1]Sheet1!$A:$AO,38,FALSE)</f>
        <v>N/A</v>
      </c>
      <c r="AM745" s="576" t="str">
        <f>VLOOKUP(Table13[[#This Row],[Column1]],[1]Sheet1!$A:$AO,39,FALSE)</f>
        <v>N/A</v>
      </c>
      <c r="AN745" s="576" t="s">
        <v>713</v>
      </c>
      <c r="AO745" s="303" t="s">
        <v>1172</v>
      </c>
      <c r="AP745" s="378"/>
      <c r="AQ745" s="237"/>
    </row>
    <row r="746" spans="1:43" s="238" customFormat="1" ht="75" customHeight="1" x14ac:dyDescent="0.25">
      <c r="A746" s="297" t="s">
        <v>958</v>
      </c>
      <c r="B746" s="627" t="str">
        <f>VLOOKUP(Table13[[#This Row],[Column1]],[1]Sheet1!$A:$AO,2,FALSE)</f>
        <v>OFFICE SUPPLIES</v>
      </c>
      <c r="C746" s="298" t="str">
        <f>VLOOKUP(Table13[[#This Row],[Column1]],[1]Sheet1!$A:$AO,3,FALSE)</f>
        <v>PAO-ADMIN</v>
      </c>
      <c r="D746" s="298" t="s">
        <v>712</v>
      </c>
      <c r="E746" s="450" t="str">
        <f>VLOOKUP(Table13[[#This Row],[Column1]],[1]Sheet1!$A:$AO,5,FALSE)</f>
        <v>Shopping 52.1(b) - Regular Office Supplies and Equipment no available in PS</v>
      </c>
      <c r="F746" s="446" t="str">
        <f>VLOOKUP(Table13[[#This Row],[Column1]],[1]Sheet1!$A:$AO,6,FALSE)</f>
        <v>N/A</v>
      </c>
      <c r="G746" s="402">
        <f>VLOOKUP(Table13[[#This Row],[Column1]],[1]Sheet1!$A:$AO,7,FALSE)</f>
        <v>45422</v>
      </c>
      <c r="H746" s="374"/>
      <c r="I746" s="402" t="str">
        <f>VLOOKUP(Table13[[#This Row],[Column1]],[1]Sheet1!$A:$AO,9,FALSE)</f>
        <v>N/A</v>
      </c>
      <c r="J746" s="402">
        <f>VLOOKUP(Table13[[#This Row],[Column1]],[1]Sheet1!$A:$AO,10,FALSE)</f>
        <v>45440</v>
      </c>
      <c r="K746" s="402">
        <f>VLOOKUP(Table13[[#This Row],[Column1]],[1]Sheet1!$A:$AO,11,FALSE)</f>
        <v>45440</v>
      </c>
      <c r="L746" s="404"/>
      <c r="M746" s="402" t="str">
        <f>VLOOKUP(Table13[[#This Row],[Column1]],[1]Sheet1!$A:$AO,13,FALSE)</f>
        <v>N/A</v>
      </c>
      <c r="N746" s="402" t="str">
        <f>VLOOKUP(Table13[[#This Row],[Column1]],[1]Sheet1!$A:$AO,14,FALSE)</f>
        <v>N/A</v>
      </c>
      <c r="O746" s="402">
        <f>VLOOKUP(Table13[[#This Row],[Column1]],[1]Sheet1!$A:$AO,15,FALSE)</f>
        <v>45441</v>
      </c>
      <c r="P746" s="375"/>
      <c r="Q746" s="375"/>
      <c r="R746" s="376"/>
      <c r="S746" s="583" t="s">
        <v>713</v>
      </c>
      <c r="T746" s="583">
        <f>VLOOKUP(Table13[[#This Row],[Column1]],[1]Sheet1!$A:$AO,20,FALSE)</f>
        <v>45454</v>
      </c>
      <c r="U746" s="583"/>
      <c r="V746" s="376"/>
      <c r="W746" s="376"/>
      <c r="X746" s="402"/>
      <c r="Y746" s="402"/>
      <c r="Z746" s="610" t="s">
        <v>1478</v>
      </c>
      <c r="AA746" s="532">
        <f>IF(Table13[[#This Row],[Column2]]="","",SUM(Table13[[#This Row],[Column28]]+Table13[[#This Row],[Column29]]))</f>
        <v>7868</v>
      </c>
      <c r="AB746" s="537">
        <v>7868</v>
      </c>
      <c r="AC746" s="502"/>
      <c r="AD746" s="532">
        <f>IF(Table13[[#This Row],[Column2]]="","",SUM(Table13[[#This Row],[Column31]]+Table13[[#This Row],[Column32]]))</f>
        <v>7860</v>
      </c>
      <c r="AE746" s="501">
        <v>7860</v>
      </c>
      <c r="AF746" s="541"/>
      <c r="AG746" s="405"/>
      <c r="AH746" s="380" t="s">
        <v>1205</v>
      </c>
      <c r="AI746" s="576" t="str">
        <f>VLOOKUP(Table13[[#This Row],[Column1]],[1]Sheet1!$A:$AO,35,FALSE)</f>
        <v>N/A</v>
      </c>
      <c r="AJ746" s="576" t="str">
        <f>VLOOKUP(Table13[[#This Row],[Column1]],[1]Sheet1!$A:$AO,36,FALSE)</f>
        <v>N/A</v>
      </c>
      <c r="AK746" s="576" t="str">
        <f>VLOOKUP(Table13[[#This Row],[Column1]],[1]Sheet1!$A:$AO,37,FALSE)</f>
        <v>N/A</v>
      </c>
      <c r="AL746" s="576" t="str">
        <f>VLOOKUP(Table13[[#This Row],[Column1]],[1]Sheet1!$A:$AO,38,FALSE)</f>
        <v>N/A</v>
      </c>
      <c r="AM746" s="576" t="str">
        <f>VLOOKUP(Table13[[#This Row],[Column1]],[1]Sheet1!$A:$AO,39,FALSE)</f>
        <v>N/A</v>
      </c>
      <c r="AN746" s="576" t="s">
        <v>713</v>
      </c>
      <c r="AO746" s="303" t="s">
        <v>1172</v>
      </c>
      <c r="AP746" s="378"/>
      <c r="AQ746" s="237"/>
    </row>
    <row r="747" spans="1:43" s="238" customFormat="1" ht="75" customHeight="1" x14ac:dyDescent="0.25">
      <c r="A747" s="297" t="s">
        <v>959</v>
      </c>
      <c r="B747" s="627" t="str">
        <f>VLOOKUP(Table13[[#This Row],[Column1]],[1]Sheet1!$A:$AO,2,FALSE)</f>
        <v>OFFICE SUPPLIES</v>
      </c>
      <c r="C747" s="298" t="str">
        <f>VLOOKUP(Table13[[#This Row],[Column1]],[1]Sheet1!$A:$AO,3,FALSE)</f>
        <v>PDRRMO</v>
      </c>
      <c r="D747" s="298" t="s">
        <v>712</v>
      </c>
      <c r="E747" s="450" t="str">
        <f>VLOOKUP(Table13[[#This Row],[Column1]],[1]Sheet1!$A:$AO,5,FALSE)</f>
        <v>Shopping 52.1(b) - Regular Office Supplies and Equipment no available in PS</v>
      </c>
      <c r="F747" s="446" t="str">
        <f>VLOOKUP(Table13[[#This Row],[Column1]],[1]Sheet1!$A:$AO,6,FALSE)</f>
        <v>N/A</v>
      </c>
      <c r="G747" s="402">
        <f>VLOOKUP(Table13[[#This Row],[Column1]],[1]Sheet1!$A:$AO,7,FALSE)</f>
        <v>45412</v>
      </c>
      <c r="H747" s="374"/>
      <c r="I747" s="402" t="str">
        <f>VLOOKUP(Table13[[#This Row],[Column1]],[1]Sheet1!$A:$AO,9,FALSE)</f>
        <v>N/A</v>
      </c>
      <c r="J747" s="402">
        <f>VLOOKUP(Table13[[#This Row],[Column1]],[1]Sheet1!$A:$AO,10,FALSE)</f>
        <v>45440</v>
      </c>
      <c r="K747" s="402">
        <f>VLOOKUP(Table13[[#This Row],[Column1]],[1]Sheet1!$A:$AO,11,FALSE)</f>
        <v>45440</v>
      </c>
      <c r="L747" s="404"/>
      <c r="M747" s="402" t="str">
        <f>VLOOKUP(Table13[[#This Row],[Column1]],[1]Sheet1!$A:$AO,13,FALSE)</f>
        <v>N/A</v>
      </c>
      <c r="N747" s="402" t="str">
        <f>VLOOKUP(Table13[[#This Row],[Column1]],[1]Sheet1!$A:$AO,14,FALSE)</f>
        <v>N/A</v>
      </c>
      <c r="O747" s="402">
        <f>VLOOKUP(Table13[[#This Row],[Column1]],[1]Sheet1!$A:$AO,15,FALSE)</f>
        <v>45441</v>
      </c>
      <c r="P747" s="375"/>
      <c r="Q747" s="375"/>
      <c r="R747" s="376"/>
      <c r="S747" s="583" t="s">
        <v>713</v>
      </c>
      <c r="T747" s="583">
        <f>VLOOKUP(Table13[[#This Row],[Column1]],[1]Sheet1!$A:$AO,20,FALSE)</f>
        <v>45454</v>
      </c>
      <c r="U747" s="583"/>
      <c r="V747" s="376"/>
      <c r="W747" s="376"/>
      <c r="X747" s="402"/>
      <c r="Y747" s="402"/>
      <c r="Z747" s="610" t="s">
        <v>1478</v>
      </c>
      <c r="AA747" s="532">
        <f>IF(Table13[[#This Row],[Column2]]="","",SUM(Table13[[#This Row],[Column28]]+Table13[[#This Row],[Column29]]))</f>
        <v>18262</v>
      </c>
      <c r="AB747" s="537"/>
      <c r="AC747" s="502">
        <v>18262</v>
      </c>
      <c r="AD747" s="532">
        <f>IF(Table13[[#This Row],[Column2]]="","",SUM(Table13[[#This Row],[Column31]]+Table13[[#This Row],[Column32]]))</f>
        <v>17973</v>
      </c>
      <c r="AE747" s="501"/>
      <c r="AF747" s="541">
        <v>17973</v>
      </c>
      <c r="AG747" s="405"/>
      <c r="AH747" s="380" t="s">
        <v>1205</v>
      </c>
      <c r="AI747" s="576" t="str">
        <f>VLOOKUP(Table13[[#This Row],[Column1]],[1]Sheet1!$A:$AO,35,FALSE)</f>
        <v>N/A</v>
      </c>
      <c r="AJ747" s="576" t="str">
        <f>VLOOKUP(Table13[[#This Row],[Column1]],[1]Sheet1!$A:$AO,36,FALSE)</f>
        <v>N/A</v>
      </c>
      <c r="AK747" s="576" t="str">
        <f>VLOOKUP(Table13[[#This Row],[Column1]],[1]Sheet1!$A:$AO,37,FALSE)</f>
        <v>N/A</v>
      </c>
      <c r="AL747" s="576" t="str">
        <f>VLOOKUP(Table13[[#This Row],[Column1]],[1]Sheet1!$A:$AO,38,FALSE)</f>
        <v>N/A</v>
      </c>
      <c r="AM747" s="576" t="str">
        <f>VLOOKUP(Table13[[#This Row],[Column1]],[1]Sheet1!$A:$AO,39,FALSE)</f>
        <v>N/A</v>
      </c>
      <c r="AN747" s="576" t="s">
        <v>713</v>
      </c>
      <c r="AO747" s="303" t="s">
        <v>1172</v>
      </c>
      <c r="AP747" s="378"/>
      <c r="AQ747" s="237"/>
    </row>
    <row r="748" spans="1:43" s="238" customFormat="1" ht="75" customHeight="1" x14ac:dyDescent="0.25">
      <c r="A748" s="297" t="s">
        <v>960</v>
      </c>
      <c r="B748" s="627" t="str">
        <f>VLOOKUP(Table13[[#This Row],[Column1]],[1]Sheet1!$A:$AO,2,FALSE)</f>
        <v>FURNITURES &amp; FIXTURES</v>
      </c>
      <c r="C748" s="298" t="str">
        <f>VLOOKUP(Table13[[#This Row],[Column1]],[1]Sheet1!$A:$AO,3,FALSE)</f>
        <v>PAO</v>
      </c>
      <c r="D748" s="298" t="s">
        <v>712</v>
      </c>
      <c r="E748" s="450" t="str">
        <f>VLOOKUP(Table13[[#This Row],[Column1]],[1]Sheet1!$A:$AO,5,FALSE)</f>
        <v>NP-53.9 - Small Value Procurement</v>
      </c>
      <c r="F748" s="446" t="str">
        <f>VLOOKUP(Table13[[#This Row],[Column1]],[1]Sheet1!$A:$AO,6,FALSE)</f>
        <v>N/A</v>
      </c>
      <c r="G748" s="402">
        <f>VLOOKUP(Table13[[#This Row],[Column1]],[1]Sheet1!$A:$AO,7,FALSE)</f>
        <v>45376</v>
      </c>
      <c r="H748" s="374"/>
      <c r="I748" s="402" t="str">
        <f>VLOOKUP(Table13[[#This Row],[Column1]],[1]Sheet1!$A:$AO,9,FALSE)</f>
        <v>N/A</v>
      </c>
      <c r="J748" s="402">
        <f>VLOOKUP(Table13[[#This Row],[Column1]],[1]Sheet1!$A:$AO,10,FALSE)</f>
        <v>45440</v>
      </c>
      <c r="K748" s="402">
        <f>VLOOKUP(Table13[[#This Row],[Column1]],[1]Sheet1!$A:$AO,11,FALSE)</f>
        <v>45440</v>
      </c>
      <c r="L748" s="404"/>
      <c r="M748" s="402" t="str">
        <f>VLOOKUP(Table13[[#This Row],[Column1]],[1]Sheet1!$A:$AO,13,FALSE)</f>
        <v>N/A</v>
      </c>
      <c r="N748" s="402" t="str">
        <f>VLOOKUP(Table13[[#This Row],[Column1]],[1]Sheet1!$A:$AO,14,FALSE)</f>
        <v>N/A</v>
      </c>
      <c r="O748" s="402">
        <f>VLOOKUP(Table13[[#This Row],[Column1]],[1]Sheet1!$A:$AO,15,FALSE)</f>
        <v>45441</v>
      </c>
      <c r="P748" s="375"/>
      <c r="Q748" s="375"/>
      <c r="R748" s="376"/>
      <c r="S748" s="583" t="s">
        <v>713</v>
      </c>
      <c r="T748" s="583">
        <f>VLOOKUP(Table13[[#This Row],[Column1]],[1]Sheet1!$A:$AO,20,FALSE)</f>
        <v>45453</v>
      </c>
      <c r="U748" s="583"/>
      <c r="V748" s="376"/>
      <c r="W748" s="376"/>
      <c r="X748" s="402"/>
      <c r="Y748" s="402"/>
      <c r="Z748" s="610" t="s">
        <v>1478</v>
      </c>
      <c r="AA748" s="532">
        <f>IF(Table13[[#This Row],[Column2]]="","",SUM(Table13[[#This Row],[Column28]]+Table13[[#This Row],[Column29]]))</f>
        <v>35110</v>
      </c>
      <c r="AB748" s="537">
        <v>35110</v>
      </c>
      <c r="AC748" s="502"/>
      <c r="AD748" s="532">
        <f>IF(Table13[[#This Row],[Column2]]="","",SUM(Table13[[#This Row],[Column31]]+Table13[[#This Row],[Column32]]))</f>
        <v>34690</v>
      </c>
      <c r="AE748" s="501">
        <v>34690</v>
      </c>
      <c r="AF748" s="541"/>
      <c r="AG748" s="405"/>
      <c r="AH748" s="380" t="s">
        <v>1205</v>
      </c>
      <c r="AI748" s="576" t="str">
        <f>VLOOKUP(Table13[[#This Row],[Column1]],[1]Sheet1!$A:$AO,35,FALSE)</f>
        <v>N/A</v>
      </c>
      <c r="AJ748" s="576" t="str">
        <f>VLOOKUP(Table13[[#This Row],[Column1]],[1]Sheet1!$A:$AO,36,FALSE)</f>
        <v>N/A</v>
      </c>
      <c r="AK748" s="576" t="str">
        <f>VLOOKUP(Table13[[#This Row],[Column1]],[1]Sheet1!$A:$AO,37,FALSE)</f>
        <v>N/A</v>
      </c>
      <c r="AL748" s="576" t="str">
        <f>VLOOKUP(Table13[[#This Row],[Column1]],[1]Sheet1!$A:$AO,38,FALSE)</f>
        <v>N/A</v>
      </c>
      <c r="AM748" s="576" t="str">
        <f>VLOOKUP(Table13[[#This Row],[Column1]],[1]Sheet1!$A:$AO,39,FALSE)</f>
        <v>N/A</v>
      </c>
      <c r="AN748" s="576" t="s">
        <v>713</v>
      </c>
      <c r="AO748" s="303" t="s">
        <v>1172</v>
      </c>
      <c r="AP748" s="378"/>
      <c r="AQ748" s="237"/>
    </row>
    <row r="749" spans="1:43" s="238" customFormat="1" ht="75" customHeight="1" x14ac:dyDescent="0.25">
      <c r="A749" s="297" t="s">
        <v>961</v>
      </c>
      <c r="B749" s="627" t="str">
        <f>VLOOKUP(Table13[[#This Row],[Column1]],[1]Sheet1!$A:$AO,2,FALSE)</f>
        <v>JOB ORDER (REPAIR OF 1
UNIT VHF COMMUNICATION
REPEATER)</v>
      </c>
      <c r="C749" s="298" t="str">
        <f>VLOOKUP(Table13[[#This Row],[Column1]],[1]Sheet1!$A:$AO,3,FALSE)</f>
        <v>PAO</v>
      </c>
      <c r="D749" s="298" t="s">
        <v>712</v>
      </c>
      <c r="E749" s="450" t="str">
        <f>VLOOKUP(Table13[[#This Row],[Column1]],[1]Sheet1!$A:$AO,5,FALSE)</f>
        <v>NP-53.9 - Small Value Procurement</v>
      </c>
      <c r="F749" s="446">
        <f>VLOOKUP(Table13[[#This Row],[Column1]],[1]Sheet1!$A:$AO,6,FALSE)</f>
        <v>45412</v>
      </c>
      <c r="G749" s="402">
        <f>VLOOKUP(Table13[[#This Row],[Column1]],[1]Sheet1!$A:$AO,7,FALSE)</f>
        <v>45414</v>
      </c>
      <c r="H749" s="374"/>
      <c r="I749" s="402" t="str">
        <f>VLOOKUP(Table13[[#This Row],[Column1]],[1]Sheet1!$A:$AO,9,FALSE)</f>
        <v>N/A</v>
      </c>
      <c r="J749" s="402">
        <f>VLOOKUP(Table13[[#This Row],[Column1]],[1]Sheet1!$A:$AO,10,FALSE)</f>
        <v>45440</v>
      </c>
      <c r="K749" s="402">
        <f>VLOOKUP(Table13[[#This Row],[Column1]],[1]Sheet1!$A:$AO,11,FALSE)</f>
        <v>45440</v>
      </c>
      <c r="L749" s="404"/>
      <c r="M749" s="402" t="str">
        <f>VLOOKUP(Table13[[#This Row],[Column1]],[1]Sheet1!$A:$AO,13,FALSE)</f>
        <v>N/A</v>
      </c>
      <c r="N749" s="402" t="str">
        <f>VLOOKUP(Table13[[#This Row],[Column1]],[1]Sheet1!$A:$AO,14,FALSE)</f>
        <v>N/A</v>
      </c>
      <c r="O749" s="402">
        <f>VLOOKUP(Table13[[#This Row],[Column1]],[1]Sheet1!$A:$AO,15,FALSE)</f>
        <v>45441</v>
      </c>
      <c r="P749" s="375"/>
      <c r="Q749" s="375"/>
      <c r="R749" s="376"/>
      <c r="S749" s="583" t="s">
        <v>713</v>
      </c>
      <c r="T749" s="583">
        <f>VLOOKUP(Table13[[#This Row],[Column1]],[1]Sheet1!$A:$AO,20,FALSE)</f>
        <v>45453</v>
      </c>
      <c r="U749" s="583"/>
      <c r="V749" s="376"/>
      <c r="W749" s="376"/>
      <c r="X749" s="402"/>
      <c r="Y749" s="402"/>
      <c r="Z749" s="610" t="s">
        <v>1478</v>
      </c>
      <c r="AA749" s="532">
        <f>IF(Table13[[#This Row],[Column2]]="","",SUM(Table13[[#This Row],[Column28]]+Table13[[#This Row],[Column29]]))</f>
        <v>10000</v>
      </c>
      <c r="AB749" s="537">
        <v>10000</v>
      </c>
      <c r="AC749" s="502"/>
      <c r="AD749" s="532">
        <f>IF(Table13[[#This Row],[Column2]]="","",SUM(Table13[[#This Row],[Column31]]+Table13[[#This Row],[Column32]]))</f>
        <v>9800</v>
      </c>
      <c r="AE749" s="501">
        <v>9800</v>
      </c>
      <c r="AF749" s="541"/>
      <c r="AG749" s="405"/>
      <c r="AH749" s="380" t="s">
        <v>1205</v>
      </c>
      <c r="AI749" s="576" t="str">
        <f>VLOOKUP(Table13[[#This Row],[Column1]],[1]Sheet1!$A:$AO,35,FALSE)</f>
        <v>N/A</v>
      </c>
      <c r="AJ749" s="576" t="str">
        <f>VLOOKUP(Table13[[#This Row],[Column1]],[1]Sheet1!$A:$AO,36,FALSE)</f>
        <v>N/A</v>
      </c>
      <c r="AK749" s="576" t="str">
        <f>VLOOKUP(Table13[[#This Row],[Column1]],[1]Sheet1!$A:$AO,37,FALSE)</f>
        <v>N/A</v>
      </c>
      <c r="AL749" s="576" t="str">
        <f>VLOOKUP(Table13[[#This Row],[Column1]],[1]Sheet1!$A:$AO,38,FALSE)</f>
        <v>N/A</v>
      </c>
      <c r="AM749" s="576" t="str">
        <f>VLOOKUP(Table13[[#This Row],[Column1]],[1]Sheet1!$A:$AO,39,FALSE)</f>
        <v>N/A</v>
      </c>
      <c r="AN749" s="576" t="s">
        <v>713</v>
      </c>
      <c r="AO749" s="303" t="s">
        <v>1172</v>
      </c>
      <c r="AP749" s="378"/>
      <c r="AQ749" s="237"/>
    </row>
    <row r="750" spans="1:43" s="238" customFormat="1" ht="75" customHeight="1" x14ac:dyDescent="0.25">
      <c r="A750" s="297" t="s">
        <v>962</v>
      </c>
      <c r="B750" s="627" t="str">
        <f>VLOOKUP(Table13[[#This Row],[Column1]],[1]Sheet1!$A:$AO,2,FALSE)</f>
        <v>SPAREPARTS (MOTOR
CYCLE)</v>
      </c>
      <c r="C750" s="298" t="str">
        <f>VLOOKUP(Table13[[#This Row],[Column1]],[1]Sheet1!$A:$AO,3,FALSE)</f>
        <v>PGSO</v>
      </c>
      <c r="D750" s="298" t="s">
        <v>712</v>
      </c>
      <c r="E750" s="450" t="str">
        <f>VLOOKUP(Table13[[#This Row],[Column1]],[1]Sheet1!$A:$AO,5,FALSE)</f>
        <v>NP-53.9 - Small Value Procurement</v>
      </c>
      <c r="F750" s="446">
        <f>VLOOKUP(Table13[[#This Row],[Column1]],[1]Sheet1!$A:$AO,6,FALSE)</f>
        <v>45407</v>
      </c>
      <c r="G750" s="402">
        <f>VLOOKUP(Table13[[#This Row],[Column1]],[1]Sheet1!$A:$AO,7,FALSE)</f>
        <v>45412</v>
      </c>
      <c r="H750" s="374"/>
      <c r="I750" s="402" t="str">
        <f>VLOOKUP(Table13[[#This Row],[Column1]],[1]Sheet1!$A:$AO,9,FALSE)</f>
        <v>N/A</v>
      </c>
      <c r="J750" s="402">
        <f>VLOOKUP(Table13[[#This Row],[Column1]],[1]Sheet1!$A:$AO,10,FALSE)</f>
        <v>45440</v>
      </c>
      <c r="K750" s="402">
        <f>VLOOKUP(Table13[[#This Row],[Column1]],[1]Sheet1!$A:$AO,11,FALSE)</f>
        <v>45440</v>
      </c>
      <c r="L750" s="404"/>
      <c r="M750" s="402" t="str">
        <f>VLOOKUP(Table13[[#This Row],[Column1]],[1]Sheet1!$A:$AO,13,FALSE)</f>
        <v>N/A</v>
      </c>
      <c r="N750" s="402" t="str">
        <f>VLOOKUP(Table13[[#This Row],[Column1]],[1]Sheet1!$A:$AO,14,FALSE)</f>
        <v>N/A</v>
      </c>
      <c r="O750" s="402">
        <f>VLOOKUP(Table13[[#This Row],[Column1]],[1]Sheet1!$A:$AO,15,FALSE)</f>
        <v>45441</v>
      </c>
      <c r="P750" s="375"/>
      <c r="Q750" s="375"/>
      <c r="R750" s="376"/>
      <c r="S750" s="583" t="s">
        <v>713</v>
      </c>
      <c r="T750" s="583">
        <f>VLOOKUP(Table13[[#This Row],[Column1]],[1]Sheet1!$A:$AO,20,FALSE)</f>
        <v>45453</v>
      </c>
      <c r="U750" s="583"/>
      <c r="V750" s="376"/>
      <c r="W750" s="376"/>
      <c r="X750" s="402"/>
      <c r="Y750" s="402"/>
      <c r="Z750" s="610" t="s">
        <v>1478</v>
      </c>
      <c r="AA750" s="532">
        <f>IF(Table13[[#This Row],[Column2]]="","",SUM(Table13[[#This Row],[Column28]]+Table13[[#This Row],[Column29]]))</f>
        <v>8442</v>
      </c>
      <c r="AB750" s="537">
        <v>8442</v>
      </c>
      <c r="AC750" s="502"/>
      <c r="AD750" s="532">
        <f>IF(Table13[[#This Row],[Column2]]="","",SUM(Table13[[#This Row],[Column31]]+Table13[[#This Row],[Column32]]))</f>
        <v>8385</v>
      </c>
      <c r="AE750" s="501">
        <v>8385</v>
      </c>
      <c r="AF750" s="541"/>
      <c r="AG750" s="405"/>
      <c r="AH750" s="380" t="s">
        <v>1205</v>
      </c>
      <c r="AI750" s="576" t="str">
        <f>VLOOKUP(Table13[[#This Row],[Column1]],[1]Sheet1!$A:$AO,35,FALSE)</f>
        <v>N/A</v>
      </c>
      <c r="AJ750" s="576" t="str">
        <f>VLOOKUP(Table13[[#This Row],[Column1]],[1]Sheet1!$A:$AO,36,FALSE)</f>
        <v>N/A</v>
      </c>
      <c r="AK750" s="576" t="str">
        <f>VLOOKUP(Table13[[#This Row],[Column1]],[1]Sheet1!$A:$AO,37,FALSE)</f>
        <v>N/A</v>
      </c>
      <c r="AL750" s="576" t="str">
        <f>VLOOKUP(Table13[[#This Row],[Column1]],[1]Sheet1!$A:$AO,38,FALSE)</f>
        <v>N/A</v>
      </c>
      <c r="AM750" s="576" t="str">
        <f>VLOOKUP(Table13[[#This Row],[Column1]],[1]Sheet1!$A:$AO,39,FALSE)</f>
        <v>N/A</v>
      </c>
      <c r="AN750" s="576" t="s">
        <v>713</v>
      </c>
      <c r="AO750" s="303" t="s">
        <v>1172</v>
      </c>
      <c r="AP750" s="378"/>
      <c r="AQ750" s="237"/>
    </row>
    <row r="751" spans="1:43" s="238" customFormat="1" ht="75" customHeight="1" x14ac:dyDescent="0.25">
      <c r="A751" s="297" t="s">
        <v>963</v>
      </c>
      <c r="B751" s="627" t="str">
        <f>VLOOKUP(Table13[[#This Row],[Column1]],[1]Sheet1!$A:$AO,2,FALSE)</f>
        <v>SPAREPARTS (MOTOR
CYCLE)</v>
      </c>
      <c r="C751" s="298" t="str">
        <f>VLOOKUP(Table13[[#This Row],[Column1]],[1]Sheet1!$A:$AO,3,FALSE)</f>
        <v>PGSO</v>
      </c>
      <c r="D751" s="298" t="s">
        <v>712</v>
      </c>
      <c r="E751" s="450" t="str">
        <f>VLOOKUP(Table13[[#This Row],[Column1]],[1]Sheet1!$A:$AO,5,FALSE)</f>
        <v>NP-53.9 - Small Value Procurement</v>
      </c>
      <c r="F751" s="446">
        <f>VLOOKUP(Table13[[#This Row],[Column1]],[1]Sheet1!$A:$AO,6,FALSE)</f>
        <v>45407</v>
      </c>
      <c r="G751" s="402">
        <f>VLOOKUP(Table13[[#This Row],[Column1]],[1]Sheet1!$A:$AO,7,FALSE)</f>
        <v>45412</v>
      </c>
      <c r="H751" s="374"/>
      <c r="I751" s="402" t="str">
        <f>VLOOKUP(Table13[[#This Row],[Column1]],[1]Sheet1!$A:$AO,9,FALSE)</f>
        <v>N/A</v>
      </c>
      <c r="J751" s="402">
        <f>VLOOKUP(Table13[[#This Row],[Column1]],[1]Sheet1!$A:$AO,10,FALSE)</f>
        <v>45440</v>
      </c>
      <c r="K751" s="402">
        <f>VLOOKUP(Table13[[#This Row],[Column1]],[1]Sheet1!$A:$AO,11,FALSE)</f>
        <v>45440</v>
      </c>
      <c r="L751" s="404"/>
      <c r="M751" s="402" t="str">
        <f>VLOOKUP(Table13[[#This Row],[Column1]],[1]Sheet1!$A:$AO,13,FALSE)</f>
        <v>N/A</v>
      </c>
      <c r="N751" s="402" t="str">
        <f>VLOOKUP(Table13[[#This Row],[Column1]],[1]Sheet1!$A:$AO,14,FALSE)</f>
        <v>N/A</v>
      </c>
      <c r="O751" s="402">
        <f>VLOOKUP(Table13[[#This Row],[Column1]],[1]Sheet1!$A:$AO,15,FALSE)</f>
        <v>45441</v>
      </c>
      <c r="P751" s="375"/>
      <c r="Q751" s="375"/>
      <c r="R751" s="376"/>
      <c r="S751" s="583" t="s">
        <v>713</v>
      </c>
      <c r="T751" s="583">
        <f>VLOOKUP(Table13[[#This Row],[Column1]],[1]Sheet1!$A:$AO,20,FALSE)</f>
        <v>45453</v>
      </c>
      <c r="U751" s="583"/>
      <c r="V751" s="376"/>
      <c r="W751" s="376"/>
      <c r="X751" s="402"/>
      <c r="Y751" s="402"/>
      <c r="Z751" s="610" t="s">
        <v>1478</v>
      </c>
      <c r="AA751" s="532">
        <f>IF(Table13[[#This Row],[Column2]]="","",SUM(Table13[[#This Row],[Column28]]+Table13[[#This Row],[Column29]]))</f>
        <v>17930</v>
      </c>
      <c r="AB751" s="537">
        <v>17930</v>
      </c>
      <c r="AC751" s="502"/>
      <c r="AD751" s="532">
        <f>IF(Table13[[#This Row],[Column2]]="","",SUM(Table13[[#This Row],[Column31]]+Table13[[#This Row],[Column32]]))</f>
        <v>17930</v>
      </c>
      <c r="AE751" s="501">
        <v>17930</v>
      </c>
      <c r="AF751" s="541"/>
      <c r="AG751" s="405"/>
      <c r="AH751" s="380" t="s">
        <v>1205</v>
      </c>
      <c r="AI751" s="576" t="str">
        <f>VLOOKUP(Table13[[#This Row],[Column1]],[1]Sheet1!$A:$AO,35,FALSE)</f>
        <v>N/A</v>
      </c>
      <c r="AJ751" s="576" t="str">
        <f>VLOOKUP(Table13[[#This Row],[Column1]],[1]Sheet1!$A:$AO,36,FALSE)</f>
        <v>N/A</v>
      </c>
      <c r="AK751" s="576" t="str">
        <f>VLOOKUP(Table13[[#This Row],[Column1]],[1]Sheet1!$A:$AO,37,FALSE)</f>
        <v>N/A</v>
      </c>
      <c r="AL751" s="576" t="str">
        <f>VLOOKUP(Table13[[#This Row],[Column1]],[1]Sheet1!$A:$AO,38,FALSE)</f>
        <v>N/A</v>
      </c>
      <c r="AM751" s="576" t="str">
        <f>VLOOKUP(Table13[[#This Row],[Column1]],[1]Sheet1!$A:$AO,39,FALSE)</f>
        <v>N/A</v>
      </c>
      <c r="AN751" s="576" t="s">
        <v>713</v>
      </c>
      <c r="AO751" s="303" t="s">
        <v>1172</v>
      </c>
      <c r="AP751" s="378"/>
      <c r="AQ751" s="237"/>
    </row>
    <row r="752" spans="1:43" s="238" customFormat="1" ht="75" customHeight="1" x14ac:dyDescent="0.25">
      <c r="A752" s="297" t="s">
        <v>964</v>
      </c>
      <c r="B752" s="627" t="str">
        <f>VLOOKUP(Table13[[#This Row],[Column1]],[1]Sheet1!$A:$AO,2,FALSE)</f>
        <v>SPAREPARTS (MOTOR
CYCLE)</v>
      </c>
      <c r="C752" s="298" t="str">
        <f>VLOOKUP(Table13[[#This Row],[Column1]],[1]Sheet1!$A:$AO,3,FALSE)</f>
        <v>PGSO</v>
      </c>
      <c r="D752" s="298" t="s">
        <v>712</v>
      </c>
      <c r="E752" s="450" t="str">
        <f>VLOOKUP(Table13[[#This Row],[Column1]],[1]Sheet1!$A:$AO,5,FALSE)</f>
        <v>NP-53.9 - Small Value Procurement</v>
      </c>
      <c r="F752" s="446">
        <f>VLOOKUP(Table13[[#This Row],[Column1]],[1]Sheet1!$A:$AO,6,FALSE)</f>
        <v>45407</v>
      </c>
      <c r="G752" s="402">
        <f>VLOOKUP(Table13[[#This Row],[Column1]],[1]Sheet1!$A:$AO,7,FALSE)</f>
        <v>45412</v>
      </c>
      <c r="H752" s="374"/>
      <c r="I752" s="402" t="str">
        <f>VLOOKUP(Table13[[#This Row],[Column1]],[1]Sheet1!$A:$AO,9,FALSE)</f>
        <v>N/A</v>
      </c>
      <c r="J752" s="402">
        <f>VLOOKUP(Table13[[#This Row],[Column1]],[1]Sheet1!$A:$AO,10,FALSE)</f>
        <v>45440</v>
      </c>
      <c r="K752" s="402">
        <f>VLOOKUP(Table13[[#This Row],[Column1]],[1]Sheet1!$A:$AO,11,FALSE)</f>
        <v>45440</v>
      </c>
      <c r="L752" s="404"/>
      <c r="M752" s="402" t="str">
        <f>VLOOKUP(Table13[[#This Row],[Column1]],[1]Sheet1!$A:$AO,13,FALSE)</f>
        <v>N/A</v>
      </c>
      <c r="N752" s="402" t="str">
        <f>VLOOKUP(Table13[[#This Row],[Column1]],[1]Sheet1!$A:$AO,14,FALSE)</f>
        <v>N/A</v>
      </c>
      <c r="O752" s="402">
        <f>VLOOKUP(Table13[[#This Row],[Column1]],[1]Sheet1!$A:$AO,15,FALSE)</f>
        <v>45441</v>
      </c>
      <c r="P752" s="375"/>
      <c r="Q752" s="375"/>
      <c r="R752" s="376"/>
      <c r="S752" s="583" t="s">
        <v>713</v>
      </c>
      <c r="T752" s="583">
        <f>VLOOKUP(Table13[[#This Row],[Column1]],[1]Sheet1!$A:$AO,20,FALSE)</f>
        <v>45454</v>
      </c>
      <c r="U752" s="583"/>
      <c r="V752" s="376"/>
      <c r="W752" s="376"/>
      <c r="X752" s="402"/>
      <c r="Y752" s="402"/>
      <c r="Z752" s="610" t="s">
        <v>1478</v>
      </c>
      <c r="AA752" s="532">
        <f>IF(Table13[[#This Row],[Column2]]="","",SUM(Table13[[#This Row],[Column28]]+Table13[[#This Row],[Column29]]))</f>
        <v>1880</v>
      </c>
      <c r="AB752" s="537"/>
      <c r="AC752" s="502">
        <v>1880</v>
      </c>
      <c r="AD752" s="532">
        <f>IF(Table13[[#This Row],[Column2]]="","",SUM(Table13[[#This Row],[Column31]]+Table13[[#This Row],[Column32]]))</f>
        <v>1880</v>
      </c>
      <c r="AE752" s="501"/>
      <c r="AF752" s="540">
        <v>1880</v>
      </c>
      <c r="AG752" s="405"/>
      <c r="AH752" s="380" t="s">
        <v>1205</v>
      </c>
      <c r="AI752" s="576" t="str">
        <f>VLOOKUP(Table13[[#This Row],[Column1]],[1]Sheet1!$A:$AO,35,FALSE)</f>
        <v>N/A</v>
      </c>
      <c r="AJ752" s="576" t="str">
        <f>VLOOKUP(Table13[[#This Row],[Column1]],[1]Sheet1!$A:$AO,36,FALSE)</f>
        <v>N/A</v>
      </c>
      <c r="AK752" s="576" t="str">
        <f>VLOOKUP(Table13[[#This Row],[Column1]],[1]Sheet1!$A:$AO,37,FALSE)</f>
        <v>N/A</v>
      </c>
      <c r="AL752" s="576" t="str">
        <f>VLOOKUP(Table13[[#This Row],[Column1]],[1]Sheet1!$A:$AO,38,FALSE)</f>
        <v>N/A</v>
      </c>
      <c r="AM752" s="576" t="str">
        <f>VLOOKUP(Table13[[#This Row],[Column1]],[1]Sheet1!$A:$AO,39,FALSE)</f>
        <v>N/A</v>
      </c>
      <c r="AN752" s="576" t="s">
        <v>713</v>
      </c>
      <c r="AO752" s="303" t="s">
        <v>1172</v>
      </c>
      <c r="AP752" s="378"/>
      <c r="AQ752" s="237"/>
    </row>
    <row r="753" spans="1:43" s="238" customFormat="1" ht="75" customHeight="1" x14ac:dyDescent="0.25">
      <c r="A753" s="297" t="s">
        <v>965</v>
      </c>
      <c r="B753" s="627" t="str">
        <f>VLOOKUP(Table13[[#This Row],[Column1]],[1]Sheet1!$A:$AO,2,FALSE)</f>
        <v>JANITORIAL SUPPLIES /
HOUSEKEEPING</v>
      </c>
      <c r="C753" s="298" t="str">
        <f>VLOOKUP(Table13[[#This Row],[Column1]],[1]Sheet1!$A:$AO,3,FALSE)</f>
        <v>PGO</v>
      </c>
      <c r="D753" s="298" t="s">
        <v>712</v>
      </c>
      <c r="E753" s="450" t="str">
        <f>VLOOKUP(Table13[[#This Row],[Column1]],[1]Sheet1!$A:$AO,5,FALSE)</f>
        <v>NP-53.9 - Small Value Procurement</v>
      </c>
      <c r="F753" s="446" t="str">
        <f>VLOOKUP(Table13[[#This Row],[Column1]],[1]Sheet1!$A:$AO,6,FALSE)</f>
        <v>N/A</v>
      </c>
      <c r="G753" s="402">
        <f>VLOOKUP(Table13[[#This Row],[Column1]],[1]Sheet1!$A:$AO,7,FALSE)</f>
        <v>45363</v>
      </c>
      <c r="H753" s="374"/>
      <c r="I753" s="402" t="str">
        <f>VLOOKUP(Table13[[#This Row],[Column1]],[1]Sheet1!$A:$AO,9,FALSE)</f>
        <v>N/A</v>
      </c>
      <c r="J753" s="402">
        <f>VLOOKUP(Table13[[#This Row],[Column1]],[1]Sheet1!$A:$AO,10,FALSE)</f>
        <v>45440</v>
      </c>
      <c r="K753" s="402">
        <f>VLOOKUP(Table13[[#This Row],[Column1]],[1]Sheet1!$A:$AO,11,FALSE)</f>
        <v>45440</v>
      </c>
      <c r="L753" s="404"/>
      <c r="M753" s="402" t="str">
        <f>VLOOKUP(Table13[[#This Row],[Column1]],[1]Sheet1!$A:$AO,13,FALSE)</f>
        <v>N/A</v>
      </c>
      <c r="N753" s="402" t="str">
        <f>VLOOKUP(Table13[[#This Row],[Column1]],[1]Sheet1!$A:$AO,14,FALSE)</f>
        <v>N/A</v>
      </c>
      <c r="O753" s="402">
        <f>VLOOKUP(Table13[[#This Row],[Column1]],[1]Sheet1!$A:$AO,15,FALSE)</f>
        <v>45441</v>
      </c>
      <c r="P753" s="375"/>
      <c r="Q753" s="375"/>
      <c r="R753" s="376"/>
      <c r="S753" s="583" t="s">
        <v>713</v>
      </c>
      <c r="T753" s="583">
        <f>VLOOKUP(Table13[[#This Row],[Column1]],[1]Sheet1!$A:$AO,20,FALSE)</f>
        <v>45456</v>
      </c>
      <c r="U753" s="583"/>
      <c r="V753" s="376"/>
      <c r="W753" s="376"/>
      <c r="X753" s="402"/>
      <c r="Y753" s="402"/>
      <c r="Z753" s="610" t="s">
        <v>1478</v>
      </c>
      <c r="AA753" s="532">
        <f>IF(Table13[[#This Row],[Column2]]="","",SUM(Table13[[#This Row],[Column28]]+Table13[[#This Row],[Column29]]))</f>
        <v>983</v>
      </c>
      <c r="AB753" s="537"/>
      <c r="AC753" s="502">
        <v>983</v>
      </c>
      <c r="AD753" s="532">
        <f>IF(Table13[[#This Row],[Column2]]="","",SUM(Table13[[#This Row],[Column31]]+Table13[[#This Row],[Column32]]))</f>
        <v>950</v>
      </c>
      <c r="AE753" s="501"/>
      <c r="AF753" s="540">
        <v>950</v>
      </c>
      <c r="AG753" s="405"/>
      <c r="AH753" s="380" t="s">
        <v>1205</v>
      </c>
      <c r="AI753" s="576" t="str">
        <f>VLOOKUP(Table13[[#This Row],[Column1]],[1]Sheet1!$A:$AO,35,FALSE)</f>
        <v>N/A</v>
      </c>
      <c r="AJ753" s="576" t="str">
        <f>VLOOKUP(Table13[[#This Row],[Column1]],[1]Sheet1!$A:$AO,36,FALSE)</f>
        <v>N/A</v>
      </c>
      <c r="AK753" s="576" t="str">
        <f>VLOOKUP(Table13[[#This Row],[Column1]],[1]Sheet1!$A:$AO,37,FALSE)</f>
        <v>N/A</v>
      </c>
      <c r="AL753" s="576" t="str">
        <f>VLOOKUP(Table13[[#This Row],[Column1]],[1]Sheet1!$A:$AO,38,FALSE)</f>
        <v>N/A</v>
      </c>
      <c r="AM753" s="576" t="str">
        <f>VLOOKUP(Table13[[#This Row],[Column1]],[1]Sheet1!$A:$AO,39,FALSE)</f>
        <v>N/A</v>
      </c>
      <c r="AN753" s="576" t="s">
        <v>713</v>
      </c>
      <c r="AO753" s="303" t="s">
        <v>1172</v>
      </c>
      <c r="AP753" s="378"/>
      <c r="AQ753" s="237"/>
    </row>
    <row r="754" spans="1:43" s="238" customFormat="1" ht="75" customHeight="1" x14ac:dyDescent="0.25">
      <c r="A754" s="297" t="s">
        <v>966</v>
      </c>
      <c r="B754" s="627" t="str">
        <f>VLOOKUP(Table13[[#This Row],[Column1]],[1]Sheet1!$A:$AO,2,FALSE)</f>
        <v>SPAREPARTS (MOTOR
CYCLE)</v>
      </c>
      <c r="C754" s="298" t="str">
        <f>VLOOKUP(Table13[[#This Row],[Column1]],[1]Sheet1!$A:$AO,3,FALSE)</f>
        <v>PGSO</v>
      </c>
      <c r="D754" s="298" t="s">
        <v>712</v>
      </c>
      <c r="E754" s="450" t="str">
        <f>VLOOKUP(Table13[[#This Row],[Column1]],[1]Sheet1!$A:$AO,5,FALSE)</f>
        <v>NP-53.9 - Small Value Procurement</v>
      </c>
      <c r="F754" s="446">
        <f>VLOOKUP(Table13[[#This Row],[Column1]],[1]Sheet1!$A:$AO,6,FALSE)</f>
        <v>45407</v>
      </c>
      <c r="G754" s="402">
        <f>VLOOKUP(Table13[[#This Row],[Column1]],[1]Sheet1!$A:$AO,7,FALSE)</f>
        <v>45412</v>
      </c>
      <c r="H754" s="374"/>
      <c r="I754" s="402" t="str">
        <f>VLOOKUP(Table13[[#This Row],[Column1]],[1]Sheet1!$A:$AO,9,FALSE)</f>
        <v>N/A</v>
      </c>
      <c r="J754" s="402">
        <f>VLOOKUP(Table13[[#This Row],[Column1]],[1]Sheet1!$A:$AO,10,FALSE)</f>
        <v>45440</v>
      </c>
      <c r="K754" s="402">
        <f>VLOOKUP(Table13[[#This Row],[Column1]],[1]Sheet1!$A:$AO,11,FALSE)</f>
        <v>45440</v>
      </c>
      <c r="L754" s="404"/>
      <c r="M754" s="402" t="str">
        <f>VLOOKUP(Table13[[#This Row],[Column1]],[1]Sheet1!$A:$AO,13,FALSE)</f>
        <v>N/A</v>
      </c>
      <c r="N754" s="402" t="str">
        <f>VLOOKUP(Table13[[#This Row],[Column1]],[1]Sheet1!$A:$AO,14,FALSE)</f>
        <v>N/A</v>
      </c>
      <c r="O754" s="402">
        <f>VLOOKUP(Table13[[#This Row],[Column1]],[1]Sheet1!$A:$AO,15,FALSE)</f>
        <v>45441</v>
      </c>
      <c r="P754" s="375"/>
      <c r="Q754" s="375"/>
      <c r="R754" s="376"/>
      <c r="S754" s="583" t="s">
        <v>713</v>
      </c>
      <c r="T754" s="583">
        <f>VLOOKUP(Table13[[#This Row],[Column1]],[1]Sheet1!$A:$AO,20,FALSE)</f>
        <v>45453</v>
      </c>
      <c r="U754" s="583"/>
      <c r="V754" s="376"/>
      <c r="W754" s="376"/>
      <c r="X754" s="402"/>
      <c r="Y754" s="402"/>
      <c r="Z754" s="610" t="s">
        <v>1478</v>
      </c>
      <c r="AA754" s="532">
        <f>IF(Table13[[#This Row],[Column2]]="","",SUM(Table13[[#This Row],[Column28]]+Table13[[#This Row],[Column29]]))</f>
        <v>2930</v>
      </c>
      <c r="AB754" s="537">
        <v>2930</v>
      </c>
      <c r="AC754" s="502"/>
      <c r="AD754" s="532">
        <f>IF(Table13[[#This Row],[Column2]]="","",SUM(Table13[[#This Row],[Column31]]+Table13[[#This Row],[Column32]]))</f>
        <v>2930</v>
      </c>
      <c r="AE754" s="501">
        <v>2930</v>
      </c>
      <c r="AF754" s="541"/>
      <c r="AG754" s="405"/>
      <c r="AH754" s="380" t="s">
        <v>1205</v>
      </c>
      <c r="AI754" s="576" t="str">
        <f>VLOOKUP(Table13[[#This Row],[Column1]],[1]Sheet1!$A:$AO,35,FALSE)</f>
        <v>N/A</v>
      </c>
      <c r="AJ754" s="576" t="str">
        <f>VLOOKUP(Table13[[#This Row],[Column1]],[1]Sheet1!$A:$AO,36,FALSE)</f>
        <v>N/A</v>
      </c>
      <c r="AK754" s="576" t="str">
        <f>VLOOKUP(Table13[[#This Row],[Column1]],[1]Sheet1!$A:$AO,37,FALSE)</f>
        <v>N/A</v>
      </c>
      <c r="AL754" s="576" t="str">
        <f>VLOOKUP(Table13[[#This Row],[Column1]],[1]Sheet1!$A:$AO,38,FALSE)</f>
        <v>N/A</v>
      </c>
      <c r="AM754" s="576" t="str">
        <f>VLOOKUP(Table13[[#This Row],[Column1]],[1]Sheet1!$A:$AO,39,FALSE)</f>
        <v>N/A</v>
      </c>
      <c r="AN754" s="576" t="s">
        <v>713</v>
      </c>
      <c r="AO754" s="303" t="s">
        <v>1172</v>
      </c>
      <c r="AP754" s="378"/>
      <c r="AQ754" s="237"/>
    </row>
    <row r="755" spans="1:43" s="238" customFormat="1" ht="75" customHeight="1" x14ac:dyDescent="0.25">
      <c r="A755" s="297" t="s">
        <v>967</v>
      </c>
      <c r="B755" s="627" t="str">
        <f>VLOOKUP(Table13[[#This Row],[Column1]],[1]Sheet1!$A:$AO,2,FALSE)</f>
        <v>SPAREPARTS (LIGHT
VEHICLES)</v>
      </c>
      <c r="C755" s="298" t="str">
        <f>VLOOKUP(Table13[[#This Row],[Column1]],[1]Sheet1!$A:$AO,3,FALSE)</f>
        <v>PGSO</v>
      </c>
      <c r="D755" s="298" t="s">
        <v>712</v>
      </c>
      <c r="E755" s="450" t="str">
        <f>VLOOKUP(Table13[[#This Row],[Column1]],[1]Sheet1!$A:$AO,5,FALSE)</f>
        <v>NP-53.9 - Small Value Procurement</v>
      </c>
      <c r="F755" s="446">
        <f>VLOOKUP(Table13[[#This Row],[Column1]],[1]Sheet1!$A:$AO,6,FALSE)</f>
        <v>45412</v>
      </c>
      <c r="G755" s="402">
        <f>VLOOKUP(Table13[[#This Row],[Column1]],[1]Sheet1!$A:$AO,7,FALSE)</f>
        <v>45414</v>
      </c>
      <c r="H755" s="374"/>
      <c r="I755" s="402" t="str">
        <f>VLOOKUP(Table13[[#This Row],[Column1]],[1]Sheet1!$A:$AO,9,FALSE)</f>
        <v>N/A</v>
      </c>
      <c r="J755" s="402">
        <f>VLOOKUP(Table13[[#This Row],[Column1]],[1]Sheet1!$A:$AO,10,FALSE)</f>
        <v>45440</v>
      </c>
      <c r="K755" s="402">
        <f>VLOOKUP(Table13[[#This Row],[Column1]],[1]Sheet1!$A:$AO,11,FALSE)</f>
        <v>45440</v>
      </c>
      <c r="L755" s="404"/>
      <c r="M755" s="402" t="str">
        <f>VLOOKUP(Table13[[#This Row],[Column1]],[1]Sheet1!$A:$AO,13,FALSE)</f>
        <v>N/A</v>
      </c>
      <c r="N755" s="402" t="str">
        <f>VLOOKUP(Table13[[#This Row],[Column1]],[1]Sheet1!$A:$AO,14,FALSE)</f>
        <v>N/A</v>
      </c>
      <c r="O755" s="402">
        <f>VLOOKUP(Table13[[#This Row],[Column1]],[1]Sheet1!$A:$AO,15,FALSE)</f>
        <v>45441</v>
      </c>
      <c r="P755" s="375"/>
      <c r="Q755" s="375"/>
      <c r="R755" s="376"/>
      <c r="S755" s="583" t="s">
        <v>713</v>
      </c>
      <c r="T755" s="583">
        <f>VLOOKUP(Table13[[#This Row],[Column1]],[1]Sheet1!$A:$AO,20,FALSE)</f>
        <v>45453</v>
      </c>
      <c r="U755" s="583"/>
      <c r="V755" s="376"/>
      <c r="W755" s="376"/>
      <c r="X755" s="402"/>
      <c r="Y755" s="402"/>
      <c r="Z755" s="610" t="s">
        <v>1478</v>
      </c>
      <c r="AA755" s="532">
        <f>IF(Table13[[#This Row],[Column2]]="","",SUM(Table13[[#This Row],[Column28]]+Table13[[#This Row],[Column29]]))</f>
        <v>40630</v>
      </c>
      <c r="AB755" s="537">
        <v>40630</v>
      </c>
      <c r="AC755" s="502"/>
      <c r="AD755" s="532">
        <f>IF(Table13[[#This Row],[Column2]]="","",SUM(Table13[[#This Row],[Column31]]+Table13[[#This Row],[Column32]]))</f>
        <v>40390</v>
      </c>
      <c r="AE755" s="501">
        <v>40390</v>
      </c>
      <c r="AF755" s="541"/>
      <c r="AG755" s="405"/>
      <c r="AH755" s="380" t="s">
        <v>1205</v>
      </c>
      <c r="AI755" s="576" t="str">
        <f>VLOOKUP(Table13[[#This Row],[Column1]],[1]Sheet1!$A:$AO,35,FALSE)</f>
        <v>N/A</v>
      </c>
      <c r="AJ755" s="576" t="str">
        <f>VLOOKUP(Table13[[#This Row],[Column1]],[1]Sheet1!$A:$AO,36,FALSE)</f>
        <v>N/A</v>
      </c>
      <c r="AK755" s="576" t="str">
        <f>VLOOKUP(Table13[[#This Row],[Column1]],[1]Sheet1!$A:$AO,37,FALSE)</f>
        <v>N/A</v>
      </c>
      <c r="AL755" s="576" t="str">
        <f>VLOOKUP(Table13[[#This Row],[Column1]],[1]Sheet1!$A:$AO,38,FALSE)</f>
        <v>N/A</v>
      </c>
      <c r="AM755" s="576" t="str">
        <f>VLOOKUP(Table13[[#This Row],[Column1]],[1]Sheet1!$A:$AO,39,FALSE)</f>
        <v>N/A</v>
      </c>
      <c r="AN755" s="576" t="s">
        <v>713</v>
      </c>
      <c r="AO755" s="303" t="s">
        <v>1172</v>
      </c>
      <c r="AP755" s="378"/>
      <c r="AQ755" s="237"/>
    </row>
    <row r="756" spans="1:43" s="238" customFormat="1" ht="75" customHeight="1" x14ac:dyDescent="0.25">
      <c r="A756" s="297" t="s">
        <v>968</v>
      </c>
      <c r="B756" s="627" t="str">
        <f>VLOOKUP(Table13[[#This Row],[Column1]],[1]Sheet1!$A:$AO,2,FALSE)</f>
        <v>SPAREPARTS (MOTOR
CYCLE)</v>
      </c>
      <c r="C756" s="298" t="str">
        <f>VLOOKUP(Table13[[#This Row],[Column1]],[1]Sheet1!$A:$AO,3,FALSE)</f>
        <v>PGSO</v>
      </c>
      <c r="D756" s="298" t="s">
        <v>712</v>
      </c>
      <c r="E756" s="450" t="str">
        <f>VLOOKUP(Table13[[#This Row],[Column1]],[1]Sheet1!$A:$AO,5,FALSE)</f>
        <v>NP-53.9 - Small Value Procurement</v>
      </c>
      <c r="F756" s="446">
        <f>VLOOKUP(Table13[[#This Row],[Column1]],[1]Sheet1!$A:$AO,6,FALSE)</f>
        <v>45412</v>
      </c>
      <c r="G756" s="402">
        <f>VLOOKUP(Table13[[#This Row],[Column1]],[1]Sheet1!$A:$AO,7,FALSE)</f>
        <v>45414</v>
      </c>
      <c r="H756" s="374"/>
      <c r="I756" s="402" t="str">
        <f>VLOOKUP(Table13[[#This Row],[Column1]],[1]Sheet1!$A:$AO,9,FALSE)</f>
        <v>N/A</v>
      </c>
      <c r="J756" s="402">
        <f>VLOOKUP(Table13[[#This Row],[Column1]],[1]Sheet1!$A:$AO,10,FALSE)</f>
        <v>45440</v>
      </c>
      <c r="K756" s="402">
        <f>VLOOKUP(Table13[[#This Row],[Column1]],[1]Sheet1!$A:$AO,11,FALSE)</f>
        <v>45440</v>
      </c>
      <c r="L756" s="404"/>
      <c r="M756" s="402" t="str">
        <f>VLOOKUP(Table13[[#This Row],[Column1]],[1]Sheet1!$A:$AO,13,FALSE)</f>
        <v>N/A</v>
      </c>
      <c r="N756" s="402" t="str">
        <f>VLOOKUP(Table13[[#This Row],[Column1]],[1]Sheet1!$A:$AO,14,FALSE)</f>
        <v>N/A</v>
      </c>
      <c r="O756" s="402">
        <f>VLOOKUP(Table13[[#This Row],[Column1]],[1]Sheet1!$A:$AO,15,FALSE)</f>
        <v>45441</v>
      </c>
      <c r="P756" s="375"/>
      <c r="Q756" s="375"/>
      <c r="R756" s="376"/>
      <c r="S756" s="583" t="s">
        <v>713</v>
      </c>
      <c r="T756" s="583">
        <f>VLOOKUP(Table13[[#This Row],[Column1]],[1]Sheet1!$A:$AO,20,FALSE)</f>
        <v>45456</v>
      </c>
      <c r="U756" s="583"/>
      <c r="V756" s="376"/>
      <c r="W756" s="376"/>
      <c r="X756" s="402"/>
      <c r="Y756" s="402"/>
      <c r="Z756" s="610" t="s">
        <v>1478</v>
      </c>
      <c r="AA756" s="532">
        <f>IF(Table13[[#This Row],[Column2]]="","",SUM(Table13[[#This Row],[Column28]]+Table13[[#This Row],[Column29]]))</f>
        <v>20794</v>
      </c>
      <c r="AB756" s="537">
        <v>20794</v>
      </c>
      <c r="AC756" s="502"/>
      <c r="AD756" s="532">
        <f>IF(Table13[[#This Row],[Column2]]="","",SUM(Table13[[#This Row],[Column31]]+Table13[[#This Row],[Column32]]))</f>
        <v>20794</v>
      </c>
      <c r="AE756" s="501">
        <v>20794</v>
      </c>
      <c r="AF756" s="541"/>
      <c r="AG756" s="405"/>
      <c r="AH756" s="380" t="s">
        <v>1205</v>
      </c>
      <c r="AI756" s="576" t="str">
        <f>VLOOKUP(Table13[[#This Row],[Column1]],[1]Sheet1!$A:$AO,35,FALSE)</f>
        <v>N/A</v>
      </c>
      <c r="AJ756" s="576" t="str">
        <f>VLOOKUP(Table13[[#This Row],[Column1]],[1]Sheet1!$A:$AO,36,FALSE)</f>
        <v>N/A</v>
      </c>
      <c r="AK756" s="576" t="str">
        <f>VLOOKUP(Table13[[#This Row],[Column1]],[1]Sheet1!$A:$AO,37,FALSE)</f>
        <v>N/A</v>
      </c>
      <c r="AL756" s="576" t="str">
        <f>VLOOKUP(Table13[[#This Row],[Column1]],[1]Sheet1!$A:$AO,38,FALSE)</f>
        <v>N/A</v>
      </c>
      <c r="AM756" s="576" t="str">
        <f>VLOOKUP(Table13[[#This Row],[Column1]],[1]Sheet1!$A:$AO,39,FALSE)</f>
        <v>N/A</v>
      </c>
      <c r="AN756" s="576" t="s">
        <v>713</v>
      </c>
      <c r="AO756" s="303" t="s">
        <v>1172</v>
      </c>
      <c r="AP756" s="378"/>
      <c r="AQ756" s="237"/>
    </row>
    <row r="757" spans="1:43" s="238" customFormat="1" ht="75" customHeight="1" x14ac:dyDescent="0.25">
      <c r="A757" s="297" t="s">
        <v>969</v>
      </c>
      <c r="B757" s="627" t="str">
        <f>VLOOKUP(Table13[[#This Row],[Column1]],[1]Sheet1!$A:$AO,2,FALSE)</f>
        <v>SPAREPARTS (MOTOR
CYCLE)</v>
      </c>
      <c r="C757" s="298" t="str">
        <f>VLOOKUP(Table13[[#This Row],[Column1]],[1]Sheet1!$A:$AO,3,FALSE)</f>
        <v>PGSO</v>
      </c>
      <c r="D757" s="298" t="s">
        <v>712</v>
      </c>
      <c r="E757" s="450" t="str">
        <f>VLOOKUP(Table13[[#This Row],[Column1]],[1]Sheet1!$A:$AO,5,FALSE)</f>
        <v>NP-53.9 - Small Value Procurement</v>
      </c>
      <c r="F757" s="446">
        <f>VLOOKUP(Table13[[#This Row],[Column1]],[1]Sheet1!$A:$AO,6,FALSE)</f>
        <v>45412</v>
      </c>
      <c r="G757" s="402">
        <f>VLOOKUP(Table13[[#This Row],[Column1]],[1]Sheet1!$A:$AO,7,FALSE)</f>
        <v>45414</v>
      </c>
      <c r="H757" s="374"/>
      <c r="I757" s="402" t="str">
        <f>VLOOKUP(Table13[[#This Row],[Column1]],[1]Sheet1!$A:$AO,9,FALSE)</f>
        <v>N/A</v>
      </c>
      <c r="J757" s="402">
        <f>VLOOKUP(Table13[[#This Row],[Column1]],[1]Sheet1!$A:$AO,10,FALSE)</f>
        <v>45440</v>
      </c>
      <c r="K757" s="402">
        <f>VLOOKUP(Table13[[#This Row],[Column1]],[1]Sheet1!$A:$AO,11,FALSE)</f>
        <v>45440</v>
      </c>
      <c r="L757" s="404"/>
      <c r="M757" s="402" t="str">
        <f>VLOOKUP(Table13[[#This Row],[Column1]],[1]Sheet1!$A:$AO,13,FALSE)</f>
        <v>N/A</v>
      </c>
      <c r="N757" s="402" t="str">
        <f>VLOOKUP(Table13[[#This Row],[Column1]],[1]Sheet1!$A:$AO,14,FALSE)</f>
        <v>N/A</v>
      </c>
      <c r="O757" s="402">
        <f>VLOOKUP(Table13[[#This Row],[Column1]],[1]Sheet1!$A:$AO,15,FALSE)</f>
        <v>45441</v>
      </c>
      <c r="P757" s="375"/>
      <c r="Q757" s="375"/>
      <c r="R757" s="376"/>
      <c r="S757" s="583" t="s">
        <v>713</v>
      </c>
      <c r="T757" s="583">
        <f>VLOOKUP(Table13[[#This Row],[Column1]],[1]Sheet1!$A:$AO,20,FALSE)</f>
        <v>45456</v>
      </c>
      <c r="U757" s="583"/>
      <c r="V757" s="376"/>
      <c r="W757" s="376"/>
      <c r="X757" s="402"/>
      <c r="Y757" s="402"/>
      <c r="Z757" s="610" t="s">
        <v>1478</v>
      </c>
      <c r="AA757" s="532">
        <f>IF(Table13[[#This Row],[Column2]]="","",SUM(Table13[[#This Row],[Column28]]+Table13[[#This Row],[Column29]]))</f>
        <v>5135</v>
      </c>
      <c r="AB757" s="537">
        <v>5135</v>
      </c>
      <c r="AC757" s="502"/>
      <c r="AD757" s="532">
        <f>IF(Table13[[#This Row],[Column2]]="","",SUM(Table13[[#This Row],[Column31]]+Table13[[#This Row],[Column32]]))</f>
        <v>5130</v>
      </c>
      <c r="AE757" s="501">
        <v>5130</v>
      </c>
      <c r="AF757" s="541"/>
      <c r="AG757" s="405"/>
      <c r="AH757" s="380" t="s">
        <v>1205</v>
      </c>
      <c r="AI757" s="576" t="str">
        <f>VLOOKUP(Table13[[#This Row],[Column1]],[1]Sheet1!$A:$AO,35,FALSE)</f>
        <v>N/A</v>
      </c>
      <c r="AJ757" s="576" t="str">
        <f>VLOOKUP(Table13[[#This Row],[Column1]],[1]Sheet1!$A:$AO,36,FALSE)</f>
        <v>N/A</v>
      </c>
      <c r="AK757" s="576" t="str">
        <f>VLOOKUP(Table13[[#This Row],[Column1]],[1]Sheet1!$A:$AO,37,FALSE)</f>
        <v>N/A</v>
      </c>
      <c r="AL757" s="576" t="str">
        <f>VLOOKUP(Table13[[#This Row],[Column1]],[1]Sheet1!$A:$AO,38,FALSE)</f>
        <v>N/A</v>
      </c>
      <c r="AM757" s="576" t="str">
        <f>VLOOKUP(Table13[[#This Row],[Column1]],[1]Sheet1!$A:$AO,39,FALSE)</f>
        <v>N/A</v>
      </c>
      <c r="AN757" s="576" t="s">
        <v>713</v>
      </c>
      <c r="AO757" s="303" t="s">
        <v>1172</v>
      </c>
      <c r="AP757" s="378"/>
      <c r="AQ757" s="237"/>
    </row>
    <row r="758" spans="1:43" s="238" customFormat="1" ht="75" customHeight="1" x14ac:dyDescent="0.25">
      <c r="A758" s="297" t="s">
        <v>970</v>
      </c>
      <c r="B758" s="627" t="str">
        <f>VLOOKUP(Table13[[#This Row],[Column1]],[1]Sheet1!$A:$AO,2,FALSE)</f>
        <v>SPAREPARTS (LIGHT
VEHICLES)</v>
      </c>
      <c r="C758" s="298" t="str">
        <f>VLOOKUP(Table13[[#This Row],[Column1]],[1]Sheet1!$A:$AO,3,FALSE)</f>
        <v>PGSO</v>
      </c>
      <c r="D758" s="298" t="s">
        <v>712</v>
      </c>
      <c r="E758" s="450" t="str">
        <f>VLOOKUP(Table13[[#This Row],[Column1]],[1]Sheet1!$A:$AO,5,FALSE)</f>
        <v>NP-53.9 - Small Value Procurement</v>
      </c>
      <c r="F758" s="446">
        <f>VLOOKUP(Table13[[#This Row],[Column1]],[1]Sheet1!$A:$AO,6,FALSE)</f>
        <v>45398</v>
      </c>
      <c r="G758" s="402">
        <f>VLOOKUP(Table13[[#This Row],[Column1]],[1]Sheet1!$A:$AO,7,FALSE)</f>
        <v>45404</v>
      </c>
      <c r="H758" s="374"/>
      <c r="I758" s="402" t="str">
        <f>VLOOKUP(Table13[[#This Row],[Column1]],[1]Sheet1!$A:$AO,9,FALSE)</f>
        <v>N/A</v>
      </c>
      <c r="J758" s="402">
        <f>VLOOKUP(Table13[[#This Row],[Column1]],[1]Sheet1!$A:$AO,10,FALSE)</f>
        <v>45440</v>
      </c>
      <c r="K758" s="402">
        <f>VLOOKUP(Table13[[#This Row],[Column1]],[1]Sheet1!$A:$AO,11,FALSE)</f>
        <v>45440</v>
      </c>
      <c r="L758" s="404"/>
      <c r="M758" s="402" t="str">
        <f>VLOOKUP(Table13[[#This Row],[Column1]],[1]Sheet1!$A:$AO,13,FALSE)</f>
        <v>N/A</v>
      </c>
      <c r="N758" s="402" t="str">
        <f>VLOOKUP(Table13[[#This Row],[Column1]],[1]Sheet1!$A:$AO,14,FALSE)</f>
        <v>N/A</v>
      </c>
      <c r="O758" s="402">
        <f>VLOOKUP(Table13[[#This Row],[Column1]],[1]Sheet1!$A:$AO,15,FALSE)</f>
        <v>45441</v>
      </c>
      <c r="P758" s="375"/>
      <c r="Q758" s="375"/>
      <c r="R758" s="376"/>
      <c r="S758" s="583" t="s">
        <v>713</v>
      </c>
      <c r="T758" s="583">
        <f>VLOOKUP(Table13[[#This Row],[Column1]],[1]Sheet1!$A:$AO,20,FALSE)</f>
        <v>45453</v>
      </c>
      <c r="U758" s="583"/>
      <c r="V758" s="376"/>
      <c r="W758" s="376"/>
      <c r="X758" s="402"/>
      <c r="Y758" s="402"/>
      <c r="Z758" s="610" t="s">
        <v>1478</v>
      </c>
      <c r="AA758" s="532">
        <f>IF(Table13[[#This Row],[Column2]]="","",SUM(Table13[[#This Row],[Column28]]+Table13[[#This Row],[Column29]]))</f>
        <v>22150</v>
      </c>
      <c r="AB758" s="537">
        <v>22150</v>
      </c>
      <c r="AC758" s="502"/>
      <c r="AD758" s="532">
        <f>IF(Table13[[#This Row],[Column2]]="","",SUM(Table13[[#This Row],[Column31]]+Table13[[#This Row],[Column32]]))</f>
        <v>21960</v>
      </c>
      <c r="AE758" s="501">
        <v>21960</v>
      </c>
      <c r="AF758" s="541"/>
      <c r="AG758" s="405"/>
      <c r="AH758" s="380" t="s">
        <v>1205</v>
      </c>
      <c r="AI758" s="576" t="str">
        <f>VLOOKUP(Table13[[#This Row],[Column1]],[1]Sheet1!$A:$AO,35,FALSE)</f>
        <v>N/A</v>
      </c>
      <c r="AJ758" s="576" t="str">
        <f>VLOOKUP(Table13[[#This Row],[Column1]],[1]Sheet1!$A:$AO,36,FALSE)</f>
        <v>N/A</v>
      </c>
      <c r="AK758" s="576" t="str">
        <f>VLOOKUP(Table13[[#This Row],[Column1]],[1]Sheet1!$A:$AO,37,FALSE)</f>
        <v>N/A</v>
      </c>
      <c r="AL758" s="576" t="str">
        <f>VLOOKUP(Table13[[#This Row],[Column1]],[1]Sheet1!$A:$AO,38,FALSE)</f>
        <v>N/A</v>
      </c>
      <c r="AM758" s="576" t="str">
        <f>VLOOKUP(Table13[[#This Row],[Column1]],[1]Sheet1!$A:$AO,39,FALSE)</f>
        <v>N/A</v>
      </c>
      <c r="AN758" s="576" t="s">
        <v>713</v>
      </c>
      <c r="AO758" s="303" t="s">
        <v>1172</v>
      </c>
      <c r="AP758" s="378"/>
      <c r="AQ758" s="237"/>
    </row>
    <row r="759" spans="1:43" s="238" customFormat="1" ht="75" customHeight="1" x14ac:dyDescent="0.25">
      <c r="A759" s="297" t="s">
        <v>971</v>
      </c>
      <c r="B759" s="627" t="str">
        <f>VLOOKUP(Table13[[#This Row],[Column1]],[1]Sheet1!$A:$AO,2,FALSE)</f>
        <v>ANDROID CELLPHONE</v>
      </c>
      <c r="C759" s="298" t="str">
        <f>VLOOKUP(Table13[[#This Row],[Column1]],[1]Sheet1!$A:$AO,3,FALSE)</f>
        <v>PAO-IPRD</v>
      </c>
      <c r="D759" s="298" t="s">
        <v>712</v>
      </c>
      <c r="E759" s="450" t="str">
        <f>VLOOKUP(Table13[[#This Row],[Column1]],[1]Sheet1!$A:$AO,5,FALSE)</f>
        <v>NP-53.9 - Small Value Procurement</v>
      </c>
      <c r="F759" s="446" t="str">
        <f>VLOOKUP(Table13[[#This Row],[Column1]],[1]Sheet1!$A:$AO,6,FALSE)</f>
        <v>N/A</v>
      </c>
      <c r="G759" s="402">
        <f>VLOOKUP(Table13[[#This Row],[Column1]],[1]Sheet1!$A:$AO,7,FALSE)</f>
        <v>45412</v>
      </c>
      <c r="H759" s="374"/>
      <c r="I759" s="402" t="str">
        <f>VLOOKUP(Table13[[#This Row],[Column1]],[1]Sheet1!$A:$AO,9,FALSE)</f>
        <v>N/A</v>
      </c>
      <c r="J759" s="402">
        <f>VLOOKUP(Table13[[#This Row],[Column1]],[1]Sheet1!$A:$AO,10,FALSE)</f>
        <v>45440</v>
      </c>
      <c r="K759" s="402">
        <f>VLOOKUP(Table13[[#This Row],[Column1]],[1]Sheet1!$A:$AO,11,FALSE)</f>
        <v>45440</v>
      </c>
      <c r="L759" s="404"/>
      <c r="M759" s="402" t="str">
        <f>VLOOKUP(Table13[[#This Row],[Column1]],[1]Sheet1!$A:$AO,13,FALSE)</f>
        <v>N/A</v>
      </c>
      <c r="N759" s="402" t="str">
        <f>VLOOKUP(Table13[[#This Row],[Column1]],[1]Sheet1!$A:$AO,14,FALSE)</f>
        <v>N/A</v>
      </c>
      <c r="O759" s="402">
        <f>VLOOKUP(Table13[[#This Row],[Column1]],[1]Sheet1!$A:$AO,15,FALSE)</f>
        <v>45441</v>
      </c>
      <c r="P759" s="375"/>
      <c r="Q759" s="375"/>
      <c r="R759" s="376"/>
      <c r="S759" s="583" t="s">
        <v>713</v>
      </c>
      <c r="T759" s="583">
        <f>VLOOKUP(Table13[[#This Row],[Column1]],[1]Sheet1!$A:$AO,20,FALSE)</f>
        <v>45453</v>
      </c>
      <c r="U759" s="583"/>
      <c r="V759" s="376"/>
      <c r="W759" s="376"/>
      <c r="X759" s="402"/>
      <c r="Y759" s="402"/>
      <c r="Z759" s="610" t="s">
        <v>1478</v>
      </c>
      <c r="AA759" s="532">
        <f>Table13[[#This Row],[Column28]]+Table13[[#This Row],[Column29]]</f>
        <v>14000</v>
      </c>
      <c r="AB759" s="537"/>
      <c r="AC759" s="502">
        <v>14000</v>
      </c>
      <c r="AD759" s="532">
        <f>Table13[[#This Row],[Column31]]+Table13[[#This Row],[Column32]]</f>
        <v>12717.88</v>
      </c>
      <c r="AE759" s="501"/>
      <c r="AF759" s="541">
        <v>12717.88</v>
      </c>
      <c r="AG759" s="405"/>
      <c r="AH759" s="380" t="s">
        <v>1205</v>
      </c>
      <c r="AI759" s="576" t="str">
        <f>VLOOKUP(Table13[[#This Row],[Column1]],[1]Sheet1!$A:$AO,35,FALSE)</f>
        <v>N/A</v>
      </c>
      <c r="AJ759" s="576" t="str">
        <f>VLOOKUP(Table13[[#This Row],[Column1]],[1]Sheet1!$A:$AO,36,FALSE)</f>
        <v>N/A</v>
      </c>
      <c r="AK759" s="576" t="str">
        <f>VLOOKUP(Table13[[#This Row],[Column1]],[1]Sheet1!$A:$AO,37,FALSE)</f>
        <v>N/A</v>
      </c>
      <c r="AL759" s="576" t="str">
        <f>VLOOKUP(Table13[[#This Row],[Column1]],[1]Sheet1!$A:$AO,38,FALSE)</f>
        <v>N/A</v>
      </c>
      <c r="AM759" s="576" t="str">
        <f>VLOOKUP(Table13[[#This Row],[Column1]],[1]Sheet1!$A:$AO,39,FALSE)</f>
        <v>N/A</v>
      </c>
      <c r="AN759" s="576" t="s">
        <v>713</v>
      </c>
      <c r="AO759" s="303" t="s">
        <v>1172</v>
      </c>
      <c r="AP759" s="378"/>
      <c r="AQ759" s="237"/>
    </row>
    <row r="760" spans="1:43" s="238" customFormat="1" ht="75" customHeight="1" x14ac:dyDescent="0.25">
      <c r="A760" s="297" t="s">
        <v>972</v>
      </c>
      <c r="B760" s="627" t="str">
        <f>VLOOKUP(Table13[[#This Row],[Column1]],[1]Sheet1!$A:$AO,2,FALSE)</f>
        <v>SPAREPARTS (LIGHT
VEHICLES)</v>
      </c>
      <c r="C760" s="298" t="str">
        <f>VLOOKUP(Table13[[#This Row],[Column1]],[1]Sheet1!$A:$AO,3,FALSE)</f>
        <v>PGSO</v>
      </c>
      <c r="D760" s="298" t="s">
        <v>712</v>
      </c>
      <c r="E760" s="450" t="str">
        <f>VLOOKUP(Table13[[#This Row],[Column1]],[1]Sheet1!$A:$AO,5,FALSE)</f>
        <v>NP-53.9 - Small Value Procurement</v>
      </c>
      <c r="F760" s="446">
        <f>VLOOKUP(Table13[[#This Row],[Column1]],[1]Sheet1!$A:$AO,6,FALSE)</f>
        <v>45421</v>
      </c>
      <c r="G760" s="402">
        <f>VLOOKUP(Table13[[#This Row],[Column1]],[1]Sheet1!$A:$AO,7,FALSE)</f>
        <v>45425</v>
      </c>
      <c r="H760" s="374"/>
      <c r="I760" s="402" t="str">
        <f>VLOOKUP(Table13[[#This Row],[Column1]],[1]Sheet1!$A:$AO,9,FALSE)</f>
        <v>N/A</v>
      </c>
      <c r="J760" s="402">
        <f>VLOOKUP(Table13[[#This Row],[Column1]],[1]Sheet1!$A:$AO,10,FALSE)</f>
        <v>45440</v>
      </c>
      <c r="K760" s="402">
        <f>VLOOKUP(Table13[[#This Row],[Column1]],[1]Sheet1!$A:$AO,11,FALSE)</f>
        <v>45440</v>
      </c>
      <c r="L760" s="404"/>
      <c r="M760" s="402" t="str">
        <f>VLOOKUP(Table13[[#This Row],[Column1]],[1]Sheet1!$A:$AO,13,FALSE)</f>
        <v>N/A</v>
      </c>
      <c r="N760" s="402" t="str">
        <f>VLOOKUP(Table13[[#This Row],[Column1]],[1]Sheet1!$A:$AO,14,FALSE)</f>
        <v>N/A</v>
      </c>
      <c r="O760" s="402">
        <f>VLOOKUP(Table13[[#This Row],[Column1]],[1]Sheet1!$A:$AO,15,FALSE)</f>
        <v>45441</v>
      </c>
      <c r="P760" s="375"/>
      <c r="Q760" s="375"/>
      <c r="R760" s="376"/>
      <c r="S760" s="583" t="s">
        <v>713</v>
      </c>
      <c r="T760" s="583">
        <f>VLOOKUP(Table13[[#This Row],[Column1]],[1]Sheet1!$A:$AO,20,FALSE)</f>
        <v>45453</v>
      </c>
      <c r="U760" s="583"/>
      <c r="V760" s="376"/>
      <c r="W760" s="376"/>
      <c r="X760" s="402"/>
      <c r="Y760" s="402"/>
      <c r="Z760" s="610" t="s">
        <v>1478</v>
      </c>
      <c r="AA760" s="532">
        <f>IF(Table13[[#This Row],[Column2]]="","",SUM(Table13[[#This Row],[Column28]]+Table13[[#This Row],[Column29]]))</f>
        <v>17250</v>
      </c>
      <c r="AB760" s="537">
        <v>17250</v>
      </c>
      <c r="AC760" s="502"/>
      <c r="AD760" s="532">
        <f>IF(Table13[[#This Row],[Column2]]="","",SUM(Table13[[#This Row],[Column31]]+Table13[[#This Row],[Column32]]))</f>
        <v>17100</v>
      </c>
      <c r="AE760" s="501">
        <v>17100</v>
      </c>
      <c r="AF760" s="541"/>
      <c r="AG760" s="405"/>
      <c r="AH760" s="380" t="s">
        <v>1205</v>
      </c>
      <c r="AI760" s="576" t="str">
        <f>VLOOKUP(Table13[[#This Row],[Column1]],[1]Sheet1!$A:$AO,35,FALSE)</f>
        <v>N/A</v>
      </c>
      <c r="AJ760" s="576" t="str">
        <f>VLOOKUP(Table13[[#This Row],[Column1]],[1]Sheet1!$A:$AO,36,FALSE)</f>
        <v>N/A</v>
      </c>
      <c r="AK760" s="576" t="str">
        <f>VLOOKUP(Table13[[#This Row],[Column1]],[1]Sheet1!$A:$AO,37,FALSE)</f>
        <v>N/A</v>
      </c>
      <c r="AL760" s="576" t="str">
        <f>VLOOKUP(Table13[[#This Row],[Column1]],[1]Sheet1!$A:$AO,38,FALSE)</f>
        <v>N/A</v>
      </c>
      <c r="AM760" s="576" t="str">
        <f>VLOOKUP(Table13[[#This Row],[Column1]],[1]Sheet1!$A:$AO,39,FALSE)</f>
        <v>N/A</v>
      </c>
      <c r="AN760" s="576" t="s">
        <v>713</v>
      </c>
      <c r="AO760" s="303" t="s">
        <v>1172</v>
      </c>
      <c r="AP760" s="378"/>
      <c r="AQ760" s="237"/>
    </row>
    <row r="761" spans="1:43" s="238" customFormat="1" ht="75" customHeight="1" x14ac:dyDescent="0.25">
      <c r="A761" s="297" t="s">
        <v>973</v>
      </c>
      <c r="B761" s="627" t="str">
        <f>VLOOKUP(Table13[[#This Row],[Column1]],[1]Sheet1!$A:$AO,2,FALSE)</f>
        <v>COLORED PRINTER</v>
      </c>
      <c r="C761" s="298" t="str">
        <f>VLOOKUP(Table13[[#This Row],[Column1]],[1]Sheet1!$A:$AO,3,FALSE)</f>
        <v>PAO-ADMIN</v>
      </c>
      <c r="D761" s="298" t="s">
        <v>712</v>
      </c>
      <c r="E761" s="450" t="str">
        <f>VLOOKUP(Table13[[#This Row],[Column1]],[1]Sheet1!$A:$AO,5,FALSE)</f>
        <v>NP-53.9 - Small Value Procurement</v>
      </c>
      <c r="F761" s="446" t="str">
        <f>VLOOKUP(Table13[[#This Row],[Column1]],[1]Sheet1!$A:$AO,6,FALSE)</f>
        <v>N/A</v>
      </c>
      <c r="G761" s="402">
        <f>VLOOKUP(Table13[[#This Row],[Column1]],[1]Sheet1!$A:$AO,7,FALSE)</f>
        <v>45412</v>
      </c>
      <c r="H761" s="374"/>
      <c r="I761" s="402" t="str">
        <f>VLOOKUP(Table13[[#This Row],[Column1]],[1]Sheet1!$A:$AO,9,FALSE)</f>
        <v>N/A</v>
      </c>
      <c r="J761" s="402">
        <f>VLOOKUP(Table13[[#This Row],[Column1]],[1]Sheet1!$A:$AO,10,FALSE)</f>
        <v>45440</v>
      </c>
      <c r="K761" s="402">
        <f>VLOOKUP(Table13[[#This Row],[Column1]],[1]Sheet1!$A:$AO,11,FALSE)</f>
        <v>45440</v>
      </c>
      <c r="L761" s="404"/>
      <c r="M761" s="402" t="str">
        <f>VLOOKUP(Table13[[#This Row],[Column1]],[1]Sheet1!$A:$AO,13,FALSE)</f>
        <v>N/A</v>
      </c>
      <c r="N761" s="402" t="str">
        <f>VLOOKUP(Table13[[#This Row],[Column1]],[1]Sheet1!$A:$AO,14,FALSE)</f>
        <v>N/A</v>
      </c>
      <c r="O761" s="402">
        <f>VLOOKUP(Table13[[#This Row],[Column1]],[1]Sheet1!$A:$AO,15,FALSE)</f>
        <v>45441</v>
      </c>
      <c r="P761" s="375"/>
      <c r="Q761" s="375"/>
      <c r="R761" s="376"/>
      <c r="S761" s="583" t="s">
        <v>713</v>
      </c>
      <c r="T761" s="583">
        <f>VLOOKUP(Table13[[#This Row],[Column1]],[1]Sheet1!$A:$AO,20,FALSE)</f>
        <v>45454</v>
      </c>
      <c r="U761" s="583"/>
      <c r="V761" s="376"/>
      <c r="W761" s="376"/>
      <c r="X761" s="402"/>
      <c r="Y761" s="402"/>
      <c r="Z761" s="610" t="s">
        <v>1478</v>
      </c>
      <c r="AA761" s="532">
        <f>IF(Table13[[#This Row],[Column2]]="","",SUM(Table13[[#This Row],[Column28]]+Table13[[#This Row],[Column29]]))</f>
        <v>12200</v>
      </c>
      <c r="AB761" s="537"/>
      <c r="AC761" s="502">
        <v>12200</v>
      </c>
      <c r="AD761" s="532">
        <f>IF(Table13[[#This Row],[Column2]]="","",SUM(Table13[[#This Row],[Column31]]+Table13[[#This Row],[Column32]]))</f>
        <v>9323</v>
      </c>
      <c r="AE761" s="501"/>
      <c r="AF761" s="541">
        <v>9323</v>
      </c>
      <c r="AG761" s="405"/>
      <c r="AH761" s="380" t="s">
        <v>1205</v>
      </c>
      <c r="AI761" s="576" t="str">
        <f>VLOOKUP(Table13[[#This Row],[Column1]],[1]Sheet1!$A:$AO,35,FALSE)</f>
        <v>N/A</v>
      </c>
      <c r="AJ761" s="576" t="str">
        <f>VLOOKUP(Table13[[#This Row],[Column1]],[1]Sheet1!$A:$AO,36,FALSE)</f>
        <v>N/A</v>
      </c>
      <c r="AK761" s="576" t="str">
        <f>VLOOKUP(Table13[[#This Row],[Column1]],[1]Sheet1!$A:$AO,37,FALSE)</f>
        <v>N/A</v>
      </c>
      <c r="AL761" s="576" t="str">
        <f>VLOOKUP(Table13[[#This Row],[Column1]],[1]Sheet1!$A:$AO,38,FALSE)</f>
        <v>N/A</v>
      </c>
      <c r="AM761" s="576" t="str">
        <f>VLOOKUP(Table13[[#This Row],[Column1]],[1]Sheet1!$A:$AO,39,FALSE)</f>
        <v>N/A</v>
      </c>
      <c r="AN761" s="576" t="s">
        <v>713</v>
      </c>
      <c r="AO761" s="303" t="s">
        <v>1172</v>
      </c>
      <c r="AP761" s="378"/>
      <c r="AQ761" s="237"/>
    </row>
    <row r="762" spans="1:43" s="238" customFormat="1" ht="75" customHeight="1" x14ac:dyDescent="0.25">
      <c r="A762" s="297" t="s">
        <v>974</v>
      </c>
      <c r="B762" s="627" t="str">
        <f>VLOOKUP(Table13[[#This Row],[Column1]],[1]Sheet1!$A:$AO,2,FALSE)</f>
        <v>SPAREPARTS (LIGHT
VEHICLES)</v>
      </c>
      <c r="C762" s="298" t="str">
        <f>VLOOKUP(Table13[[#This Row],[Column1]],[1]Sheet1!$A:$AO,3,FALSE)</f>
        <v>PGSO</v>
      </c>
      <c r="D762" s="298" t="s">
        <v>712</v>
      </c>
      <c r="E762" s="450" t="str">
        <f>VLOOKUP(Table13[[#This Row],[Column1]],[1]Sheet1!$A:$AO,5,FALSE)</f>
        <v>NP-53.9 - Small Value Procurement</v>
      </c>
      <c r="F762" s="446">
        <f>VLOOKUP(Table13[[#This Row],[Column1]],[1]Sheet1!$A:$AO,6,FALSE)</f>
        <v>45421</v>
      </c>
      <c r="G762" s="402">
        <f>VLOOKUP(Table13[[#This Row],[Column1]],[1]Sheet1!$A:$AO,7,FALSE)</f>
        <v>45425</v>
      </c>
      <c r="H762" s="374"/>
      <c r="I762" s="402" t="str">
        <f>VLOOKUP(Table13[[#This Row],[Column1]],[1]Sheet1!$A:$AO,9,FALSE)</f>
        <v>N/A</v>
      </c>
      <c r="J762" s="402">
        <f>VLOOKUP(Table13[[#This Row],[Column1]],[1]Sheet1!$A:$AO,10,FALSE)</f>
        <v>45440</v>
      </c>
      <c r="K762" s="402">
        <f>VLOOKUP(Table13[[#This Row],[Column1]],[1]Sheet1!$A:$AO,11,FALSE)</f>
        <v>45440</v>
      </c>
      <c r="L762" s="404"/>
      <c r="M762" s="402" t="str">
        <f>VLOOKUP(Table13[[#This Row],[Column1]],[1]Sheet1!$A:$AO,13,FALSE)</f>
        <v>N/A</v>
      </c>
      <c r="N762" s="402" t="str">
        <f>VLOOKUP(Table13[[#This Row],[Column1]],[1]Sheet1!$A:$AO,14,FALSE)</f>
        <v>N/A</v>
      </c>
      <c r="O762" s="402">
        <f>VLOOKUP(Table13[[#This Row],[Column1]],[1]Sheet1!$A:$AO,15,FALSE)</f>
        <v>45441</v>
      </c>
      <c r="P762" s="375"/>
      <c r="Q762" s="375"/>
      <c r="R762" s="376"/>
      <c r="S762" s="583" t="s">
        <v>713</v>
      </c>
      <c r="T762" s="583">
        <f>VLOOKUP(Table13[[#This Row],[Column1]],[1]Sheet1!$A:$AO,20,FALSE)</f>
        <v>45454</v>
      </c>
      <c r="U762" s="583"/>
      <c r="V762" s="376"/>
      <c r="W762" s="376"/>
      <c r="X762" s="402"/>
      <c r="Y762" s="402"/>
      <c r="Z762" s="610" t="s">
        <v>1478</v>
      </c>
      <c r="AA762" s="532">
        <f>IF(Table13[[#This Row],[Column2]]="","",SUM(Table13[[#This Row],[Column28]]+Table13[[#This Row],[Column29]]))</f>
        <v>1050</v>
      </c>
      <c r="AB762" s="537">
        <v>1050</v>
      </c>
      <c r="AC762" s="502"/>
      <c r="AD762" s="532">
        <f>IF(Table13[[#This Row],[Column2]]="","",SUM(Table13[[#This Row],[Column31]]+Table13[[#This Row],[Column32]]))</f>
        <v>1000</v>
      </c>
      <c r="AE762" s="501">
        <v>1000</v>
      </c>
      <c r="AF762" s="541"/>
      <c r="AG762" s="405"/>
      <c r="AH762" s="380" t="s">
        <v>1205</v>
      </c>
      <c r="AI762" s="576" t="str">
        <f>VLOOKUP(Table13[[#This Row],[Column1]],[1]Sheet1!$A:$AO,35,FALSE)</f>
        <v>N/A</v>
      </c>
      <c r="AJ762" s="576" t="str">
        <f>VLOOKUP(Table13[[#This Row],[Column1]],[1]Sheet1!$A:$AO,36,FALSE)</f>
        <v>N/A</v>
      </c>
      <c r="AK762" s="576" t="str">
        <f>VLOOKUP(Table13[[#This Row],[Column1]],[1]Sheet1!$A:$AO,37,FALSE)</f>
        <v>N/A</v>
      </c>
      <c r="AL762" s="576" t="str">
        <f>VLOOKUP(Table13[[#This Row],[Column1]],[1]Sheet1!$A:$AO,38,FALSE)</f>
        <v>N/A</v>
      </c>
      <c r="AM762" s="576" t="str">
        <f>VLOOKUP(Table13[[#This Row],[Column1]],[1]Sheet1!$A:$AO,39,FALSE)</f>
        <v>N/A</v>
      </c>
      <c r="AN762" s="576" t="s">
        <v>713</v>
      </c>
      <c r="AO762" s="303" t="s">
        <v>1172</v>
      </c>
      <c r="AP762" s="378"/>
      <c r="AQ762" s="237"/>
    </row>
    <row r="763" spans="1:43" s="238" customFormat="1" ht="75" customHeight="1" x14ac:dyDescent="0.25">
      <c r="A763" s="297" t="s">
        <v>975</v>
      </c>
      <c r="B763" s="627" t="str">
        <f>VLOOKUP(Table13[[#This Row],[Column1]],[1]Sheet1!$A:$AO,2,FALSE)</f>
        <v>COMPUTER LAPTOP</v>
      </c>
      <c r="C763" s="298" t="str">
        <f>VLOOKUP(Table13[[#This Row],[Column1]],[1]Sheet1!$A:$AO,3,FALSE)</f>
        <v>COA</v>
      </c>
      <c r="D763" s="298" t="s">
        <v>712</v>
      </c>
      <c r="E763" s="450" t="str">
        <f>VLOOKUP(Table13[[#This Row],[Column1]],[1]Sheet1!$A:$AO,5,FALSE)</f>
        <v>NP-53.9 - Small Value Procurement</v>
      </c>
      <c r="F763" s="446">
        <f>VLOOKUP(Table13[[#This Row],[Column1]],[1]Sheet1!$A:$AO,6,FALSE)</f>
        <v>45412</v>
      </c>
      <c r="G763" s="402">
        <f>VLOOKUP(Table13[[#This Row],[Column1]],[1]Sheet1!$A:$AO,7,FALSE)</f>
        <v>45414</v>
      </c>
      <c r="H763" s="374"/>
      <c r="I763" s="402" t="str">
        <f>VLOOKUP(Table13[[#This Row],[Column1]],[1]Sheet1!$A:$AO,9,FALSE)</f>
        <v>N/A</v>
      </c>
      <c r="J763" s="402">
        <f>VLOOKUP(Table13[[#This Row],[Column1]],[1]Sheet1!$A:$AO,10,FALSE)</f>
        <v>45440</v>
      </c>
      <c r="K763" s="402">
        <f>VLOOKUP(Table13[[#This Row],[Column1]],[1]Sheet1!$A:$AO,11,FALSE)</f>
        <v>45440</v>
      </c>
      <c r="L763" s="404"/>
      <c r="M763" s="402" t="str">
        <f>VLOOKUP(Table13[[#This Row],[Column1]],[1]Sheet1!$A:$AO,13,FALSE)</f>
        <v>N/A</v>
      </c>
      <c r="N763" s="402" t="str">
        <f>VLOOKUP(Table13[[#This Row],[Column1]],[1]Sheet1!$A:$AO,14,FALSE)</f>
        <v>N/A</v>
      </c>
      <c r="O763" s="402">
        <f>VLOOKUP(Table13[[#This Row],[Column1]],[1]Sheet1!$A:$AO,15,FALSE)</f>
        <v>45441</v>
      </c>
      <c r="P763" s="375"/>
      <c r="Q763" s="375"/>
      <c r="R763" s="376"/>
      <c r="S763" s="583">
        <v>45442</v>
      </c>
      <c r="T763" s="583">
        <f>VLOOKUP(Table13[[#This Row],[Column1]],[1]Sheet1!$A:$AO,20,FALSE)</f>
        <v>45453</v>
      </c>
      <c r="U763" s="583"/>
      <c r="V763" s="376"/>
      <c r="W763" s="376"/>
      <c r="X763" s="402"/>
      <c r="Y763" s="402"/>
      <c r="Z763" s="610" t="s">
        <v>1478</v>
      </c>
      <c r="AA763" s="532">
        <f>IF(Table13[[#This Row],[Column2]]="","",SUM(Table13[[#This Row],[Column28]]+Table13[[#This Row],[Column29]]))</f>
        <v>66547</v>
      </c>
      <c r="AB763" s="537"/>
      <c r="AC763" s="502">
        <v>66547</v>
      </c>
      <c r="AD763" s="532">
        <f>IF(Table13[[#This Row],[Column2]]="","",SUM(Table13[[#This Row],[Column31]]+Table13[[#This Row],[Column32]]))</f>
        <v>63693</v>
      </c>
      <c r="AE763" s="501"/>
      <c r="AF763" s="541">
        <v>63693</v>
      </c>
      <c r="AG763" s="405"/>
      <c r="AH763" s="380" t="s">
        <v>1205</v>
      </c>
      <c r="AI763" s="576" t="str">
        <f>VLOOKUP(Table13[[#This Row],[Column1]],[1]Sheet1!$A:$AO,35,FALSE)</f>
        <v>N/A</v>
      </c>
      <c r="AJ763" s="576" t="str">
        <f>VLOOKUP(Table13[[#This Row],[Column1]],[1]Sheet1!$A:$AO,36,FALSE)</f>
        <v>N/A</v>
      </c>
      <c r="AK763" s="576" t="str">
        <f>VLOOKUP(Table13[[#This Row],[Column1]],[1]Sheet1!$A:$AO,37,FALSE)</f>
        <v>N/A</v>
      </c>
      <c r="AL763" s="576" t="str">
        <f>VLOOKUP(Table13[[#This Row],[Column1]],[1]Sheet1!$A:$AO,38,FALSE)</f>
        <v>N/A</v>
      </c>
      <c r="AM763" s="576" t="str">
        <f>VLOOKUP(Table13[[#This Row],[Column1]],[1]Sheet1!$A:$AO,39,FALSE)</f>
        <v>N/A</v>
      </c>
      <c r="AN763" s="576" t="s">
        <v>713</v>
      </c>
      <c r="AO763" s="303" t="s">
        <v>1172</v>
      </c>
      <c r="AP763" s="378"/>
      <c r="AQ763" s="237"/>
    </row>
    <row r="764" spans="1:43" s="238" customFormat="1" ht="75" customHeight="1" x14ac:dyDescent="0.25">
      <c r="A764" s="297" t="s">
        <v>976</v>
      </c>
      <c r="B764" s="627" t="str">
        <f>VLOOKUP(Table13[[#This Row],[Column1]],[1]Sheet1!$A:$AO,2,FALSE)</f>
        <v>SPAREPARTS (LIGHT
VEHICLES)</v>
      </c>
      <c r="C764" s="298" t="str">
        <f>VLOOKUP(Table13[[#This Row],[Column1]],[1]Sheet1!$A:$AO,3,FALSE)</f>
        <v>PGSO</v>
      </c>
      <c r="D764" s="298" t="s">
        <v>712</v>
      </c>
      <c r="E764" s="450" t="str">
        <f>VLOOKUP(Table13[[#This Row],[Column1]],[1]Sheet1!$A:$AO,5,FALSE)</f>
        <v>NP-53.9 - Small Value Procurement</v>
      </c>
      <c r="F764" s="446">
        <f>VLOOKUP(Table13[[#This Row],[Column1]],[1]Sheet1!$A:$AO,6,FALSE)</f>
        <v>45421</v>
      </c>
      <c r="G764" s="402">
        <f>VLOOKUP(Table13[[#This Row],[Column1]],[1]Sheet1!$A:$AO,7,FALSE)</f>
        <v>45425</v>
      </c>
      <c r="H764" s="374"/>
      <c r="I764" s="402" t="str">
        <f>VLOOKUP(Table13[[#This Row],[Column1]],[1]Sheet1!$A:$AO,9,FALSE)</f>
        <v>N/A</v>
      </c>
      <c r="J764" s="402">
        <f>VLOOKUP(Table13[[#This Row],[Column1]],[1]Sheet1!$A:$AO,10,FALSE)</f>
        <v>45440</v>
      </c>
      <c r="K764" s="402">
        <f>VLOOKUP(Table13[[#This Row],[Column1]],[1]Sheet1!$A:$AO,11,FALSE)</f>
        <v>45440</v>
      </c>
      <c r="L764" s="404"/>
      <c r="M764" s="402" t="str">
        <f>VLOOKUP(Table13[[#This Row],[Column1]],[1]Sheet1!$A:$AO,13,FALSE)</f>
        <v>N/A</v>
      </c>
      <c r="N764" s="402" t="str">
        <f>VLOOKUP(Table13[[#This Row],[Column1]],[1]Sheet1!$A:$AO,14,FALSE)</f>
        <v>N/A</v>
      </c>
      <c r="O764" s="402">
        <f>VLOOKUP(Table13[[#This Row],[Column1]],[1]Sheet1!$A:$AO,15,FALSE)</f>
        <v>45441</v>
      </c>
      <c r="P764" s="375"/>
      <c r="Q764" s="375"/>
      <c r="R764" s="376"/>
      <c r="S764" s="583" t="s">
        <v>713</v>
      </c>
      <c r="T764" s="583">
        <f>VLOOKUP(Table13[[#This Row],[Column1]],[1]Sheet1!$A:$AO,20,FALSE)</f>
        <v>45454</v>
      </c>
      <c r="U764" s="583"/>
      <c r="V764" s="376"/>
      <c r="W764" s="376"/>
      <c r="X764" s="402"/>
      <c r="Y764" s="402"/>
      <c r="Z764" s="610" t="s">
        <v>1478</v>
      </c>
      <c r="AA764" s="532">
        <f>IF(Table13[[#This Row],[Column2]]="","",SUM(Table13[[#This Row],[Column28]]+Table13[[#This Row],[Column29]]))</f>
        <v>3900</v>
      </c>
      <c r="AB764" s="537">
        <v>3900</v>
      </c>
      <c r="AC764" s="502"/>
      <c r="AD764" s="532">
        <f>IF(Table13[[#This Row],[Column2]]="","",SUM(Table13[[#This Row],[Column31]]+Table13[[#This Row],[Column32]]))</f>
        <v>3750</v>
      </c>
      <c r="AE764" s="501">
        <v>3750</v>
      </c>
      <c r="AF764" s="541"/>
      <c r="AG764" s="405"/>
      <c r="AH764" s="380" t="s">
        <v>1205</v>
      </c>
      <c r="AI764" s="576" t="str">
        <f>VLOOKUP(Table13[[#This Row],[Column1]],[1]Sheet1!$A:$AO,35,FALSE)</f>
        <v>N/A</v>
      </c>
      <c r="AJ764" s="576" t="str">
        <f>VLOOKUP(Table13[[#This Row],[Column1]],[1]Sheet1!$A:$AO,36,FALSE)</f>
        <v>N/A</v>
      </c>
      <c r="AK764" s="576" t="str">
        <f>VLOOKUP(Table13[[#This Row],[Column1]],[1]Sheet1!$A:$AO,37,FALSE)</f>
        <v>N/A</v>
      </c>
      <c r="AL764" s="576" t="str">
        <f>VLOOKUP(Table13[[#This Row],[Column1]],[1]Sheet1!$A:$AO,38,FALSE)</f>
        <v>N/A</v>
      </c>
      <c r="AM764" s="576" t="str">
        <f>VLOOKUP(Table13[[#This Row],[Column1]],[1]Sheet1!$A:$AO,39,FALSE)</f>
        <v>N/A</v>
      </c>
      <c r="AN764" s="576" t="s">
        <v>713</v>
      </c>
      <c r="AO764" s="303" t="s">
        <v>1172</v>
      </c>
      <c r="AP764" s="378"/>
      <c r="AQ764" s="237"/>
    </row>
    <row r="765" spans="1:43" s="238" customFormat="1" ht="75" customHeight="1" x14ac:dyDescent="0.25">
      <c r="A765" s="297" t="s">
        <v>977</v>
      </c>
      <c r="B765" s="627" t="str">
        <f>VLOOKUP(Table13[[#This Row],[Column1]],[1]Sheet1!$A:$AO,2,FALSE)</f>
        <v>SPAREPARTS (LIGHT
VEHICLES)</v>
      </c>
      <c r="C765" s="298" t="str">
        <f>VLOOKUP(Table13[[#This Row],[Column1]],[1]Sheet1!$A:$AO,3,FALSE)</f>
        <v>PGSO</v>
      </c>
      <c r="D765" s="298" t="s">
        <v>712</v>
      </c>
      <c r="E765" s="450" t="str">
        <f>VLOOKUP(Table13[[#This Row],[Column1]],[1]Sheet1!$A:$AO,5,FALSE)</f>
        <v>NP-53.9 - Small Value Procurement</v>
      </c>
      <c r="F765" s="446" t="str">
        <f>VLOOKUP(Table13[[#This Row],[Column1]],[1]Sheet1!$A:$AO,6,FALSE)</f>
        <v>N/A</v>
      </c>
      <c r="G765" s="402">
        <f>VLOOKUP(Table13[[#This Row],[Column1]],[1]Sheet1!$A:$AO,7,FALSE)</f>
        <v>45425</v>
      </c>
      <c r="H765" s="374"/>
      <c r="I765" s="402" t="str">
        <f>VLOOKUP(Table13[[#This Row],[Column1]],[1]Sheet1!$A:$AO,9,FALSE)</f>
        <v>N/A</v>
      </c>
      <c r="J765" s="402">
        <f>VLOOKUP(Table13[[#This Row],[Column1]],[1]Sheet1!$A:$AO,10,FALSE)</f>
        <v>45440</v>
      </c>
      <c r="K765" s="402">
        <f>VLOOKUP(Table13[[#This Row],[Column1]],[1]Sheet1!$A:$AO,11,FALSE)</f>
        <v>45440</v>
      </c>
      <c r="L765" s="404"/>
      <c r="M765" s="402" t="str">
        <f>VLOOKUP(Table13[[#This Row],[Column1]],[1]Sheet1!$A:$AO,13,FALSE)</f>
        <v>N/A</v>
      </c>
      <c r="N765" s="402" t="str">
        <f>VLOOKUP(Table13[[#This Row],[Column1]],[1]Sheet1!$A:$AO,14,FALSE)</f>
        <v>N/A</v>
      </c>
      <c r="O765" s="402">
        <f>VLOOKUP(Table13[[#This Row],[Column1]],[1]Sheet1!$A:$AO,15,FALSE)</f>
        <v>45441</v>
      </c>
      <c r="P765" s="375"/>
      <c r="Q765" s="375"/>
      <c r="R765" s="376"/>
      <c r="S765" s="583">
        <v>45446</v>
      </c>
      <c r="T765" s="583">
        <f>VLOOKUP(Table13[[#This Row],[Column1]],[1]Sheet1!$A:$AO,20,FALSE)</f>
        <v>45456</v>
      </c>
      <c r="U765" s="583"/>
      <c r="V765" s="376"/>
      <c r="W765" s="376"/>
      <c r="X765" s="402"/>
      <c r="Y765" s="402"/>
      <c r="Z765" s="610" t="s">
        <v>1478</v>
      </c>
      <c r="AA765" s="532">
        <f>IF(Table13[[#This Row],[Column2]]="","",SUM(Table13[[#This Row],[Column28]]+Table13[[#This Row],[Column29]]))</f>
        <v>82140</v>
      </c>
      <c r="AB765" s="537">
        <v>82140</v>
      </c>
      <c r="AC765" s="502"/>
      <c r="AD765" s="532">
        <f>IF(Table13[[#This Row],[Column2]]="","",SUM(Table13[[#This Row],[Column31]]+Table13[[#This Row],[Column32]]))</f>
        <v>75900</v>
      </c>
      <c r="AE765" s="501">
        <v>75900</v>
      </c>
      <c r="AF765" s="541"/>
      <c r="AG765" s="405"/>
      <c r="AH765" s="380" t="s">
        <v>1205</v>
      </c>
      <c r="AI765" s="576" t="str">
        <f>VLOOKUP(Table13[[#This Row],[Column1]],[1]Sheet1!$A:$AO,35,FALSE)</f>
        <v>N/A</v>
      </c>
      <c r="AJ765" s="576" t="str">
        <f>VLOOKUP(Table13[[#This Row],[Column1]],[1]Sheet1!$A:$AO,36,FALSE)</f>
        <v>N/A</v>
      </c>
      <c r="AK765" s="576" t="str">
        <f>VLOOKUP(Table13[[#This Row],[Column1]],[1]Sheet1!$A:$AO,37,FALSE)</f>
        <v>N/A</v>
      </c>
      <c r="AL765" s="576" t="str">
        <f>VLOOKUP(Table13[[#This Row],[Column1]],[1]Sheet1!$A:$AO,38,FALSE)</f>
        <v>N/A</v>
      </c>
      <c r="AM765" s="576" t="str">
        <f>VLOOKUP(Table13[[#This Row],[Column1]],[1]Sheet1!$A:$AO,39,FALSE)</f>
        <v>N/A</v>
      </c>
      <c r="AN765" s="576" t="s">
        <v>713</v>
      </c>
      <c r="AO765" s="303" t="s">
        <v>1172</v>
      </c>
      <c r="AP765" s="378"/>
      <c r="AQ765" s="237"/>
    </row>
    <row r="766" spans="1:43" s="238" customFormat="1" ht="75" customHeight="1" x14ac:dyDescent="0.25">
      <c r="A766" s="297" t="s">
        <v>978</v>
      </c>
      <c r="B766" s="627" t="str">
        <f>VLOOKUP(Table13[[#This Row],[Column1]],[1]Sheet1!$A:$AO,2,FALSE)</f>
        <v>MOTHERBOARD GIGABYTE</v>
      </c>
      <c r="C766" s="298" t="str">
        <f>VLOOKUP(Table13[[#This Row],[Column1]],[1]Sheet1!$A:$AO,3,FALSE)</f>
        <v>PAO-PESO</v>
      </c>
      <c r="D766" s="298" t="s">
        <v>712</v>
      </c>
      <c r="E766" s="450" t="str">
        <f>VLOOKUP(Table13[[#This Row],[Column1]],[1]Sheet1!$A:$AO,5,FALSE)</f>
        <v>NP-53.9 - Small Value Procurement</v>
      </c>
      <c r="F766" s="446">
        <f>VLOOKUP(Table13[[#This Row],[Column1]],[1]Sheet1!$A:$AO,6,FALSE)</f>
        <v>45407</v>
      </c>
      <c r="G766" s="402">
        <f>VLOOKUP(Table13[[#This Row],[Column1]],[1]Sheet1!$A:$AO,7,FALSE)</f>
        <v>45412</v>
      </c>
      <c r="H766" s="374"/>
      <c r="I766" s="402" t="str">
        <f>VLOOKUP(Table13[[#This Row],[Column1]],[1]Sheet1!$A:$AO,9,FALSE)</f>
        <v>N/A</v>
      </c>
      <c r="J766" s="402">
        <f>VLOOKUP(Table13[[#This Row],[Column1]],[1]Sheet1!$A:$AO,10,FALSE)</f>
        <v>45440</v>
      </c>
      <c r="K766" s="402">
        <f>VLOOKUP(Table13[[#This Row],[Column1]],[1]Sheet1!$A:$AO,11,FALSE)</f>
        <v>45440</v>
      </c>
      <c r="L766" s="404"/>
      <c r="M766" s="402" t="str">
        <f>VLOOKUP(Table13[[#This Row],[Column1]],[1]Sheet1!$A:$AO,13,FALSE)</f>
        <v>N/A</v>
      </c>
      <c r="N766" s="402" t="str">
        <f>VLOOKUP(Table13[[#This Row],[Column1]],[1]Sheet1!$A:$AO,14,FALSE)</f>
        <v>N/A</v>
      </c>
      <c r="O766" s="402">
        <f>VLOOKUP(Table13[[#This Row],[Column1]],[1]Sheet1!$A:$AO,15,FALSE)</f>
        <v>45441</v>
      </c>
      <c r="P766" s="375"/>
      <c r="Q766" s="375"/>
      <c r="R766" s="376"/>
      <c r="S766" s="583" t="s">
        <v>713</v>
      </c>
      <c r="T766" s="583">
        <f>VLOOKUP(Table13[[#This Row],[Column1]],[1]Sheet1!$A:$AO,20,FALSE)</f>
        <v>45453</v>
      </c>
      <c r="U766" s="583"/>
      <c r="V766" s="376"/>
      <c r="W766" s="376"/>
      <c r="X766" s="402"/>
      <c r="Y766" s="402"/>
      <c r="Z766" s="610" t="s">
        <v>1478</v>
      </c>
      <c r="AA766" s="532">
        <f>IF(Table13[[#This Row],[Column2]]="","",SUM(Table13[[#This Row],[Column28]]+Table13[[#This Row],[Column29]]))</f>
        <v>16100</v>
      </c>
      <c r="AB766" s="537">
        <v>16100</v>
      </c>
      <c r="AC766" s="502"/>
      <c r="AD766" s="532">
        <f>IF(Table13[[#This Row],[Column2]]="","",SUM(Table13[[#This Row],[Column31]]+Table13[[#This Row],[Column32]]))</f>
        <v>15254</v>
      </c>
      <c r="AE766" s="501">
        <v>15254</v>
      </c>
      <c r="AF766" s="541"/>
      <c r="AG766" s="405"/>
      <c r="AH766" s="380" t="s">
        <v>1205</v>
      </c>
      <c r="AI766" s="576" t="str">
        <f>VLOOKUP(Table13[[#This Row],[Column1]],[1]Sheet1!$A:$AO,35,FALSE)</f>
        <v>N/A</v>
      </c>
      <c r="AJ766" s="576" t="str">
        <f>VLOOKUP(Table13[[#This Row],[Column1]],[1]Sheet1!$A:$AO,36,FALSE)</f>
        <v>N/A</v>
      </c>
      <c r="AK766" s="576" t="str">
        <f>VLOOKUP(Table13[[#This Row],[Column1]],[1]Sheet1!$A:$AO,37,FALSE)</f>
        <v>N/A</v>
      </c>
      <c r="AL766" s="576" t="str">
        <f>VLOOKUP(Table13[[#This Row],[Column1]],[1]Sheet1!$A:$AO,38,FALSE)</f>
        <v>N/A</v>
      </c>
      <c r="AM766" s="576" t="str">
        <f>VLOOKUP(Table13[[#This Row],[Column1]],[1]Sheet1!$A:$AO,39,FALSE)</f>
        <v>N/A</v>
      </c>
      <c r="AN766" s="576" t="s">
        <v>713</v>
      </c>
      <c r="AO766" s="303" t="s">
        <v>1172</v>
      </c>
      <c r="AP766" s="378"/>
      <c r="AQ766" s="237"/>
    </row>
    <row r="767" spans="1:43" s="238" customFormat="1" ht="75" customHeight="1" x14ac:dyDescent="0.25">
      <c r="A767" s="297" t="s">
        <v>979</v>
      </c>
      <c r="B767" s="627" t="str">
        <f>VLOOKUP(Table13[[#This Row],[Column1]],[1]Sheet1!$A:$AO,2,FALSE)</f>
        <v>JANITORIAL SUPPLIES /
HOUSEKEEPING</v>
      </c>
      <c r="C767" s="298" t="str">
        <f>VLOOKUP(Table13[[#This Row],[Column1]],[1]Sheet1!$A:$AO,3,FALSE)</f>
        <v>PHRMDO</v>
      </c>
      <c r="D767" s="298" t="s">
        <v>712</v>
      </c>
      <c r="E767" s="450" t="str">
        <f>VLOOKUP(Table13[[#This Row],[Column1]],[1]Sheet1!$A:$AO,5,FALSE)</f>
        <v>NP-53.9 - Small Value Procurement</v>
      </c>
      <c r="F767" s="446" t="str">
        <f>VLOOKUP(Table13[[#This Row],[Column1]],[1]Sheet1!$A:$AO,6,FALSE)</f>
        <v>N/A</v>
      </c>
      <c r="G767" s="402">
        <f>VLOOKUP(Table13[[#This Row],[Column1]],[1]Sheet1!$A:$AO,7,FALSE)</f>
        <v>45376</v>
      </c>
      <c r="H767" s="374"/>
      <c r="I767" s="402" t="str">
        <f>VLOOKUP(Table13[[#This Row],[Column1]],[1]Sheet1!$A:$AO,9,FALSE)</f>
        <v>N/A</v>
      </c>
      <c r="J767" s="402">
        <f>VLOOKUP(Table13[[#This Row],[Column1]],[1]Sheet1!$A:$AO,10,FALSE)</f>
        <v>45440</v>
      </c>
      <c r="K767" s="402">
        <f>VLOOKUP(Table13[[#This Row],[Column1]],[1]Sheet1!$A:$AO,11,FALSE)</f>
        <v>45440</v>
      </c>
      <c r="L767" s="404"/>
      <c r="M767" s="402" t="str">
        <f>VLOOKUP(Table13[[#This Row],[Column1]],[1]Sheet1!$A:$AO,13,FALSE)</f>
        <v>N/A</v>
      </c>
      <c r="N767" s="402" t="str">
        <f>VLOOKUP(Table13[[#This Row],[Column1]],[1]Sheet1!$A:$AO,14,FALSE)</f>
        <v>N/A</v>
      </c>
      <c r="O767" s="402">
        <f>VLOOKUP(Table13[[#This Row],[Column1]],[1]Sheet1!$A:$AO,15,FALSE)</f>
        <v>45441</v>
      </c>
      <c r="P767" s="375"/>
      <c r="Q767" s="375"/>
      <c r="R767" s="376"/>
      <c r="S767" s="583" t="s">
        <v>713</v>
      </c>
      <c r="T767" s="583">
        <f>VLOOKUP(Table13[[#This Row],[Column1]],[1]Sheet1!$A:$AO,20,FALSE)</f>
        <v>45456</v>
      </c>
      <c r="U767" s="583"/>
      <c r="V767" s="376"/>
      <c r="W767" s="376"/>
      <c r="X767" s="402"/>
      <c r="Y767" s="402"/>
      <c r="Z767" s="610" t="s">
        <v>1478</v>
      </c>
      <c r="AA767" s="532">
        <f>IF(Table13[[#This Row],[Column2]]="","",SUM(Table13[[#This Row],[Column28]]+Table13[[#This Row],[Column29]]))</f>
        <v>43101.5</v>
      </c>
      <c r="AB767" s="537">
        <v>43101.5</v>
      </c>
      <c r="AC767" s="502"/>
      <c r="AD767" s="532">
        <f>IF(Table13[[#This Row],[Column2]]="","",SUM(Table13[[#This Row],[Column31]]+Table13[[#This Row],[Column32]]))</f>
        <v>43046</v>
      </c>
      <c r="AE767" s="501">
        <v>43046</v>
      </c>
      <c r="AF767" s="541"/>
      <c r="AG767" s="405"/>
      <c r="AH767" s="380" t="s">
        <v>1205</v>
      </c>
      <c r="AI767" s="576" t="str">
        <f>VLOOKUP(Table13[[#This Row],[Column1]],[1]Sheet1!$A:$AO,35,FALSE)</f>
        <v>N/A</v>
      </c>
      <c r="AJ767" s="576" t="str">
        <f>VLOOKUP(Table13[[#This Row],[Column1]],[1]Sheet1!$A:$AO,36,FALSE)</f>
        <v>N/A</v>
      </c>
      <c r="AK767" s="576" t="str">
        <f>VLOOKUP(Table13[[#This Row],[Column1]],[1]Sheet1!$A:$AO,37,FALSE)</f>
        <v>N/A</v>
      </c>
      <c r="AL767" s="576" t="str">
        <f>VLOOKUP(Table13[[#This Row],[Column1]],[1]Sheet1!$A:$AO,38,FALSE)</f>
        <v>N/A</v>
      </c>
      <c r="AM767" s="576" t="str">
        <f>VLOOKUP(Table13[[#This Row],[Column1]],[1]Sheet1!$A:$AO,39,FALSE)</f>
        <v>N/A</v>
      </c>
      <c r="AN767" s="576" t="s">
        <v>713</v>
      </c>
      <c r="AO767" s="303" t="s">
        <v>1172</v>
      </c>
      <c r="AP767" s="378"/>
      <c r="AQ767" s="237"/>
    </row>
    <row r="768" spans="1:43" s="238" customFormat="1" ht="75" customHeight="1" x14ac:dyDescent="0.25">
      <c r="A768" s="297" t="s">
        <v>980</v>
      </c>
      <c r="B768" s="627" t="str">
        <f>VLOOKUP(Table13[[#This Row],[Column1]],[1]Sheet1!$A:$AO,2,FALSE)</f>
        <v>TARPAULIN CONSTRUCTION OF TEACHERS'</v>
      </c>
      <c r="C768" s="298" t="str">
        <f>VLOOKUP(Table13[[#This Row],[Column1]],[1]Sheet1!$A:$AO,3,FALSE)</f>
        <v>SEF</v>
      </c>
      <c r="D768" s="298" t="s">
        <v>712</v>
      </c>
      <c r="E768" s="450" t="str">
        <f>VLOOKUP(Table13[[#This Row],[Column1]],[1]Sheet1!$A:$AO,5,FALSE)</f>
        <v>NP-53.9 - Small Value Procurement</v>
      </c>
      <c r="F768" s="446">
        <f>VLOOKUP(Table13[[#This Row],[Column1]],[1]Sheet1!$A:$AO,6,FALSE)</f>
        <v>45421</v>
      </c>
      <c r="G768" s="402">
        <f>VLOOKUP(Table13[[#This Row],[Column1]],[1]Sheet1!$A:$AO,7,FALSE)</f>
        <v>45425</v>
      </c>
      <c r="H768" s="374"/>
      <c r="I768" s="402" t="str">
        <f>VLOOKUP(Table13[[#This Row],[Column1]],[1]Sheet1!$A:$AO,9,FALSE)</f>
        <v>N/A</v>
      </c>
      <c r="J768" s="402">
        <f>VLOOKUP(Table13[[#This Row],[Column1]],[1]Sheet1!$A:$AO,10,FALSE)</f>
        <v>45440</v>
      </c>
      <c r="K768" s="402">
        <f>VLOOKUP(Table13[[#This Row],[Column1]],[1]Sheet1!$A:$AO,11,FALSE)</f>
        <v>45440</v>
      </c>
      <c r="L768" s="404"/>
      <c r="M768" s="402" t="str">
        <f>VLOOKUP(Table13[[#This Row],[Column1]],[1]Sheet1!$A:$AO,13,FALSE)</f>
        <v>N/A</v>
      </c>
      <c r="N768" s="402" t="str">
        <f>VLOOKUP(Table13[[#This Row],[Column1]],[1]Sheet1!$A:$AO,14,FALSE)</f>
        <v>N/A</v>
      </c>
      <c r="O768" s="402">
        <f>VLOOKUP(Table13[[#This Row],[Column1]],[1]Sheet1!$A:$AO,15,FALSE)</f>
        <v>45441</v>
      </c>
      <c r="P768" s="375"/>
      <c r="Q768" s="375"/>
      <c r="R768" s="376"/>
      <c r="S768" s="583" t="s">
        <v>713</v>
      </c>
      <c r="T768" s="583">
        <f>VLOOKUP(Table13[[#This Row],[Column1]],[1]Sheet1!$A:$AO,20,FALSE)</f>
        <v>45454</v>
      </c>
      <c r="U768" s="583"/>
      <c r="V768" s="376"/>
      <c r="W768" s="376"/>
      <c r="X768" s="402"/>
      <c r="Y768" s="402"/>
      <c r="Z768" s="610" t="s">
        <v>1478</v>
      </c>
      <c r="AA768" s="532">
        <f>IF(Table13[[#This Row],[Column2]]="","",SUM(Table13[[#This Row],[Column28]]+Table13[[#This Row],[Column29]]))</f>
        <v>1792</v>
      </c>
      <c r="AB768" s="537"/>
      <c r="AC768" s="502">
        <v>1792</v>
      </c>
      <c r="AD768" s="532">
        <f>IF(Table13[[#This Row],[Column2]]="","",SUM(Table13[[#This Row],[Column31]]+Table13[[#This Row],[Column32]]))</f>
        <v>1792</v>
      </c>
      <c r="AE768" s="501"/>
      <c r="AF768" s="541">
        <v>1792</v>
      </c>
      <c r="AG768" s="405"/>
      <c r="AH768" s="380" t="s">
        <v>1205</v>
      </c>
      <c r="AI768" s="576" t="str">
        <f>VLOOKUP(Table13[[#This Row],[Column1]],[1]Sheet1!$A:$AO,35,FALSE)</f>
        <v>N/A</v>
      </c>
      <c r="AJ768" s="576" t="str">
        <f>VLOOKUP(Table13[[#This Row],[Column1]],[1]Sheet1!$A:$AO,36,FALSE)</f>
        <v>N/A</v>
      </c>
      <c r="AK768" s="576" t="str">
        <f>VLOOKUP(Table13[[#This Row],[Column1]],[1]Sheet1!$A:$AO,37,FALSE)</f>
        <v>N/A</v>
      </c>
      <c r="AL768" s="576" t="str">
        <f>VLOOKUP(Table13[[#This Row],[Column1]],[1]Sheet1!$A:$AO,38,FALSE)</f>
        <v>N/A</v>
      </c>
      <c r="AM768" s="576" t="str">
        <f>VLOOKUP(Table13[[#This Row],[Column1]],[1]Sheet1!$A:$AO,39,FALSE)</f>
        <v>N/A</v>
      </c>
      <c r="AN768" s="576" t="s">
        <v>713</v>
      </c>
      <c r="AO768" s="303" t="s">
        <v>1172</v>
      </c>
      <c r="AP768" s="378"/>
      <c r="AQ768" s="237"/>
    </row>
    <row r="769" spans="1:43" s="238" customFormat="1" ht="75" customHeight="1" x14ac:dyDescent="0.25">
      <c r="A769" s="297" t="s">
        <v>981</v>
      </c>
      <c r="B769" s="627" t="str">
        <f>VLOOKUP(Table13[[#This Row],[Column1]],[1]Sheet1!$A:$AO,2,FALSE)</f>
        <v>CONSTRUCTION SUPPLIES</v>
      </c>
      <c r="C769" s="298" t="str">
        <f>VLOOKUP(Table13[[#This Row],[Column1]],[1]Sheet1!$A:$AO,3,FALSE)</f>
        <v>PVO</v>
      </c>
      <c r="D769" s="298" t="s">
        <v>712</v>
      </c>
      <c r="E769" s="450" t="str">
        <f>VLOOKUP(Table13[[#This Row],[Column1]],[1]Sheet1!$A:$AO,5,FALSE)</f>
        <v>NP-53.9 - Small Value Procurement</v>
      </c>
      <c r="F769" s="446" t="str">
        <f>VLOOKUP(Table13[[#This Row],[Column1]],[1]Sheet1!$A:$AO,6,FALSE)</f>
        <v>N/A</v>
      </c>
      <c r="G769" s="402">
        <f>VLOOKUP(Table13[[#This Row],[Column1]],[1]Sheet1!$A:$AO,7,FALSE)</f>
        <v>45385</v>
      </c>
      <c r="H769" s="374"/>
      <c r="I769" s="402" t="str">
        <f>VLOOKUP(Table13[[#This Row],[Column1]],[1]Sheet1!$A:$AO,9,FALSE)</f>
        <v>N/A</v>
      </c>
      <c r="J769" s="402">
        <f>VLOOKUP(Table13[[#This Row],[Column1]],[1]Sheet1!$A:$AO,10,FALSE)</f>
        <v>45440</v>
      </c>
      <c r="K769" s="402">
        <f>VLOOKUP(Table13[[#This Row],[Column1]],[1]Sheet1!$A:$AO,11,FALSE)</f>
        <v>45440</v>
      </c>
      <c r="L769" s="404"/>
      <c r="M769" s="402" t="str">
        <f>VLOOKUP(Table13[[#This Row],[Column1]],[1]Sheet1!$A:$AO,13,FALSE)</f>
        <v>N/A</v>
      </c>
      <c r="N769" s="402" t="str">
        <f>VLOOKUP(Table13[[#This Row],[Column1]],[1]Sheet1!$A:$AO,14,FALSE)</f>
        <v>N/A</v>
      </c>
      <c r="O769" s="402">
        <f>VLOOKUP(Table13[[#This Row],[Column1]],[1]Sheet1!$A:$AO,15,FALSE)</f>
        <v>45441</v>
      </c>
      <c r="P769" s="375"/>
      <c r="Q769" s="375"/>
      <c r="R769" s="376"/>
      <c r="S769" s="583" t="s">
        <v>713</v>
      </c>
      <c r="T769" s="583">
        <f>VLOOKUP(Table13[[#This Row],[Column1]],[1]Sheet1!$A:$AO,20,FALSE)</f>
        <v>45454</v>
      </c>
      <c r="U769" s="583"/>
      <c r="V769" s="376"/>
      <c r="W769" s="376"/>
      <c r="X769" s="402"/>
      <c r="Y769" s="402"/>
      <c r="Z769" s="610" t="s">
        <v>1478</v>
      </c>
      <c r="AA769" s="532">
        <f>IF(Table13[[#This Row],[Column2]]="","",SUM(Table13[[#This Row],[Column28]]+Table13[[#This Row],[Column29]]))</f>
        <v>36070</v>
      </c>
      <c r="AB769" s="537">
        <v>36070</v>
      </c>
      <c r="AC769" s="502"/>
      <c r="AD769" s="532">
        <f>IF(Table13[[#This Row],[Column2]]="","",SUM(Table13[[#This Row],[Column31]]+Table13[[#This Row],[Column32]]))</f>
        <v>36029</v>
      </c>
      <c r="AE769" s="501">
        <v>36029</v>
      </c>
      <c r="AF769" s="541"/>
      <c r="AG769" s="405"/>
      <c r="AH769" s="380" t="s">
        <v>1205</v>
      </c>
      <c r="AI769" s="576" t="str">
        <f>VLOOKUP(Table13[[#This Row],[Column1]],[1]Sheet1!$A:$AO,35,FALSE)</f>
        <v>N/A</v>
      </c>
      <c r="AJ769" s="576" t="str">
        <f>VLOOKUP(Table13[[#This Row],[Column1]],[1]Sheet1!$A:$AO,36,FALSE)</f>
        <v>N/A</v>
      </c>
      <c r="AK769" s="576" t="str">
        <f>VLOOKUP(Table13[[#This Row],[Column1]],[1]Sheet1!$A:$AO,37,FALSE)</f>
        <v>N/A</v>
      </c>
      <c r="AL769" s="576" t="str">
        <f>VLOOKUP(Table13[[#This Row],[Column1]],[1]Sheet1!$A:$AO,38,FALSE)</f>
        <v>N/A</v>
      </c>
      <c r="AM769" s="576" t="str">
        <f>VLOOKUP(Table13[[#This Row],[Column1]],[1]Sheet1!$A:$AO,39,FALSE)</f>
        <v>N/A</v>
      </c>
      <c r="AN769" s="576" t="s">
        <v>713</v>
      </c>
      <c r="AO769" s="303" t="s">
        <v>1172</v>
      </c>
      <c r="AP769" s="378"/>
      <c r="AQ769" s="237"/>
    </row>
    <row r="770" spans="1:43" s="238" customFormat="1" ht="75" customHeight="1" x14ac:dyDescent="0.25">
      <c r="A770" s="297" t="s">
        <v>982</v>
      </c>
      <c r="B770" s="627" t="str">
        <f>VLOOKUP(Table13[[#This Row],[Column1]],[1]Sheet1!$A:$AO,2,FALSE)</f>
        <v>TARPAULIN</v>
      </c>
      <c r="C770" s="298" t="str">
        <f>VLOOKUP(Table13[[#This Row],[Column1]],[1]Sheet1!$A:$AO,3,FALSE)</f>
        <v>PDRRMO</v>
      </c>
      <c r="D770" s="298" t="s">
        <v>712</v>
      </c>
      <c r="E770" s="450" t="str">
        <f>VLOOKUP(Table13[[#This Row],[Column1]],[1]Sheet1!$A:$AO,5,FALSE)</f>
        <v>NP-53.9 - Small Value Procurement</v>
      </c>
      <c r="F770" s="446">
        <f>VLOOKUP(Table13[[#This Row],[Column1]],[1]Sheet1!$A:$AO,6,FALSE)</f>
        <v>45421</v>
      </c>
      <c r="G770" s="402">
        <f>VLOOKUP(Table13[[#This Row],[Column1]],[1]Sheet1!$A:$AO,7,FALSE)</f>
        <v>45425</v>
      </c>
      <c r="H770" s="374"/>
      <c r="I770" s="402" t="str">
        <f>VLOOKUP(Table13[[#This Row],[Column1]],[1]Sheet1!$A:$AO,9,FALSE)</f>
        <v>N/A</v>
      </c>
      <c r="J770" s="402">
        <f>VLOOKUP(Table13[[#This Row],[Column1]],[1]Sheet1!$A:$AO,10,FALSE)</f>
        <v>45440</v>
      </c>
      <c r="K770" s="402">
        <f>VLOOKUP(Table13[[#This Row],[Column1]],[1]Sheet1!$A:$AO,11,FALSE)</f>
        <v>45440</v>
      </c>
      <c r="L770" s="404"/>
      <c r="M770" s="402" t="str">
        <f>VLOOKUP(Table13[[#This Row],[Column1]],[1]Sheet1!$A:$AO,13,FALSE)</f>
        <v>N/A</v>
      </c>
      <c r="N770" s="402" t="str">
        <f>VLOOKUP(Table13[[#This Row],[Column1]],[1]Sheet1!$A:$AO,14,FALSE)</f>
        <v>N/A</v>
      </c>
      <c r="O770" s="402">
        <f>VLOOKUP(Table13[[#This Row],[Column1]],[1]Sheet1!$A:$AO,15,FALSE)</f>
        <v>45441</v>
      </c>
      <c r="P770" s="375"/>
      <c r="Q770" s="375"/>
      <c r="R770" s="376"/>
      <c r="S770" s="583" t="s">
        <v>713</v>
      </c>
      <c r="T770" s="583">
        <f>VLOOKUP(Table13[[#This Row],[Column1]],[1]Sheet1!$A:$AO,20,FALSE)</f>
        <v>45453</v>
      </c>
      <c r="U770" s="583"/>
      <c r="V770" s="376"/>
      <c r="W770" s="376"/>
      <c r="X770" s="402"/>
      <c r="Y770" s="402"/>
      <c r="Z770" s="610" t="s">
        <v>1478</v>
      </c>
      <c r="AA770" s="532">
        <f>IF(Table13[[#This Row],[Column2]]="","",SUM(Table13[[#This Row],[Column28]]+Table13[[#This Row],[Column29]]))</f>
        <v>1792</v>
      </c>
      <c r="AB770" s="537">
        <v>1792</v>
      </c>
      <c r="AC770" s="502"/>
      <c r="AD770" s="532">
        <f>IF(Table13[[#This Row],[Column2]]="","",SUM(Table13[[#This Row],[Column31]]+Table13[[#This Row],[Column32]]))</f>
        <v>1792</v>
      </c>
      <c r="AE770" s="501">
        <v>1792</v>
      </c>
      <c r="AF770" s="541"/>
      <c r="AG770" s="405"/>
      <c r="AH770" s="380" t="s">
        <v>1205</v>
      </c>
      <c r="AI770" s="576" t="str">
        <f>VLOOKUP(Table13[[#This Row],[Column1]],[1]Sheet1!$A:$AO,35,FALSE)</f>
        <v>N/A</v>
      </c>
      <c r="AJ770" s="576" t="str">
        <f>VLOOKUP(Table13[[#This Row],[Column1]],[1]Sheet1!$A:$AO,36,FALSE)</f>
        <v>N/A</v>
      </c>
      <c r="AK770" s="576" t="str">
        <f>VLOOKUP(Table13[[#This Row],[Column1]],[1]Sheet1!$A:$AO,37,FALSE)</f>
        <v>N/A</v>
      </c>
      <c r="AL770" s="576" t="str">
        <f>VLOOKUP(Table13[[#This Row],[Column1]],[1]Sheet1!$A:$AO,38,FALSE)</f>
        <v>N/A</v>
      </c>
      <c r="AM770" s="576" t="str">
        <f>VLOOKUP(Table13[[#This Row],[Column1]],[1]Sheet1!$A:$AO,39,FALSE)</f>
        <v>N/A</v>
      </c>
      <c r="AN770" s="576" t="s">
        <v>713</v>
      </c>
      <c r="AO770" s="303" t="s">
        <v>1172</v>
      </c>
      <c r="AP770" s="378"/>
      <c r="AQ770" s="237"/>
    </row>
    <row r="771" spans="1:43" s="238" customFormat="1" ht="75" customHeight="1" x14ac:dyDescent="0.25">
      <c r="A771" s="297" t="s">
        <v>983</v>
      </c>
      <c r="B771" s="627" t="str">
        <f>VLOOKUP(Table13[[#This Row],[Column1]],[1]Sheet1!$A:$AO,2,FALSE)</f>
        <v>TARPAULIN</v>
      </c>
      <c r="C771" s="298" t="str">
        <f>VLOOKUP(Table13[[#This Row],[Column1]],[1]Sheet1!$A:$AO,3,FALSE)</f>
        <v>PEO</v>
      </c>
      <c r="D771" s="298" t="s">
        <v>712</v>
      </c>
      <c r="E771" s="450" t="str">
        <f>VLOOKUP(Table13[[#This Row],[Column1]],[1]Sheet1!$A:$AO,5,FALSE)</f>
        <v>NP-53.9 - Small Value Procurement</v>
      </c>
      <c r="F771" s="446">
        <f>VLOOKUP(Table13[[#This Row],[Column1]],[1]Sheet1!$A:$AO,6,FALSE)</f>
        <v>45421</v>
      </c>
      <c r="G771" s="402">
        <f>VLOOKUP(Table13[[#This Row],[Column1]],[1]Sheet1!$A:$AO,7,FALSE)</f>
        <v>45425</v>
      </c>
      <c r="H771" s="374"/>
      <c r="I771" s="402" t="str">
        <f>VLOOKUP(Table13[[#This Row],[Column1]],[1]Sheet1!$A:$AO,9,FALSE)</f>
        <v>N/A</v>
      </c>
      <c r="J771" s="402">
        <f>VLOOKUP(Table13[[#This Row],[Column1]],[1]Sheet1!$A:$AO,10,FALSE)</f>
        <v>45440</v>
      </c>
      <c r="K771" s="402">
        <f>VLOOKUP(Table13[[#This Row],[Column1]],[1]Sheet1!$A:$AO,11,FALSE)</f>
        <v>45440</v>
      </c>
      <c r="L771" s="404"/>
      <c r="M771" s="402" t="str">
        <f>VLOOKUP(Table13[[#This Row],[Column1]],[1]Sheet1!$A:$AO,13,FALSE)</f>
        <v>N/A</v>
      </c>
      <c r="N771" s="402" t="str">
        <f>VLOOKUP(Table13[[#This Row],[Column1]],[1]Sheet1!$A:$AO,14,FALSE)</f>
        <v>N/A</v>
      </c>
      <c r="O771" s="402">
        <f>VLOOKUP(Table13[[#This Row],[Column1]],[1]Sheet1!$A:$AO,15,FALSE)</f>
        <v>45441</v>
      </c>
      <c r="P771" s="375"/>
      <c r="Q771" s="375"/>
      <c r="R771" s="376"/>
      <c r="S771" s="583" t="s">
        <v>713</v>
      </c>
      <c r="T771" s="583">
        <f>VLOOKUP(Table13[[#This Row],[Column1]],[1]Sheet1!$A:$AO,20,FALSE)</f>
        <v>45454</v>
      </c>
      <c r="U771" s="583"/>
      <c r="V771" s="376"/>
      <c r="W771" s="376"/>
      <c r="X771" s="402"/>
      <c r="Y771" s="402"/>
      <c r="Z771" s="610" t="s">
        <v>1478</v>
      </c>
      <c r="AA771" s="532">
        <f>IF(Table13[[#This Row],[Column2]]="","",SUM(Table13[[#This Row],[Column28]]+Table13[[#This Row],[Column29]]))</f>
        <v>1792</v>
      </c>
      <c r="AB771" s="537"/>
      <c r="AC771" s="502">
        <v>1792</v>
      </c>
      <c r="AD771" s="532">
        <f>IF(Table13[[#This Row],[Column2]]="","",SUM(Table13[[#This Row],[Column31]]+Table13[[#This Row],[Column32]]))</f>
        <v>1792</v>
      </c>
      <c r="AE771" s="501"/>
      <c r="AF771" s="541">
        <v>1792</v>
      </c>
      <c r="AG771" s="405"/>
      <c r="AH771" s="380" t="s">
        <v>1205</v>
      </c>
      <c r="AI771" s="576" t="str">
        <f>VLOOKUP(Table13[[#This Row],[Column1]],[1]Sheet1!$A:$AO,35,FALSE)</f>
        <v>N/A</v>
      </c>
      <c r="AJ771" s="576" t="str">
        <f>VLOOKUP(Table13[[#This Row],[Column1]],[1]Sheet1!$A:$AO,36,FALSE)</f>
        <v>N/A</v>
      </c>
      <c r="AK771" s="576" t="str">
        <f>VLOOKUP(Table13[[#This Row],[Column1]],[1]Sheet1!$A:$AO,37,FALSE)</f>
        <v>N/A</v>
      </c>
      <c r="AL771" s="576" t="str">
        <f>VLOOKUP(Table13[[#This Row],[Column1]],[1]Sheet1!$A:$AO,38,FALSE)</f>
        <v>N/A</v>
      </c>
      <c r="AM771" s="576" t="str">
        <f>VLOOKUP(Table13[[#This Row],[Column1]],[1]Sheet1!$A:$AO,39,FALSE)</f>
        <v>N/A</v>
      </c>
      <c r="AN771" s="576" t="s">
        <v>713</v>
      </c>
      <c r="AO771" s="303" t="s">
        <v>1172</v>
      </c>
      <c r="AP771" s="378"/>
      <c r="AQ771" s="237"/>
    </row>
    <row r="772" spans="1:43" s="238" customFormat="1" ht="75" customHeight="1" x14ac:dyDescent="0.25">
      <c r="A772" s="297" t="s">
        <v>984</v>
      </c>
      <c r="B772" s="627" t="str">
        <f>VLOOKUP(Table13[[#This Row],[Column1]],[1]Sheet1!$A:$AO,2,FALSE)</f>
        <v>JANITORIAL SUPPLIES /
HOUSEKEEPING</v>
      </c>
      <c r="C772" s="298" t="str">
        <f>VLOOKUP(Table13[[#This Row],[Column1]],[1]Sheet1!$A:$AO,3,FALSE)</f>
        <v>PVO</v>
      </c>
      <c r="D772" s="298" t="s">
        <v>712</v>
      </c>
      <c r="E772" s="450" t="str">
        <f>VLOOKUP(Table13[[#This Row],[Column1]],[1]Sheet1!$A:$AO,5,FALSE)</f>
        <v>NP-53.9 - Small Value Procurement</v>
      </c>
      <c r="F772" s="446" t="str">
        <f>VLOOKUP(Table13[[#This Row],[Column1]],[1]Sheet1!$A:$AO,6,FALSE)</f>
        <v>N/A</v>
      </c>
      <c r="G772" s="402">
        <f>VLOOKUP(Table13[[#This Row],[Column1]],[1]Sheet1!$A:$AO,7,FALSE)</f>
        <v>45385</v>
      </c>
      <c r="H772" s="374"/>
      <c r="I772" s="402" t="str">
        <f>VLOOKUP(Table13[[#This Row],[Column1]],[1]Sheet1!$A:$AO,9,FALSE)</f>
        <v>N/A</v>
      </c>
      <c r="J772" s="402">
        <f>VLOOKUP(Table13[[#This Row],[Column1]],[1]Sheet1!$A:$AO,10,FALSE)</f>
        <v>45440</v>
      </c>
      <c r="K772" s="402">
        <f>VLOOKUP(Table13[[#This Row],[Column1]],[1]Sheet1!$A:$AO,11,FALSE)</f>
        <v>45440</v>
      </c>
      <c r="L772" s="404"/>
      <c r="M772" s="402" t="str">
        <f>VLOOKUP(Table13[[#This Row],[Column1]],[1]Sheet1!$A:$AO,13,FALSE)</f>
        <v>N/A</v>
      </c>
      <c r="N772" s="402" t="str">
        <f>VLOOKUP(Table13[[#This Row],[Column1]],[1]Sheet1!$A:$AO,14,FALSE)</f>
        <v>N/A</v>
      </c>
      <c r="O772" s="402">
        <f>VLOOKUP(Table13[[#This Row],[Column1]],[1]Sheet1!$A:$AO,15,FALSE)</f>
        <v>45441</v>
      </c>
      <c r="P772" s="375"/>
      <c r="Q772" s="375"/>
      <c r="R772" s="376"/>
      <c r="S772" s="583" t="s">
        <v>713</v>
      </c>
      <c r="T772" s="583">
        <f>VLOOKUP(Table13[[#This Row],[Column1]],[1]Sheet1!$A:$AO,20,FALSE)</f>
        <v>45456</v>
      </c>
      <c r="U772" s="583"/>
      <c r="V772" s="376"/>
      <c r="W772" s="376"/>
      <c r="X772" s="402"/>
      <c r="Y772" s="402"/>
      <c r="Z772" s="610" t="s">
        <v>1478</v>
      </c>
      <c r="AA772" s="532">
        <f>IF(Table13[[#This Row],[Column2]]="","",SUM(Table13[[#This Row],[Column28]]+Table13[[#This Row],[Column29]]))</f>
        <v>14523</v>
      </c>
      <c r="AB772" s="537">
        <v>14523</v>
      </c>
      <c r="AC772" s="502"/>
      <c r="AD772" s="532">
        <f>IF(Table13[[#This Row],[Column2]]="","",SUM(Table13[[#This Row],[Column31]]+Table13[[#This Row],[Column32]]))</f>
        <v>14445</v>
      </c>
      <c r="AE772" s="501">
        <v>14445</v>
      </c>
      <c r="AF772" s="541"/>
      <c r="AG772" s="405"/>
      <c r="AH772" s="380" t="s">
        <v>1205</v>
      </c>
      <c r="AI772" s="576" t="str">
        <f>VLOOKUP(Table13[[#This Row],[Column1]],[1]Sheet1!$A:$AO,35,FALSE)</f>
        <v>N/A</v>
      </c>
      <c r="AJ772" s="576" t="str">
        <f>VLOOKUP(Table13[[#This Row],[Column1]],[1]Sheet1!$A:$AO,36,FALSE)</f>
        <v>N/A</v>
      </c>
      <c r="AK772" s="576" t="str">
        <f>VLOOKUP(Table13[[#This Row],[Column1]],[1]Sheet1!$A:$AO,37,FALSE)</f>
        <v>N/A</v>
      </c>
      <c r="AL772" s="576" t="str">
        <f>VLOOKUP(Table13[[#This Row],[Column1]],[1]Sheet1!$A:$AO,38,FALSE)</f>
        <v>N/A</v>
      </c>
      <c r="AM772" s="576" t="str">
        <f>VLOOKUP(Table13[[#This Row],[Column1]],[1]Sheet1!$A:$AO,39,FALSE)</f>
        <v>N/A</v>
      </c>
      <c r="AN772" s="576" t="s">
        <v>713</v>
      </c>
      <c r="AO772" s="303" t="s">
        <v>1172</v>
      </c>
      <c r="AP772" s="378"/>
      <c r="AQ772" s="237"/>
    </row>
    <row r="773" spans="1:43" s="238" customFormat="1" ht="75" customHeight="1" x14ac:dyDescent="0.25">
      <c r="A773" s="297" t="s">
        <v>985</v>
      </c>
      <c r="B773" s="627" t="str">
        <f>VLOOKUP(Table13[[#This Row],[Column1]],[1]Sheet1!$A:$AO,2,FALSE)</f>
        <v>COMPUTER SUPPLIES /
SPAREPARTS</v>
      </c>
      <c r="C773" s="298" t="str">
        <f>VLOOKUP(Table13[[#This Row],[Column1]],[1]Sheet1!$A:$AO,3,FALSE)</f>
        <v>PAO-ADMIN</v>
      </c>
      <c r="D773" s="298" t="s">
        <v>712</v>
      </c>
      <c r="E773" s="450" t="str">
        <f>VLOOKUP(Table13[[#This Row],[Column1]],[1]Sheet1!$A:$AO,5,FALSE)</f>
        <v>NP-53.9 - Small Value Procurement</v>
      </c>
      <c r="F773" s="446">
        <f>VLOOKUP(Table13[[#This Row],[Column1]],[1]Sheet1!$A:$AO,6,FALSE)</f>
        <v>45421</v>
      </c>
      <c r="G773" s="402">
        <f>VLOOKUP(Table13[[#This Row],[Column1]],[1]Sheet1!$A:$AO,7,FALSE)</f>
        <v>45425</v>
      </c>
      <c r="H773" s="374"/>
      <c r="I773" s="402" t="str">
        <f>VLOOKUP(Table13[[#This Row],[Column1]],[1]Sheet1!$A:$AO,9,FALSE)</f>
        <v>N/A</v>
      </c>
      <c r="J773" s="402">
        <f>VLOOKUP(Table13[[#This Row],[Column1]],[1]Sheet1!$A:$AO,10,FALSE)</f>
        <v>45440</v>
      </c>
      <c r="K773" s="402">
        <f>VLOOKUP(Table13[[#This Row],[Column1]],[1]Sheet1!$A:$AO,11,FALSE)</f>
        <v>45440</v>
      </c>
      <c r="L773" s="404"/>
      <c r="M773" s="402" t="str">
        <f>VLOOKUP(Table13[[#This Row],[Column1]],[1]Sheet1!$A:$AO,13,FALSE)</f>
        <v>N/A</v>
      </c>
      <c r="N773" s="402" t="str">
        <f>VLOOKUP(Table13[[#This Row],[Column1]],[1]Sheet1!$A:$AO,14,FALSE)</f>
        <v>N/A</v>
      </c>
      <c r="O773" s="402">
        <f>VLOOKUP(Table13[[#This Row],[Column1]],[1]Sheet1!$A:$AO,15,FALSE)</f>
        <v>45441</v>
      </c>
      <c r="P773" s="375"/>
      <c r="Q773" s="375"/>
      <c r="R773" s="376"/>
      <c r="S773" s="583" t="s">
        <v>713</v>
      </c>
      <c r="T773" s="583">
        <f>VLOOKUP(Table13[[#This Row],[Column1]],[1]Sheet1!$A:$AO,20,FALSE)</f>
        <v>45456</v>
      </c>
      <c r="U773" s="583"/>
      <c r="V773" s="376"/>
      <c r="W773" s="376"/>
      <c r="X773" s="402"/>
      <c r="Y773" s="402"/>
      <c r="Z773" s="610" t="s">
        <v>1478</v>
      </c>
      <c r="AA773" s="532">
        <f>IF(Table13[[#This Row],[Column2]]="","",SUM(Table13[[#This Row],[Column28]]+Table13[[#This Row],[Column29]]))</f>
        <v>22960</v>
      </c>
      <c r="AB773" s="537">
        <v>22960</v>
      </c>
      <c r="AC773" s="502"/>
      <c r="AD773" s="532">
        <f>IF(Table13[[#This Row],[Column2]]="","",SUM(Table13[[#This Row],[Column31]]+Table13[[#This Row],[Column32]]))</f>
        <v>22800</v>
      </c>
      <c r="AE773" s="501">
        <v>22800</v>
      </c>
      <c r="AF773" s="541"/>
      <c r="AG773" s="405"/>
      <c r="AH773" s="380" t="s">
        <v>1205</v>
      </c>
      <c r="AI773" s="576" t="str">
        <f>VLOOKUP(Table13[[#This Row],[Column1]],[1]Sheet1!$A:$AO,35,FALSE)</f>
        <v>N/A</v>
      </c>
      <c r="AJ773" s="576" t="str">
        <f>VLOOKUP(Table13[[#This Row],[Column1]],[1]Sheet1!$A:$AO,36,FALSE)</f>
        <v>N/A</v>
      </c>
      <c r="AK773" s="576" t="str">
        <f>VLOOKUP(Table13[[#This Row],[Column1]],[1]Sheet1!$A:$AO,37,FALSE)</f>
        <v>N/A</v>
      </c>
      <c r="AL773" s="576" t="str">
        <f>VLOOKUP(Table13[[#This Row],[Column1]],[1]Sheet1!$A:$AO,38,FALSE)</f>
        <v>N/A</v>
      </c>
      <c r="AM773" s="576" t="str">
        <f>VLOOKUP(Table13[[#This Row],[Column1]],[1]Sheet1!$A:$AO,39,FALSE)</f>
        <v>N/A</v>
      </c>
      <c r="AN773" s="576" t="s">
        <v>713</v>
      </c>
      <c r="AO773" s="303" t="s">
        <v>1172</v>
      </c>
      <c r="AP773" s="378"/>
      <c r="AQ773" s="237"/>
    </row>
    <row r="774" spans="1:43" s="238" customFormat="1" ht="75" customHeight="1" x14ac:dyDescent="0.25">
      <c r="A774" s="297" t="s">
        <v>986</v>
      </c>
      <c r="B774" s="627" t="str">
        <f>VLOOKUP(Table13[[#This Row],[Column1]],[1]Sheet1!$A:$AO,2,FALSE)</f>
        <v>KITCHENWARE &amp; UTENSILS</v>
      </c>
      <c r="C774" s="298" t="str">
        <f>VLOOKUP(Table13[[#This Row],[Column1]],[1]Sheet1!$A:$AO,3,FALSE)</f>
        <v>PVO</v>
      </c>
      <c r="D774" s="298" t="s">
        <v>712</v>
      </c>
      <c r="E774" s="450" t="str">
        <f>VLOOKUP(Table13[[#This Row],[Column1]],[1]Sheet1!$A:$AO,5,FALSE)</f>
        <v>NP-53.9 - Small Value Procurement</v>
      </c>
      <c r="F774" s="446" t="str">
        <f>VLOOKUP(Table13[[#This Row],[Column1]],[1]Sheet1!$A:$AO,6,FALSE)</f>
        <v>N/A</v>
      </c>
      <c r="G774" s="402">
        <f>VLOOKUP(Table13[[#This Row],[Column1]],[1]Sheet1!$A:$AO,7,FALSE)</f>
        <v>45385</v>
      </c>
      <c r="H774" s="374"/>
      <c r="I774" s="402" t="str">
        <f>VLOOKUP(Table13[[#This Row],[Column1]],[1]Sheet1!$A:$AO,9,FALSE)</f>
        <v>N/A</v>
      </c>
      <c r="J774" s="402">
        <f>VLOOKUP(Table13[[#This Row],[Column1]],[1]Sheet1!$A:$AO,10,FALSE)</f>
        <v>45440</v>
      </c>
      <c r="K774" s="402">
        <f>VLOOKUP(Table13[[#This Row],[Column1]],[1]Sheet1!$A:$AO,11,FALSE)</f>
        <v>45440</v>
      </c>
      <c r="L774" s="404"/>
      <c r="M774" s="402" t="str">
        <f>VLOOKUP(Table13[[#This Row],[Column1]],[1]Sheet1!$A:$AO,13,FALSE)</f>
        <v>N/A</v>
      </c>
      <c r="N774" s="402" t="str">
        <f>VLOOKUP(Table13[[#This Row],[Column1]],[1]Sheet1!$A:$AO,14,FALSE)</f>
        <v>N/A</v>
      </c>
      <c r="O774" s="402">
        <f>VLOOKUP(Table13[[#This Row],[Column1]],[1]Sheet1!$A:$AO,15,FALSE)</f>
        <v>45441</v>
      </c>
      <c r="P774" s="375"/>
      <c r="Q774" s="375"/>
      <c r="R774" s="376"/>
      <c r="S774" s="583" t="s">
        <v>713</v>
      </c>
      <c r="T774" s="583">
        <f>VLOOKUP(Table13[[#This Row],[Column1]],[1]Sheet1!$A:$AO,20,FALSE)</f>
        <v>45456</v>
      </c>
      <c r="U774" s="583"/>
      <c r="V774" s="376"/>
      <c r="W774" s="376"/>
      <c r="X774" s="402"/>
      <c r="Y774" s="402"/>
      <c r="Z774" s="610" t="s">
        <v>1478</v>
      </c>
      <c r="AA774" s="532">
        <f>IF(Table13[[#This Row],[Column2]]="","",SUM(Table13[[#This Row],[Column28]]+Table13[[#This Row],[Column29]]))</f>
        <v>12706</v>
      </c>
      <c r="AB774" s="537">
        <v>12706</v>
      </c>
      <c r="AC774" s="502"/>
      <c r="AD774" s="532">
        <f>IF(Table13[[#This Row],[Column2]]="","",SUM(Table13[[#This Row],[Column31]]+Table13[[#This Row],[Column32]]))</f>
        <v>12570</v>
      </c>
      <c r="AE774" s="501">
        <v>12570</v>
      </c>
      <c r="AF774" s="541"/>
      <c r="AG774" s="405"/>
      <c r="AH774" s="380" t="s">
        <v>1205</v>
      </c>
      <c r="AI774" s="576" t="str">
        <f>VLOOKUP(Table13[[#This Row],[Column1]],[1]Sheet1!$A:$AO,35,FALSE)</f>
        <v>N/A</v>
      </c>
      <c r="AJ774" s="576" t="str">
        <f>VLOOKUP(Table13[[#This Row],[Column1]],[1]Sheet1!$A:$AO,36,FALSE)</f>
        <v>N/A</v>
      </c>
      <c r="AK774" s="576" t="str">
        <f>VLOOKUP(Table13[[#This Row],[Column1]],[1]Sheet1!$A:$AO,37,FALSE)</f>
        <v>N/A</v>
      </c>
      <c r="AL774" s="576" t="str">
        <f>VLOOKUP(Table13[[#This Row],[Column1]],[1]Sheet1!$A:$AO,38,FALSE)</f>
        <v>N/A</v>
      </c>
      <c r="AM774" s="576" t="str">
        <f>VLOOKUP(Table13[[#This Row],[Column1]],[1]Sheet1!$A:$AO,39,FALSE)</f>
        <v>N/A</v>
      </c>
      <c r="AN774" s="576" t="s">
        <v>713</v>
      </c>
      <c r="AO774" s="303" t="s">
        <v>1172</v>
      </c>
      <c r="AP774" s="378"/>
      <c r="AQ774" s="237"/>
    </row>
    <row r="775" spans="1:43" s="238" customFormat="1" ht="75" customHeight="1" x14ac:dyDescent="0.25">
      <c r="A775" s="297" t="s">
        <v>987</v>
      </c>
      <c r="B775" s="627" t="str">
        <f>VLOOKUP(Table13[[#This Row],[Column1]],[1]Sheet1!$A:$AO,2,FALSE)</f>
        <v>CONSTRUCTION SUPPLIES</v>
      </c>
      <c r="C775" s="298" t="str">
        <f>VLOOKUP(Table13[[#This Row],[Column1]],[1]Sheet1!$A:$AO,3,FALSE)</f>
        <v>PGSO</v>
      </c>
      <c r="D775" s="298" t="s">
        <v>712</v>
      </c>
      <c r="E775" s="450" t="str">
        <f>VLOOKUP(Table13[[#This Row],[Column1]],[1]Sheet1!$A:$AO,5,FALSE)</f>
        <v>NP-53.9 - Small Value Procurement</v>
      </c>
      <c r="F775" s="446">
        <f>VLOOKUP(Table13[[#This Row],[Column1]],[1]Sheet1!$A:$AO,6,FALSE)</f>
        <v>45407</v>
      </c>
      <c r="G775" s="402">
        <f>VLOOKUP(Table13[[#This Row],[Column1]],[1]Sheet1!$A:$AO,7,FALSE)</f>
        <v>45412</v>
      </c>
      <c r="H775" s="374"/>
      <c r="I775" s="402" t="str">
        <f>VLOOKUP(Table13[[#This Row],[Column1]],[1]Sheet1!$A:$AO,9,FALSE)</f>
        <v>N/A</v>
      </c>
      <c r="J775" s="402">
        <f>VLOOKUP(Table13[[#This Row],[Column1]],[1]Sheet1!$A:$AO,10,FALSE)</f>
        <v>45440</v>
      </c>
      <c r="K775" s="402">
        <f>VLOOKUP(Table13[[#This Row],[Column1]],[1]Sheet1!$A:$AO,11,FALSE)</f>
        <v>45440</v>
      </c>
      <c r="L775" s="404"/>
      <c r="M775" s="402" t="str">
        <f>VLOOKUP(Table13[[#This Row],[Column1]],[1]Sheet1!$A:$AO,13,FALSE)</f>
        <v>N/A</v>
      </c>
      <c r="N775" s="402" t="str">
        <f>VLOOKUP(Table13[[#This Row],[Column1]],[1]Sheet1!$A:$AO,14,FALSE)</f>
        <v>N/A</v>
      </c>
      <c r="O775" s="402">
        <f>VLOOKUP(Table13[[#This Row],[Column1]],[1]Sheet1!$A:$AO,15,FALSE)</f>
        <v>45441</v>
      </c>
      <c r="P775" s="375"/>
      <c r="Q775" s="375"/>
      <c r="R775" s="376"/>
      <c r="S775" s="583" t="s">
        <v>713</v>
      </c>
      <c r="T775" s="583">
        <f>VLOOKUP(Table13[[#This Row],[Column1]],[1]Sheet1!$A:$AO,20,FALSE)</f>
        <v>45454</v>
      </c>
      <c r="U775" s="583"/>
      <c r="V775" s="376"/>
      <c r="W775" s="376"/>
      <c r="X775" s="402"/>
      <c r="Y775" s="402"/>
      <c r="Z775" s="610" t="s">
        <v>1478</v>
      </c>
      <c r="AA775" s="532">
        <f>IF(Table13[[#This Row],[Column2]]="","",SUM(Table13[[#This Row],[Column28]]+Table13[[#This Row],[Column29]]))</f>
        <v>18800</v>
      </c>
      <c r="AB775" s="537">
        <v>18800</v>
      </c>
      <c r="AC775" s="502"/>
      <c r="AD775" s="532">
        <f>IF(Table13[[#This Row],[Column2]]="","",SUM(Table13[[#This Row],[Column31]]+Table13[[#This Row],[Column32]]))</f>
        <v>18720</v>
      </c>
      <c r="AE775" s="501">
        <v>18720</v>
      </c>
      <c r="AF775" s="541"/>
      <c r="AG775" s="405"/>
      <c r="AH775" s="380" t="s">
        <v>1205</v>
      </c>
      <c r="AI775" s="576" t="str">
        <f>VLOOKUP(Table13[[#This Row],[Column1]],[1]Sheet1!$A:$AO,35,FALSE)</f>
        <v>N/A</v>
      </c>
      <c r="AJ775" s="576" t="str">
        <f>VLOOKUP(Table13[[#This Row],[Column1]],[1]Sheet1!$A:$AO,36,FALSE)</f>
        <v>N/A</v>
      </c>
      <c r="AK775" s="576" t="str">
        <f>VLOOKUP(Table13[[#This Row],[Column1]],[1]Sheet1!$A:$AO,37,FALSE)</f>
        <v>N/A</v>
      </c>
      <c r="AL775" s="576" t="str">
        <f>VLOOKUP(Table13[[#This Row],[Column1]],[1]Sheet1!$A:$AO,38,FALSE)</f>
        <v>N/A</v>
      </c>
      <c r="AM775" s="576" t="str">
        <f>VLOOKUP(Table13[[#This Row],[Column1]],[1]Sheet1!$A:$AO,39,FALSE)</f>
        <v>N/A</v>
      </c>
      <c r="AN775" s="576" t="s">
        <v>713</v>
      </c>
      <c r="AO775" s="303" t="s">
        <v>1172</v>
      </c>
      <c r="AP775" s="378"/>
      <c r="AQ775" s="237"/>
    </row>
    <row r="776" spans="1:43" s="238" customFormat="1" ht="75" customHeight="1" x14ac:dyDescent="0.25">
      <c r="A776" s="297" t="s">
        <v>988</v>
      </c>
      <c r="B776" s="627" t="str">
        <f>VLOOKUP(Table13[[#This Row],[Column1]],[1]Sheet1!$A:$AO,2,FALSE)</f>
        <v>SPAREPARTS ( FARM
MACHINERIES AND
EQUIPMENT )</v>
      </c>
      <c r="C776" s="298" t="str">
        <f>VLOOKUP(Table13[[#This Row],[Column1]],[1]Sheet1!$A:$AO,3,FALSE)</f>
        <v>PDRRMO</v>
      </c>
      <c r="D776" s="298" t="s">
        <v>712</v>
      </c>
      <c r="E776" s="450" t="str">
        <f>VLOOKUP(Table13[[#This Row],[Column1]],[1]Sheet1!$A:$AO,5,FALSE)</f>
        <v>NP-53.9 - Small Value Procurement</v>
      </c>
      <c r="F776" s="446" t="str">
        <f>VLOOKUP(Table13[[#This Row],[Column1]],[1]Sheet1!$A:$AO,6,FALSE)</f>
        <v>N/A</v>
      </c>
      <c r="G776" s="402">
        <f>VLOOKUP(Table13[[#This Row],[Column1]],[1]Sheet1!$A:$AO,7,FALSE)</f>
        <v>45414</v>
      </c>
      <c r="H776" s="374"/>
      <c r="I776" s="402" t="str">
        <f>VLOOKUP(Table13[[#This Row],[Column1]],[1]Sheet1!$A:$AO,9,FALSE)</f>
        <v>N/A</v>
      </c>
      <c r="J776" s="402">
        <f>VLOOKUP(Table13[[#This Row],[Column1]],[1]Sheet1!$A:$AO,10,FALSE)</f>
        <v>45440</v>
      </c>
      <c r="K776" s="402">
        <f>VLOOKUP(Table13[[#This Row],[Column1]],[1]Sheet1!$A:$AO,11,FALSE)</f>
        <v>45440</v>
      </c>
      <c r="L776" s="404"/>
      <c r="M776" s="402" t="str">
        <f>VLOOKUP(Table13[[#This Row],[Column1]],[1]Sheet1!$A:$AO,13,FALSE)</f>
        <v>N/A</v>
      </c>
      <c r="N776" s="402" t="str">
        <f>VLOOKUP(Table13[[#This Row],[Column1]],[1]Sheet1!$A:$AO,14,FALSE)</f>
        <v>N/A</v>
      </c>
      <c r="O776" s="402">
        <f>VLOOKUP(Table13[[#This Row],[Column1]],[1]Sheet1!$A:$AO,15,FALSE)</f>
        <v>45441</v>
      </c>
      <c r="P776" s="375"/>
      <c r="Q776" s="375"/>
      <c r="R776" s="376"/>
      <c r="S776" s="583">
        <v>45448</v>
      </c>
      <c r="T776" s="583">
        <f>VLOOKUP(Table13[[#This Row],[Column1]],[1]Sheet1!$A:$AO,20,FALSE)</f>
        <v>45456</v>
      </c>
      <c r="U776" s="583"/>
      <c r="V776" s="376"/>
      <c r="W776" s="376"/>
      <c r="X776" s="402"/>
      <c r="Y776" s="402"/>
      <c r="Z776" s="610" t="s">
        <v>1478</v>
      </c>
      <c r="AA776" s="532">
        <f>IF(Table13[[#This Row],[Column2]]="","",SUM(Table13[[#This Row],[Column28]]+Table13[[#This Row],[Column29]]))</f>
        <v>57183.1</v>
      </c>
      <c r="AB776" s="537"/>
      <c r="AC776" s="502">
        <v>57183.1</v>
      </c>
      <c r="AD776" s="532">
        <f>IF(Table13[[#This Row],[Column2]]="","",SUM(Table13[[#This Row],[Column31]]+Table13[[#This Row],[Column32]]))</f>
        <v>56052</v>
      </c>
      <c r="AE776" s="501"/>
      <c r="AF776" s="540">
        <v>56052</v>
      </c>
      <c r="AG776" s="405"/>
      <c r="AH776" s="380" t="s">
        <v>1205</v>
      </c>
      <c r="AI776" s="576" t="str">
        <f>VLOOKUP(Table13[[#This Row],[Column1]],[1]Sheet1!$A:$AO,35,FALSE)</f>
        <v>N/A</v>
      </c>
      <c r="AJ776" s="576" t="str">
        <f>VLOOKUP(Table13[[#This Row],[Column1]],[1]Sheet1!$A:$AO,36,FALSE)</f>
        <v>N/A</v>
      </c>
      <c r="AK776" s="576" t="str">
        <f>VLOOKUP(Table13[[#This Row],[Column1]],[1]Sheet1!$A:$AO,37,FALSE)</f>
        <v>N/A</v>
      </c>
      <c r="AL776" s="576" t="str">
        <f>VLOOKUP(Table13[[#This Row],[Column1]],[1]Sheet1!$A:$AO,38,FALSE)</f>
        <v>N/A</v>
      </c>
      <c r="AM776" s="576" t="str">
        <f>VLOOKUP(Table13[[#This Row],[Column1]],[1]Sheet1!$A:$AO,39,FALSE)</f>
        <v>N/A</v>
      </c>
      <c r="AN776" s="576" t="s">
        <v>713</v>
      </c>
      <c r="AO776" s="303" t="s">
        <v>1172</v>
      </c>
      <c r="AP776" s="378"/>
      <c r="AQ776" s="237"/>
    </row>
    <row r="777" spans="1:43" s="238" customFormat="1" ht="75" customHeight="1" x14ac:dyDescent="0.25">
      <c r="A777" s="297" t="s">
        <v>989</v>
      </c>
      <c r="B777" s="627" t="str">
        <f>VLOOKUP(Table13[[#This Row],[Column1]],[1]Sheet1!$A:$AO,2,FALSE)</f>
        <v>TARPAULIN</v>
      </c>
      <c r="C777" s="298" t="str">
        <f>VLOOKUP(Table13[[#This Row],[Column1]],[1]Sheet1!$A:$AO,3,FALSE)</f>
        <v>PGO</v>
      </c>
      <c r="D777" s="298" t="s">
        <v>712</v>
      </c>
      <c r="E777" s="450" t="str">
        <f>VLOOKUP(Table13[[#This Row],[Column1]],[1]Sheet1!$A:$AO,5,FALSE)</f>
        <v>NP-53.9 - Small Value Procurement</v>
      </c>
      <c r="F777" s="446" t="str">
        <f>VLOOKUP(Table13[[#This Row],[Column1]],[1]Sheet1!$A:$AO,6,FALSE)</f>
        <v>N/A</v>
      </c>
      <c r="G777" s="402">
        <f>VLOOKUP(Table13[[#This Row],[Column1]],[1]Sheet1!$A:$AO,7,FALSE)</f>
        <v>45422</v>
      </c>
      <c r="H777" s="374"/>
      <c r="I777" s="402" t="str">
        <f>VLOOKUP(Table13[[#This Row],[Column1]],[1]Sheet1!$A:$AO,9,FALSE)</f>
        <v>N/A</v>
      </c>
      <c r="J777" s="402">
        <f>VLOOKUP(Table13[[#This Row],[Column1]],[1]Sheet1!$A:$AO,10,FALSE)</f>
        <v>45440</v>
      </c>
      <c r="K777" s="402">
        <f>VLOOKUP(Table13[[#This Row],[Column1]],[1]Sheet1!$A:$AO,11,FALSE)</f>
        <v>45440</v>
      </c>
      <c r="L777" s="404"/>
      <c r="M777" s="402" t="str">
        <f>VLOOKUP(Table13[[#This Row],[Column1]],[1]Sheet1!$A:$AO,13,FALSE)</f>
        <v>N/A</v>
      </c>
      <c r="N777" s="402" t="str">
        <f>VLOOKUP(Table13[[#This Row],[Column1]],[1]Sheet1!$A:$AO,14,FALSE)</f>
        <v>N/A</v>
      </c>
      <c r="O777" s="402">
        <f>VLOOKUP(Table13[[#This Row],[Column1]],[1]Sheet1!$A:$AO,15,FALSE)</f>
        <v>45441</v>
      </c>
      <c r="P777" s="375"/>
      <c r="Q777" s="375"/>
      <c r="R777" s="376"/>
      <c r="S777" s="583" t="s">
        <v>713</v>
      </c>
      <c r="T777" s="583">
        <f>VLOOKUP(Table13[[#This Row],[Column1]],[1]Sheet1!$A:$AO,20,FALSE)</f>
        <v>45453</v>
      </c>
      <c r="U777" s="583"/>
      <c r="V777" s="376"/>
      <c r="W777" s="376"/>
      <c r="X777" s="402"/>
      <c r="Y777" s="402"/>
      <c r="Z777" s="610" t="s">
        <v>1478</v>
      </c>
      <c r="AA777" s="532">
        <f>IF(Table13[[#This Row],[Column2]]="","",SUM(Table13[[#This Row],[Column28]]+Table13[[#This Row],[Column29]]))</f>
        <v>5600</v>
      </c>
      <c r="AB777" s="537"/>
      <c r="AC777" s="502">
        <v>5600</v>
      </c>
      <c r="AD777" s="532">
        <f>IF(Table13[[#This Row],[Column2]]="","",SUM(Table13[[#This Row],[Column31]]+Table13[[#This Row],[Column32]]))</f>
        <v>5600</v>
      </c>
      <c r="AE777" s="501"/>
      <c r="AF777" s="540">
        <v>5600</v>
      </c>
      <c r="AG777" s="405"/>
      <c r="AH777" s="380" t="s">
        <v>1205</v>
      </c>
      <c r="AI777" s="576" t="str">
        <f>VLOOKUP(Table13[[#This Row],[Column1]],[1]Sheet1!$A:$AO,35,FALSE)</f>
        <v>N/A</v>
      </c>
      <c r="AJ777" s="576" t="str">
        <f>VLOOKUP(Table13[[#This Row],[Column1]],[1]Sheet1!$A:$AO,36,FALSE)</f>
        <v>N/A</v>
      </c>
      <c r="AK777" s="576" t="str">
        <f>VLOOKUP(Table13[[#This Row],[Column1]],[1]Sheet1!$A:$AO,37,FALSE)</f>
        <v>N/A</v>
      </c>
      <c r="AL777" s="576" t="str">
        <f>VLOOKUP(Table13[[#This Row],[Column1]],[1]Sheet1!$A:$AO,38,FALSE)</f>
        <v>N/A</v>
      </c>
      <c r="AM777" s="576" t="str">
        <f>VLOOKUP(Table13[[#This Row],[Column1]],[1]Sheet1!$A:$AO,39,FALSE)</f>
        <v>N/A</v>
      </c>
      <c r="AN777" s="576" t="s">
        <v>713</v>
      </c>
      <c r="AO777" s="303" t="s">
        <v>1172</v>
      </c>
      <c r="AP777" s="378"/>
      <c r="AQ777" s="237"/>
    </row>
    <row r="778" spans="1:43" s="238" customFormat="1" ht="75" customHeight="1" x14ac:dyDescent="0.25">
      <c r="A778" s="297" t="s">
        <v>990</v>
      </c>
      <c r="B778" s="627" t="str">
        <f>VLOOKUP(Table13[[#This Row],[Column1]],[1]Sheet1!$A:$AO,2,FALSE)</f>
        <v>PRINTING (PROGRAMS)</v>
      </c>
      <c r="C778" s="298" t="str">
        <f>VLOOKUP(Table13[[#This Row],[Column1]],[1]Sheet1!$A:$AO,3,FALSE)</f>
        <v>PGO</v>
      </c>
      <c r="D778" s="298" t="s">
        <v>712</v>
      </c>
      <c r="E778" s="450" t="str">
        <f>VLOOKUP(Table13[[#This Row],[Column1]],[1]Sheet1!$A:$AO,5,FALSE)</f>
        <v>NP-53.9 - Small Value Procurement</v>
      </c>
      <c r="F778" s="446" t="str">
        <f>VLOOKUP(Table13[[#This Row],[Column1]],[1]Sheet1!$A:$AO,6,FALSE)</f>
        <v>N/A</v>
      </c>
      <c r="G778" s="402">
        <f>VLOOKUP(Table13[[#This Row],[Column1]],[1]Sheet1!$A:$AO,7,FALSE)</f>
        <v>45422</v>
      </c>
      <c r="H778" s="374"/>
      <c r="I778" s="402" t="str">
        <f>VLOOKUP(Table13[[#This Row],[Column1]],[1]Sheet1!$A:$AO,9,FALSE)</f>
        <v>N/A</v>
      </c>
      <c r="J778" s="402">
        <f>VLOOKUP(Table13[[#This Row],[Column1]],[1]Sheet1!$A:$AO,10,FALSE)</f>
        <v>45440</v>
      </c>
      <c r="K778" s="402">
        <f>VLOOKUP(Table13[[#This Row],[Column1]],[1]Sheet1!$A:$AO,11,FALSE)</f>
        <v>45440</v>
      </c>
      <c r="L778" s="404"/>
      <c r="M778" s="402" t="str">
        <f>VLOOKUP(Table13[[#This Row],[Column1]],[1]Sheet1!$A:$AO,13,FALSE)</f>
        <v>N/A</v>
      </c>
      <c r="N778" s="402" t="str">
        <f>VLOOKUP(Table13[[#This Row],[Column1]],[1]Sheet1!$A:$AO,14,FALSE)</f>
        <v>N/A</v>
      </c>
      <c r="O778" s="402">
        <f>VLOOKUP(Table13[[#This Row],[Column1]],[1]Sheet1!$A:$AO,15,FALSE)</f>
        <v>45441</v>
      </c>
      <c r="P778" s="375"/>
      <c r="Q778" s="375"/>
      <c r="R778" s="376"/>
      <c r="S778" s="583" t="s">
        <v>713</v>
      </c>
      <c r="T778" s="583">
        <f>VLOOKUP(Table13[[#This Row],[Column1]],[1]Sheet1!$A:$AO,20,FALSE)</f>
        <v>45454</v>
      </c>
      <c r="U778" s="583"/>
      <c r="V778" s="376"/>
      <c r="W778" s="376"/>
      <c r="X778" s="402"/>
      <c r="Y778" s="402"/>
      <c r="Z778" s="610" t="s">
        <v>1478</v>
      </c>
      <c r="AA778" s="532">
        <f>IF(Table13[[#This Row],[Column2]]="","",SUM(Table13[[#This Row],[Column28]]+Table13[[#This Row],[Column29]]))</f>
        <v>9880</v>
      </c>
      <c r="AB778" s="537"/>
      <c r="AC778" s="502">
        <v>9880</v>
      </c>
      <c r="AD778" s="532">
        <f>IF(Table13[[#This Row],[Column2]]="","",SUM(Table13[[#This Row],[Column31]]+Table13[[#This Row],[Column32]]))</f>
        <v>9880</v>
      </c>
      <c r="AE778" s="501"/>
      <c r="AF778" s="540">
        <v>9880</v>
      </c>
      <c r="AG778" s="405"/>
      <c r="AH778" s="380" t="s">
        <v>1205</v>
      </c>
      <c r="AI778" s="576" t="str">
        <f>VLOOKUP(Table13[[#This Row],[Column1]],[1]Sheet1!$A:$AO,35,FALSE)</f>
        <v>N/A</v>
      </c>
      <c r="AJ778" s="576" t="str">
        <f>VLOOKUP(Table13[[#This Row],[Column1]],[1]Sheet1!$A:$AO,36,FALSE)</f>
        <v>N/A</v>
      </c>
      <c r="AK778" s="576" t="str">
        <f>VLOOKUP(Table13[[#This Row],[Column1]],[1]Sheet1!$A:$AO,37,FALSE)</f>
        <v>N/A</v>
      </c>
      <c r="AL778" s="576" t="str">
        <f>VLOOKUP(Table13[[#This Row],[Column1]],[1]Sheet1!$A:$AO,38,FALSE)</f>
        <v>N/A</v>
      </c>
      <c r="AM778" s="576" t="str">
        <f>VLOOKUP(Table13[[#This Row],[Column1]],[1]Sheet1!$A:$AO,39,FALSE)</f>
        <v>N/A</v>
      </c>
      <c r="AN778" s="576" t="s">
        <v>713</v>
      </c>
      <c r="AO778" s="303" t="s">
        <v>1172</v>
      </c>
      <c r="AP778" s="378"/>
      <c r="AQ778" s="237"/>
    </row>
    <row r="779" spans="1:43" s="238" customFormat="1" ht="75" customHeight="1" x14ac:dyDescent="0.25">
      <c r="A779" s="297" t="s">
        <v>991</v>
      </c>
      <c r="B779" s="627" t="str">
        <f>VLOOKUP(Table13[[#This Row],[Column1]],[1]Sheet1!$A:$AO,2,FALSE)</f>
        <v>WATER</v>
      </c>
      <c r="C779" s="298" t="str">
        <f>VLOOKUP(Table13[[#This Row],[Column1]],[1]Sheet1!$A:$AO,3,FALSE)</f>
        <v>SPO</v>
      </c>
      <c r="D779" s="298" t="s">
        <v>712</v>
      </c>
      <c r="E779" s="450" t="str">
        <f>VLOOKUP(Table13[[#This Row],[Column1]],[1]Sheet1!$A:$AO,5,FALSE)</f>
        <v>NP-53.9 - Small Value Procurement</v>
      </c>
      <c r="F779" s="446" t="str">
        <f>VLOOKUP(Table13[[#This Row],[Column1]],[1]Sheet1!$A:$AO,6,FALSE)</f>
        <v>N/A</v>
      </c>
      <c r="G779" s="402">
        <f>VLOOKUP(Table13[[#This Row],[Column1]],[1]Sheet1!$A:$AO,7,FALSE)</f>
        <v>45422</v>
      </c>
      <c r="H779" s="374"/>
      <c r="I779" s="402" t="str">
        <f>VLOOKUP(Table13[[#This Row],[Column1]],[1]Sheet1!$A:$AO,9,FALSE)</f>
        <v>N/A</v>
      </c>
      <c r="J779" s="402">
        <f>VLOOKUP(Table13[[#This Row],[Column1]],[1]Sheet1!$A:$AO,10,FALSE)</f>
        <v>45440</v>
      </c>
      <c r="K779" s="402">
        <f>VLOOKUP(Table13[[#This Row],[Column1]],[1]Sheet1!$A:$AO,11,FALSE)</f>
        <v>45440</v>
      </c>
      <c r="L779" s="404"/>
      <c r="M779" s="402" t="str">
        <f>VLOOKUP(Table13[[#This Row],[Column1]],[1]Sheet1!$A:$AO,13,FALSE)</f>
        <v>N/A</v>
      </c>
      <c r="N779" s="402" t="str">
        <f>VLOOKUP(Table13[[#This Row],[Column1]],[1]Sheet1!$A:$AO,14,FALSE)</f>
        <v>N/A</v>
      </c>
      <c r="O779" s="402">
        <f>VLOOKUP(Table13[[#This Row],[Column1]],[1]Sheet1!$A:$AO,15,FALSE)</f>
        <v>45441</v>
      </c>
      <c r="P779" s="375"/>
      <c r="Q779" s="375"/>
      <c r="R779" s="376"/>
      <c r="S779" s="583" t="s">
        <v>713</v>
      </c>
      <c r="T779" s="583">
        <f>VLOOKUP(Table13[[#This Row],[Column1]],[1]Sheet1!$A:$AO,20,FALSE)</f>
        <v>45469</v>
      </c>
      <c r="U779" s="583"/>
      <c r="V779" s="376"/>
      <c r="W779" s="376"/>
      <c r="X779" s="402"/>
      <c r="Y779" s="402"/>
      <c r="Z779" s="610" t="s">
        <v>1478</v>
      </c>
      <c r="AA779" s="532">
        <f>IF(Table13[[#This Row],[Column2]]="","",SUM(Table13[[#This Row],[Column28]]+Table13[[#This Row],[Column29]]))</f>
        <v>25010</v>
      </c>
      <c r="AB779" s="537">
        <v>25010</v>
      </c>
      <c r="AC779" s="502"/>
      <c r="AD779" s="532">
        <f>IF(Table13[[#This Row],[Column2]]="","",SUM(Table13[[#This Row],[Column31]]+Table13[[#This Row],[Column32]]))</f>
        <v>24400</v>
      </c>
      <c r="AE779" s="501">
        <v>24400</v>
      </c>
      <c r="AF779" s="541"/>
      <c r="AG779" s="405"/>
      <c r="AH779" s="380" t="s">
        <v>1205</v>
      </c>
      <c r="AI779" s="576" t="str">
        <f>VLOOKUP(Table13[[#This Row],[Column1]],[1]Sheet1!$A:$AO,35,FALSE)</f>
        <v>N/A</v>
      </c>
      <c r="AJ779" s="576" t="str">
        <f>VLOOKUP(Table13[[#This Row],[Column1]],[1]Sheet1!$A:$AO,36,FALSE)</f>
        <v>N/A</v>
      </c>
      <c r="AK779" s="576" t="str">
        <f>VLOOKUP(Table13[[#This Row],[Column1]],[1]Sheet1!$A:$AO,37,FALSE)</f>
        <v>N/A</v>
      </c>
      <c r="AL779" s="576" t="str">
        <f>VLOOKUP(Table13[[#This Row],[Column1]],[1]Sheet1!$A:$AO,38,FALSE)</f>
        <v>N/A</v>
      </c>
      <c r="AM779" s="576" t="str">
        <f>VLOOKUP(Table13[[#This Row],[Column1]],[1]Sheet1!$A:$AO,39,FALSE)</f>
        <v>N/A</v>
      </c>
      <c r="AN779" s="576" t="s">
        <v>713</v>
      </c>
      <c r="AO779" s="303" t="s">
        <v>1172</v>
      </c>
      <c r="AP779" s="378"/>
      <c r="AQ779" s="237"/>
    </row>
    <row r="780" spans="1:43" s="238" customFormat="1" ht="75" customHeight="1" x14ac:dyDescent="0.25">
      <c r="A780" s="297" t="s">
        <v>992</v>
      </c>
      <c r="B780" s="627" t="str">
        <f>VLOOKUP(Table13[[#This Row],[Column1]],[1]Sheet1!$A:$AO,2,FALSE)</f>
        <v>TARPAULIN</v>
      </c>
      <c r="C780" s="298" t="str">
        <f>VLOOKUP(Table13[[#This Row],[Column1]],[1]Sheet1!$A:$AO,3,FALSE)</f>
        <v>SEF</v>
      </c>
      <c r="D780" s="298" t="s">
        <v>712</v>
      </c>
      <c r="E780" s="450" t="str">
        <f>VLOOKUP(Table13[[#This Row],[Column1]],[1]Sheet1!$A:$AO,5,FALSE)</f>
        <v>NP-53.9 - Small Value Procurement</v>
      </c>
      <c r="F780" s="446">
        <f>VLOOKUP(Table13[[#This Row],[Column1]],[1]Sheet1!$A:$AO,6,FALSE)</f>
        <v>45426</v>
      </c>
      <c r="G780" s="402">
        <f>VLOOKUP(Table13[[#This Row],[Column1]],[1]Sheet1!$A:$AO,7,FALSE)</f>
        <v>45429</v>
      </c>
      <c r="H780" s="374"/>
      <c r="I780" s="402" t="str">
        <f>VLOOKUP(Table13[[#This Row],[Column1]],[1]Sheet1!$A:$AO,9,FALSE)</f>
        <v>N/A</v>
      </c>
      <c r="J780" s="402">
        <f>VLOOKUP(Table13[[#This Row],[Column1]],[1]Sheet1!$A:$AO,10,FALSE)</f>
        <v>45440</v>
      </c>
      <c r="K780" s="402">
        <f>VLOOKUP(Table13[[#This Row],[Column1]],[1]Sheet1!$A:$AO,11,FALSE)</f>
        <v>45440</v>
      </c>
      <c r="L780" s="404"/>
      <c r="M780" s="402" t="str">
        <f>VLOOKUP(Table13[[#This Row],[Column1]],[1]Sheet1!$A:$AO,13,FALSE)</f>
        <v>N/A</v>
      </c>
      <c r="N780" s="402" t="str">
        <f>VLOOKUP(Table13[[#This Row],[Column1]],[1]Sheet1!$A:$AO,14,FALSE)</f>
        <v>N/A</v>
      </c>
      <c r="O780" s="402">
        <f>VLOOKUP(Table13[[#This Row],[Column1]],[1]Sheet1!$A:$AO,15,FALSE)</f>
        <v>45441</v>
      </c>
      <c r="P780" s="375"/>
      <c r="Q780" s="375"/>
      <c r="R780" s="376"/>
      <c r="S780" s="583" t="s">
        <v>713</v>
      </c>
      <c r="T780" s="583">
        <f>VLOOKUP(Table13[[#This Row],[Column1]],[1]Sheet1!$A:$AO,20,FALSE)</f>
        <v>45453</v>
      </c>
      <c r="U780" s="583"/>
      <c r="V780" s="376"/>
      <c r="W780" s="376"/>
      <c r="X780" s="402"/>
      <c r="Y780" s="402"/>
      <c r="Z780" s="610" t="s">
        <v>1478</v>
      </c>
      <c r="AA780" s="532">
        <f>IF(Table13[[#This Row],[Column2]]="","",SUM(Table13[[#This Row],[Column28]]+Table13[[#This Row],[Column29]]))</f>
        <v>1792</v>
      </c>
      <c r="AB780" s="537"/>
      <c r="AC780" s="502">
        <v>1792</v>
      </c>
      <c r="AD780" s="532">
        <f>IF(Table13[[#This Row],[Column2]]="","",SUM(Table13[[#This Row],[Column31]]+Table13[[#This Row],[Column32]]))</f>
        <v>1792</v>
      </c>
      <c r="AE780" s="501"/>
      <c r="AF780" s="540">
        <v>1792</v>
      </c>
      <c r="AG780" s="405"/>
      <c r="AH780" s="380" t="s">
        <v>1205</v>
      </c>
      <c r="AI780" s="576" t="str">
        <f>VLOOKUP(Table13[[#This Row],[Column1]],[1]Sheet1!$A:$AO,35,FALSE)</f>
        <v>N/A</v>
      </c>
      <c r="AJ780" s="576" t="str">
        <f>VLOOKUP(Table13[[#This Row],[Column1]],[1]Sheet1!$A:$AO,36,FALSE)</f>
        <v>N/A</v>
      </c>
      <c r="AK780" s="576" t="str">
        <f>VLOOKUP(Table13[[#This Row],[Column1]],[1]Sheet1!$A:$AO,37,FALSE)</f>
        <v>N/A</v>
      </c>
      <c r="AL780" s="576" t="str">
        <f>VLOOKUP(Table13[[#This Row],[Column1]],[1]Sheet1!$A:$AO,38,FALSE)</f>
        <v>N/A</v>
      </c>
      <c r="AM780" s="576" t="str">
        <f>VLOOKUP(Table13[[#This Row],[Column1]],[1]Sheet1!$A:$AO,39,FALSE)</f>
        <v>N/A</v>
      </c>
      <c r="AN780" s="576" t="s">
        <v>713</v>
      </c>
      <c r="AO780" s="303" t="s">
        <v>1172</v>
      </c>
      <c r="AP780" s="378"/>
      <c r="AQ780" s="237"/>
    </row>
    <row r="781" spans="1:43" s="238" customFormat="1" ht="75" customHeight="1" x14ac:dyDescent="0.25">
      <c r="A781" s="297" t="s">
        <v>993</v>
      </c>
      <c r="B781" s="627" t="str">
        <f>VLOOKUP(Table13[[#This Row],[Column1]],[1]Sheet1!$A:$AO,2,FALSE)</f>
        <v>CONSTRUCTION SUPPLIES</v>
      </c>
      <c r="C781" s="298" t="str">
        <f>VLOOKUP(Table13[[#This Row],[Column1]],[1]Sheet1!$A:$AO,3,FALSE)</f>
        <v>PVO</v>
      </c>
      <c r="D781" s="298" t="s">
        <v>712</v>
      </c>
      <c r="E781" s="450" t="str">
        <f>VLOOKUP(Table13[[#This Row],[Column1]],[1]Sheet1!$A:$AO,5,FALSE)</f>
        <v>NP-53.9 - Small Value Procurement</v>
      </c>
      <c r="F781" s="446">
        <f>VLOOKUP(Table13[[#This Row],[Column1]],[1]Sheet1!$A:$AO,6,FALSE)</f>
        <v>45407</v>
      </c>
      <c r="G781" s="402">
        <f>VLOOKUP(Table13[[#This Row],[Column1]],[1]Sheet1!$A:$AO,7,FALSE)</f>
        <v>45429</v>
      </c>
      <c r="H781" s="374"/>
      <c r="I781" s="402" t="str">
        <f>VLOOKUP(Table13[[#This Row],[Column1]],[1]Sheet1!$A:$AO,9,FALSE)</f>
        <v>N/A</v>
      </c>
      <c r="J781" s="402">
        <f>VLOOKUP(Table13[[#This Row],[Column1]],[1]Sheet1!$A:$AO,10,FALSE)</f>
        <v>45440</v>
      </c>
      <c r="K781" s="402">
        <f>VLOOKUP(Table13[[#This Row],[Column1]],[1]Sheet1!$A:$AO,11,FALSE)</f>
        <v>45440</v>
      </c>
      <c r="L781" s="404"/>
      <c r="M781" s="402" t="str">
        <f>VLOOKUP(Table13[[#This Row],[Column1]],[1]Sheet1!$A:$AO,13,FALSE)</f>
        <v>N/A</v>
      </c>
      <c r="N781" s="402" t="str">
        <f>VLOOKUP(Table13[[#This Row],[Column1]],[1]Sheet1!$A:$AO,14,FALSE)</f>
        <v>N/A</v>
      </c>
      <c r="O781" s="402">
        <f>VLOOKUP(Table13[[#This Row],[Column1]],[1]Sheet1!$A:$AO,15,FALSE)</f>
        <v>45441</v>
      </c>
      <c r="P781" s="375"/>
      <c r="Q781" s="375"/>
      <c r="R781" s="376"/>
      <c r="S781" s="583">
        <v>45425</v>
      </c>
      <c r="T781" s="583">
        <f>VLOOKUP(Table13[[#This Row],[Column1]],[1]Sheet1!$A:$AO,20,FALSE)</f>
        <v>45461</v>
      </c>
      <c r="U781" s="583"/>
      <c r="V781" s="376"/>
      <c r="W781" s="376"/>
      <c r="X781" s="402"/>
      <c r="Y781" s="402"/>
      <c r="Z781" s="610" t="s">
        <v>1478</v>
      </c>
      <c r="AA781" s="532">
        <f>IF(Table13[[#This Row],[Column2]]="","",SUM(Table13[[#This Row],[Column28]]+Table13[[#This Row],[Column29]]))</f>
        <v>243840.7</v>
      </c>
      <c r="AB781" s="537"/>
      <c r="AC781" s="502">
        <v>243840.7</v>
      </c>
      <c r="AD781" s="532">
        <f>IF(Table13[[#This Row],[Column2]]="","",SUM(Table13[[#This Row],[Column31]]+Table13[[#This Row],[Column32]]))</f>
        <v>242725.22</v>
      </c>
      <c r="AE781" s="501"/>
      <c r="AF781" s="540">
        <v>242725.22</v>
      </c>
      <c r="AG781" s="405"/>
      <c r="AH781" s="380" t="s">
        <v>1205</v>
      </c>
      <c r="AI781" s="576" t="str">
        <f>VLOOKUP(Table13[[#This Row],[Column1]],[1]Sheet1!$A:$AO,35,FALSE)</f>
        <v>N/A</v>
      </c>
      <c r="AJ781" s="576" t="str">
        <f>VLOOKUP(Table13[[#This Row],[Column1]],[1]Sheet1!$A:$AO,36,FALSE)</f>
        <v>N/A</v>
      </c>
      <c r="AK781" s="576" t="str">
        <f>VLOOKUP(Table13[[#This Row],[Column1]],[1]Sheet1!$A:$AO,37,FALSE)</f>
        <v>N/A</v>
      </c>
      <c r="AL781" s="576" t="str">
        <f>VLOOKUP(Table13[[#This Row],[Column1]],[1]Sheet1!$A:$AO,38,FALSE)</f>
        <v>N/A</v>
      </c>
      <c r="AM781" s="576" t="str">
        <f>VLOOKUP(Table13[[#This Row],[Column1]],[1]Sheet1!$A:$AO,39,FALSE)</f>
        <v>N/A</v>
      </c>
      <c r="AN781" s="576" t="s">
        <v>713</v>
      </c>
      <c r="AO781" s="303" t="s">
        <v>1172</v>
      </c>
      <c r="AP781" s="378"/>
      <c r="AQ781" s="237"/>
    </row>
    <row r="782" spans="1:43" s="238" customFormat="1" ht="75" customHeight="1" x14ac:dyDescent="0.25">
      <c r="A782" s="297" t="s">
        <v>994</v>
      </c>
      <c r="B782" s="627" t="str">
        <f>VLOOKUP(Table13[[#This Row],[Column1]],[1]Sheet1!$A:$AO,2,FALSE)</f>
        <v>T-SHIRT JERSEY</v>
      </c>
      <c r="C782" s="298" t="str">
        <f>VLOOKUP(Table13[[#This Row],[Column1]],[1]Sheet1!$A:$AO,3,FALSE)</f>
        <v>PAO-ADMIN</v>
      </c>
      <c r="D782" s="298" t="s">
        <v>712</v>
      </c>
      <c r="E782" s="450" t="str">
        <f>VLOOKUP(Table13[[#This Row],[Column1]],[1]Sheet1!$A:$AO,5,FALSE)</f>
        <v>NP-53.9 - Small Value Procurement</v>
      </c>
      <c r="F782" s="446">
        <f>VLOOKUP(Table13[[#This Row],[Column1]],[1]Sheet1!$A:$AO,6,FALSE)</f>
        <v>45370</v>
      </c>
      <c r="G782" s="402">
        <f>VLOOKUP(Table13[[#This Row],[Column1]],[1]Sheet1!$A:$AO,7,FALSE)</f>
        <v>45376</v>
      </c>
      <c r="H782" s="374"/>
      <c r="I782" s="402" t="str">
        <f>VLOOKUP(Table13[[#This Row],[Column1]],[1]Sheet1!$A:$AO,9,FALSE)</f>
        <v>N/A</v>
      </c>
      <c r="J782" s="402">
        <f>VLOOKUP(Table13[[#This Row],[Column1]],[1]Sheet1!$A:$AO,10,FALSE)</f>
        <v>45440</v>
      </c>
      <c r="K782" s="402">
        <f>VLOOKUP(Table13[[#This Row],[Column1]],[1]Sheet1!$A:$AO,11,FALSE)</f>
        <v>45440</v>
      </c>
      <c r="L782" s="404"/>
      <c r="M782" s="402" t="str">
        <f>VLOOKUP(Table13[[#This Row],[Column1]],[1]Sheet1!$A:$AO,13,FALSE)</f>
        <v>N/A</v>
      </c>
      <c r="N782" s="402" t="str">
        <f>VLOOKUP(Table13[[#This Row],[Column1]],[1]Sheet1!$A:$AO,14,FALSE)</f>
        <v>N/A</v>
      </c>
      <c r="O782" s="402">
        <f>VLOOKUP(Table13[[#This Row],[Column1]],[1]Sheet1!$A:$AO,15,FALSE)</f>
        <v>45441</v>
      </c>
      <c r="P782" s="375"/>
      <c r="Q782" s="375"/>
      <c r="R782" s="376"/>
      <c r="S782" s="583" t="s">
        <v>713</v>
      </c>
      <c r="T782" s="583">
        <f>VLOOKUP(Table13[[#This Row],[Column1]],[1]Sheet1!$A:$AO,20,FALSE)</f>
        <v>45453</v>
      </c>
      <c r="U782" s="583"/>
      <c r="V782" s="376"/>
      <c r="W782" s="376"/>
      <c r="X782" s="402"/>
      <c r="Y782" s="402"/>
      <c r="Z782" s="610" t="s">
        <v>1478</v>
      </c>
      <c r="AA782" s="532">
        <f>IF(Table13[[#This Row],[Column2]]="","",SUM(Table13[[#This Row],[Column28]]+Table13[[#This Row],[Column29]]))</f>
        <v>21700</v>
      </c>
      <c r="AB782" s="537"/>
      <c r="AC782" s="502">
        <v>21700</v>
      </c>
      <c r="AD782" s="532">
        <f>IF(Table13[[#This Row],[Column2]]="","",SUM(Table13[[#This Row],[Column31]]+Table13[[#This Row],[Column32]]))</f>
        <v>21700</v>
      </c>
      <c r="AE782" s="501"/>
      <c r="AF782" s="540">
        <v>21700</v>
      </c>
      <c r="AG782" s="405"/>
      <c r="AH782" s="380" t="s">
        <v>1205</v>
      </c>
      <c r="AI782" s="576" t="str">
        <f>VLOOKUP(Table13[[#This Row],[Column1]],[1]Sheet1!$A:$AO,35,FALSE)</f>
        <v>N/A</v>
      </c>
      <c r="AJ782" s="576" t="str">
        <f>VLOOKUP(Table13[[#This Row],[Column1]],[1]Sheet1!$A:$AO,36,FALSE)</f>
        <v>N/A</v>
      </c>
      <c r="AK782" s="576" t="str">
        <f>VLOOKUP(Table13[[#This Row],[Column1]],[1]Sheet1!$A:$AO,37,FALSE)</f>
        <v>N/A</v>
      </c>
      <c r="AL782" s="576" t="str">
        <f>VLOOKUP(Table13[[#This Row],[Column1]],[1]Sheet1!$A:$AO,38,FALSE)</f>
        <v>N/A</v>
      </c>
      <c r="AM782" s="576" t="str">
        <f>VLOOKUP(Table13[[#This Row],[Column1]],[1]Sheet1!$A:$AO,39,FALSE)</f>
        <v>N/A</v>
      </c>
      <c r="AN782" s="576" t="s">
        <v>713</v>
      </c>
      <c r="AO782" s="303" t="s">
        <v>1172</v>
      </c>
      <c r="AP782" s="378"/>
      <c r="AQ782" s="237"/>
    </row>
    <row r="783" spans="1:43" s="238" customFormat="1" ht="75" customHeight="1" x14ac:dyDescent="0.25">
      <c r="A783" s="556" t="s">
        <v>995</v>
      </c>
      <c r="B783" s="627" t="str">
        <f>VLOOKUP(Table13[[#This Row],[Column1]],[1]Sheet1!$A:$AO,2,FALSE)</f>
        <v>SPAREPARTS (LIGHT
VEHICLES)</v>
      </c>
      <c r="C783" s="298" t="str">
        <f>VLOOKUP(Table13[[#This Row],[Column1]],[1]Sheet1!$A:$AO,3,FALSE)</f>
        <v>PGSO</v>
      </c>
      <c r="D783" s="298" t="s">
        <v>712</v>
      </c>
      <c r="E783" s="450" t="str">
        <f>VLOOKUP(Table13[[#This Row],[Column1]],[1]Sheet1!$A:$AO,5,FALSE)</f>
        <v>NP-53.9 - Small Value Procurement</v>
      </c>
      <c r="F783" s="446">
        <f>VLOOKUP(Table13[[#This Row],[Column1]],[1]Sheet1!$A:$AO,6,FALSE)</f>
        <v>45421</v>
      </c>
      <c r="G783" s="402">
        <f>VLOOKUP(Table13[[#This Row],[Column1]],[1]Sheet1!$A:$AO,7,FALSE)</f>
        <v>45425</v>
      </c>
      <c r="H783" s="374"/>
      <c r="I783" s="402" t="str">
        <f>VLOOKUP(Table13[[#This Row],[Column1]],[1]Sheet1!$A:$AO,9,FALSE)</f>
        <v>N/A</v>
      </c>
      <c r="J783" s="402">
        <f>VLOOKUP(Table13[[#This Row],[Column1]],[1]Sheet1!$A:$AO,10,FALSE)</f>
        <v>45440</v>
      </c>
      <c r="K783" s="402">
        <f>VLOOKUP(Table13[[#This Row],[Column1]],[1]Sheet1!$A:$AO,11,FALSE)</f>
        <v>45440</v>
      </c>
      <c r="L783" s="404"/>
      <c r="M783" s="402" t="str">
        <f>VLOOKUP(Table13[[#This Row],[Column1]],[1]Sheet1!$A:$AO,13,FALSE)</f>
        <v>N/A</v>
      </c>
      <c r="N783" s="402" t="str">
        <f>VLOOKUP(Table13[[#This Row],[Column1]],[1]Sheet1!$A:$AO,14,FALSE)</f>
        <v>N/A</v>
      </c>
      <c r="O783" s="402">
        <f>VLOOKUP(Table13[[#This Row],[Column1]],[1]Sheet1!$A:$AO,15,FALSE)</f>
        <v>45441</v>
      </c>
      <c r="P783" s="375"/>
      <c r="Q783" s="375"/>
      <c r="R783" s="376"/>
      <c r="S783" s="583" t="s">
        <v>713</v>
      </c>
      <c r="T783" s="583">
        <f>VLOOKUP(Table13[[#This Row],[Column1]],[1]Sheet1!$A:$AO,20,FALSE)</f>
        <v>45454</v>
      </c>
      <c r="U783" s="583"/>
      <c r="V783" s="376"/>
      <c r="W783" s="376"/>
      <c r="X783" s="402"/>
      <c r="Y783" s="402"/>
      <c r="Z783" s="610" t="s">
        <v>1478</v>
      </c>
      <c r="AA783" s="532">
        <f>IF(Table13[[#This Row],[Column2]]="","",SUM(Table13[[#This Row],[Column28]]+Table13[[#This Row],[Column29]]))</f>
        <v>28000</v>
      </c>
      <c r="AB783" s="537">
        <v>28000</v>
      </c>
      <c r="AC783" s="502"/>
      <c r="AD783" s="532">
        <f>IF(Table13[[#This Row],[Column2]]="","",SUM(Table13[[#This Row],[Column31]]+Table13[[#This Row],[Column32]]))</f>
        <v>27580</v>
      </c>
      <c r="AE783" s="501">
        <v>27580</v>
      </c>
      <c r="AF783" s="541"/>
      <c r="AG783" s="405"/>
      <c r="AH783" s="380" t="s">
        <v>1205</v>
      </c>
      <c r="AI783" s="576" t="str">
        <f>VLOOKUP(Table13[[#This Row],[Column1]],[1]Sheet1!$A:$AO,35,FALSE)</f>
        <v>N/A</v>
      </c>
      <c r="AJ783" s="576" t="str">
        <f>VLOOKUP(Table13[[#This Row],[Column1]],[1]Sheet1!$A:$AO,36,FALSE)</f>
        <v>N/A</v>
      </c>
      <c r="AK783" s="576" t="str">
        <f>VLOOKUP(Table13[[#This Row],[Column1]],[1]Sheet1!$A:$AO,37,FALSE)</f>
        <v>N/A</v>
      </c>
      <c r="AL783" s="576" t="str">
        <f>VLOOKUP(Table13[[#This Row],[Column1]],[1]Sheet1!$A:$AO,38,FALSE)</f>
        <v>N/A</v>
      </c>
      <c r="AM783" s="576" t="str">
        <f>VLOOKUP(Table13[[#This Row],[Column1]],[1]Sheet1!$A:$AO,39,FALSE)</f>
        <v>N/A</v>
      </c>
      <c r="AN783" s="576" t="s">
        <v>713</v>
      </c>
      <c r="AO783" s="303" t="s">
        <v>1172</v>
      </c>
      <c r="AP783" s="378"/>
      <c r="AQ783" s="237"/>
    </row>
    <row r="784" spans="1:43" s="238" customFormat="1" ht="75" customHeight="1" x14ac:dyDescent="0.25">
      <c r="A784" s="556" t="s">
        <v>996</v>
      </c>
      <c r="B784" s="627" t="str">
        <f>VLOOKUP(Table13[[#This Row],[Column1]],[1]Sheet1!$A:$AO,2,FALSE)</f>
        <v>ELECTRICAL SUPPLIES</v>
      </c>
      <c r="C784" s="298" t="str">
        <f>VLOOKUP(Table13[[#This Row],[Column1]],[1]Sheet1!$A:$AO,3,FALSE)</f>
        <v>PGSO</v>
      </c>
      <c r="D784" s="298" t="s">
        <v>712</v>
      </c>
      <c r="E784" s="450" t="str">
        <f>VLOOKUP(Table13[[#This Row],[Column1]],[1]Sheet1!$A:$AO,5,FALSE)</f>
        <v>NP-53.9 - Small Value Procurement</v>
      </c>
      <c r="F784" s="446" t="str">
        <f>VLOOKUP(Table13[[#This Row],[Column1]],[1]Sheet1!$A:$AO,6,FALSE)</f>
        <v>N/A</v>
      </c>
      <c r="G784" s="402">
        <f>VLOOKUP(Table13[[#This Row],[Column1]],[1]Sheet1!$A:$AO,7,FALSE)</f>
        <v>45376</v>
      </c>
      <c r="H784" s="374"/>
      <c r="I784" s="402" t="str">
        <f>VLOOKUP(Table13[[#This Row],[Column1]],[1]Sheet1!$A:$AO,9,FALSE)</f>
        <v>N/A</v>
      </c>
      <c r="J784" s="402">
        <f>VLOOKUP(Table13[[#This Row],[Column1]],[1]Sheet1!$A:$AO,10,FALSE)</f>
        <v>45440</v>
      </c>
      <c r="K784" s="402">
        <f>VLOOKUP(Table13[[#This Row],[Column1]],[1]Sheet1!$A:$AO,11,FALSE)</f>
        <v>45440</v>
      </c>
      <c r="L784" s="404"/>
      <c r="M784" s="402" t="str">
        <f>VLOOKUP(Table13[[#This Row],[Column1]],[1]Sheet1!$A:$AO,13,FALSE)</f>
        <v>N/A</v>
      </c>
      <c r="N784" s="402" t="str">
        <f>VLOOKUP(Table13[[#This Row],[Column1]],[1]Sheet1!$A:$AO,14,FALSE)</f>
        <v>N/A</v>
      </c>
      <c r="O784" s="402">
        <f>VLOOKUP(Table13[[#This Row],[Column1]],[1]Sheet1!$A:$AO,15,FALSE)</f>
        <v>45441</v>
      </c>
      <c r="P784" s="375"/>
      <c r="Q784" s="375"/>
      <c r="R784" s="376"/>
      <c r="S784" s="583">
        <v>45446</v>
      </c>
      <c r="T784" s="583">
        <f>VLOOKUP(Table13[[#This Row],[Column1]],[1]Sheet1!$A:$AO,20,FALSE)</f>
        <v>45454</v>
      </c>
      <c r="U784" s="583"/>
      <c r="V784" s="376"/>
      <c r="W784" s="376"/>
      <c r="X784" s="402"/>
      <c r="Y784" s="402"/>
      <c r="Z784" s="610" t="s">
        <v>1478</v>
      </c>
      <c r="AA784" s="532">
        <f>IF(Table13[[#This Row],[Column2]]="","",SUM(Table13[[#This Row],[Column28]]+Table13[[#This Row],[Column29]]))</f>
        <v>160104</v>
      </c>
      <c r="AB784" s="537">
        <v>160104</v>
      </c>
      <c r="AC784" s="502"/>
      <c r="AD784" s="532">
        <f>IF(Table13[[#This Row],[Column2]]="","",SUM(Table13[[#This Row],[Column31]]+Table13[[#This Row],[Column32]]))</f>
        <v>155750</v>
      </c>
      <c r="AE784" s="501">
        <v>155750</v>
      </c>
      <c r="AF784" s="541"/>
      <c r="AG784" s="405"/>
      <c r="AH784" s="380" t="s">
        <v>1205</v>
      </c>
      <c r="AI784" s="576" t="str">
        <f>VLOOKUP(Table13[[#This Row],[Column1]],[1]Sheet1!$A:$AO,35,FALSE)</f>
        <v>N/A</v>
      </c>
      <c r="AJ784" s="576" t="str">
        <f>VLOOKUP(Table13[[#This Row],[Column1]],[1]Sheet1!$A:$AO,36,FALSE)</f>
        <v>N/A</v>
      </c>
      <c r="AK784" s="576" t="str">
        <f>VLOOKUP(Table13[[#This Row],[Column1]],[1]Sheet1!$A:$AO,37,FALSE)</f>
        <v>N/A</v>
      </c>
      <c r="AL784" s="576" t="str">
        <f>VLOOKUP(Table13[[#This Row],[Column1]],[1]Sheet1!$A:$AO,38,FALSE)</f>
        <v>N/A</v>
      </c>
      <c r="AM784" s="576" t="str">
        <f>VLOOKUP(Table13[[#This Row],[Column1]],[1]Sheet1!$A:$AO,39,FALSE)</f>
        <v>N/A</v>
      </c>
      <c r="AN784" s="576" t="s">
        <v>713</v>
      </c>
      <c r="AO784" s="303" t="s">
        <v>1172</v>
      </c>
      <c r="AP784" s="378"/>
      <c r="AQ784" s="237"/>
    </row>
    <row r="785" spans="1:43" s="238" customFormat="1" ht="75" customHeight="1" x14ac:dyDescent="0.25">
      <c r="A785" s="556" t="s">
        <v>997</v>
      </c>
      <c r="B785" s="627" t="str">
        <f>VLOOKUP(Table13[[#This Row],[Column1]],[1]Sheet1!$A:$AO,2,FALSE)</f>
        <v>SPAREPARTS (MOTOR
CYCLE)</v>
      </c>
      <c r="C785" s="298" t="str">
        <f>VLOOKUP(Table13[[#This Row],[Column1]],[1]Sheet1!$A:$AO,3,FALSE)</f>
        <v>PGSO</v>
      </c>
      <c r="D785" s="298" t="s">
        <v>712</v>
      </c>
      <c r="E785" s="450" t="str">
        <f>VLOOKUP(Table13[[#This Row],[Column1]],[1]Sheet1!$A:$AO,5,FALSE)</f>
        <v>NP-53.9 - Small Value Procurement</v>
      </c>
      <c r="F785" s="446">
        <f>VLOOKUP(Table13[[#This Row],[Column1]],[1]Sheet1!$A:$AO,6,FALSE)</f>
        <v>45421</v>
      </c>
      <c r="G785" s="402">
        <f>VLOOKUP(Table13[[#This Row],[Column1]],[1]Sheet1!$A:$AO,7,FALSE)</f>
        <v>45425</v>
      </c>
      <c r="H785" s="374"/>
      <c r="I785" s="402" t="str">
        <f>VLOOKUP(Table13[[#This Row],[Column1]],[1]Sheet1!$A:$AO,9,FALSE)</f>
        <v>N/A</v>
      </c>
      <c r="J785" s="402">
        <f>VLOOKUP(Table13[[#This Row],[Column1]],[1]Sheet1!$A:$AO,10,FALSE)</f>
        <v>45440</v>
      </c>
      <c r="K785" s="402">
        <f>VLOOKUP(Table13[[#This Row],[Column1]],[1]Sheet1!$A:$AO,11,FALSE)</f>
        <v>45440</v>
      </c>
      <c r="L785" s="404"/>
      <c r="M785" s="402" t="str">
        <f>VLOOKUP(Table13[[#This Row],[Column1]],[1]Sheet1!$A:$AO,13,FALSE)</f>
        <v>N/A</v>
      </c>
      <c r="N785" s="402" t="str">
        <f>VLOOKUP(Table13[[#This Row],[Column1]],[1]Sheet1!$A:$AO,14,FALSE)</f>
        <v>N/A</v>
      </c>
      <c r="O785" s="402">
        <f>VLOOKUP(Table13[[#This Row],[Column1]],[1]Sheet1!$A:$AO,15,FALSE)</f>
        <v>45441</v>
      </c>
      <c r="P785" s="375"/>
      <c r="Q785" s="375"/>
      <c r="R785" s="376"/>
      <c r="S785" s="583" t="s">
        <v>713</v>
      </c>
      <c r="T785" s="583">
        <f>VLOOKUP(Table13[[#This Row],[Column1]],[1]Sheet1!$A:$AO,20,FALSE)</f>
        <v>45456</v>
      </c>
      <c r="U785" s="583"/>
      <c r="V785" s="376"/>
      <c r="W785" s="376"/>
      <c r="X785" s="402"/>
      <c r="Y785" s="402"/>
      <c r="Z785" s="610" t="s">
        <v>1478</v>
      </c>
      <c r="AA785" s="532">
        <f>IF(Table13[[#This Row],[Column2]]="","",SUM(Table13[[#This Row],[Column28]]+Table13[[#This Row],[Column29]]))</f>
        <v>1560</v>
      </c>
      <c r="AB785" s="537">
        <v>1560</v>
      </c>
      <c r="AC785" s="502"/>
      <c r="AD785" s="532">
        <f>IF(Table13[[#This Row],[Column2]]="","",SUM(Table13[[#This Row],[Column31]]+Table13[[#This Row],[Column32]]))</f>
        <v>1500</v>
      </c>
      <c r="AE785" s="501">
        <v>1500</v>
      </c>
      <c r="AF785" s="541"/>
      <c r="AG785" s="405"/>
      <c r="AH785" s="380" t="s">
        <v>1205</v>
      </c>
      <c r="AI785" s="576" t="str">
        <f>VLOOKUP(Table13[[#This Row],[Column1]],[1]Sheet1!$A:$AO,35,FALSE)</f>
        <v>N/A</v>
      </c>
      <c r="AJ785" s="576" t="str">
        <f>VLOOKUP(Table13[[#This Row],[Column1]],[1]Sheet1!$A:$AO,36,FALSE)</f>
        <v>N/A</v>
      </c>
      <c r="AK785" s="576" t="str">
        <f>VLOOKUP(Table13[[#This Row],[Column1]],[1]Sheet1!$A:$AO,37,FALSE)</f>
        <v>N/A</v>
      </c>
      <c r="AL785" s="576" t="str">
        <f>VLOOKUP(Table13[[#This Row],[Column1]],[1]Sheet1!$A:$AO,38,FALSE)</f>
        <v>N/A</v>
      </c>
      <c r="AM785" s="576" t="str">
        <f>VLOOKUP(Table13[[#This Row],[Column1]],[1]Sheet1!$A:$AO,39,FALSE)</f>
        <v>N/A</v>
      </c>
      <c r="AN785" s="576" t="s">
        <v>713</v>
      </c>
      <c r="AO785" s="303" t="s">
        <v>1172</v>
      </c>
      <c r="AP785" s="378"/>
      <c r="AQ785" s="237"/>
    </row>
    <row r="786" spans="1:43" s="238" customFormat="1" ht="75" customHeight="1" x14ac:dyDescent="0.25">
      <c r="A786" s="556" t="s">
        <v>998</v>
      </c>
      <c r="B786" s="627" t="str">
        <f>VLOOKUP(Table13[[#This Row],[Column1]],[1]Sheet1!$A:$AO,2,FALSE)</f>
        <v>SPAREPARTS (MOTOR
CYCLE)</v>
      </c>
      <c r="C786" s="298" t="str">
        <f>VLOOKUP(Table13[[#This Row],[Column1]],[1]Sheet1!$A:$AO,3,FALSE)</f>
        <v>PGSO</v>
      </c>
      <c r="D786" s="298" t="s">
        <v>712</v>
      </c>
      <c r="E786" s="450" t="str">
        <f>VLOOKUP(Table13[[#This Row],[Column1]],[1]Sheet1!$A:$AO,5,FALSE)</f>
        <v>NP-53.9 - Small Value Procurement</v>
      </c>
      <c r="F786" s="446">
        <f>VLOOKUP(Table13[[#This Row],[Column1]],[1]Sheet1!$A:$AO,6,FALSE)</f>
        <v>45421</v>
      </c>
      <c r="G786" s="402">
        <f>VLOOKUP(Table13[[#This Row],[Column1]],[1]Sheet1!$A:$AO,7,FALSE)</f>
        <v>45425</v>
      </c>
      <c r="H786" s="374"/>
      <c r="I786" s="402" t="str">
        <f>VLOOKUP(Table13[[#This Row],[Column1]],[1]Sheet1!$A:$AO,9,FALSE)</f>
        <v>N/A</v>
      </c>
      <c r="J786" s="402">
        <f>VLOOKUP(Table13[[#This Row],[Column1]],[1]Sheet1!$A:$AO,10,FALSE)</f>
        <v>45440</v>
      </c>
      <c r="K786" s="402">
        <f>VLOOKUP(Table13[[#This Row],[Column1]],[1]Sheet1!$A:$AO,11,FALSE)</f>
        <v>45440</v>
      </c>
      <c r="L786" s="404"/>
      <c r="M786" s="402" t="str">
        <f>VLOOKUP(Table13[[#This Row],[Column1]],[1]Sheet1!$A:$AO,13,FALSE)</f>
        <v>N/A</v>
      </c>
      <c r="N786" s="402" t="str">
        <f>VLOOKUP(Table13[[#This Row],[Column1]],[1]Sheet1!$A:$AO,14,FALSE)</f>
        <v>N/A</v>
      </c>
      <c r="O786" s="402">
        <f>VLOOKUP(Table13[[#This Row],[Column1]],[1]Sheet1!$A:$AO,15,FALSE)</f>
        <v>45441</v>
      </c>
      <c r="P786" s="375"/>
      <c r="Q786" s="375"/>
      <c r="R786" s="376"/>
      <c r="S786" s="583" t="s">
        <v>713</v>
      </c>
      <c r="T786" s="583">
        <f>VLOOKUP(Table13[[#This Row],[Column1]],[1]Sheet1!$A:$AO,20,FALSE)</f>
        <v>45456</v>
      </c>
      <c r="U786" s="583"/>
      <c r="V786" s="376"/>
      <c r="W786" s="376"/>
      <c r="X786" s="402"/>
      <c r="Y786" s="402"/>
      <c r="Z786" s="610" t="s">
        <v>1478</v>
      </c>
      <c r="AA786" s="532">
        <f>IF(Table13[[#This Row],[Column2]]="","",SUM(Table13[[#This Row],[Column28]]+Table13[[#This Row],[Column29]]))</f>
        <v>3740</v>
      </c>
      <c r="AB786" s="537">
        <v>3740</v>
      </c>
      <c r="AC786" s="502"/>
      <c r="AD786" s="532">
        <f>IF(Table13[[#This Row],[Column2]]="","",SUM(Table13[[#This Row],[Column31]]+Table13[[#This Row],[Column32]]))</f>
        <v>3696</v>
      </c>
      <c r="AE786" s="501">
        <v>3696</v>
      </c>
      <c r="AF786" s="541"/>
      <c r="AG786" s="405"/>
      <c r="AH786" s="380" t="s">
        <v>1205</v>
      </c>
      <c r="AI786" s="576" t="str">
        <f>VLOOKUP(Table13[[#This Row],[Column1]],[1]Sheet1!$A:$AO,35,FALSE)</f>
        <v>N/A</v>
      </c>
      <c r="AJ786" s="576" t="str">
        <f>VLOOKUP(Table13[[#This Row],[Column1]],[1]Sheet1!$A:$AO,36,FALSE)</f>
        <v>N/A</v>
      </c>
      <c r="AK786" s="576" t="str">
        <f>VLOOKUP(Table13[[#This Row],[Column1]],[1]Sheet1!$A:$AO,37,FALSE)</f>
        <v>N/A</v>
      </c>
      <c r="AL786" s="576" t="str">
        <f>VLOOKUP(Table13[[#This Row],[Column1]],[1]Sheet1!$A:$AO,38,FALSE)</f>
        <v>N/A</v>
      </c>
      <c r="AM786" s="576" t="str">
        <f>VLOOKUP(Table13[[#This Row],[Column1]],[1]Sheet1!$A:$AO,39,FALSE)</f>
        <v>N/A</v>
      </c>
      <c r="AN786" s="576" t="s">
        <v>713</v>
      </c>
      <c r="AO786" s="303" t="s">
        <v>1172</v>
      </c>
      <c r="AP786" s="378"/>
      <c r="AQ786" s="237"/>
    </row>
    <row r="787" spans="1:43" s="238" customFormat="1" ht="75" customHeight="1" x14ac:dyDescent="0.25">
      <c r="A787" s="556" t="s">
        <v>999</v>
      </c>
      <c r="B787" s="627" t="str">
        <f>VLOOKUP(Table13[[#This Row],[Column1]],[1]Sheet1!$A:$AO,2,FALSE)</f>
        <v>SPAREPARTS (MOTOR
CYCLE)</v>
      </c>
      <c r="C787" s="298" t="str">
        <f>VLOOKUP(Table13[[#This Row],[Column1]],[1]Sheet1!$A:$AO,3,FALSE)</f>
        <v>PGSO</v>
      </c>
      <c r="D787" s="298" t="s">
        <v>712</v>
      </c>
      <c r="E787" s="450" t="str">
        <f>VLOOKUP(Table13[[#This Row],[Column1]],[1]Sheet1!$A:$AO,5,FALSE)</f>
        <v>NP-53.9 - Small Value Procurement</v>
      </c>
      <c r="F787" s="446">
        <f>VLOOKUP(Table13[[#This Row],[Column1]],[1]Sheet1!$A:$AO,6,FALSE)</f>
        <v>45421</v>
      </c>
      <c r="G787" s="402">
        <f>VLOOKUP(Table13[[#This Row],[Column1]],[1]Sheet1!$A:$AO,7,FALSE)</f>
        <v>45425</v>
      </c>
      <c r="H787" s="374"/>
      <c r="I787" s="402" t="str">
        <f>VLOOKUP(Table13[[#This Row],[Column1]],[1]Sheet1!$A:$AO,9,FALSE)</f>
        <v>N/A</v>
      </c>
      <c r="J787" s="402">
        <f>VLOOKUP(Table13[[#This Row],[Column1]],[1]Sheet1!$A:$AO,10,FALSE)</f>
        <v>45440</v>
      </c>
      <c r="K787" s="402">
        <f>VLOOKUP(Table13[[#This Row],[Column1]],[1]Sheet1!$A:$AO,11,FALSE)</f>
        <v>45440</v>
      </c>
      <c r="L787" s="404"/>
      <c r="M787" s="402" t="str">
        <f>VLOOKUP(Table13[[#This Row],[Column1]],[1]Sheet1!$A:$AO,13,FALSE)</f>
        <v>N/A</v>
      </c>
      <c r="N787" s="402" t="str">
        <f>VLOOKUP(Table13[[#This Row],[Column1]],[1]Sheet1!$A:$AO,14,FALSE)</f>
        <v>N/A</v>
      </c>
      <c r="O787" s="402">
        <f>VLOOKUP(Table13[[#This Row],[Column1]],[1]Sheet1!$A:$AO,15,FALSE)</f>
        <v>45441</v>
      </c>
      <c r="P787" s="375"/>
      <c r="Q787" s="375"/>
      <c r="R787" s="376"/>
      <c r="S787" s="583" t="s">
        <v>713</v>
      </c>
      <c r="T787" s="583">
        <f>VLOOKUP(Table13[[#This Row],[Column1]],[1]Sheet1!$A:$AO,20,FALSE)</f>
        <v>45454</v>
      </c>
      <c r="U787" s="583"/>
      <c r="V787" s="376"/>
      <c r="W787" s="376"/>
      <c r="X787" s="402"/>
      <c r="Y787" s="402"/>
      <c r="Z787" s="610" t="s">
        <v>1478</v>
      </c>
      <c r="AA787" s="532">
        <f>IF(Table13[[#This Row],[Column2]]="","",SUM(Table13[[#This Row],[Column28]]+Table13[[#This Row],[Column29]]))</f>
        <v>6925</v>
      </c>
      <c r="AB787" s="537">
        <v>6925</v>
      </c>
      <c r="AC787" s="502"/>
      <c r="AD787" s="532">
        <f>IF(Table13[[#This Row],[Column2]]="","",SUM(Table13[[#This Row],[Column31]]+Table13[[#This Row],[Column32]]))</f>
        <v>6860</v>
      </c>
      <c r="AE787" s="501">
        <v>6860</v>
      </c>
      <c r="AF787" s="541"/>
      <c r="AG787" s="405"/>
      <c r="AH787" s="380" t="s">
        <v>1205</v>
      </c>
      <c r="AI787" s="576" t="str">
        <f>VLOOKUP(Table13[[#This Row],[Column1]],[1]Sheet1!$A:$AO,35,FALSE)</f>
        <v>N/A</v>
      </c>
      <c r="AJ787" s="576" t="str">
        <f>VLOOKUP(Table13[[#This Row],[Column1]],[1]Sheet1!$A:$AO,36,FALSE)</f>
        <v>N/A</v>
      </c>
      <c r="AK787" s="576" t="str">
        <f>VLOOKUP(Table13[[#This Row],[Column1]],[1]Sheet1!$A:$AO,37,FALSE)</f>
        <v>N/A</v>
      </c>
      <c r="AL787" s="576" t="str">
        <f>VLOOKUP(Table13[[#This Row],[Column1]],[1]Sheet1!$A:$AO,38,FALSE)</f>
        <v>N/A</v>
      </c>
      <c r="AM787" s="576" t="str">
        <f>VLOOKUP(Table13[[#This Row],[Column1]],[1]Sheet1!$A:$AO,39,FALSE)</f>
        <v>N/A</v>
      </c>
      <c r="AN787" s="576" t="s">
        <v>713</v>
      </c>
      <c r="AO787" s="303" t="s">
        <v>1172</v>
      </c>
      <c r="AP787" s="378"/>
      <c r="AQ787" s="237"/>
    </row>
    <row r="788" spans="1:43" s="238" customFormat="1" ht="75" customHeight="1" x14ac:dyDescent="0.25">
      <c r="A788" s="556" t="s">
        <v>1000</v>
      </c>
      <c r="B788" s="627" t="str">
        <f>VLOOKUP(Table13[[#This Row],[Column1]],[1]Sheet1!$A:$AO,2,FALSE)</f>
        <v>SPAREPARTS (MOTOR
CYCLE)</v>
      </c>
      <c r="C788" s="298" t="str">
        <f>VLOOKUP(Table13[[#This Row],[Column1]],[1]Sheet1!$A:$AO,3,FALSE)</f>
        <v>PGSO</v>
      </c>
      <c r="D788" s="298" t="s">
        <v>712</v>
      </c>
      <c r="E788" s="450" t="str">
        <f>VLOOKUP(Table13[[#This Row],[Column1]],[1]Sheet1!$A:$AO,5,FALSE)</f>
        <v>NP-53.9 - Small Value Procurement</v>
      </c>
      <c r="F788" s="446">
        <f>VLOOKUP(Table13[[#This Row],[Column1]],[1]Sheet1!$A:$AO,6,FALSE)</f>
        <v>45421</v>
      </c>
      <c r="G788" s="402">
        <f>VLOOKUP(Table13[[#This Row],[Column1]],[1]Sheet1!$A:$AO,7,FALSE)</f>
        <v>45425</v>
      </c>
      <c r="H788" s="374"/>
      <c r="I788" s="402" t="str">
        <f>VLOOKUP(Table13[[#This Row],[Column1]],[1]Sheet1!$A:$AO,9,FALSE)</f>
        <v>N/A</v>
      </c>
      <c r="J788" s="402">
        <f>VLOOKUP(Table13[[#This Row],[Column1]],[1]Sheet1!$A:$AO,10,FALSE)</f>
        <v>45440</v>
      </c>
      <c r="K788" s="402">
        <f>VLOOKUP(Table13[[#This Row],[Column1]],[1]Sheet1!$A:$AO,11,FALSE)</f>
        <v>45440</v>
      </c>
      <c r="L788" s="404"/>
      <c r="M788" s="402" t="str">
        <f>VLOOKUP(Table13[[#This Row],[Column1]],[1]Sheet1!$A:$AO,13,FALSE)</f>
        <v>N/A</v>
      </c>
      <c r="N788" s="402" t="str">
        <f>VLOOKUP(Table13[[#This Row],[Column1]],[1]Sheet1!$A:$AO,14,FALSE)</f>
        <v>N/A</v>
      </c>
      <c r="O788" s="402">
        <f>VLOOKUP(Table13[[#This Row],[Column1]],[1]Sheet1!$A:$AO,15,FALSE)</f>
        <v>45441</v>
      </c>
      <c r="P788" s="375"/>
      <c r="Q788" s="375"/>
      <c r="R788" s="376"/>
      <c r="S788" s="583" t="s">
        <v>713</v>
      </c>
      <c r="T788" s="583">
        <f>VLOOKUP(Table13[[#This Row],[Column1]],[1]Sheet1!$A:$AO,20,FALSE)</f>
        <v>45456</v>
      </c>
      <c r="U788" s="583"/>
      <c r="V788" s="376"/>
      <c r="W788" s="376"/>
      <c r="X788" s="402"/>
      <c r="Y788" s="402"/>
      <c r="Z788" s="610" t="s">
        <v>1478</v>
      </c>
      <c r="AA788" s="532">
        <f>IF(Table13[[#This Row],[Column2]]="","",SUM(Table13[[#This Row],[Column28]]+Table13[[#This Row],[Column29]]))</f>
        <v>9140</v>
      </c>
      <c r="AB788" s="537">
        <v>9140</v>
      </c>
      <c r="AC788" s="502"/>
      <c r="AD788" s="532">
        <f>IF(Table13[[#This Row],[Column2]]="","",SUM(Table13[[#This Row],[Column31]]+Table13[[#This Row],[Column32]]))</f>
        <v>9115</v>
      </c>
      <c r="AE788" s="501">
        <v>9115</v>
      </c>
      <c r="AF788" s="541"/>
      <c r="AG788" s="405"/>
      <c r="AH788" s="380" t="s">
        <v>1205</v>
      </c>
      <c r="AI788" s="576" t="str">
        <f>VLOOKUP(Table13[[#This Row],[Column1]],[1]Sheet1!$A:$AO,35,FALSE)</f>
        <v>N/A</v>
      </c>
      <c r="AJ788" s="576" t="str">
        <f>VLOOKUP(Table13[[#This Row],[Column1]],[1]Sheet1!$A:$AO,36,FALSE)</f>
        <v>N/A</v>
      </c>
      <c r="AK788" s="576" t="str">
        <f>VLOOKUP(Table13[[#This Row],[Column1]],[1]Sheet1!$A:$AO,37,FALSE)</f>
        <v>N/A</v>
      </c>
      <c r="AL788" s="576" t="str">
        <f>VLOOKUP(Table13[[#This Row],[Column1]],[1]Sheet1!$A:$AO,38,FALSE)</f>
        <v>N/A</v>
      </c>
      <c r="AM788" s="576" t="str">
        <f>VLOOKUP(Table13[[#This Row],[Column1]],[1]Sheet1!$A:$AO,39,FALSE)</f>
        <v>N/A</v>
      </c>
      <c r="AN788" s="576" t="s">
        <v>713</v>
      </c>
      <c r="AO788" s="303" t="s">
        <v>1172</v>
      </c>
      <c r="AP788" s="378"/>
      <c r="AQ788" s="237"/>
    </row>
    <row r="789" spans="1:43" s="238" customFormat="1" ht="75" customHeight="1" x14ac:dyDescent="0.25">
      <c r="A789" s="556" t="s">
        <v>1001</v>
      </c>
      <c r="B789" s="627" t="str">
        <f>VLOOKUP(Table13[[#This Row],[Column1]],[1]Sheet1!$A:$AO,2,FALSE)</f>
        <v>SPAREPARTS (MOTOR
CYCLE)</v>
      </c>
      <c r="C789" s="298" t="str">
        <f>VLOOKUP(Table13[[#This Row],[Column1]],[1]Sheet1!$A:$AO,3,FALSE)</f>
        <v>PGSO</v>
      </c>
      <c r="D789" s="298" t="s">
        <v>712</v>
      </c>
      <c r="E789" s="450" t="str">
        <f>VLOOKUP(Table13[[#This Row],[Column1]],[1]Sheet1!$A:$AO,5,FALSE)</f>
        <v>NP-53.9 - Small Value Procurement</v>
      </c>
      <c r="F789" s="446">
        <f>VLOOKUP(Table13[[#This Row],[Column1]],[1]Sheet1!$A:$AO,6,FALSE)</f>
        <v>45421</v>
      </c>
      <c r="G789" s="402">
        <f>VLOOKUP(Table13[[#This Row],[Column1]],[1]Sheet1!$A:$AO,7,FALSE)</f>
        <v>45425</v>
      </c>
      <c r="H789" s="374"/>
      <c r="I789" s="402" t="str">
        <f>VLOOKUP(Table13[[#This Row],[Column1]],[1]Sheet1!$A:$AO,9,FALSE)</f>
        <v>N/A</v>
      </c>
      <c r="J789" s="402">
        <f>VLOOKUP(Table13[[#This Row],[Column1]],[1]Sheet1!$A:$AO,10,FALSE)</f>
        <v>45440</v>
      </c>
      <c r="K789" s="402">
        <f>VLOOKUP(Table13[[#This Row],[Column1]],[1]Sheet1!$A:$AO,11,FALSE)</f>
        <v>45440</v>
      </c>
      <c r="L789" s="404"/>
      <c r="M789" s="402" t="str">
        <f>VLOOKUP(Table13[[#This Row],[Column1]],[1]Sheet1!$A:$AO,13,FALSE)</f>
        <v>N/A</v>
      </c>
      <c r="N789" s="402" t="str">
        <f>VLOOKUP(Table13[[#This Row],[Column1]],[1]Sheet1!$A:$AO,14,FALSE)</f>
        <v>N/A</v>
      </c>
      <c r="O789" s="402">
        <f>VLOOKUP(Table13[[#This Row],[Column1]],[1]Sheet1!$A:$AO,15,FALSE)</f>
        <v>45441</v>
      </c>
      <c r="P789" s="375"/>
      <c r="Q789" s="375"/>
      <c r="R789" s="376"/>
      <c r="S789" s="583" t="s">
        <v>713</v>
      </c>
      <c r="T789" s="583">
        <f>VLOOKUP(Table13[[#This Row],[Column1]],[1]Sheet1!$A:$AO,20,FALSE)</f>
        <v>45454</v>
      </c>
      <c r="U789" s="583"/>
      <c r="V789" s="376"/>
      <c r="W789" s="376"/>
      <c r="X789" s="402"/>
      <c r="Y789" s="402"/>
      <c r="Z789" s="610" t="s">
        <v>1478</v>
      </c>
      <c r="AA789" s="532">
        <f>IF(Table13[[#This Row],[Column2]]="","",SUM(Table13[[#This Row],[Column28]]+Table13[[#This Row],[Column29]]))</f>
        <v>3750</v>
      </c>
      <c r="AB789" s="537">
        <v>3750</v>
      </c>
      <c r="AC789" s="502"/>
      <c r="AD789" s="532">
        <f>IF(Table13[[#This Row],[Column2]]="","",SUM(Table13[[#This Row],[Column31]]+Table13[[#This Row],[Column32]]))</f>
        <v>3704</v>
      </c>
      <c r="AE789" s="501">
        <v>3704</v>
      </c>
      <c r="AF789" s="541"/>
      <c r="AG789" s="405"/>
      <c r="AH789" s="380" t="s">
        <v>1205</v>
      </c>
      <c r="AI789" s="576" t="str">
        <f>VLOOKUP(Table13[[#This Row],[Column1]],[1]Sheet1!$A:$AO,35,FALSE)</f>
        <v>N/A</v>
      </c>
      <c r="AJ789" s="576" t="str">
        <f>VLOOKUP(Table13[[#This Row],[Column1]],[1]Sheet1!$A:$AO,36,FALSE)</f>
        <v>N/A</v>
      </c>
      <c r="AK789" s="576" t="str">
        <f>VLOOKUP(Table13[[#This Row],[Column1]],[1]Sheet1!$A:$AO,37,FALSE)</f>
        <v>N/A</v>
      </c>
      <c r="AL789" s="576" t="str">
        <f>VLOOKUP(Table13[[#This Row],[Column1]],[1]Sheet1!$A:$AO,38,FALSE)</f>
        <v>N/A</v>
      </c>
      <c r="AM789" s="576" t="str">
        <f>VLOOKUP(Table13[[#This Row],[Column1]],[1]Sheet1!$A:$AO,39,FALSE)</f>
        <v>N/A</v>
      </c>
      <c r="AN789" s="576" t="s">
        <v>713</v>
      </c>
      <c r="AO789" s="303" t="s">
        <v>1172</v>
      </c>
      <c r="AP789" s="378"/>
      <c r="AQ789" s="237"/>
    </row>
    <row r="790" spans="1:43" s="238" customFormat="1" ht="75" customHeight="1" x14ac:dyDescent="0.25">
      <c r="A790" s="556" t="s">
        <v>1002</v>
      </c>
      <c r="B790" s="627" t="str">
        <f>VLOOKUP(Table13[[#This Row],[Column1]],[1]Sheet1!$A:$AO,2,FALSE)</f>
        <v>SPAREPARTS (MOTOR
CYCLE)</v>
      </c>
      <c r="C790" s="298" t="str">
        <f>VLOOKUP(Table13[[#This Row],[Column1]],[1]Sheet1!$A:$AO,3,FALSE)</f>
        <v>PGSO</v>
      </c>
      <c r="D790" s="298" t="s">
        <v>712</v>
      </c>
      <c r="E790" s="450" t="str">
        <f>VLOOKUP(Table13[[#This Row],[Column1]],[1]Sheet1!$A:$AO,5,FALSE)</f>
        <v>NP-53.9 - Small Value Procurement</v>
      </c>
      <c r="F790" s="446">
        <f>VLOOKUP(Table13[[#This Row],[Column1]],[1]Sheet1!$A:$AO,6,FALSE)</f>
        <v>45421</v>
      </c>
      <c r="G790" s="402">
        <f>VLOOKUP(Table13[[#This Row],[Column1]],[1]Sheet1!$A:$AO,7,FALSE)</f>
        <v>45425</v>
      </c>
      <c r="H790" s="374"/>
      <c r="I790" s="402" t="str">
        <f>VLOOKUP(Table13[[#This Row],[Column1]],[1]Sheet1!$A:$AO,9,FALSE)</f>
        <v>N/A</v>
      </c>
      <c r="J790" s="402">
        <f>VLOOKUP(Table13[[#This Row],[Column1]],[1]Sheet1!$A:$AO,10,FALSE)</f>
        <v>45440</v>
      </c>
      <c r="K790" s="402">
        <f>VLOOKUP(Table13[[#This Row],[Column1]],[1]Sheet1!$A:$AO,11,FALSE)</f>
        <v>45440</v>
      </c>
      <c r="L790" s="404"/>
      <c r="M790" s="402" t="str">
        <f>VLOOKUP(Table13[[#This Row],[Column1]],[1]Sheet1!$A:$AO,13,FALSE)</f>
        <v>N/A</v>
      </c>
      <c r="N790" s="402" t="str">
        <f>VLOOKUP(Table13[[#This Row],[Column1]],[1]Sheet1!$A:$AO,14,FALSE)</f>
        <v>N/A</v>
      </c>
      <c r="O790" s="402">
        <f>VLOOKUP(Table13[[#This Row],[Column1]],[1]Sheet1!$A:$AO,15,FALSE)</f>
        <v>45441</v>
      </c>
      <c r="P790" s="375"/>
      <c r="Q790" s="375"/>
      <c r="R790" s="376"/>
      <c r="S790" s="583" t="s">
        <v>713</v>
      </c>
      <c r="T790" s="583">
        <f>VLOOKUP(Table13[[#This Row],[Column1]],[1]Sheet1!$A:$AO,20,FALSE)</f>
        <v>45453</v>
      </c>
      <c r="U790" s="583"/>
      <c r="V790" s="376"/>
      <c r="W790" s="376"/>
      <c r="X790" s="402"/>
      <c r="Y790" s="402"/>
      <c r="Z790" s="610" t="s">
        <v>1478</v>
      </c>
      <c r="AA790" s="532">
        <f>IF(Table13[[#This Row],[Column2]]="","",SUM(Table13[[#This Row],[Column28]]+Table13[[#This Row],[Column29]]))</f>
        <v>6080</v>
      </c>
      <c r="AB790" s="537">
        <v>6080</v>
      </c>
      <c r="AC790" s="502"/>
      <c r="AD790" s="532">
        <f>IF(Table13[[#This Row],[Column2]]="","",SUM(Table13[[#This Row],[Column31]]+Table13[[#This Row],[Column32]]))</f>
        <v>6020</v>
      </c>
      <c r="AE790" s="501">
        <v>6020</v>
      </c>
      <c r="AF790" s="541"/>
      <c r="AG790" s="405"/>
      <c r="AH790" s="380" t="s">
        <v>1205</v>
      </c>
      <c r="AI790" s="576" t="str">
        <f>VLOOKUP(Table13[[#This Row],[Column1]],[1]Sheet1!$A:$AO,35,FALSE)</f>
        <v>N/A</v>
      </c>
      <c r="AJ790" s="576" t="str">
        <f>VLOOKUP(Table13[[#This Row],[Column1]],[1]Sheet1!$A:$AO,36,FALSE)</f>
        <v>N/A</v>
      </c>
      <c r="AK790" s="576" t="str">
        <f>VLOOKUP(Table13[[#This Row],[Column1]],[1]Sheet1!$A:$AO,37,FALSE)</f>
        <v>N/A</v>
      </c>
      <c r="AL790" s="576" t="str">
        <f>VLOOKUP(Table13[[#This Row],[Column1]],[1]Sheet1!$A:$AO,38,FALSE)</f>
        <v>N/A</v>
      </c>
      <c r="AM790" s="576" t="str">
        <f>VLOOKUP(Table13[[#This Row],[Column1]],[1]Sheet1!$A:$AO,39,FALSE)</f>
        <v>N/A</v>
      </c>
      <c r="AN790" s="576" t="s">
        <v>713</v>
      </c>
      <c r="AO790" s="303" t="s">
        <v>1172</v>
      </c>
      <c r="AP790" s="378"/>
      <c r="AQ790" s="237"/>
    </row>
    <row r="791" spans="1:43" s="238" customFormat="1" ht="75" customHeight="1" x14ac:dyDescent="0.25">
      <c r="A791" s="556" t="s">
        <v>1003</v>
      </c>
      <c r="B791" s="627" t="str">
        <f>VLOOKUP(Table13[[#This Row],[Column1]],[1]Sheet1!$A:$AO,2,FALSE)</f>
        <v>SPAREPARTS (MOTOR
CYCLE)</v>
      </c>
      <c r="C791" s="298" t="str">
        <f>VLOOKUP(Table13[[#This Row],[Column1]],[1]Sheet1!$A:$AO,3,FALSE)</f>
        <v>PGSO</v>
      </c>
      <c r="D791" s="298" t="s">
        <v>712</v>
      </c>
      <c r="E791" s="450" t="str">
        <f>VLOOKUP(Table13[[#This Row],[Column1]],[1]Sheet1!$A:$AO,5,FALSE)</f>
        <v>NP-53.9 - Small Value Procurement</v>
      </c>
      <c r="F791" s="446" t="str">
        <f>VLOOKUP(Table13[[#This Row],[Column1]],[1]Sheet1!$A:$AO,6,FALSE)</f>
        <v>N/A</v>
      </c>
      <c r="G791" s="402">
        <f>VLOOKUP(Table13[[#This Row],[Column1]],[1]Sheet1!$A:$AO,7,FALSE)</f>
        <v>45425</v>
      </c>
      <c r="H791" s="374"/>
      <c r="I791" s="402" t="str">
        <f>VLOOKUP(Table13[[#This Row],[Column1]],[1]Sheet1!$A:$AO,9,FALSE)</f>
        <v>N/A</v>
      </c>
      <c r="J791" s="402">
        <f>VLOOKUP(Table13[[#This Row],[Column1]],[1]Sheet1!$A:$AO,10,FALSE)</f>
        <v>45440</v>
      </c>
      <c r="K791" s="402">
        <f>VLOOKUP(Table13[[#This Row],[Column1]],[1]Sheet1!$A:$AO,11,FALSE)</f>
        <v>45440</v>
      </c>
      <c r="L791" s="404"/>
      <c r="M791" s="402" t="str">
        <f>VLOOKUP(Table13[[#This Row],[Column1]],[1]Sheet1!$A:$AO,13,FALSE)</f>
        <v>N/A</v>
      </c>
      <c r="N791" s="402" t="str">
        <f>VLOOKUP(Table13[[#This Row],[Column1]],[1]Sheet1!$A:$AO,14,FALSE)</f>
        <v>N/A</v>
      </c>
      <c r="O791" s="402">
        <f>VLOOKUP(Table13[[#This Row],[Column1]],[1]Sheet1!$A:$AO,15,FALSE)</f>
        <v>45441</v>
      </c>
      <c r="P791" s="375"/>
      <c r="Q791" s="375"/>
      <c r="R791" s="376"/>
      <c r="S791" s="583" t="s">
        <v>713</v>
      </c>
      <c r="T791" s="583">
        <f>VLOOKUP(Table13[[#This Row],[Column1]],[1]Sheet1!$A:$AO,20,FALSE)</f>
        <v>45454</v>
      </c>
      <c r="U791" s="583"/>
      <c r="V791" s="376"/>
      <c r="W791" s="376"/>
      <c r="X791" s="402"/>
      <c r="Y791" s="402"/>
      <c r="Z791" s="610" t="s">
        <v>1478</v>
      </c>
      <c r="AA791" s="532">
        <f>IF(Table13[[#This Row],[Column2]]="","",SUM(Table13[[#This Row],[Column28]]+Table13[[#This Row],[Column29]]))</f>
        <v>9200</v>
      </c>
      <c r="AB791" s="537">
        <v>9200</v>
      </c>
      <c r="AC791" s="502"/>
      <c r="AD791" s="532">
        <f>IF(Table13[[#This Row],[Column2]]="","",SUM(Table13[[#This Row],[Column31]]+Table13[[#This Row],[Column32]]))</f>
        <v>9070</v>
      </c>
      <c r="AE791" s="501">
        <v>9070</v>
      </c>
      <c r="AF791" s="541"/>
      <c r="AG791" s="405"/>
      <c r="AH791" s="380" t="s">
        <v>1205</v>
      </c>
      <c r="AI791" s="576" t="str">
        <f>VLOOKUP(Table13[[#This Row],[Column1]],[1]Sheet1!$A:$AO,35,FALSE)</f>
        <v>N/A</v>
      </c>
      <c r="AJ791" s="576" t="str">
        <f>VLOOKUP(Table13[[#This Row],[Column1]],[1]Sheet1!$A:$AO,36,FALSE)</f>
        <v>N/A</v>
      </c>
      <c r="AK791" s="576" t="str">
        <f>VLOOKUP(Table13[[#This Row],[Column1]],[1]Sheet1!$A:$AO,37,FALSE)</f>
        <v>N/A</v>
      </c>
      <c r="AL791" s="576" t="str">
        <f>VLOOKUP(Table13[[#This Row],[Column1]],[1]Sheet1!$A:$AO,38,FALSE)</f>
        <v>N/A</v>
      </c>
      <c r="AM791" s="576" t="str">
        <f>VLOOKUP(Table13[[#This Row],[Column1]],[1]Sheet1!$A:$AO,39,FALSE)</f>
        <v>N/A</v>
      </c>
      <c r="AN791" s="576" t="s">
        <v>713</v>
      </c>
      <c r="AO791" s="303" t="s">
        <v>1172</v>
      </c>
      <c r="AP791" s="378"/>
      <c r="AQ791" s="237"/>
    </row>
    <row r="792" spans="1:43" s="238" customFormat="1" ht="75" customHeight="1" x14ac:dyDescent="0.25">
      <c r="A792" s="556" t="s">
        <v>1004</v>
      </c>
      <c r="B792" s="627" t="str">
        <f>VLOOKUP(Table13[[#This Row],[Column1]],[1]Sheet1!$A:$AO,2,FALSE)</f>
        <v>SPAREPARTS (MOTOR
CYCLE)</v>
      </c>
      <c r="C792" s="298" t="str">
        <f>VLOOKUP(Table13[[#This Row],[Column1]],[1]Sheet1!$A:$AO,3,FALSE)</f>
        <v>PGSO</v>
      </c>
      <c r="D792" s="298" t="s">
        <v>712</v>
      </c>
      <c r="E792" s="450" t="str">
        <f>VLOOKUP(Table13[[#This Row],[Column1]],[1]Sheet1!$A:$AO,5,FALSE)</f>
        <v>NP-53.9 - Small Value Procurement</v>
      </c>
      <c r="F792" s="446">
        <f>VLOOKUP(Table13[[#This Row],[Column1]],[1]Sheet1!$A:$AO,6,FALSE)</f>
        <v>45421</v>
      </c>
      <c r="G792" s="402">
        <f>VLOOKUP(Table13[[#This Row],[Column1]],[1]Sheet1!$A:$AO,7,FALSE)</f>
        <v>45425</v>
      </c>
      <c r="H792" s="374"/>
      <c r="I792" s="402" t="str">
        <f>VLOOKUP(Table13[[#This Row],[Column1]],[1]Sheet1!$A:$AO,9,FALSE)</f>
        <v>N/A</v>
      </c>
      <c r="J792" s="402">
        <f>VLOOKUP(Table13[[#This Row],[Column1]],[1]Sheet1!$A:$AO,10,FALSE)</f>
        <v>45440</v>
      </c>
      <c r="K792" s="402">
        <f>VLOOKUP(Table13[[#This Row],[Column1]],[1]Sheet1!$A:$AO,11,FALSE)</f>
        <v>45440</v>
      </c>
      <c r="L792" s="404"/>
      <c r="M792" s="402" t="str">
        <f>VLOOKUP(Table13[[#This Row],[Column1]],[1]Sheet1!$A:$AO,13,FALSE)</f>
        <v>N/A</v>
      </c>
      <c r="N792" s="402" t="str">
        <f>VLOOKUP(Table13[[#This Row],[Column1]],[1]Sheet1!$A:$AO,14,FALSE)</f>
        <v>N/A</v>
      </c>
      <c r="O792" s="402">
        <f>VLOOKUP(Table13[[#This Row],[Column1]],[1]Sheet1!$A:$AO,15,FALSE)</f>
        <v>45441</v>
      </c>
      <c r="P792" s="375"/>
      <c r="Q792" s="375"/>
      <c r="R792" s="376"/>
      <c r="S792" s="583" t="s">
        <v>713</v>
      </c>
      <c r="T792" s="583">
        <f>VLOOKUP(Table13[[#This Row],[Column1]],[1]Sheet1!$A:$AO,20,FALSE)</f>
        <v>45456</v>
      </c>
      <c r="U792" s="583"/>
      <c r="V792" s="376"/>
      <c r="W792" s="376"/>
      <c r="X792" s="402"/>
      <c r="Y792" s="402"/>
      <c r="Z792" s="610" t="s">
        <v>1478</v>
      </c>
      <c r="AA792" s="532">
        <f>IF(Table13[[#This Row],[Column2]]="","",SUM(Table13[[#This Row],[Column28]]+Table13[[#This Row],[Column29]]))</f>
        <v>9200</v>
      </c>
      <c r="AB792" s="537">
        <v>9200</v>
      </c>
      <c r="AC792" s="502"/>
      <c r="AD792" s="532">
        <f>IF(Table13[[#This Row],[Column2]]="","",SUM(Table13[[#This Row],[Column31]]+Table13[[#This Row],[Column32]]))</f>
        <v>9070</v>
      </c>
      <c r="AE792" s="501">
        <v>9070</v>
      </c>
      <c r="AF792" s="541"/>
      <c r="AG792" s="405"/>
      <c r="AH792" s="380" t="s">
        <v>1205</v>
      </c>
      <c r="AI792" s="576" t="str">
        <f>VLOOKUP(Table13[[#This Row],[Column1]],[1]Sheet1!$A:$AO,35,FALSE)</f>
        <v>N/A</v>
      </c>
      <c r="AJ792" s="576" t="str">
        <f>VLOOKUP(Table13[[#This Row],[Column1]],[1]Sheet1!$A:$AO,36,FALSE)</f>
        <v>N/A</v>
      </c>
      <c r="AK792" s="576" t="str">
        <f>VLOOKUP(Table13[[#This Row],[Column1]],[1]Sheet1!$A:$AO,37,FALSE)</f>
        <v>N/A</v>
      </c>
      <c r="AL792" s="576" t="str">
        <f>VLOOKUP(Table13[[#This Row],[Column1]],[1]Sheet1!$A:$AO,38,FALSE)</f>
        <v>N/A</v>
      </c>
      <c r="AM792" s="576" t="str">
        <f>VLOOKUP(Table13[[#This Row],[Column1]],[1]Sheet1!$A:$AO,39,FALSE)</f>
        <v>N/A</v>
      </c>
      <c r="AN792" s="576" t="s">
        <v>713</v>
      </c>
      <c r="AO792" s="303" t="s">
        <v>1172</v>
      </c>
      <c r="AP792" s="378"/>
      <c r="AQ792" s="237"/>
    </row>
    <row r="793" spans="1:43" s="238" customFormat="1" ht="75" customHeight="1" x14ac:dyDescent="0.25">
      <c r="A793" s="556" t="s">
        <v>1005</v>
      </c>
      <c r="B793" s="627" t="str">
        <f>VLOOKUP(Table13[[#This Row],[Column1]],[1]Sheet1!$A:$AO,2,FALSE)</f>
        <v>SPAREPARTS (MOTOR
CYCLE)</v>
      </c>
      <c r="C793" s="298" t="str">
        <f>VLOOKUP(Table13[[#This Row],[Column1]],[1]Sheet1!$A:$AO,3,FALSE)</f>
        <v>PGSO</v>
      </c>
      <c r="D793" s="298" t="s">
        <v>712</v>
      </c>
      <c r="E793" s="450" t="str">
        <f>VLOOKUP(Table13[[#This Row],[Column1]],[1]Sheet1!$A:$AO,5,FALSE)</f>
        <v>NP-53.9 - Small Value Procurement</v>
      </c>
      <c r="F793" s="446">
        <f>VLOOKUP(Table13[[#This Row],[Column1]],[1]Sheet1!$A:$AO,6,FALSE)</f>
        <v>45421</v>
      </c>
      <c r="G793" s="402">
        <f>VLOOKUP(Table13[[#This Row],[Column1]],[1]Sheet1!$A:$AO,7,FALSE)</f>
        <v>45425</v>
      </c>
      <c r="H793" s="374"/>
      <c r="I793" s="402" t="str">
        <f>VLOOKUP(Table13[[#This Row],[Column1]],[1]Sheet1!$A:$AO,9,FALSE)</f>
        <v>N/A</v>
      </c>
      <c r="J793" s="402">
        <f>VLOOKUP(Table13[[#This Row],[Column1]],[1]Sheet1!$A:$AO,10,FALSE)</f>
        <v>45440</v>
      </c>
      <c r="K793" s="402">
        <f>VLOOKUP(Table13[[#This Row],[Column1]],[1]Sheet1!$A:$AO,11,FALSE)</f>
        <v>45440</v>
      </c>
      <c r="L793" s="404"/>
      <c r="M793" s="402" t="str">
        <f>VLOOKUP(Table13[[#This Row],[Column1]],[1]Sheet1!$A:$AO,13,FALSE)</f>
        <v>N/A</v>
      </c>
      <c r="N793" s="402" t="str">
        <f>VLOOKUP(Table13[[#This Row],[Column1]],[1]Sheet1!$A:$AO,14,FALSE)</f>
        <v>N/A</v>
      </c>
      <c r="O793" s="402">
        <f>VLOOKUP(Table13[[#This Row],[Column1]],[1]Sheet1!$A:$AO,15,FALSE)</f>
        <v>45441</v>
      </c>
      <c r="P793" s="375"/>
      <c r="Q793" s="375"/>
      <c r="R793" s="376"/>
      <c r="S793" s="583" t="s">
        <v>713</v>
      </c>
      <c r="T793" s="583">
        <f>VLOOKUP(Table13[[#This Row],[Column1]],[1]Sheet1!$A:$AO,20,FALSE)</f>
        <v>45454</v>
      </c>
      <c r="U793" s="583"/>
      <c r="V793" s="376"/>
      <c r="W793" s="376"/>
      <c r="X793" s="402"/>
      <c r="Y793" s="402"/>
      <c r="Z793" s="610" t="s">
        <v>1478</v>
      </c>
      <c r="AA793" s="532">
        <f>IF(Table13[[#This Row],[Column2]]="","",SUM(Table13[[#This Row],[Column28]]+Table13[[#This Row],[Column29]]))</f>
        <v>3850</v>
      </c>
      <c r="AB793" s="537">
        <v>3850</v>
      </c>
      <c r="AC793" s="502"/>
      <c r="AD793" s="532">
        <f>IF(Table13[[#This Row],[Column2]]="","",SUM(Table13[[#This Row],[Column31]]+Table13[[#This Row],[Column32]]))</f>
        <v>3810</v>
      </c>
      <c r="AE793" s="501">
        <v>3810</v>
      </c>
      <c r="AF793" s="541"/>
      <c r="AG793" s="405"/>
      <c r="AH793" s="380" t="s">
        <v>1205</v>
      </c>
      <c r="AI793" s="576" t="str">
        <f>VLOOKUP(Table13[[#This Row],[Column1]],[1]Sheet1!$A:$AO,35,FALSE)</f>
        <v>N/A</v>
      </c>
      <c r="AJ793" s="576" t="str">
        <f>VLOOKUP(Table13[[#This Row],[Column1]],[1]Sheet1!$A:$AO,36,FALSE)</f>
        <v>N/A</v>
      </c>
      <c r="AK793" s="576" t="str">
        <f>VLOOKUP(Table13[[#This Row],[Column1]],[1]Sheet1!$A:$AO,37,FALSE)</f>
        <v>N/A</v>
      </c>
      <c r="AL793" s="576" t="str">
        <f>VLOOKUP(Table13[[#This Row],[Column1]],[1]Sheet1!$A:$AO,38,FALSE)</f>
        <v>N/A</v>
      </c>
      <c r="AM793" s="576" t="str">
        <f>VLOOKUP(Table13[[#This Row],[Column1]],[1]Sheet1!$A:$AO,39,FALSE)</f>
        <v>N/A</v>
      </c>
      <c r="AN793" s="576" t="s">
        <v>713</v>
      </c>
      <c r="AO793" s="303" t="s">
        <v>1172</v>
      </c>
      <c r="AP793" s="378"/>
      <c r="AQ793" s="237"/>
    </row>
    <row r="794" spans="1:43" s="238" customFormat="1" ht="75" customHeight="1" x14ac:dyDescent="0.25">
      <c r="A794" s="556" t="s">
        <v>1006</v>
      </c>
      <c r="B794" s="627" t="str">
        <f>VLOOKUP(Table13[[#This Row],[Column1]],[1]Sheet1!$A:$AO,2,FALSE)</f>
        <v>SPAREPARTS (MOTOR
CYCLE)</v>
      </c>
      <c r="C794" s="298" t="str">
        <f>VLOOKUP(Table13[[#This Row],[Column1]],[1]Sheet1!$A:$AO,3,FALSE)</f>
        <v>PGSO</v>
      </c>
      <c r="D794" s="298" t="s">
        <v>712</v>
      </c>
      <c r="E794" s="450" t="str">
        <f>VLOOKUP(Table13[[#This Row],[Column1]],[1]Sheet1!$A:$AO,5,FALSE)</f>
        <v>NP-53.9 - Small Value Procurement</v>
      </c>
      <c r="F794" s="446">
        <f>VLOOKUP(Table13[[#This Row],[Column1]],[1]Sheet1!$A:$AO,6,FALSE)</f>
        <v>45421</v>
      </c>
      <c r="G794" s="402">
        <f>VLOOKUP(Table13[[#This Row],[Column1]],[1]Sheet1!$A:$AO,7,FALSE)</f>
        <v>45425</v>
      </c>
      <c r="H794" s="374"/>
      <c r="I794" s="402" t="str">
        <f>VLOOKUP(Table13[[#This Row],[Column1]],[1]Sheet1!$A:$AO,9,FALSE)</f>
        <v>N/A</v>
      </c>
      <c r="J794" s="402">
        <f>VLOOKUP(Table13[[#This Row],[Column1]],[1]Sheet1!$A:$AO,10,FALSE)</f>
        <v>45440</v>
      </c>
      <c r="K794" s="402">
        <f>VLOOKUP(Table13[[#This Row],[Column1]],[1]Sheet1!$A:$AO,11,FALSE)</f>
        <v>45440</v>
      </c>
      <c r="L794" s="404"/>
      <c r="M794" s="402" t="str">
        <f>VLOOKUP(Table13[[#This Row],[Column1]],[1]Sheet1!$A:$AO,13,FALSE)</f>
        <v>N/A</v>
      </c>
      <c r="N794" s="402" t="str">
        <f>VLOOKUP(Table13[[#This Row],[Column1]],[1]Sheet1!$A:$AO,14,FALSE)</f>
        <v>N/A</v>
      </c>
      <c r="O794" s="402">
        <f>VLOOKUP(Table13[[#This Row],[Column1]],[1]Sheet1!$A:$AO,15,FALSE)</f>
        <v>45441</v>
      </c>
      <c r="P794" s="375"/>
      <c r="Q794" s="375"/>
      <c r="R794" s="376"/>
      <c r="S794" s="583" t="s">
        <v>713</v>
      </c>
      <c r="T794" s="583">
        <f>VLOOKUP(Table13[[#This Row],[Column1]],[1]Sheet1!$A:$AO,20,FALSE)</f>
        <v>45454</v>
      </c>
      <c r="U794" s="583"/>
      <c r="V794" s="376"/>
      <c r="W794" s="376"/>
      <c r="X794" s="402"/>
      <c r="Y794" s="402"/>
      <c r="Z794" s="610" t="s">
        <v>1478</v>
      </c>
      <c r="AA794" s="532">
        <f>IF(Table13[[#This Row],[Column2]]="","",SUM(Table13[[#This Row],[Column28]]+Table13[[#This Row],[Column29]]))</f>
        <v>18273</v>
      </c>
      <c r="AB794" s="537">
        <v>18273</v>
      </c>
      <c r="AC794" s="502"/>
      <c r="AD794" s="532">
        <f>IF(Table13[[#This Row],[Column2]]="","",SUM(Table13[[#This Row],[Column31]]+Table13[[#This Row],[Column32]]))</f>
        <v>17920</v>
      </c>
      <c r="AE794" s="501">
        <v>17920</v>
      </c>
      <c r="AF794" s="541"/>
      <c r="AG794" s="405"/>
      <c r="AH794" s="380" t="s">
        <v>1205</v>
      </c>
      <c r="AI794" s="576" t="str">
        <f>VLOOKUP(Table13[[#This Row],[Column1]],[1]Sheet1!$A:$AO,35,FALSE)</f>
        <v>N/A</v>
      </c>
      <c r="AJ794" s="576" t="str">
        <f>VLOOKUP(Table13[[#This Row],[Column1]],[1]Sheet1!$A:$AO,36,FALSE)</f>
        <v>N/A</v>
      </c>
      <c r="AK794" s="576" t="str">
        <f>VLOOKUP(Table13[[#This Row],[Column1]],[1]Sheet1!$A:$AO,37,FALSE)</f>
        <v>N/A</v>
      </c>
      <c r="AL794" s="576" t="str">
        <f>VLOOKUP(Table13[[#This Row],[Column1]],[1]Sheet1!$A:$AO,38,FALSE)</f>
        <v>N/A</v>
      </c>
      <c r="AM794" s="576" t="str">
        <f>VLOOKUP(Table13[[#This Row],[Column1]],[1]Sheet1!$A:$AO,39,FALSE)</f>
        <v>N/A</v>
      </c>
      <c r="AN794" s="576" t="s">
        <v>713</v>
      </c>
      <c r="AO794" s="303" t="s">
        <v>1172</v>
      </c>
      <c r="AP794" s="378"/>
      <c r="AQ794" s="237"/>
    </row>
    <row r="795" spans="1:43" s="238" customFormat="1" ht="75" customHeight="1" x14ac:dyDescent="0.25">
      <c r="A795" s="556" t="s">
        <v>1007</v>
      </c>
      <c r="B795" s="627" t="str">
        <f>VLOOKUP(Table13[[#This Row],[Column1]],[1]Sheet1!$A:$AO,2,FALSE)</f>
        <v>CONSTRUCTION SUPPLIES</v>
      </c>
      <c r="C795" s="298" t="str">
        <f>VLOOKUP(Table13[[#This Row],[Column1]],[1]Sheet1!$A:$AO,3,FALSE)</f>
        <v>PEEMO</v>
      </c>
      <c r="D795" s="298" t="s">
        <v>712</v>
      </c>
      <c r="E795" s="450" t="str">
        <f>VLOOKUP(Table13[[#This Row],[Column1]],[1]Sheet1!$A:$AO,5,FALSE)</f>
        <v>NP-53.9 - Small Value Procurement</v>
      </c>
      <c r="F795" s="446" t="str">
        <f>VLOOKUP(Table13[[#This Row],[Column1]],[1]Sheet1!$A:$AO,6,FALSE)</f>
        <v>N/A</v>
      </c>
      <c r="G795" s="402">
        <f>VLOOKUP(Table13[[#This Row],[Column1]],[1]Sheet1!$A:$AO,7,FALSE)</f>
        <v>45412</v>
      </c>
      <c r="H795" s="374"/>
      <c r="I795" s="402" t="str">
        <f>VLOOKUP(Table13[[#This Row],[Column1]],[1]Sheet1!$A:$AO,9,FALSE)</f>
        <v>N/A</v>
      </c>
      <c r="J795" s="402">
        <f>VLOOKUP(Table13[[#This Row],[Column1]],[1]Sheet1!$A:$AO,10,FALSE)</f>
        <v>45440</v>
      </c>
      <c r="K795" s="402">
        <f>VLOOKUP(Table13[[#This Row],[Column1]],[1]Sheet1!$A:$AO,11,FALSE)</f>
        <v>45440</v>
      </c>
      <c r="L795" s="404"/>
      <c r="M795" s="402" t="str">
        <f>VLOOKUP(Table13[[#This Row],[Column1]],[1]Sheet1!$A:$AO,13,FALSE)</f>
        <v>N/A</v>
      </c>
      <c r="N795" s="402" t="str">
        <f>VLOOKUP(Table13[[#This Row],[Column1]],[1]Sheet1!$A:$AO,14,FALSE)</f>
        <v>N/A</v>
      </c>
      <c r="O795" s="402">
        <f>VLOOKUP(Table13[[#This Row],[Column1]],[1]Sheet1!$A:$AO,15,FALSE)</f>
        <v>45441</v>
      </c>
      <c r="P795" s="375"/>
      <c r="Q795" s="375"/>
      <c r="R795" s="376"/>
      <c r="S795" s="583" t="s">
        <v>713</v>
      </c>
      <c r="T795" s="583">
        <f>VLOOKUP(Table13[[#This Row],[Column1]],[1]Sheet1!$A:$AO,20,FALSE)</f>
        <v>45456</v>
      </c>
      <c r="U795" s="583"/>
      <c r="V795" s="376"/>
      <c r="W795" s="376"/>
      <c r="X795" s="402"/>
      <c r="Y795" s="402"/>
      <c r="Z795" s="610" t="s">
        <v>1478</v>
      </c>
      <c r="AA795" s="532">
        <f>IF(Table13[[#This Row],[Column2]]="","",SUM(Table13[[#This Row],[Column28]]+Table13[[#This Row],[Column29]]))</f>
        <v>43752</v>
      </c>
      <c r="AB795" s="537">
        <v>43752</v>
      </c>
      <c r="AC795" s="502"/>
      <c r="AD795" s="532">
        <f>IF(Table13[[#This Row],[Column2]]="","",SUM(Table13[[#This Row],[Column31]]+Table13[[#This Row],[Column32]]))</f>
        <v>43385</v>
      </c>
      <c r="AE795" s="501">
        <v>43385</v>
      </c>
      <c r="AF795" s="541"/>
      <c r="AG795" s="405"/>
      <c r="AH795" s="380" t="s">
        <v>1205</v>
      </c>
      <c r="AI795" s="576" t="str">
        <f>VLOOKUP(Table13[[#This Row],[Column1]],[1]Sheet1!$A:$AO,35,FALSE)</f>
        <v>N/A</v>
      </c>
      <c r="AJ795" s="576" t="str">
        <f>VLOOKUP(Table13[[#This Row],[Column1]],[1]Sheet1!$A:$AO,36,FALSE)</f>
        <v>N/A</v>
      </c>
      <c r="AK795" s="576" t="str">
        <f>VLOOKUP(Table13[[#This Row],[Column1]],[1]Sheet1!$A:$AO,37,FALSE)</f>
        <v>N/A</v>
      </c>
      <c r="AL795" s="576" t="str">
        <f>VLOOKUP(Table13[[#This Row],[Column1]],[1]Sheet1!$A:$AO,38,FALSE)</f>
        <v>N/A</v>
      </c>
      <c r="AM795" s="576" t="str">
        <f>VLOOKUP(Table13[[#This Row],[Column1]],[1]Sheet1!$A:$AO,39,FALSE)</f>
        <v>N/A</v>
      </c>
      <c r="AN795" s="576" t="s">
        <v>713</v>
      </c>
      <c r="AO795" s="303" t="s">
        <v>1172</v>
      </c>
      <c r="AP795" s="378"/>
      <c r="AQ795" s="237"/>
    </row>
    <row r="796" spans="1:43" s="238" customFormat="1" ht="75" customHeight="1" x14ac:dyDescent="0.25">
      <c r="A796" s="556" t="s">
        <v>1008</v>
      </c>
      <c r="B796" s="627" t="str">
        <f>VLOOKUP(Table13[[#This Row],[Column1]],[1]Sheet1!$A:$AO,2,FALSE)</f>
        <v>CONSTRUCTION MATERIALS</v>
      </c>
      <c r="C796" s="298" t="str">
        <f>VLOOKUP(Table13[[#This Row],[Column1]],[1]Sheet1!$A:$AO,3,FALSE)</f>
        <v>PEO</v>
      </c>
      <c r="D796" s="298" t="s">
        <v>712</v>
      </c>
      <c r="E796" s="450" t="str">
        <f>VLOOKUP(Table13[[#This Row],[Column1]],[1]Sheet1!$A:$AO,5,FALSE)</f>
        <v>NP-53.9 - Small Value Procurement</v>
      </c>
      <c r="F796" s="446">
        <f>VLOOKUP(Table13[[#This Row],[Column1]],[1]Sheet1!$A:$AO,6,FALSE)</f>
        <v>45421</v>
      </c>
      <c r="G796" s="402">
        <f>VLOOKUP(Table13[[#This Row],[Column1]],[1]Sheet1!$A:$AO,7,FALSE)</f>
        <v>45425</v>
      </c>
      <c r="H796" s="374"/>
      <c r="I796" s="402" t="str">
        <f>VLOOKUP(Table13[[#This Row],[Column1]],[1]Sheet1!$A:$AO,9,FALSE)</f>
        <v>N/A</v>
      </c>
      <c r="J796" s="402">
        <f>VLOOKUP(Table13[[#This Row],[Column1]],[1]Sheet1!$A:$AO,10,FALSE)</f>
        <v>45440</v>
      </c>
      <c r="K796" s="402">
        <f>VLOOKUP(Table13[[#This Row],[Column1]],[1]Sheet1!$A:$AO,11,FALSE)</f>
        <v>45440</v>
      </c>
      <c r="L796" s="404"/>
      <c r="M796" s="402" t="str">
        <f>VLOOKUP(Table13[[#This Row],[Column1]],[1]Sheet1!$A:$AO,13,FALSE)</f>
        <v>N/A</v>
      </c>
      <c r="N796" s="402" t="str">
        <f>VLOOKUP(Table13[[#This Row],[Column1]],[1]Sheet1!$A:$AO,14,FALSE)</f>
        <v>N/A</v>
      </c>
      <c r="O796" s="402">
        <f>VLOOKUP(Table13[[#This Row],[Column1]],[1]Sheet1!$A:$AO,15,FALSE)</f>
        <v>45441</v>
      </c>
      <c r="P796" s="375"/>
      <c r="Q796" s="375"/>
      <c r="R796" s="376"/>
      <c r="S796" s="583" t="s">
        <v>713</v>
      </c>
      <c r="T796" s="583">
        <f>VLOOKUP(Table13[[#This Row],[Column1]],[1]Sheet1!$A:$AO,20,FALSE)</f>
        <v>45453</v>
      </c>
      <c r="U796" s="583"/>
      <c r="V796" s="376"/>
      <c r="W796" s="376"/>
      <c r="X796" s="402"/>
      <c r="Y796" s="402"/>
      <c r="Z796" s="610" t="s">
        <v>1478</v>
      </c>
      <c r="AA796" s="532">
        <f>IF(Table13[[#This Row],[Column2]]="","",SUM(Table13[[#This Row],[Column28]]+Table13[[#This Row],[Column29]]))</f>
        <v>5206</v>
      </c>
      <c r="AB796" s="537"/>
      <c r="AC796" s="502">
        <v>5206</v>
      </c>
      <c r="AD796" s="532">
        <f>IF(Table13[[#This Row],[Column2]]="","",SUM(Table13[[#This Row],[Column31]]+Table13[[#This Row],[Column32]]))</f>
        <v>5150</v>
      </c>
      <c r="AE796" s="501"/>
      <c r="AF796" s="540">
        <v>5150</v>
      </c>
      <c r="AG796" s="405"/>
      <c r="AH796" s="380" t="s">
        <v>1205</v>
      </c>
      <c r="AI796" s="576" t="str">
        <f>VLOOKUP(Table13[[#This Row],[Column1]],[1]Sheet1!$A:$AO,35,FALSE)</f>
        <v>N/A</v>
      </c>
      <c r="AJ796" s="576" t="str">
        <f>VLOOKUP(Table13[[#This Row],[Column1]],[1]Sheet1!$A:$AO,36,FALSE)</f>
        <v>N/A</v>
      </c>
      <c r="AK796" s="576" t="str">
        <f>VLOOKUP(Table13[[#This Row],[Column1]],[1]Sheet1!$A:$AO,37,FALSE)</f>
        <v>N/A</v>
      </c>
      <c r="AL796" s="576" t="str">
        <f>VLOOKUP(Table13[[#This Row],[Column1]],[1]Sheet1!$A:$AO,38,FALSE)</f>
        <v>N/A</v>
      </c>
      <c r="AM796" s="576" t="str">
        <f>VLOOKUP(Table13[[#This Row],[Column1]],[1]Sheet1!$A:$AO,39,FALSE)</f>
        <v>N/A</v>
      </c>
      <c r="AN796" s="576" t="s">
        <v>713</v>
      </c>
      <c r="AO796" s="303" t="s">
        <v>1172</v>
      </c>
      <c r="AP796" s="378"/>
      <c r="AQ796" s="237"/>
    </row>
    <row r="797" spans="1:43" s="238" customFormat="1" ht="75" customHeight="1" x14ac:dyDescent="0.25">
      <c r="A797" s="556" t="s">
        <v>1009</v>
      </c>
      <c r="B797" s="627" t="str">
        <f>VLOOKUP(Table13[[#This Row],[Column1]],[1]Sheet1!$A:$AO,2,FALSE)</f>
        <v>CONSTRUCTION SUPPLIES</v>
      </c>
      <c r="C797" s="298" t="str">
        <f>VLOOKUP(Table13[[#This Row],[Column1]],[1]Sheet1!$A:$AO,3,FALSE)</f>
        <v>PAGRO</v>
      </c>
      <c r="D797" s="298" t="s">
        <v>712</v>
      </c>
      <c r="E797" s="450" t="str">
        <f>VLOOKUP(Table13[[#This Row],[Column1]],[1]Sheet1!$A:$AO,5,FALSE)</f>
        <v>NP-53.9 - Small Value Procurement</v>
      </c>
      <c r="F797" s="446">
        <f>VLOOKUP(Table13[[#This Row],[Column1]],[1]Sheet1!$A:$AO,6,FALSE)</f>
        <v>45398</v>
      </c>
      <c r="G797" s="402">
        <f>VLOOKUP(Table13[[#This Row],[Column1]],[1]Sheet1!$A:$AO,7,FALSE)</f>
        <v>45404</v>
      </c>
      <c r="H797" s="374"/>
      <c r="I797" s="402" t="str">
        <f>VLOOKUP(Table13[[#This Row],[Column1]],[1]Sheet1!$A:$AO,9,FALSE)</f>
        <v>N/A</v>
      </c>
      <c r="J797" s="402">
        <f>VLOOKUP(Table13[[#This Row],[Column1]],[1]Sheet1!$A:$AO,10,FALSE)</f>
        <v>45440</v>
      </c>
      <c r="K797" s="402">
        <f>VLOOKUP(Table13[[#This Row],[Column1]],[1]Sheet1!$A:$AO,11,FALSE)</f>
        <v>45440</v>
      </c>
      <c r="L797" s="404"/>
      <c r="M797" s="402" t="str">
        <f>VLOOKUP(Table13[[#This Row],[Column1]],[1]Sheet1!$A:$AO,13,FALSE)</f>
        <v>N/A</v>
      </c>
      <c r="N797" s="402" t="str">
        <f>VLOOKUP(Table13[[#This Row],[Column1]],[1]Sheet1!$A:$AO,14,FALSE)</f>
        <v>N/A</v>
      </c>
      <c r="O797" s="402">
        <f>VLOOKUP(Table13[[#This Row],[Column1]],[1]Sheet1!$A:$AO,15,FALSE)</f>
        <v>45441</v>
      </c>
      <c r="P797" s="375"/>
      <c r="Q797" s="375"/>
      <c r="R797" s="376"/>
      <c r="S797" s="583" t="s">
        <v>713</v>
      </c>
      <c r="T797" s="583">
        <f>VLOOKUP(Table13[[#This Row],[Column1]],[1]Sheet1!$A:$AO,20,FALSE)</f>
        <v>45453</v>
      </c>
      <c r="U797" s="583"/>
      <c r="V797" s="376"/>
      <c r="W797" s="376"/>
      <c r="X797" s="402"/>
      <c r="Y797" s="402"/>
      <c r="Z797" s="610" t="s">
        <v>1478</v>
      </c>
      <c r="AA797" s="532">
        <f>IF(Table13[[#This Row],[Column2]]="","",SUM(Table13[[#This Row],[Column28]]+Table13[[#This Row],[Column29]]))</f>
        <v>2058</v>
      </c>
      <c r="AB797" s="537"/>
      <c r="AC797" s="502">
        <v>2058</v>
      </c>
      <c r="AD797" s="532">
        <f>IF(Table13[[#This Row],[Column2]]="","",SUM(Table13[[#This Row],[Column31]]+Table13[[#This Row],[Column32]]))</f>
        <v>1975</v>
      </c>
      <c r="AE797" s="501"/>
      <c r="AF797" s="540">
        <v>1975</v>
      </c>
      <c r="AG797" s="405"/>
      <c r="AH797" s="380" t="s">
        <v>1205</v>
      </c>
      <c r="AI797" s="576" t="str">
        <f>VLOOKUP(Table13[[#This Row],[Column1]],[1]Sheet1!$A:$AO,35,FALSE)</f>
        <v>N/A</v>
      </c>
      <c r="AJ797" s="576" t="str">
        <f>VLOOKUP(Table13[[#This Row],[Column1]],[1]Sheet1!$A:$AO,36,FALSE)</f>
        <v>N/A</v>
      </c>
      <c r="AK797" s="576" t="str">
        <f>VLOOKUP(Table13[[#This Row],[Column1]],[1]Sheet1!$A:$AO,37,FALSE)</f>
        <v>N/A</v>
      </c>
      <c r="AL797" s="576" t="str">
        <f>VLOOKUP(Table13[[#This Row],[Column1]],[1]Sheet1!$A:$AO,38,FALSE)</f>
        <v>N/A</v>
      </c>
      <c r="AM797" s="576" t="str">
        <f>VLOOKUP(Table13[[#This Row],[Column1]],[1]Sheet1!$A:$AO,39,FALSE)</f>
        <v>N/A</v>
      </c>
      <c r="AN797" s="576" t="s">
        <v>713</v>
      </c>
      <c r="AO797" s="303" t="s">
        <v>1172</v>
      </c>
      <c r="AP797" s="378"/>
      <c r="AQ797" s="237"/>
    </row>
    <row r="798" spans="1:43" s="238" customFormat="1" ht="75" customHeight="1" x14ac:dyDescent="0.25">
      <c r="A798" s="297" t="s">
        <v>1010</v>
      </c>
      <c r="B798" s="627" t="str">
        <f>VLOOKUP(Table13[[#This Row],[Column1]],[1]Sheet1!$A:$AO,2,FALSE)</f>
        <v>GENSET ENGINE
THERMOSTAT</v>
      </c>
      <c r="C798" s="298" t="str">
        <f>VLOOKUP(Table13[[#This Row],[Column1]],[1]Sheet1!$A:$AO,3,FALSE)</f>
        <v>PGSO</v>
      </c>
      <c r="D798" s="298" t="s">
        <v>712</v>
      </c>
      <c r="E798" s="450" t="str">
        <f>VLOOKUP(Table13[[#This Row],[Column1]],[1]Sheet1!$A:$AO,5,FALSE)</f>
        <v>NP-53.9 - Small Value Procurement</v>
      </c>
      <c r="F798" s="446">
        <f>VLOOKUP(Table13[[#This Row],[Column1]],[1]Sheet1!$A:$AO,6,FALSE)</f>
        <v>45421</v>
      </c>
      <c r="G798" s="402">
        <f>VLOOKUP(Table13[[#This Row],[Column1]],[1]Sheet1!$A:$AO,7,FALSE)</f>
        <v>45425</v>
      </c>
      <c r="H798" s="374"/>
      <c r="I798" s="402" t="str">
        <f>VLOOKUP(Table13[[#This Row],[Column1]],[1]Sheet1!$A:$AO,9,FALSE)</f>
        <v>N/A</v>
      </c>
      <c r="J798" s="402">
        <f>VLOOKUP(Table13[[#This Row],[Column1]],[1]Sheet1!$A:$AO,10,FALSE)</f>
        <v>45440</v>
      </c>
      <c r="K798" s="402">
        <f>VLOOKUP(Table13[[#This Row],[Column1]],[1]Sheet1!$A:$AO,11,FALSE)</f>
        <v>45440</v>
      </c>
      <c r="L798" s="404"/>
      <c r="M798" s="402" t="str">
        <f>VLOOKUP(Table13[[#This Row],[Column1]],[1]Sheet1!$A:$AO,13,FALSE)</f>
        <v>N/A</v>
      </c>
      <c r="N798" s="402" t="str">
        <f>VLOOKUP(Table13[[#This Row],[Column1]],[1]Sheet1!$A:$AO,14,FALSE)</f>
        <v>N/A</v>
      </c>
      <c r="O798" s="402">
        <f>VLOOKUP(Table13[[#This Row],[Column1]],[1]Sheet1!$A:$AO,15,FALSE)</f>
        <v>45441</v>
      </c>
      <c r="P798" s="375"/>
      <c r="Q798" s="375"/>
      <c r="R798" s="376"/>
      <c r="S798" s="583" t="s">
        <v>713</v>
      </c>
      <c r="T798" s="583">
        <f>VLOOKUP(Table13[[#This Row],[Column1]],[1]Sheet1!$A:$AO,20,FALSE)</f>
        <v>45454</v>
      </c>
      <c r="U798" s="583"/>
      <c r="V798" s="376"/>
      <c r="W798" s="376"/>
      <c r="X798" s="402"/>
      <c r="Y798" s="402"/>
      <c r="Z798" s="610" t="s">
        <v>1478</v>
      </c>
      <c r="AA798" s="532">
        <f>IF(Table13[[#This Row],[Column2]]="","",SUM(Table13[[#This Row],[Column28]]+Table13[[#This Row],[Column29]]))</f>
        <v>14036.66</v>
      </c>
      <c r="AB798" s="537">
        <v>14036.66</v>
      </c>
      <c r="AC798" s="502"/>
      <c r="AD798" s="532">
        <f>IF(Table13[[#This Row],[Column2]]="","",SUM(Table13[[#This Row],[Column31]]+Table13[[#This Row],[Column32]]))</f>
        <v>10521.28</v>
      </c>
      <c r="AE798" s="501">
        <v>10521.28</v>
      </c>
      <c r="AF798" s="541"/>
      <c r="AG798" s="405"/>
      <c r="AH798" s="380" t="s">
        <v>1205</v>
      </c>
      <c r="AI798" s="576" t="str">
        <f>VLOOKUP(Table13[[#This Row],[Column1]],[1]Sheet1!$A:$AO,35,FALSE)</f>
        <v>N/A</v>
      </c>
      <c r="AJ798" s="576" t="str">
        <f>VLOOKUP(Table13[[#This Row],[Column1]],[1]Sheet1!$A:$AO,36,FALSE)</f>
        <v>N/A</v>
      </c>
      <c r="AK798" s="576" t="str">
        <f>VLOOKUP(Table13[[#This Row],[Column1]],[1]Sheet1!$A:$AO,37,FALSE)</f>
        <v>N/A</v>
      </c>
      <c r="AL798" s="576" t="str">
        <f>VLOOKUP(Table13[[#This Row],[Column1]],[1]Sheet1!$A:$AO,38,FALSE)</f>
        <v>N/A</v>
      </c>
      <c r="AM798" s="576" t="str">
        <f>VLOOKUP(Table13[[#This Row],[Column1]],[1]Sheet1!$A:$AO,39,FALSE)</f>
        <v>N/A</v>
      </c>
      <c r="AN798" s="576" t="s">
        <v>713</v>
      </c>
      <c r="AO798" s="303" t="s">
        <v>1172</v>
      </c>
      <c r="AP798" s="378"/>
      <c r="AQ798" s="237"/>
    </row>
    <row r="799" spans="1:43" s="238" customFormat="1" ht="75" customHeight="1" x14ac:dyDescent="0.25">
      <c r="A799" s="556" t="s">
        <v>1011</v>
      </c>
      <c r="B799" s="627" t="str">
        <f>VLOOKUP(Table13[[#This Row],[Column1]],[1]Sheet1!$A:$AO,2,FALSE)</f>
        <v>FOOD/CATERING SERVICES</v>
      </c>
      <c r="C799" s="298" t="str">
        <f>VLOOKUP(Table13[[#This Row],[Column1]],[1]Sheet1!$A:$AO,3,FALSE)</f>
        <v>PDRRMO</v>
      </c>
      <c r="D799" s="298" t="s">
        <v>712</v>
      </c>
      <c r="E799" s="450" t="str">
        <f>VLOOKUP(Table13[[#This Row],[Column1]],[1]Sheet1!$A:$AO,5,FALSE)</f>
        <v>NP-53.1 Two Failed Biddings</v>
      </c>
      <c r="F799" s="446" t="str">
        <f>VLOOKUP(Table13[[#This Row],[Column1]],[1]Sheet1!$A:$AO,6,FALSE)</f>
        <v>N/A</v>
      </c>
      <c r="G799" s="402">
        <f>VLOOKUP(Table13[[#This Row],[Column1]],[1]Sheet1!$A:$AO,7,FALSE)</f>
        <v>45422</v>
      </c>
      <c r="H799" s="374"/>
      <c r="I799" s="402" t="str">
        <f>VLOOKUP(Table13[[#This Row],[Column1]],[1]Sheet1!$A:$AO,9,FALSE)</f>
        <v>N/A</v>
      </c>
      <c r="J799" s="402">
        <f>VLOOKUP(Table13[[#This Row],[Column1]],[1]Sheet1!$A:$AO,10,FALSE)</f>
        <v>45440</v>
      </c>
      <c r="K799" s="402">
        <f>VLOOKUP(Table13[[#This Row],[Column1]],[1]Sheet1!$A:$AO,11,FALSE)</f>
        <v>45440</v>
      </c>
      <c r="L799" s="404"/>
      <c r="M799" s="402" t="str">
        <f>VLOOKUP(Table13[[#This Row],[Column1]],[1]Sheet1!$A:$AO,13,FALSE)</f>
        <v>N/A</v>
      </c>
      <c r="N799" s="402" t="str">
        <f>VLOOKUP(Table13[[#This Row],[Column1]],[1]Sheet1!$A:$AO,14,FALSE)</f>
        <v>N/A</v>
      </c>
      <c r="O799" s="402">
        <f>VLOOKUP(Table13[[#This Row],[Column1]],[1]Sheet1!$A:$AO,15,FALSE)</f>
        <v>45441</v>
      </c>
      <c r="P799" s="375"/>
      <c r="Q799" s="375"/>
      <c r="R799" s="376"/>
      <c r="S799" s="583">
        <v>45443</v>
      </c>
      <c r="T799" s="583">
        <f>VLOOKUP(Table13[[#This Row],[Column1]],[1]Sheet1!$A:$AO,20,FALSE)</f>
        <v>45453</v>
      </c>
      <c r="U799" s="583"/>
      <c r="V799" s="376"/>
      <c r="W799" s="376"/>
      <c r="X799" s="402"/>
      <c r="Y799" s="402"/>
      <c r="Z799" s="610" t="s">
        <v>1478</v>
      </c>
      <c r="AA799" s="532">
        <f>IF(Table13[[#This Row],[Column2]]="","",SUM(Table13[[#This Row],[Column28]]+Table13[[#This Row],[Column29]]))</f>
        <v>297980</v>
      </c>
      <c r="AB799" s="537"/>
      <c r="AC799" s="502">
        <v>297980</v>
      </c>
      <c r="AD799" s="532">
        <f>IF(Table13[[#This Row],[Column2]]="","",SUM(Table13[[#This Row],[Column31]]+Table13[[#This Row],[Column32]]))</f>
        <v>297980</v>
      </c>
      <c r="AE799" s="501"/>
      <c r="AF799" s="540">
        <v>297980</v>
      </c>
      <c r="AG799" s="405"/>
      <c r="AH799" s="380" t="s">
        <v>1205</v>
      </c>
      <c r="AI799" s="576" t="str">
        <f>VLOOKUP(Table13[[#This Row],[Column1]],[1]Sheet1!$A:$AO,35,FALSE)</f>
        <v>N/A</v>
      </c>
      <c r="AJ799" s="576" t="str">
        <f>VLOOKUP(Table13[[#This Row],[Column1]],[1]Sheet1!$A:$AO,36,FALSE)</f>
        <v>N/A</v>
      </c>
      <c r="AK799" s="576" t="str">
        <f>VLOOKUP(Table13[[#This Row],[Column1]],[1]Sheet1!$A:$AO,37,FALSE)</f>
        <v>N/A</v>
      </c>
      <c r="AL799" s="576" t="str">
        <f>VLOOKUP(Table13[[#This Row],[Column1]],[1]Sheet1!$A:$AO,38,FALSE)</f>
        <v>N/A</v>
      </c>
      <c r="AM799" s="576" t="str">
        <f>VLOOKUP(Table13[[#This Row],[Column1]],[1]Sheet1!$A:$AO,39,FALSE)</f>
        <v>N/A</v>
      </c>
      <c r="AN799" s="576" t="s">
        <v>713</v>
      </c>
      <c r="AO799" s="303" t="s">
        <v>1172</v>
      </c>
      <c r="AP799" s="378"/>
      <c r="AQ799" s="237"/>
    </row>
    <row r="800" spans="1:43" s="238" customFormat="1" ht="75" customHeight="1" x14ac:dyDescent="0.25">
      <c r="A800" s="556" t="s">
        <v>1012</v>
      </c>
      <c r="B800" s="627" t="str">
        <f>VLOOKUP(Table13[[#This Row],[Column1]],[1]Sheet1!$A:$AO,2,FALSE)</f>
        <v>UTILITY VEHICLE</v>
      </c>
      <c r="C800" s="298" t="str">
        <f>VLOOKUP(Table13[[#This Row],[Column1]],[1]Sheet1!$A:$AO,3,FALSE)</f>
        <v>PAO-ADMIN</v>
      </c>
      <c r="D800" s="298" t="s">
        <v>712</v>
      </c>
      <c r="E800" s="450" t="str">
        <f>VLOOKUP(Table13[[#This Row],[Column1]],[1]Sheet1!$A:$AO,5,FALSE)</f>
        <v>NP-53.1 Two Failed Biddings</v>
      </c>
      <c r="F800" s="446" t="str">
        <f>VLOOKUP(Table13[[#This Row],[Column1]],[1]Sheet1!$A:$AO,6,FALSE)</f>
        <v>N/A</v>
      </c>
      <c r="G800" s="402">
        <f>VLOOKUP(Table13[[#This Row],[Column1]],[1]Sheet1!$A:$AO,7,FALSE)</f>
        <v>45429</v>
      </c>
      <c r="H800" s="374"/>
      <c r="I800" s="402" t="str">
        <f>VLOOKUP(Table13[[#This Row],[Column1]],[1]Sheet1!$A:$AO,9,FALSE)</f>
        <v>N/A</v>
      </c>
      <c r="J800" s="402">
        <f>VLOOKUP(Table13[[#This Row],[Column1]],[1]Sheet1!$A:$AO,10,FALSE)</f>
        <v>45440</v>
      </c>
      <c r="K800" s="402">
        <f>VLOOKUP(Table13[[#This Row],[Column1]],[1]Sheet1!$A:$AO,11,FALSE)</f>
        <v>45440</v>
      </c>
      <c r="L800" s="404"/>
      <c r="M800" s="402" t="str">
        <f>VLOOKUP(Table13[[#This Row],[Column1]],[1]Sheet1!$A:$AO,13,FALSE)</f>
        <v>N/A</v>
      </c>
      <c r="N800" s="402" t="str">
        <f>VLOOKUP(Table13[[#This Row],[Column1]],[1]Sheet1!$A:$AO,14,FALSE)</f>
        <v>N/A</v>
      </c>
      <c r="O800" s="402">
        <f>VLOOKUP(Table13[[#This Row],[Column1]],[1]Sheet1!$A:$AO,15,FALSE)</f>
        <v>45441</v>
      </c>
      <c r="P800" s="375"/>
      <c r="Q800" s="375"/>
      <c r="R800" s="376"/>
      <c r="S800" s="583">
        <v>45446</v>
      </c>
      <c r="T800" s="583">
        <f>VLOOKUP(Table13[[#This Row],[Column1]],[1]Sheet1!$A:$AO,20,FALSE)</f>
        <v>45454</v>
      </c>
      <c r="U800" s="583"/>
      <c r="V800" s="376"/>
      <c r="W800" s="376"/>
      <c r="X800" s="402"/>
      <c r="Y800" s="402"/>
      <c r="Z800" s="610" t="s">
        <v>1478</v>
      </c>
      <c r="AA800" s="532">
        <f>IF(Table13[[#This Row],[Column2]]="","",SUM(Table13[[#This Row],[Column28]]+Table13[[#This Row],[Column29]]))</f>
        <v>1300000</v>
      </c>
      <c r="AB800" s="537"/>
      <c r="AC800" s="502">
        <v>1300000</v>
      </c>
      <c r="AD800" s="532">
        <f>IF(Table13[[#This Row],[Column2]]="","",SUM(Table13[[#This Row],[Column31]]+Table13[[#This Row],[Column32]]))</f>
        <v>1298000</v>
      </c>
      <c r="AE800" s="501"/>
      <c r="AF800" s="540">
        <v>1298000</v>
      </c>
      <c r="AG800" s="405"/>
      <c r="AH800" s="380" t="s">
        <v>1205</v>
      </c>
      <c r="AI800" s="576" t="str">
        <f>VLOOKUP(Table13[[#This Row],[Column1]],[1]Sheet1!$A:$AO,35,FALSE)</f>
        <v>N/A</v>
      </c>
      <c r="AJ800" s="576" t="str">
        <f>VLOOKUP(Table13[[#This Row],[Column1]],[1]Sheet1!$A:$AO,36,FALSE)</f>
        <v>N/A</v>
      </c>
      <c r="AK800" s="576" t="str">
        <f>VLOOKUP(Table13[[#This Row],[Column1]],[1]Sheet1!$A:$AO,37,FALSE)</f>
        <v>N/A</v>
      </c>
      <c r="AL800" s="576" t="str">
        <f>VLOOKUP(Table13[[#This Row],[Column1]],[1]Sheet1!$A:$AO,38,FALSE)</f>
        <v>N/A</v>
      </c>
      <c r="AM800" s="576" t="str">
        <f>VLOOKUP(Table13[[#This Row],[Column1]],[1]Sheet1!$A:$AO,39,FALSE)</f>
        <v>N/A</v>
      </c>
      <c r="AN800" s="576" t="s">
        <v>713</v>
      </c>
      <c r="AO800" s="303" t="s">
        <v>1172</v>
      </c>
      <c r="AP800" s="378"/>
      <c r="AQ800" s="237"/>
    </row>
    <row r="801" spans="1:43" s="238" customFormat="1" ht="75" customHeight="1" x14ac:dyDescent="0.25">
      <c r="A801" s="556" t="s">
        <v>1013</v>
      </c>
      <c r="B801" s="627" t="str">
        <f>VLOOKUP(Table13[[#This Row],[Column1]],[1]Sheet1!$A:$AO,2,FALSE)</f>
        <v>SPAREPARTS ( FARM
MACHINERIES AND
EQUIPMENT )</v>
      </c>
      <c r="C801" s="298" t="str">
        <f>VLOOKUP(Table13[[#This Row],[Column1]],[1]Sheet1!$A:$AO,3,FALSE)</f>
        <v>PAGRO</v>
      </c>
      <c r="D801" s="298" t="s">
        <v>712</v>
      </c>
      <c r="E801" s="450" t="str">
        <f>VLOOKUP(Table13[[#This Row],[Column1]],[1]Sheet1!$A:$AO,5,FALSE)</f>
        <v>NP-53.1 Two Failed Biddings</v>
      </c>
      <c r="F801" s="446">
        <f>VLOOKUP(Table13[[#This Row],[Column1]],[1]Sheet1!$A:$AO,6,FALSE)</f>
        <v>45390</v>
      </c>
      <c r="G801" s="402">
        <f>VLOOKUP(Table13[[#This Row],[Column1]],[1]Sheet1!$A:$AO,7,FALSE)</f>
        <v>45429</v>
      </c>
      <c r="H801" s="374"/>
      <c r="I801" s="402" t="str">
        <f>VLOOKUP(Table13[[#This Row],[Column1]],[1]Sheet1!$A:$AO,9,FALSE)</f>
        <v>N/A</v>
      </c>
      <c r="J801" s="402">
        <f>VLOOKUP(Table13[[#This Row],[Column1]],[1]Sheet1!$A:$AO,10,FALSE)</f>
        <v>45440</v>
      </c>
      <c r="K801" s="402">
        <f>VLOOKUP(Table13[[#This Row],[Column1]],[1]Sheet1!$A:$AO,11,FALSE)</f>
        <v>45440</v>
      </c>
      <c r="L801" s="404"/>
      <c r="M801" s="402" t="str">
        <f>VLOOKUP(Table13[[#This Row],[Column1]],[1]Sheet1!$A:$AO,13,FALSE)</f>
        <v>N/A</v>
      </c>
      <c r="N801" s="402" t="str">
        <f>VLOOKUP(Table13[[#This Row],[Column1]],[1]Sheet1!$A:$AO,14,FALSE)</f>
        <v>N/A</v>
      </c>
      <c r="O801" s="402">
        <f>VLOOKUP(Table13[[#This Row],[Column1]],[1]Sheet1!$A:$AO,15,FALSE)</f>
        <v>45441</v>
      </c>
      <c r="P801" s="375"/>
      <c r="Q801" s="375"/>
      <c r="R801" s="376"/>
      <c r="S801" s="583">
        <v>45448</v>
      </c>
      <c r="T801" s="583">
        <f>VLOOKUP(Table13[[#This Row],[Column1]],[1]Sheet1!$A:$AO,20,FALSE)</f>
        <v>45453</v>
      </c>
      <c r="U801" s="583"/>
      <c r="V801" s="376"/>
      <c r="W801" s="376"/>
      <c r="X801" s="402"/>
      <c r="Y801" s="402"/>
      <c r="Z801" s="610" t="s">
        <v>1478</v>
      </c>
      <c r="AA801" s="532">
        <f>IF(Table13[[#This Row],[Column2]]="","",SUM(Table13[[#This Row],[Column28]]+Table13[[#This Row],[Column29]]))</f>
        <v>508835.8</v>
      </c>
      <c r="AB801" s="537"/>
      <c r="AC801" s="502">
        <v>508835.8</v>
      </c>
      <c r="AD801" s="532">
        <f>IF(Table13[[#This Row],[Column2]]="","",SUM(Table13[[#This Row],[Column31]]+Table13[[#This Row],[Column32]]))</f>
        <v>500920</v>
      </c>
      <c r="AE801" s="501"/>
      <c r="AF801" s="540">
        <v>500920</v>
      </c>
      <c r="AG801" s="405"/>
      <c r="AH801" s="380" t="s">
        <v>1205</v>
      </c>
      <c r="AI801" s="576" t="str">
        <f>VLOOKUP(Table13[[#This Row],[Column1]],[1]Sheet1!$A:$AO,35,FALSE)</f>
        <v>N/A</v>
      </c>
      <c r="AJ801" s="576" t="str">
        <f>VLOOKUP(Table13[[#This Row],[Column1]],[1]Sheet1!$A:$AO,36,FALSE)</f>
        <v>N/A</v>
      </c>
      <c r="AK801" s="576" t="str">
        <f>VLOOKUP(Table13[[#This Row],[Column1]],[1]Sheet1!$A:$AO,37,FALSE)</f>
        <v>N/A</v>
      </c>
      <c r="AL801" s="576" t="str">
        <f>VLOOKUP(Table13[[#This Row],[Column1]],[1]Sheet1!$A:$AO,38,FALSE)</f>
        <v>N/A</v>
      </c>
      <c r="AM801" s="576" t="str">
        <f>VLOOKUP(Table13[[#This Row],[Column1]],[1]Sheet1!$A:$AO,39,FALSE)</f>
        <v>N/A</v>
      </c>
      <c r="AN801" s="576" t="s">
        <v>713</v>
      </c>
      <c r="AO801" s="303" t="s">
        <v>1172</v>
      </c>
      <c r="AP801" s="378"/>
      <c r="AQ801" s="237"/>
    </row>
    <row r="802" spans="1:43" s="238" customFormat="1" ht="75" customHeight="1" x14ac:dyDescent="0.25">
      <c r="A802" s="297" t="s">
        <v>1014</v>
      </c>
      <c r="B802" s="627" t="str">
        <f>VLOOKUP(Table13[[#This Row],[Column1]],[1]Sheet1!$A:$AO,2,FALSE)</f>
        <v>CONSTRUCTION SUPPLIES</v>
      </c>
      <c r="C802" s="298" t="str">
        <f>VLOOKUP(Table13[[#This Row],[Column1]],[1]Sheet1!$A:$AO,3,FALSE)</f>
        <v>PAGRO</v>
      </c>
      <c r="D802" s="298" t="s">
        <v>712</v>
      </c>
      <c r="E802" s="450" t="str">
        <f>VLOOKUP(Table13[[#This Row],[Column1]],[1]Sheet1!$A:$AO,5,FALSE)</f>
        <v>NP-53.1 Two Failed Biddings</v>
      </c>
      <c r="F802" s="446">
        <f>VLOOKUP(Table13[[#This Row],[Column1]],[1]Sheet1!$A:$AO,6,FALSE)</f>
        <v>45398</v>
      </c>
      <c r="G802" s="402">
        <f>VLOOKUP(Table13[[#This Row],[Column1]],[1]Sheet1!$A:$AO,7,FALSE)</f>
        <v>45429</v>
      </c>
      <c r="H802" s="374"/>
      <c r="I802" s="402" t="str">
        <f>VLOOKUP(Table13[[#This Row],[Column1]],[1]Sheet1!$A:$AO,9,FALSE)</f>
        <v>N/A</v>
      </c>
      <c r="J802" s="402">
        <f>VLOOKUP(Table13[[#This Row],[Column1]],[1]Sheet1!$A:$AO,10,FALSE)</f>
        <v>45440</v>
      </c>
      <c r="K802" s="402">
        <f>VLOOKUP(Table13[[#This Row],[Column1]],[1]Sheet1!$A:$AO,11,FALSE)</f>
        <v>45440</v>
      </c>
      <c r="L802" s="404"/>
      <c r="M802" s="402" t="str">
        <f>VLOOKUP(Table13[[#This Row],[Column1]],[1]Sheet1!$A:$AO,13,FALSE)</f>
        <v>N/A</v>
      </c>
      <c r="N802" s="402" t="str">
        <f>VLOOKUP(Table13[[#This Row],[Column1]],[1]Sheet1!$A:$AO,14,FALSE)</f>
        <v>N/A</v>
      </c>
      <c r="O802" s="402">
        <f>VLOOKUP(Table13[[#This Row],[Column1]],[1]Sheet1!$A:$AO,15,FALSE)</f>
        <v>45441</v>
      </c>
      <c r="P802" s="375"/>
      <c r="Q802" s="375"/>
      <c r="R802" s="376"/>
      <c r="S802" s="583">
        <v>45448</v>
      </c>
      <c r="T802" s="583">
        <f>VLOOKUP(Table13[[#This Row],[Column1]],[1]Sheet1!$A:$AO,20,FALSE)</f>
        <v>45453</v>
      </c>
      <c r="U802" s="583"/>
      <c r="V802" s="376"/>
      <c r="W802" s="376"/>
      <c r="X802" s="402"/>
      <c r="Y802" s="402"/>
      <c r="Z802" s="610" t="s">
        <v>1478</v>
      </c>
      <c r="AA802" s="532">
        <f>IF(Table13[[#This Row],[Column2]]="","",SUM(Table13[[#This Row],[Column28]]+Table13[[#This Row],[Column29]]))</f>
        <v>338328</v>
      </c>
      <c r="AB802" s="537">
        <v>338328</v>
      </c>
      <c r="AC802" s="502"/>
      <c r="AD802" s="532">
        <f>IF(Table13[[#This Row],[Column2]]="","",SUM(Table13[[#This Row],[Column31]]+Table13[[#This Row],[Column32]]))</f>
        <v>335722.5</v>
      </c>
      <c r="AE802" s="501">
        <v>335722.5</v>
      </c>
      <c r="AF802" s="541"/>
      <c r="AG802" s="405"/>
      <c r="AH802" s="380" t="s">
        <v>1205</v>
      </c>
      <c r="AI802" s="576" t="str">
        <f>VLOOKUP(Table13[[#This Row],[Column1]],[1]Sheet1!$A:$AO,35,FALSE)</f>
        <v>N/A</v>
      </c>
      <c r="AJ802" s="576" t="str">
        <f>VLOOKUP(Table13[[#This Row],[Column1]],[1]Sheet1!$A:$AO,36,FALSE)</f>
        <v>N/A</v>
      </c>
      <c r="AK802" s="576" t="str">
        <f>VLOOKUP(Table13[[#This Row],[Column1]],[1]Sheet1!$A:$AO,37,FALSE)</f>
        <v>N/A</v>
      </c>
      <c r="AL802" s="576" t="str">
        <f>VLOOKUP(Table13[[#This Row],[Column1]],[1]Sheet1!$A:$AO,38,FALSE)</f>
        <v>N/A</v>
      </c>
      <c r="AM802" s="576" t="str">
        <f>VLOOKUP(Table13[[#This Row],[Column1]],[1]Sheet1!$A:$AO,39,FALSE)</f>
        <v>N/A</v>
      </c>
      <c r="AN802" s="576" t="s">
        <v>713</v>
      </c>
      <c r="AO802" s="303" t="s">
        <v>1172</v>
      </c>
      <c r="AP802" s="378"/>
      <c r="AQ802" s="237"/>
    </row>
    <row r="803" spans="1:43" s="238" customFormat="1" ht="75" customHeight="1" x14ac:dyDescent="0.25">
      <c r="A803" s="297" t="s">
        <v>1015</v>
      </c>
      <c r="B803" s="627" t="str">
        <f>VLOOKUP(Table13[[#This Row],[Column1]],[1]Sheet1!$A:$AO,2,FALSE)</f>
        <v>FOOD/CATERING SERVICES</v>
      </c>
      <c r="C803" s="298" t="str">
        <f>VLOOKUP(Table13[[#This Row],[Column1]],[1]Sheet1!$A:$AO,3,FALSE)</f>
        <v>PGO</v>
      </c>
      <c r="D803" s="298" t="s">
        <v>712</v>
      </c>
      <c r="E803" s="450" t="str">
        <f>VLOOKUP(Table13[[#This Row],[Column1]],[1]Sheet1!$A:$AO,5,FALSE)</f>
        <v>NP-53.1 Two Failed Biddings</v>
      </c>
      <c r="F803" s="446" t="str">
        <f>VLOOKUP(Table13[[#This Row],[Column1]],[1]Sheet1!$A:$AO,6,FALSE)</f>
        <v>N/A</v>
      </c>
      <c r="G803" s="402">
        <f>VLOOKUP(Table13[[#This Row],[Column1]],[1]Sheet1!$A:$AO,7,FALSE)</f>
        <v>45429</v>
      </c>
      <c r="H803" s="374"/>
      <c r="I803" s="402" t="str">
        <f>VLOOKUP(Table13[[#This Row],[Column1]],[1]Sheet1!$A:$AO,9,FALSE)</f>
        <v>N/A</v>
      </c>
      <c r="J803" s="402">
        <f>VLOOKUP(Table13[[#This Row],[Column1]],[1]Sheet1!$A:$AO,10,FALSE)</f>
        <v>45440</v>
      </c>
      <c r="K803" s="402">
        <f>VLOOKUP(Table13[[#This Row],[Column1]],[1]Sheet1!$A:$AO,11,FALSE)</f>
        <v>45440</v>
      </c>
      <c r="L803" s="404"/>
      <c r="M803" s="402" t="str">
        <f>VLOOKUP(Table13[[#This Row],[Column1]],[1]Sheet1!$A:$AO,13,FALSE)</f>
        <v>N/A</v>
      </c>
      <c r="N803" s="402" t="str">
        <f>VLOOKUP(Table13[[#This Row],[Column1]],[1]Sheet1!$A:$AO,14,FALSE)</f>
        <v>N/A</v>
      </c>
      <c r="O803" s="402">
        <f>VLOOKUP(Table13[[#This Row],[Column1]],[1]Sheet1!$A:$AO,15,FALSE)</f>
        <v>45441</v>
      </c>
      <c r="P803" s="375"/>
      <c r="Q803" s="375"/>
      <c r="R803" s="376"/>
      <c r="S803" s="583">
        <v>45444</v>
      </c>
      <c r="T803" s="583">
        <f>VLOOKUP(Table13[[#This Row],[Column1]],[1]Sheet1!$A:$AO,20,FALSE)</f>
        <v>45453</v>
      </c>
      <c r="U803" s="583"/>
      <c r="V803" s="376"/>
      <c r="W803" s="376"/>
      <c r="X803" s="402"/>
      <c r="Y803" s="402"/>
      <c r="Z803" s="610" t="s">
        <v>1478</v>
      </c>
      <c r="AA803" s="532">
        <f>IF(Table13[[#This Row],[Column2]]="","",SUM(Table13[[#This Row],[Column28]]+Table13[[#This Row],[Column29]]))</f>
        <v>1185000</v>
      </c>
      <c r="AB803" s="537"/>
      <c r="AC803" s="502">
        <v>1185000</v>
      </c>
      <c r="AD803" s="532">
        <f>IF(Table13[[#This Row],[Column2]]="","",SUM(Table13[[#This Row],[Column31]]+Table13[[#This Row],[Column32]]))</f>
        <v>1132500</v>
      </c>
      <c r="AE803" s="501"/>
      <c r="AF803" s="541">
        <v>1132500</v>
      </c>
      <c r="AG803" s="405"/>
      <c r="AH803" s="380" t="s">
        <v>1205</v>
      </c>
      <c r="AI803" s="576" t="str">
        <f>VLOOKUP(Table13[[#This Row],[Column1]],[1]Sheet1!$A:$AO,35,FALSE)</f>
        <v>N/A</v>
      </c>
      <c r="AJ803" s="576" t="str">
        <f>VLOOKUP(Table13[[#This Row],[Column1]],[1]Sheet1!$A:$AO,36,FALSE)</f>
        <v>N/A</v>
      </c>
      <c r="AK803" s="576" t="str">
        <f>VLOOKUP(Table13[[#This Row],[Column1]],[1]Sheet1!$A:$AO,37,FALSE)</f>
        <v>N/A</v>
      </c>
      <c r="AL803" s="576" t="str">
        <f>VLOOKUP(Table13[[#This Row],[Column1]],[1]Sheet1!$A:$AO,38,FALSE)</f>
        <v>N/A</v>
      </c>
      <c r="AM803" s="576" t="str">
        <f>VLOOKUP(Table13[[#This Row],[Column1]],[1]Sheet1!$A:$AO,39,FALSE)</f>
        <v>N/A</v>
      </c>
      <c r="AN803" s="576" t="s">
        <v>713</v>
      </c>
      <c r="AO803" s="303" t="s">
        <v>1172</v>
      </c>
      <c r="AP803" s="378"/>
      <c r="AQ803" s="237"/>
    </row>
    <row r="804" spans="1:43" s="238" customFormat="1" ht="75" customHeight="1" x14ac:dyDescent="0.25">
      <c r="A804" s="556" t="s">
        <v>1016</v>
      </c>
      <c r="B804" s="627" t="str">
        <f>VLOOKUP(Table13[[#This Row],[Column1]],[1]Sheet1!$A:$AO,2,FALSE)</f>
        <v>SPAREPARTS (LIGHT
VEHICLES)</v>
      </c>
      <c r="C804" s="298" t="str">
        <f>VLOOKUP(Table13[[#This Row],[Column1]],[1]Sheet1!$A:$AO,3,FALSE)</f>
        <v>SPO</v>
      </c>
      <c r="D804" s="298" t="s">
        <v>712</v>
      </c>
      <c r="E804" s="450" t="str">
        <f>VLOOKUP(Table13[[#This Row],[Column1]],[1]Sheet1!$A:$AO,5,FALSE)</f>
        <v>Shopping 52.1(a) - Unforeseen Contingency</v>
      </c>
      <c r="F804" s="446" t="str">
        <f>VLOOKUP(Table13[[#This Row],[Column1]],[1]Sheet1!$A:$AO,6,FALSE)</f>
        <v>N/A</v>
      </c>
      <c r="G804" s="402">
        <f>VLOOKUP(Table13[[#This Row],[Column1]],[1]Sheet1!$A:$AO,7,FALSE)</f>
        <v>45425</v>
      </c>
      <c r="H804" s="374"/>
      <c r="I804" s="402" t="str">
        <f>VLOOKUP(Table13[[#This Row],[Column1]],[1]Sheet1!$A:$AO,9,FALSE)</f>
        <v>N/A</v>
      </c>
      <c r="J804" s="402">
        <f>VLOOKUP(Table13[[#This Row],[Column1]],[1]Sheet1!$A:$AO,10,FALSE)</f>
        <v>45446</v>
      </c>
      <c r="K804" s="402">
        <f>VLOOKUP(Table13[[#This Row],[Column1]],[1]Sheet1!$A:$AO,11,FALSE)</f>
        <v>45446</v>
      </c>
      <c r="L804" s="404"/>
      <c r="M804" s="402" t="str">
        <f>VLOOKUP(Table13[[#This Row],[Column1]],[1]Sheet1!$A:$AO,13,FALSE)</f>
        <v>N/A</v>
      </c>
      <c r="N804" s="402" t="str">
        <f>VLOOKUP(Table13[[#This Row],[Column1]],[1]Sheet1!$A:$AO,14,FALSE)</f>
        <v>N/A</v>
      </c>
      <c r="O804" s="402">
        <f>VLOOKUP(Table13[[#This Row],[Column1]],[1]Sheet1!$A:$AO,15,FALSE)</f>
        <v>45450</v>
      </c>
      <c r="P804" s="375"/>
      <c r="Q804" s="375"/>
      <c r="R804" s="376"/>
      <c r="S804" s="583" t="str">
        <f>VLOOKUP(Table13[[#This Row],[Column1]],[1]Sheet1!$A:$AO,19,FALSE)</f>
        <v>N/A</v>
      </c>
      <c r="T804" s="583">
        <f>VLOOKUP(Table13[[#This Row],[Column1]],[1]Sheet1!$A:$AO,20,FALSE)</f>
        <v>45475</v>
      </c>
      <c r="U804" s="583"/>
      <c r="V804" s="376"/>
      <c r="W804" s="376"/>
      <c r="X804" s="402"/>
      <c r="Y804" s="402"/>
      <c r="Z804" s="610" t="s">
        <v>1478</v>
      </c>
      <c r="AA804" s="532">
        <f>IF(Table13[[#This Row],[Column2]]="","",SUM(Table13[[#This Row],[Column28]]+Table13[[#This Row],[Column29]]))</f>
        <v>3500</v>
      </c>
      <c r="AB804" s="537">
        <v>3500</v>
      </c>
      <c r="AC804" s="502"/>
      <c r="AD804" s="532">
        <f>IF(Table13[[#This Row],[Column2]]="","",SUM(Table13[[#This Row],[Column31]]+Table13[[#This Row],[Column32]]))</f>
        <v>3500</v>
      </c>
      <c r="AE804" s="501">
        <v>3500</v>
      </c>
      <c r="AF804" s="541"/>
      <c r="AG804" s="405"/>
      <c r="AH804" s="380" t="s">
        <v>1205</v>
      </c>
      <c r="AI804" s="576" t="str">
        <f>VLOOKUP(Table13[[#This Row],[Column1]],[1]Sheet1!$A:$AO,35,FALSE)</f>
        <v>N/A</v>
      </c>
      <c r="AJ804" s="576" t="str">
        <f>VLOOKUP(Table13[[#This Row],[Column1]],[1]Sheet1!$A:$AO,36,FALSE)</f>
        <v>N/A</v>
      </c>
      <c r="AK804" s="576" t="str">
        <f>VLOOKUP(Table13[[#This Row],[Column1]],[1]Sheet1!$A:$AO,37,FALSE)</f>
        <v>N/A</v>
      </c>
      <c r="AL804" s="576" t="str">
        <f>VLOOKUP(Table13[[#This Row],[Column1]],[1]Sheet1!$A:$AO,38,FALSE)</f>
        <v>N/A</v>
      </c>
      <c r="AM804" s="576" t="str">
        <f>VLOOKUP(Table13[[#This Row],[Column1]],[1]Sheet1!$A:$AO,39,FALSE)</f>
        <v>N/A</v>
      </c>
      <c r="AN804" s="576" t="s">
        <v>713</v>
      </c>
      <c r="AO804" s="303" t="s">
        <v>1172</v>
      </c>
      <c r="AP804" s="378"/>
      <c r="AQ804" s="237"/>
    </row>
    <row r="805" spans="1:43" s="238" customFormat="1" ht="75" customHeight="1" x14ac:dyDescent="0.25">
      <c r="A805" s="556" t="s">
        <v>1017</v>
      </c>
      <c r="B805" s="627" t="str">
        <f>VLOOKUP(Table13[[#This Row],[Column1]],[1]Sheet1!$A:$AO,2,FALSE)</f>
        <v>SPAREPARTS (LIGHT
VEHICLES)</v>
      </c>
      <c r="C805" s="298" t="str">
        <f>VLOOKUP(Table13[[#This Row],[Column1]],[1]Sheet1!$A:$AO,3,FALSE)</f>
        <v>SPO</v>
      </c>
      <c r="D805" s="298" t="s">
        <v>712</v>
      </c>
      <c r="E805" s="450" t="str">
        <f>VLOOKUP(Table13[[#This Row],[Column1]],[1]Sheet1!$A:$AO,5,FALSE)</f>
        <v>Shopping 52.1(a) - Unforeseen Contingency</v>
      </c>
      <c r="F805" s="446" t="str">
        <f>VLOOKUP(Table13[[#This Row],[Column1]],[1]Sheet1!$A:$AO,6,FALSE)</f>
        <v>N/A</v>
      </c>
      <c r="G805" s="402">
        <f>VLOOKUP(Table13[[#This Row],[Column1]],[1]Sheet1!$A:$AO,7,FALSE)</f>
        <v>45425</v>
      </c>
      <c r="H805" s="374"/>
      <c r="I805" s="402" t="str">
        <f>VLOOKUP(Table13[[#This Row],[Column1]],[1]Sheet1!$A:$AO,9,FALSE)</f>
        <v>N/A</v>
      </c>
      <c r="J805" s="402">
        <f>VLOOKUP(Table13[[#This Row],[Column1]],[1]Sheet1!$A:$AO,10,FALSE)</f>
        <v>45446</v>
      </c>
      <c r="K805" s="402">
        <f>VLOOKUP(Table13[[#This Row],[Column1]],[1]Sheet1!$A:$AO,11,FALSE)</f>
        <v>45446</v>
      </c>
      <c r="L805" s="404"/>
      <c r="M805" s="402" t="str">
        <f>VLOOKUP(Table13[[#This Row],[Column1]],[1]Sheet1!$A:$AO,13,FALSE)</f>
        <v>N/A</v>
      </c>
      <c r="N805" s="402" t="str">
        <f>VLOOKUP(Table13[[#This Row],[Column1]],[1]Sheet1!$A:$AO,14,FALSE)</f>
        <v>N/A</v>
      </c>
      <c r="O805" s="402">
        <f>VLOOKUP(Table13[[#This Row],[Column1]],[1]Sheet1!$A:$AO,15,FALSE)</f>
        <v>45450</v>
      </c>
      <c r="P805" s="375"/>
      <c r="Q805" s="375"/>
      <c r="R805" s="376"/>
      <c r="S805" s="583" t="str">
        <f>VLOOKUP(Table13[[#This Row],[Column1]],[1]Sheet1!$A:$AO,19,FALSE)</f>
        <v>N/A</v>
      </c>
      <c r="T805" s="583">
        <f>VLOOKUP(Table13[[#This Row],[Column1]],[1]Sheet1!$A:$AO,20,FALSE)</f>
        <v>45454</v>
      </c>
      <c r="U805" s="583"/>
      <c r="V805" s="376"/>
      <c r="W805" s="376"/>
      <c r="X805" s="402"/>
      <c r="Y805" s="402"/>
      <c r="Z805" s="610" t="s">
        <v>1478</v>
      </c>
      <c r="AA805" s="532">
        <f>IF(Table13[[#This Row],[Column2]]="","",SUM(Table13[[#This Row],[Column28]]+Table13[[#This Row],[Column29]]))</f>
        <v>3300</v>
      </c>
      <c r="AB805" s="537">
        <v>3300</v>
      </c>
      <c r="AC805" s="502"/>
      <c r="AD805" s="532">
        <f>IF(Table13[[#This Row],[Column2]]="","",SUM(Table13[[#This Row],[Column31]]+Table13[[#This Row],[Column32]]))</f>
        <v>3300</v>
      </c>
      <c r="AE805" s="501">
        <v>3300</v>
      </c>
      <c r="AF805" s="541"/>
      <c r="AG805" s="405"/>
      <c r="AH805" s="380" t="s">
        <v>1205</v>
      </c>
      <c r="AI805" s="576" t="str">
        <f>VLOOKUP(Table13[[#This Row],[Column1]],[1]Sheet1!$A:$AO,35,FALSE)</f>
        <v>N/A</v>
      </c>
      <c r="AJ805" s="576" t="str">
        <f>VLOOKUP(Table13[[#This Row],[Column1]],[1]Sheet1!$A:$AO,36,FALSE)</f>
        <v>N/A</v>
      </c>
      <c r="AK805" s="576" t="str">
        <f>VLOOKUP(Table13[[#This Row],[Column1]],[1]Sheet1!$A:$AO,37,FALSE)</f>
        <v>N/A</v>
      </c>
      <c r="AL805" s="576" t="str">
        <f>VLOOKUP(Table13[[#This Row],[Column1]],[1]Sheet1!$A:$AO,38,FALSE)</f>
        <v>N/A</v>
      </c>
      <c r="AM805" s="576" t="str">
        <f>VLOOKUP(Table13[[#This Row],[Column1]],[1]Sheet1!$A:$AO,39,FALSE)</f>
        <v>N/A</v>
      </c>
      <c r="AN805" s="576" t="s">
        <v>713</v>
      </c>
      <c r="AO805" s="303" t="s">
        <v>1172</v>
      </c>
      <c r="AP805" s="378"/>
      <c r="AQ805" s="237"/>
    </row>
    <row r="806" spans="1:43" s="238" customFormat="1" ht="75" customHeight="1" x14ac:dyDescent="0.25">
      <c r="A806" s="556" t="s">
        <v>1018</v>
      </c>
      <c r="B806" s="627" t="str">
        <f>VLOOKUP(Table13[[#This Row],[Column1]],[1]Sheet1!$A:$AO,2,FALSE)</f>
        <v>CLOUD SERVICE
SUBSCRIPTION, CODE
REPOSITORY &amp; WEB
HOSTING PACKAGE</v>
      </c>
      <c r="C806" s="298" t="str">
        <f>VLOOKUP(Table13[[#This Row],[Column1]],[1]Sheet1!$A:$AO,3,FALSE)</f>
        <v>PICTO</v>
      </c>
      <c r="D806" s="298" t="s">
        <v>712</v>
      </c>
      <c r="E806" s="450" t="str">
        <f>VLOOKUP(Table13[[#This Row],[Column1]],[1]Sheet1!$A:$AO,5,FALSE)</f>
        <v>NP-53.1 Two Failed Biddings</v>
      </c>
      <c r="F806" s="446">
        <f>VLOOKUP(Table13[[#This Row],[Column1]],[1]Sheet1!$A:$AO,6,FALSE)</f>
        <v>45390</v>
      </c>
      <c r="G806" s="402">
        <f>VLOOKUP(Table13[[#This Row],[Column1]],[1]Sheet1!$A:$AO,7,FALSE)</f>
        <v>45429</v>
      </c>
      <c r="H806" s="374"/>
      <c r="I806" s="402" t="str">
        <f>VLOOKUP(Table13[[#This Row],[Column1]],[1]Sheet1!$A:$AO,9,FALSE)</f>
        <v>N/A</v>
      </c>
      <c r="J806" s="402">
        <f>VLOOKUP(Table13[[#This Row],[Column1]],[1]Sheet1!$A:$AO,10,FALSE)</f>
        <v>45446</v>
      </c>
      <c r="K806" s="402">
        <f>VLOOKUP(Table13[[#This Row],[Column1]],[1]Sheet1!$A:$AO,11,FALSE)</f>
        <v>45446</v>
      </c>
      <c r="L806" s="404"/>
      <c r="M806" s="402" t="str">
        <f>VLOOKUP(Table13[[#This Row],[Column1]],[1]Sheet1!$A:$AO,13,FALSE)</f>
        <v>N/A</v>
      </c>
      <c r="N806" s="402" t="str">
        <f>VLOOKUP(Table13[[#This Row],[Column1]],[1]Sheet1!$A:$AO,14,FALSE)</f>
        <v>N/A</v>
      </c>
      <c r="O806" s="402">
        <f>VLOOKUP(Table13[[#This Row],[Column1]],[1]Sheet1!$A:$AO,15,FALSE)</f>
        <v>45450</v>
      </c>
      <c r="P806" s="375"/>
      <c r="Q806" s="375"/>
      <c r="R806" s="376"/>
      <c r="S806" s="583">
        <v>45452</v>
      </c>
      <c r="T806" s="583">
        <f>VLOOKUP(Table13[[#This Row],[Column1]],[1]Sheet1!$A:$AO,20,FALSE)</f>
        <v>45454</v>
      </c>
      <c r="U806" s="583"/>
      <c r="V806" s="376"/>
      <c r="W806" s="376"/>
      <c r="X806" s="402"/>
      <c r="Y806" s="402"/>
      <c r="Z806" s="610" t="s">
        <v>1478</v>
      </c>
      <c r="AA806" s="532">
        <f>IF(Table13[[#This Row],[Column2]]="","",SUM(Table13[[#This Row],[Column28]]+Table13[[#This Row],[Column29]]))</f>
        <v>350000</v>
      </c>
      <c r="AB806" s="537">
        <v>350000</v>
      </c>
      <c r="AC806" s="502"/>
      <c r="AD806" s="532">
        <f>IF(Table13[[#This Row],[Column2]]="","",SUM(Table13[[#This Row],[Column31]]+Table13[[#This Row],[Column32]]))</f>
        <v>350000</v>
      </c>
      <c r="AE806" s="501">
        <v>350000</v>
      </c>
      <c r="AF806" s="541"/>
      <c r="AG806" s="405"/>
      <c r="AH806" s="380" t="s">
        <v>1205</v>
      </c>
      <c r="AI806" s="576" t="str">
        <f>VLOOKUP(Table13[[#This Row],[Column1]],[1]Sheet1!$A:$AO,35,FALSE)</f>
        <v>N/A</v>
      </c>
      <c r="AJ806" s="576" t="str">
        <f>VLOOKUP(Table13[[#This Row],[Column1]],[1]Sheet1!$A:$AO,36,FALSE)</f>
        <v>N/A</v>
      </c>
      <c r="AK806" s="576" t="str">
        <f>VLOOKUP(Table13[[#This Row],[Column1]],[1]Sheet1!$A:$AO,37,FALSE)</f>
        <v>N/A</v>
      </c>
      <c r="AL806" s="576" t="str">
        <f>VLOOKUP(Table13[[#This Row],[Column1]],[1]Sheet1!$A:$AO,38,FALSE)</f>
        <v>N/A</v>
      </c>
      <c r="AM806" s="576" t="str">
        <f>VLOOKUP(Table13[[#This Row],[Column1]],[1]Sheet1!$A:$AO,39,FALSE)</f>
        <v>N/A</v>
      </c>
      <c r="AN806" s="576" t="s">
        <v>713</v>
      </c>
      <c r="AO806" s="303" t="s">
        <v>1172</v>
      </c>
      <c r="AP806" s="378"/>
      <c r="AQ806" s="237"/>
    </row>
    <row r="807" spans="1:43" s="238" customFormat="1" ht="75" customHeight="1" x14ac:dyDescent="0.25">
      <c r="A807" s="556" t="s">
        <v>1019</v>
      </c>
      <c r="B807" s="627" t="str">
        <f>VLOOKUP(Table13[[#This Row],[Column1]],[1]Sheet1!$A:$AO,2,FALSE)</f>
        <v>OFFICE EQUIPMENT</v>
      </c>
      <c r="C807" s="298" t="str">
        <f>VLOOKUP(Table13[[#This Row],[Column1]],[1]Sheet1!$A:$AO,3,FALSE)</f>
        <v>PTO</v>
      </c>
      <c r="D807" s="298" t="s">
        <v>712</v>
      </c>
      <c r="E807" s="450" t="str">
        <f>VLOOKUP(Table13[[#This Row],[Column1]],[1]Sheet1!$A:$AO,5,FALSE)</f>
        <v>NP-53.9 - Small Value Procurement</v>
      </c>
      <c r="F807" s="446" t="str">
        <f>VLOOKUP(Table13[[#This Row],[Column1]],[1]Sheet1!$A:$AO,6,FALSE)</f>
        <v>N/A</v>
      </c>
      <c r="G807" s="402">
        <f>VLOOKUP(Table13[[#This Row],[Column1]],[1]Sheet1!$A:$AO,7,FALSE)</f>
        <v>45412</v>
      </c>
      <c r="H807" s="374"/>
      <c r="I807" s="402" t="str">
        <f>VLOOKUP(Table13[[#This Row],[Column1]],[1]Sheet1!$A:$AO,9,FALSE)</f>
        <v>N/A</v>
      </c>
      <c r="J807" s="402">
        <f>VLOOKUP(Table13[[#This Row],[Column1]],[1]Sheet1!$A:$AO,10,FALSE)</f>
        <v>45446</v>
      </c>
      <c r="K807" s="402">
        <f>VLOOKUP(Table13[[#This Row],[Column1]],[1]Sheet1!$A:$AO,11,FALSE)</f>
        <v>45446</v>
      </c>
      <c r="L807" s="404"/>
      <c r="M807" s="402" t="str">
        <f>VLOOKUP(Table13[[#This Row],[Column1]],[1]Sheet1!$A:$AO,13,FALSE)</f>
        <v>N/A</v>
      </c>
      <c r="N807" s="402" t="str">
        <f>VLOOKUP(Table13[[#This Row],[Column1]],[1]Sheet1!$A:$AO,14,FALSE)</f>
        <v>N/A</v>
      </c>
      <c r="O807" s="402">
        <f>VLOOKUP(Table13[[#This Row],[Column1]],[1]Sheet1!$A:$AO,15,FALSE)</f>
        <v>45450</v>
      </c>
      <c r="P807" s="375"/>
      <c r="Q807" s="375"/>
      <c r="R807" s="376"/>
      <c r="S807" s="583" t="s">
        <v>713</v>
      </c>
      <c r="T807" s="583">
        <f>VLOOKUP(Table13[[#This Row],[Column1]],[1]Sheet1!$A:$AO,20,FALSE)</f>
        <v>45456</v>
      </c>
      <c r="U807" s="583"/>
      <c r="V807" s="376"/>
      <c r="W807" s="376"/>
      <c r="X807" s="402"/>
      <c r="Y807" s="402"/>
      <c r="Z807" s="610" t="s">
        <v>1478</v>
      </c>
      <c r="AA807" s="532">
        <f>IF(Table13[[#This Row],[Column2]]="","",SUM(Table13[[#This Row],[Column28]]+Table13[[#This Row],[Column29]]))</f>
        <v>30000</v>
      </c>
      <c r="AB807" s="537">
        <v>30000</v>
      </c>
      <c r="AC807" s="502"/>
      <c r="AD807" s="532">
        <f>IF(Table13[[#This Row],[Column2]]="","",SUM(Table13[[#This Row],[Column31]]+Table13[[#This Row],[Column32]]))</f>
        <v>30000</v>
      </c>
      <c r="AE807" s="501">
        <v>30000</v>
      </c>
      <c r="AF807" s="541"/>
      <c r="AG807" s="405"/>
      <c r="AH807" s="380" t="s">
        <v>1205</v>
      </c>
      <c r="AI807" s="576" t="str">
        <f>VLOOKUP(Table13[[#This Row],[Column1]],[1]Sheet1!$A:$AO,35,FALSE)</f>
        <v>N/A</v>
      </c>
      <c r="AJ807" s="576" t="str">
        <f>VLOOKUP(Table13[[#This Row],[Column1]],[1]Sheet1!$A:$AO,36,FALSE)</f>
        <v>N/A</v>
      </c>
      <c r="AK807" s="576" t="str">
        <f>VLOOKUP(Table13[[#This Row],[Column1]],[1]Sheet1!$A:$AO,37,FALSE)</f>
        <v>N/A</v>
      </c>
      <c r="AL807" s="576" t="str">
        <f>VLOOKUP(Table13[[#This Row],[Column1]],[1]Sheet1!$A:$AO,38,FALSE)</f>
        <v>N/A</v>
      </c>
      <c r="AM807" s="576" t="str">
        <f>VLOOKUP(Table13[[#This Row],[Column1]],[1]Sheet1!$A:$AO,39,FALSE)</f>
        <v>N/A</v>
      </c>
      <c r="AN807" s="576" t="s">
        <v>713</v>
      </c>
      <c r="AO807" s="303" t="s">
        <v>1172</v>
      </c>
      <c r="AP807" s="378"/>
      <c r="AQ807" s="237"/>
    </row>
    <row r="808" spans="1:43" s="238" customFormat="1" ht="75" customHeight="1" x14ac:dyDescent="0.25">
      <c r="A808" s="556" t="s">
        <v>1020</v>
      </c>
      <c r="B808" s="627" t="str">
        <f>VLOOKUP(Table13[[#This Row],[Column1]],[1]Sheet1!$A:$AO,2,FALSE)</f>
        <v>SPAREPARTS (LIGHT
VEHICLES)</v>
      </c>
      <c r="C808" s="298" t="str">
        <f>VLOOKUP(Table13[[#This Row],[Column1]],[1]Sheet1!$A:$AO,3,FALSE)</f>
        <v>PGSO</v>
      </c>
      <c r="D808" s="298" t="s">
        <v>712</v>
      </c>
      <c r="E808" s="450" t="str">
        <f>VLOOKUP(Table13[[#This Row],[Column1]],[1]Sheet1!$A:$AO,5,FALSE)</f>
        <v>NP-53.9 - Small Value Procurement</v>
      </c>
      <c r="F808" s="446">
        <f>VLOOKUP(Table13[[#This Row],[Column1]],[1]Sheet1!$A:$AO,6,FALSE)</f>
        <v>45407</v>
      </c>
      <c r="G808" s="402">
        <f>VLOOKUP(Table13[[#This Row],[Column1]],[1]Sheet1!$A:$AO,7,FALSE)</f>
        <v>45412</v>
      </c>
      <c r="H808" s="374"/>
      <c r="I808" s="402" t="str">
        <f>VLOOKUP(Table13[[#This Row],[Column1]],[1]Sheet1!$A:$AO,9,FALSE)</f>
        <v>N/A</v>
      </c>
      <c r="J808" s="402">
        <f>VLOOKUP(Table13[[#This Row],[Column1]],[1]Sheet1!$A:$AO,10,FALSE)</f>
        <v>45446</v>
      </c>
      <c r="K808" s="402">
        <f>VLOOKUP(Table13[[#This Row],[Column1]],[1]Sheet1!$A:$AO,11,FALSE)</f>
        <v>45446</v>
      </c>
      <c r="L808" s="404"/>
      <c r="M808" s="402" t="str">
        <f>VLOOKUP(Table13[[#This Row],[Column1]],[1]Sheet1!$A:$AO,13,FALSE)</f>
        <v>N/A</v>
      </c>
      <c r="N808" s="402" t="str">
        <f>VLOOKUP(Table13[[#This Row],[Column1]],[1]Sheet1!$A:$AO,14,FALSE)</f>
        <v>N/A</v>
      </c>
      <c r="O808" s="402">
        <f>VLOOKUP(Table13[[#This Row],[Column1]],[1]Sheet1!$A:$AO,15,FALSE)</f>
        <v>45450</v>
      </c>
      <c r="P808" s="375"/>
      <c r="Q808" s="375"/>
      <c r="R808" s="376"/>
      <c r="S808" s="583" t="s">
        <v>713</v>
      </c>
      <c r="T808" s="583">
        <f>VLOOKUP(Table13[[#This Row],[Column1]],[1]Sheet1!$A:$AO,20,FALSE)</f>
        <v>45454</v>
      </c>
      <c r="U808" s="583"/>
      <c r="V808" s="376"/>
      <c r="W808" s="376"/>
      <c r="X808" s="402"/>
      <c r="Y808" s="402"/>
      <c r="Z808" s="610" t="s">
        <v>1478</v>
      </c>
      <c r="AA808" s="532">
        <f>IF(Table13[[#This Row],[Column2]]="","",SUM(Table13[[#This Row],[Column28]]+Table13[[#This Row],[Column29]]))</f>
        <v>1950</v>
      </c>
      <c r="AB808" s="537">
        <v>1950</v>
      </c>
      <c r="AC808" s="502"/>
      <c r="AD808" s="532">
        <f>IF(Table13[[#This Row],[Column2]]="","",SUM(Table13[[#This Row],[Column31]]+Table13[[#This Row],[Column32]]))</f>
        <v>1850</v>
      </c>
      <c r="AE808" s="501">
        <v>1850</v>
      </c>
      <c r="AF808" s="541"/>
      <c r="AG808" s="405"/>
      <c r="AH808" s="380" t="s">
        <v>1205</v>
      </c>
      <c r="AI808" s="576" t="str">
        <f>VLOOKUP(Table13[[#This Row],[Column1]],[1]Sheet1!$A:$AO,35,FALSE)</f>
        <v>N/A</v>
      </c>
      <c r="AJ808" s="576" t="str">
        <f>VLOOKUP(Table13[[#This Row],[Column1]],[1]Sheet1!$A:$AO,36,FALSE)</f>
        <v>N/A</v>
      </c>
      <c r="AK808" s="576" t="str">
        <f>VLOOKUP(Table13[[#This Row],[Column1]],[1]Sheet1!$A:$AO,37,FALSE)</f>
        <v>N/A</v>
      </c>
      <c r="AL808" s="576" t="str">
        <f>VLOOKUP(Table13[[#This Row],[Column1]],[1]Sheet1!$A:$AO,38,FALSE)</f>
        <v>N/A</v>
      </c>
      <c r="AM808" s="576" t="str">
        <f>VLOOKUP(Table13[[#This Row],[Column1]],[1]Sheet1!$A:$AO,39,FALSE)</f>
        <v>N/A</v>
      </c>
      <c r="AN808" s="576" t="s">
        <v>713</v>
      </c>
      <c r="AO808" s="303" t="s">
        <v>1172</v>
      </c>
      <c r="AP808" s="378"/>
      <c r="AQ808" s="237"/>
    </row>
    <row r="809" spans="1:43" s="238" customFormat="1" ht="75" customHeight="1" x14ac:dyDescent="0.25">
      <c r="A809" s="556" t="s">
        <v>1021</v>
      </c>
      <c r="B809" s="627" t="str">
        <f>VLOOKUP(Table13[[#This Row],[Column1]],[1]Sheet1!$A:$AO,2,FALSE)</f>
        <v>CONSTRUCTION MATERIALS</v>
      </c>
      <c r="C809" s="298" t="str">
        <f>VLOOKUP(Table13[[#This Row],[Column1]],[1]Sheet1!$A:$AO,3,FALSE)</f>
        <v>PDRRMO</v>
      </c>
      <c r="D809" s="298" t="s">
        <v>712</v>
      </c>
      <c r="E809" s="450" t="str">
        <f>VLOOKUP(Table13[[#This Row],[Column1]],[1]Sheet1!$A:$AO,5,FALSE)</f>
        <v>NP-53.9 - Small Value Procurement</v>
      </c>
      <c r="F809" s="446">
        <f>VLOOKUP(Table13[[#This Row],[Column1]],[1]Sheet1!$A:$AO,6,FALSE)</f>
        <v>45407</v>
      </c>
      <c r="G809" s="402">
        <f>VLOOKUP(Table13[[#This Row],[Column1]],[1]Sheet1!$A:$AO,7,FALSE)</f>
        <v>45412</v>
      </c>
      <c r="H809" s="374"/>
      <c r="I809" s="402" t="str">
        <f>VLOOKUP(Table13[[#This Row],[Column1]],[1]Sheet1!$A:$AO,9,FALSE)</f>
        <v>N/A</v>
      </c>
      <c r="J809" s="402">
        <f>VLOOKUP(Table13[[#This Row],[Column1]],[1]Sheet1!$A:$AO,10,FALSE)</f>
        <v>45446</v>
      </c>
      <c r="K809" s="402">
        <f>VLOOKUP(Table13[[#This Row],[Column1]],[1]Sheet1!$A:$AO,11,FALSE)</f>
        <v>45446</v>
      </c>
      <c r="L809" s="404"/>
      <c r="M809" s="402" t="str">
        <f>VLOOKUP(Table13[[#This Row],[Column1]],[1]Sheet1!$A:$AO,13,FALSE)</f>
        <v>N/A</v>
      </c>
      <c r="N809" s="402" t="str">
        <f>VLOOKUP(Table13[[#This Row],[Column1]],[1]Sheet1!$A:$AO,14,FALSE)</f>
        <v>N/A</v>
      </c>
      <c r="O809" s="402">
        <f>VLOOKUP(Table13[[#This Row],[Column1]],[1]Sheet1!$A:$AO,15,FALSE)</f>
        <v>45450</v>
      </c>
      <c r="P809" s="375"/>
      <c r="Q809" s="375"/>
      <c r="R809" s="376"/>
      <c r="S809" s="583" t="s">
        <v>713</v>
      </c>
      <c r="T809" s="583">
        <f>VLOOKUP(Table13[[#This Row],[Column1]],[1]Sheet1!$A:$AO,20,FALSE)</f>
        <v>45456</v>
      </c>
      <c r="U809" s="583"/>
      <c r="V809" s="376"/>
      <c r="W809" s="376"/>
      <c r="X809" s="402"/>
      <c r="Y809" s="402"/>
      <c r="Z809" s="610" t="s">
        <v>1478</v>
      </c>
      <c r="AA809" s="532">
        <f>IF(Table13[[#This Row],[Column2]]="","",SUM(Table13[[#This Row],[Column28]]+Table13[[#This Row],[Column29]]))</f>
        <v>10902</v>
      </c>
      <c r="AB809" s="537"/>
      <c r="AC809" s="502">
        <v>10902</v>
      </c>
      <c r="AD809" s="532">
        <f>IF(Table13[[#This Row],[Column2]]="","",SUM(Table13[[#This Row],[Column31]]+Table13[[#This Row],[Column32]]))</f>
        <v>10858</v>
      </c>
      <c r="AE809" s="501"/>
      <c r="AF809" s="540">
        <v>10858</v>
      </c>
      <c r="AG809" s="405"/>
      <c r="AH809" s="380" t="s">
        <v>1205</v>
      </c>
      <c r="AI809" s="576" t="str">
        <f>VLOOKUP(Table13[[#This Row],[Column1]],[1]Sheet1!$A:$AO,35,FALSE)</f>
        <v>N/A</v>
      </c>
      <c r="AJ809" s="576" t="str">
        <f>VLOOKUP(Table13[[#This Row],[Column1]],[1]Sheet1!$A:$AO,36,FALSE)</f>
        <v>N/A</v>
      </c>
      <c r="AK809" s="576" t="str">
        <f>VLOOKUP(Table13[[#This Row],[Column1]],[1]Sheet1!$A:$AO,37,FALSE)</f>
        <v>N/A</v>
      </c>
      <c r="AL809" s="576" t="str">
        <f>VLOOKUP(Table13[[#This Row],[Column1]],[1]Sheet1!$A:$AO,38,FALSE)</f>
        <v>N/A</v>
      </c>
      <c r="AM809" s="576" t="str">
        <f>VLOOKUP(Table13[[#This Row],[Column1]],[1]Sheet1!$A:$AO,39,FALSE)</f>
        <v>N/A</v>
      </c>
      <c r="AN809" s="576" t="s">
        <v>713</v>
      </c>
      <c r="AO809" s="303" t="s">
        <v>1172</v>
      </c>
      <c r="AP809" s="378"/>
      <c r="AQ809" s="237"/>
    </row>
    <row r="810" spans="1:43" s="238" customFormat="1" ht="75" customHeight="1" x14ac:dyDescent="0.25">
      <c r="A810" s="556" t="s">
        <v>1022</v>
      </c>
      <c r="B810" s="627" t="str">
        <f>VLOOKUP(Table13[[#This Row],[Column1]],[1]Sheet1!$A:$AO,2,FALSE)</f>
        <v>NURSERY NET &amp; PLASTIC
SPRAYER</v>
      </c>
      <c r="C810" s="298" t="str">
        <f>VLOOKUP(Table13[[#This Row],[Column1]],[1]Sheet1!$A:$AO,3,FALSE)</f>
        <v>PAGRO</v>
      </c>
      <c r="D810" s="298" t="s">
        <v>712</v>
      </c>
      <c r="E810" s="450" t="str">
        <f>VLOOKUP(Table13[[#This Row],[Column1]],[1]Sheet1!$A:$AO,5,FALSE)</f>
        <v>NP-53.9 - Small Value Procurement</v>
      </c>
      <c r="F810" s="446" t="str">
        <f>VLOOKUP(Table13[[#This Row],[Column1]],[1]Sheet1!$A:$AO,6,FALSE)</f>
        <v>N/A</v>
      </c>
      <c r="G810" s="402">
        <f>VLOOKUP(Table13[[#This Row],[Column1]],[1]Sheet1!$A:$AO,7,FALSE)</f>
        <v>45434</v>
      </c>
      <c r="H810" s="374"/>
      <c r="I810" s="402" t="str">
        <f>VLOOKUP(Table13[[#This Row],[Column1]],[1]Sheet1!$A:$AO,9,FALSE)</f>
        <v>N/A</v>
      </c>
      <c r="J810" s="402">
        <f>VLOOKUP(Table13[[#This Row],[Column1]],[1]Sheet1!$A:$AO,10,FALSE)</f>
        <v>45446</v>
      </c>
      <c r="K810" s="402">
        <f>VLOOKUP(Table13[[#This Row],[Column1]],[1]Sheet1!$A:$AO,11,FALSE)</f>
        <v>45446</v>
      </c>
      <c r="L810" s="404"/>
      <c r="M810" s="402" t="str">
        <f>VLOOKUP(Table13[[#This Row],[Column1]],[1]Sheet1!$A:$AO,13,FALSE)</f>
        <v>N/A</v>
      </c>
      <c r="N810" s="402" t="str">
        <f>VLOOKUP(Table13[[#This Row],[Column1]],[1]Sheet1!$A:$AO,14,FALSE)</f>
        <v>N/A</v>
      </c>
      <c r="O810" s="402">
        <f>VLOOKUP(Table13[[#This Row],[Column1]],[1]Sheet1!$A:$AO,15,FALSE)</f>
        <v>45450</v>
      </c>
      <c r="P810" s="375"/>
      <c r="Q810" s="375"/>
      <c r="R810" s="376"/>
      <c r="S810" s="583" t="s">
        <v>713</v>
      </c>
      <c r="T810" s="583">
        <f>VLOOKUP(Table13[[#This Row],[Column1]],[1]Sheet1!$A:$AO,20,FALSE)</f>
        <v>45454</v>
      </c>
      <c r="U810" s="583"/>
      <c r="V810" s="376"/>
      <c r="W810" s="376"/>
      <c r="X810" s="402"/>
      <c r="Y810" s="402"/>
      <c r="Z810" s="610" t="s">
        <v>1478</v>
      </c>
      <c r="AA810" s="532">
        <f>IF(Table13[[#This Row],[Column2]]="","",SUM(Table13[[#This Row],[Column28]]+Table13[[#This Row],[Column29]]))</f>
        <v>14920</v>
      </c>
      <c r="AB810" s="537"/>
      <c r="AC810" s="502">
        <v>14920</v>
      </c>
      <c r="AD810" s="532">
        <f>IF(Table13[[#This Row],[Column2]]="","",SUM(Table13[[#This Row],[Column31]]+Table13[[#This Row],[Column32]]))</f>
        <v>14880</v>
      </c>
      <c r="AE810" s="501"/>
      <c r="AF810" s="540">
        <v>14880</v>
      </c>
      <c r="AG810" s="405"/>
      <c r="AH810" s="380" t="s">
        <v>1205</v>
      </c>
      <c r="AI810" s="576" t="str">
        <f>VLOOKUP(Table13[[#This Row],[Column1]],[1]Sheet1!$A:$AO,35,FALSE)</f>
        <v>N/A</v>
      </c>
      <c r="AJ810" s="576" t="str">
        <f>VLOOKUP(Table13[[#This Row],[Column1]],[1]Sheet1!$A:$AO,36,FALSE)</f>
        <v>N/A</v>
      </c>
      <c r="AK810" s="576" t="str">
        <f>VLOOKUP(Table13[[#This Row],[Column1]],[1]Sheet1!$A:$AO,37,FALSE)</f>
        <v>N/A</v>
      </c>
      <c r="AL810" s="576" t="str">
        <f>VLOOKUP(Table13[[#This Row],[Column1]],[1]Sheet1!$A:$AO,38,FALSE)</f>
        <v>N/A</v>
      </c>
      <c r="AM810" s="576" t="str">
        <f>VLOOKUP(Table13[[#This Row],[Column1]],[1]Sheet1!$A:$AO,39,FALSE)</f>
        <v>N/A</v>
      </c>
      <c r="AN810" s="576" t="s">
        <v>713</v>
      </c>
      <c r="AO810" s="303" t="s">
        <v>1172</v>
      </c>
      <c r="AP810" s="378"/>
      <c r="AQ810" s="237"/>
    </row>
    <row r="811" spans="1:43" s="238" customFormat="1" ht="75" customHeight="1" x14ac:dyDescent="0.25">
      <c r="A811" s="556" t="s">
        <v>1023</v>
      </c>
      <c r="B811" s="627" t="str">
        <f>VLOOKUP(Table13[[#This Row],[Column1]],[1]Sheet1!$A:$AO,2,FALSE)</f>
        <v>PLAQUE, FIBER GLASS</v>
      </c>
      <c r="C811" s="298" t="str">
        <f>VLOOKUP(Table13[[#This Row],[Column1]],[1]Sheet1!$A:$AO,3,FALSE)</f>
        <v>SEF</v>
      </c>
      <c r="D811" s="298" t="s">
        <v>712</v>
      </c>
      <c r="E811" s="450" t="str">
        <f>VLOOKUP(Table13[[#This Row],[Column1]],[1]Sheet1!$A:$AO,5,FALSE)</f>
        <v>NP-53.9 - Small Value Procurement</v>
      </c>
      <c r="F811" s="446" t="str">
        <f>VLOOKUP(Table13[[#This Row],[Column1]],[1]Sheet1!$A:$AO,6,FALSE)</f>
        <v>N/A</v>
      </c>
      <c r="G811" s="402">
        <f>VLOOKUP(Table13[[#This Row],[Column1]],[1]Sheet1!$A:$AO,7,FALSE)</f>
        <v>45434</v>
      </c>
      <c r="H811" s="374"/>
      <c r="I811" s="402" t="str">
        <f>VLOOKUP(Table13[[#This Row],[Column1]],[1]Sheet1!$A:$AO,9,FALSE)</f>
        <v>N/A</v>
      </c>
      <c r="J811" s="402">
        <f>VLOOKUP(Table13[[#This Row],[Column1]],[1]Sheet1!$A:$AO,10,FALSE)</f>
        <v>45446</v>
      </c>
      <c r="K811" s="402">
        <f>VLOOKUP(Table13[[#This Row],[Column1]],[1]Sheet1!$A:$AO,11,FALSE)</f>
        <v>45446</v>
      </c>
      <c r="L811" s="404"/>
      <c r="M811" s="402" t="str">
        <f>VLOOKUP(Table13[[#This Row],[Column1]],[1]Sheet1!$A:$AO,13,FALSE)</f>
        <v>N/A</v>
      </c>
      <c r="N811" s="402" t="str">
        <f>VLOOKUP(Table13[[#This Row],[Column1]],[1]Sheet1!$A:$AO,14,FALSE)</f>
        <v>N/A</v>
      </c>
      <c r="O811" s="402">
        <f>VLOOKUP(Table13[[#This Row],[Column1]],[1]Sheet1!$A:$AO,15,FALSE)</f>
        <v>45450</v>
      </c>
      <c r="P811" s="375"/>
      <c r="Q811" s="375"/>
      <c r="R811" s="376"/>
      <c r="S811" s="583" t="s">
        <v>713</v>
      </c>
      <c r="T811" s="583">
        <f>VLOOKUP(Table13[[#This Row],[Column1]],[1]Sheet1!$A:$AO,20,FALSE)</f>
        <v>45454</v>
      </c>
      <c r="U811" s="583"/>
      <c r="V811" s="376"/>
      <c r="W811" s="376"/>
      <c r="X811" s="402"/>
      <c r="Y811" s="402"/>
      <c r="Z811" s="610" t="s">
        <v>1478</v>
      </c>
      <c r="AA811" s="532">
        <f>IF(Table13[[#This Row],[Column2]]="","",SUM(Table13[[#This Row],[Column28]]+Table13[[#This Row],[Column29]]))</f>
        <v>9000</v>
      </c>
      <c r="AB811" s="537"/>
      <c r="AC811" s="502">
        <v>9000</v>
      </c>
      <c r="AD811" s="532">
        <f>IF(Table13[[#This Row],[Column2]]="","",SUM(Table13[[#This Row],[Column31]]+Table13[[#This Row],[Column32]]))</f>
        <v>9000</v>
      </c>
      <c r="AE811" s="501"/>
      <c r="AF811" s="540">
        <v>9000</v>
      </c>
      <c r="AG811" s="405"/>
      <c r="AH811" s="380" t="s">
        <v>1205</v>
      </c>
      <c r="AI811" s="576" t="str">
        <f>VLOOKUP(Table13[[#This Row],[Column1]],[1]Sheet1!$A:$AO,35,FALSE)</f>
        <v>N/A</v>
      </c>
      <c r="AJ811" s="576" t="str">
        <f>VLOOKUP(Table13[[#This Row],[Column1]],[1]Sheet1!$A:$AO,36,FALSE)</f>
        <v>N/A</v>
      </c>
      <c r="AK811" s="576" t="str">
        <f>VLOOKUP(Table13[[#This Row],[Column1]],[1]Sheet1!$A:$AO,37,FALSE)</f>
        <v>N/A</v>
      </c>
      <c r="AL811" s="576" t="str">
        <f>VLOOKUP(Table13[[#This Row],[Column1]],[1]Sheet1!$A:$AO,38,FALSE)</f>
        <v>N/A</v>
      </c>
      <c r="AM811" s="576" t="str">
        <f>VLOOKUP(Table13[[#This Row],[Column1]],[1]Sheet1!$A:$AO,39,FALSE)</f>
        <v>N/A</v>
      </c>
      <c r="AN811" s="576" t="s">
        <v>713</v>
      </c>
      <c r="AO811" s="303" t="s">
        <v>1172</v>
      </c>
      <c r="AP811" s="378"/>
      <c r="AQ811" s="237"/>
    </row>
    <row r="812" spans="1:43" s="238" customFormat="1" ht="75" customHeight="1" x14ac:dyDescent="0.25">
      <c r="A812" s="556" t="s">
        <v>1024</v>
      </c>
      <c r="B812" s="627" t="str">
        <f>VLOOKUP(Table13[[#This Row],[Column1]],[1]Sheet1!$A:$AO,2,FALSE)</f>
        <v>SPAREPARTS (LIGHT
VEHICLES)</v>
      </c>
      <c r="C812" s="298" t="str">
        <f>VLOOKUP(Table13[[#This Row],[Column1]],[1]Sheet1!$A:$AO,3,FALSE)</f>
        <v>PGSO</v>
      </c>
      <c r="D812" s="298" t="s">
        <v>712</v>
      </c>
      <c r="E812" s="450" t="str">
        <f>VLOOKUP(Table13[[#This Row],[Column1]],[1]Sheet1!$A:$AO,5,FALSE)</f>
        <v>NP-53.9 - Small Value Procurement</v>
      </c>
      <c r="F812" s="446">
        <f>VLOOKUP(Table13[[#This Row],[Column1]],[1]Sheet1!$A:$AO,6,FALSE)</f>
        <v>45390</v>
      </c>
      <c r="G812" s="402">
        <f>VLOOKUP(Table13[[#This Row],[Column1]],[1]Sheet1!$A:$AO,7,FALSE)</f>
        <v>45397</v>
      </c>
      <c r="H812" s="374"/>
      <c r="I812" s="402" t="str">
        <f>VLOOKUP(Table13[[#This Row],[Column1]],[1]Sheet1!$A:$AO,9,FALSE)</f>
        <v>N/A</v>
      </c>
      <c r="J812" s="402">
        <f>VLOOKUP(Table13[[#This Row],[Column1]],[1]Sheet1!$A:$AO,10,FALSE)</f>
        <v>45446</v>
      </c>
      <c r="K812" s="402">
        <f>VLOOKUP(Table13[[#This Row],[Column1]],[1]Sheet1!$A:$AO,11,FALSE)</f>
        <v>45446</v>
      </c>
      <c r="L812" s="404"/>
      <c r="M812" s="402" t="str">
        <f>VLOOKUP(Table13[[#This Row],[Column1]],[1]Sheet1!$A:$AO,13,FALSE)</f>
        <v>N/A</v>
      </c>
      <c r="N812" s="402" t="str">
        <f>VLOOKUP(Table13[[#This Row],[Column1]],[1]Sheet1!$A:$AO,14,FALSE)</f>
        <v>N/A</v>
      </c>
      <c r="O812" s="402">
        <f>VLOOKUP(Table13[[#This Row],[Column1]],[1]Sheet1!$A:$AO,15,FALSE)</f>
        <v>45450</v>
      </c>
      <c r="P812" s="375"/>
      <c r="Q812" s="375"/>
      <c r="R812" s="376"/>
      <c r="S812" s="583">
        <v>45453</v>
      </c>
      <c r="T812" s="583">
        <f>VLOOKUP(Table13[[#This Row],[Column1]],[1]Sheet1!$A:$AO,20,FALSE)</f>
        <v>45454</v>
      </c>
      <c r="U812" s="583"/>
      <c r="V812" s="376"/>
      <c r="W812" s="376"/>
      <c r="X812" s="402"/>
      <c r="Y812" s="402"/>
      <c r="Z812" s="610" t="s">
        <v>1478</v>
      </c>
      <c r="AA812" s="532">
        <f>IF(Table13[[#This Row],[Column2]]="","",SUM(Table13[[#This Row],[Column28]]+Table13[[#This Row],[Column29]]))</f>
        <v>73090</v>
      </c>
      <c r="AB812" s="537">
        <v>73090</v>
      </c>
      <c r="AC812" s="502"/>
      <c r="AD812" s="532">
        <f>IF(Table13[[#This Row],[Column2]]="","",SUM(Table13[[#This Row],[Column31]]+Table13[[#This Row],[Column32]]))</f>
        <v>73090</v>
      </c>
      <c r="AE812" s="501">
        <v>73090</v>
      </c>
      <c r="AF812" s="541"/>
      <c r="AG812" s="405"/>
      <c r="AH812" s="380" t="s">
        <v>1205</v>
      </c>
      <c r="AI812" s="576" t="str">
        <f>VLOOKUP(Table13[[#This Row],[Column1]],[1]Sheet1!$A:$AO,35,FALSE)</f>
        <v>N/A</v>
      </c>
      <c r="AJ812" s="576" t="str">
        <f>VLOOKUP(Table13[[#This Row],[Column1]],[1]Sheet1!$A:$AO,36,FALSE)</f>
        <v>N/A</v>
      </c>
      <c r="AK812" s="576" t="str">
        <f>VLOOKUP(Table13[[#This Row],[Column1]],[1]Sheet1!$A:$AO,37,FALSE)</f>
        <v>N/A</v>
      </c>
      <c r="AL812" s="576" t="str">
        <f>VLOOKUP(Table13[[#This Row],[Column1]],[1]Sheet1!$A:$AO,38,FALSE)</f>
        <v>N/A</v>
      </c>
      <c r="AM812" s="576" t="str">
        <f>VLOOKUP(Table13[[#This Row],[Column1]],[1]Sheet1!$A:$AO,39,FALSE)</f>
        <v>N/A</v>
      </c>
      <c r="AN812" s="576" t="s">
        <v>713</v>
      </c>
      <c r="AO812" s="303" t="s">
        <v>1172</v>
      </c>
      <c r="AP812" s="378"/>
      <c r="AQ812" s="237"/>
    </row>
    <row r="813" spans="1:43" s="238" customFormat="1" ht="75" customHeight="1" x14ac:dyDescent="0.25">
      <c r="A813" s="556" t="s">
        <v>1025</v>
      </c>
      <c r="B813" s="627" t="str">
        <f>VLOOKUP(Table13[[#This Row],[Column1]],[1]Sheet1!$A:$AO,2,FALSE)</f>
        <v>ELECTRICAL SUPPLIES</v>
      </c>
      <c r="C813" s="298" t="str">
        <f>VLOOKUP(Table13[[#This Row],[Column1]],[1]Sheet1!$A:$AO,3,FALSE)</f>
        <v>PEEMO</v>
      </c>
      <c r="D813" s="298" t="s">
        <v>712</v>
      </c>
      <c r="E813" s="450" t="str">
        <f>VLOOKUP(Table13[[#This Row],[Column1]],[1]Sheet1!$A:$AO,5,FALSE)</f>
        <v>NP-53.9 - Small Value Procurement</v>
      </c>
      <c r="F813" s="446" t="str">
        <f>VLOOKUP(Table13[[#This Row],[Column1]],[1]Sheet1!$A:$AO,6,FALSE)</f>
        <v>N/A</v>
      </c>
      <c r="G813" s="402">
        <f>VLOOKUP(Table13[[#This Row],[Column1]],[1]Sheet1!$A:$AO,7,FALSE)</f>
        <v>45397</v>
      </c>
      <c r="H813" s="374"/>
      <c r="I813" s="402" t="str">
        <f>VLOOKUP(Table13[[#This Row],[Column1]],[1]Sheet1!$A:$AO,9,FALSE)</f>
        <v>N/A</v>
      </c>
      <c r="J813" s="402">
        <f>VLOOKUP(Table13[[#This Row],[Column1]],[1]Sheet1!$A:$AO,10,FALSE)</f>
        <v>45446</v>
      </c>
      <c r="K813" s="402">
        <f>VLOOKUP(Table13[[#This Row],[Column1]],[1]Sheet1!$A:$AO,11,FALSE)</f>
        <v>45446</v>
      </c>
      <c r="L813" s="404"/>
      <c r="M813" s="402" t="str">
        <f>VLOOKUP(Table13[[#This Row],[Column1]],[1]Sheet1!$A:$AO,13,FALSE)</f>
        <v>N/A</v>
      </c>
      <c r="N813" s="402" t="str">
        <f>VLOOKUP(Table13[[#This Row],[Column1]],[1]Sheet1!$A:$AO,14,FALSE)</f>
        <v>N/A</v>
      </c>
      <c r="O813" s="402">
        <f>VLOOKUP(Table13[[#This Row],[Column1]],[1]Sheet1!$A:$AO,15,FALSE)</f>
        <v>45450</v>
      </c>
      <c r="P813" s="375"/>
      <c r="Q813" s="375"/>
      <c r="R813" s="376"/>
      <c r="S813" s="583">
        <v>45449</v>
      </c>
      <c r="T813" s="583">
        <f>VLOOKUP(Table13[[#This Row],[Column1]],[1]Sheet1!$A:$AO,20,FALSE)</f>
        <v>45454</v>
      </c>
      <c r="U813" s="583"/>
      <c r="V813" s="376"/>
      <c r="W813" s="376"/>
      <c r="X813" s="402"/>
      <c r="Y813" s="402"/>
      <c r="Z813" s="610" t="s">
        <v>1478</v>
      </c>
      <c r="AA813" s="532">
        <f>IF(Table13[[#This Row],[Column2]]="","",SUM(Table13[[#This Row],[Column28]]+Table13[[#This Row],[Column29]]))</f>
        <v>67485</v>
      </c>
      <c r="AB813" s="537">
        <v>67485</v>
      </c>
      <c r="AC813" s="502"/>
      <c r="AD813" s="532">
        <f>IF(Table13[[#This Row],[Column2]]="","",SUM(Table13[[#This Row],[Column31]]+Table13[[#This Row],[Column32]]))</f>
        <v>61250</v>
      </c>
      <c r="AE813" s="501">
        <v>61250</v>
      </c>
      <c r="AF813" s="541"/>
      <c r="AG813" s="405"/>
      <c r="AH813" s="380" t="s">
        <v>1205</v>
      </c>
      <c r="AI813" s="576" t="str">
        <f>VLOOKUP(Table13[[#This Row],[Column1]],[1]Sheet1!$A:$AO,35,FALSE)</f>
        <v>N/A</v>
      </c>
      <c r="AJ813" s="576" t="str">
        <f>VLOOKUP(Table13[[#This Row],[Column1]],[1]Sheet1!$A:$AO,36,FALSE)</f>
        <v>N/A</v>
      </c>
      <c r="AK813" s="576" t="str">
        <f>VLOOKUP(Table13[[#This Row],[Column1]],[1]Sheet1!$A:$AO,37,FALSE)</f>
        <v>N/A</v>
      </c>
      <c r="AL813" s="576" t="str">
        <f>VLOOKUP(Table13[[#This Row],[Column1]],[1]Sheet1!$A:$AO,38,FALSE)</f>
        <v>N/A</v>
      </c>
      <c r="AM813" s="576" t="str">
        <f>VLOOKUP(Table13[[#This Row],[Column1]],[1]Sheet1!$A:$AO,39,FALSE)</f>
        <v>N/A</v>
      </c>
      <c r="AN813" s="576" t="s">
        <v>713</v>
      </c>
      <c r="AO813" s="303" t="s">
        <v>1172</v>
      </c>
      <c r="AP813" s="378"/>
      <c r="AQ813" s="237"/>
    </row>
    <row r="814" spans="1:43" s="238" customFormat="1" ht="75" customHeight="1" x14ac:dyDescent="0.25">
      <c r="A814" s="556" t="s">
        <v>1026</v>
      </c>
      <c r="B814" s="627" t="str">
        <f>VLOOKUP(Table13[[#This Row],[Column1]],[1]Sheet1!$A:$AO,2,FALSE)</f>
        <v>TROLLEY SPEAKER,
PORTABLE</v>
      </c>
      <c r="C814" s="298" t="str">
        <f>VLOOKUP(Table13[[#This Row],[Column1]],[1]Sheet1!$A:$AO,3,FALSE)</f>
        <v>PAGRO</v>
      </c>
      <c r="D814" s="298" t="s">
        <v>712</v>
      </c>
      <c r="E814" s="450" t="str">
        <f>VLOOKUP(Table13[[#This Row],[Column1]],[1]Sheet1!$A:$AO,5,FALSE)</f>
        <v>NP-53.9 - Small Value Procurement</v>
      </c>
      <c r="F814" s="446" t="str">
        <f>VLOOKUP(Table13[[#This Row],[Column1]],[1]Sheet1!$A:$AO,6,FALSE)</f>
        <v>N/A</v>
      </c>
      <c r="G814" s="402">
        <f>VLOOKUP(Table13[[#This Row],[Column1]],[1]Sheet1!$A:$AO,7,FALSE)</f>
        <v>45397</v>
      </c>
      <c r="H814" s="374"/>
      <c r="I814" s="402" t="str">
        <f>VLOOKUP(Table13[[#This Row],[Column1]],[1]Sheet1!$A:$AO,9,FALSE)</f>
        <v>N/A</v>
      </c>
      <c r="J814" s="402">
        <f>VLOOKUP(Table13[[#This Row],[Column1]],[1]Sheet1!$A:$AO,10,FALSE)</f>
        <v>45446</v>
      </c>
      <c r="K814" s="402">
        <f>VLOOKUP(Table13[[#This Row],[Column1]],[1]Sheet1!$A:$AO,11,FALSE)</f>
        <v>45446</v>
      </c>
      <c r="L814" s="404"/>
      <c r="M814" s="402" t="str">
        <f>VLOOKUP(Table13[[#This Row],[Column1]],[1]Sheet1!$A:$AO,13,FALSE)</f>
        <v>N/A</v>
      </c>
      <c r="N814" s="402" t="str">
        <f>VLOOKUP(Table13[[#This Row],[Column1]],[1]Sheet1!$A:$AO,14,FALSE)</f>
        <v>N/A</v>
      </c>
      <c r="O814" s="402">
        <f>VLOOKUP(Table13[[#This Row],[Column1]],[1]Sheet1!$A:$AO,15,FALSE)</f>
        <v>45450</v>
      </c>
      <c r="P814" s="375"/>
      <c r="Q814" s="375"/>
      <c r="R814" s="376"/>
      <c r="S814" s="583" t="s">
        <v>713</v>
      </c>
      <c r="T814" s="583">
        <f>VLOOKUP(Table13[[#This Row],[Column1]],[1]Sheet1!$A:$AO,20,FALSE)</f>
        <v>45454</v>
      </c>
      <c r="U814" s="583"/>
      <c r="V814" s="376"/>
      <c r="W814" s="376"/>
      <c r="X814" s="402"/>
      <c r="Y814" s="402"/>
      <c r="Z814" s="610" t="s">
        <v>1478</v>
      </c>
      <c r="AA814" s="532">
        <f>IF(Table13[[#This Row],[Column2]]="","",SUM(Table13[[#This Row],[Column28]]+Table13[[#This Row],[Column29]]))</f>
        <v>33600</v>
      </c>
      <c r="AB814" s="537"/>
      <c r="AC814" s="502">
        <v>33600</v>
      </c>
      <c r="AD814" s="532">
        <f>IF(Table13[[#This Row],[Column2]]="","",SUM(Table13[[#This Row],[Column31]]+Table13[[#This Row],[Column32]]))</f>
        <v>33600</v>
      </c>
      <c r="AE814" s="501"/>
      <c r="AF814" s="540">
        <v>33600</v>
      </c>
      <c r="AG814" s="405"/>
      <c r="AH814" s="380" t="s">
        <v>1205</v>
      </c>
      <c r="AI814" s="576" t="str">
        <f>VLOOKUP(Table13[[#This Row],[Column1]],[1]Sheet1!$A:$AO,35,FALSE)</f>
        <v>N/A</v>
      </c>
      <c r="AJ814" s="576" t="str">
        <f>VLOOKUP(Table13[[#This Row],[Column1]],[1]Sheet1!$A:$AO,36,FALSE)</f>
        <v>N/A</v>
      </c>
      <c r="AK814" s="576" t="str">
        <f>VLOOKUP(Table13[[#This Row],[Column1]],[1]Sheet1!$A:$AO,37,FALSE)</f>
        <v>N/A</v>
      </c>
      <c r="AL814" s="576" t="str">
        <f>VLOOKUP(Table13[[#This Row],[Column1]],[1]Sheet1!$A:$AO,38,FALSE)</f>
        <v>N/A</v>
      </c>
      <c r="AM814" s="576" t="str">
        <f>VLOOKUP(Table13[[#This Row],[Column1]],[1]Sheet1!$A:$AO,39,FALSE)</f>
        <v>N/A</v>
      </c>
      <c r="AN814" s="576" t="s">
        <v>713</v>
      </c>
      <c r="AO814" s="303" t="s">
        <v>1172</v>
      </c>
      <c r="AP814" s="378"/>
      <c r="AQ814" s="237"/>
    </row>
    <row r="815" spans="1:43" s="238" customFormat="1" ht="75" customHeight="1" x14ac:dyDescent="0.25">
      <c r="A815" s="556" t="s">
        <v>1027</v>
      </c>
      <c r="B815" s="627" t="str">
        <f>VLOOKUP(Table13[[#This Row],[Column1]],[1]Sheet1!$A:$AO,2,FALSE)</f>
        <v>JOB ORDER: LABOR,
MATERIALS &amp;
INSTALLATION OFFICE
NAMEPLATE</v>
      </c>
      <c r="C815" s="298" t="str">
        <f>VLOOKUP(Table13[[#This Row],[Column1]],[1]Sheet1!$A:$AO,3,FALSE)</f>
        <v>PGO</v>
      </c>
      <c r="D815" s="298" t="s">
        <v>712</v>
      </c>
      <c r="E815" s="450" t="str">
        <f>VLOOKUP(Table13[[#This Row],[Column1]],[1]Sheet1!$A:$AO,5,FALSE)</f>
        <v>NP-53.9 - Small Value Procurement</v>
      </c>
      <c r="F815" s="446" t="str">
        <f>VLOOKUP(Table13[[#This Row],[Column1]],[1]Sheet1!$A:$AO,6,FALSE)</f>
        <v>N/A</v>
      </c>
      <c r="G815" s="402">
        <f>VLOOKUP(Table13[[#This Row],[Column1]],[1]Sheet1!$A:$AO,7,FALSE)</f>
        <v>45385</v>
      </c>
      <c r="H815" s="374"/>
      <c r="I815" s="402" t="str">
        <f>VLOOKUP(Table13[[#This Row],[Column1]],[1]Sheet1!$A:$AO,9,FALSE)</f>
        <v>N/A</v>
      </c>
      <c r="J815" s="402">
        <f>VLOOKUP(Table13[[#This Row],[Column1]],[1]Sheet1!$A:$AO,10,FALSE)</f>
        <v>45446</v>
      </c>
      <c r="K815" s="402">
        <f>VLOOKUP(Table13[[#This Row],[Column1]],[1]Sheet1!$A:$AO,11,FALSE)</f>
        <v>45446</v>
      </c>
      <c r="L815" s="404"/>
      <c r="M815" s="402" t="str">
        <f>VLOOKUP(Table13[[#This Row],[Column1]],[1]Sheet1!$A:$AO,13,FALSE)</f>
        <v>N/A</v>
      </c>
      <c r="N815" s="402" t="str">
        <f>VLOOKUP(Table13[[#This Row],[Column1]],[1]Sheet1!$A:$AO,14,FALSE)</f>
        <v>N/A</v>
      </c>
      <c r="O815" s="402">
        <f>VLOOKUP(Table13[[#This Row],[Column1]],[1]Sheet1!$A:$AO,15,FALSE)</f>
        <v>45450</v>
      </c>
      <c r="P815" s="375"/>
      <c r="Q815" s="375"/>
      <c r="R815" s="376"/>
      <c r="S815" s="583" t="s">
        <v>713</v>
      </c>
      <c r="T815" s="583">
        <f>VLOOKUP(Table13[[#This Row],[Column1]],[1]Sheet1!$A:$AO,20,FALSE)</f>
        <v>45454</v>
      </c>
      <c r="U815" s="583"/>
      <c r="V815" s="376"/>
      <c r="W815" s="376"/>
      <c r="X815" s="402"/>
      <c r="Y815" s="402"/>
      <c r="Z815" s="610" t="s">
        <v>1478</v>
      </c>
      <c r="AA815" s="532">
        <f>IF(Table13[[#This Row],[Column2]]="","",SUM(Table13[[#This Row],[Column28]]+Table13[[#This Row],[Column29]]))</f>
        <v>45000</v>
      </c>
      <c r="AB815" s="537"/>
      <c r="AC815" s="502">
        <v>45000</v>
      </c>
      <c r="AD815" s="532">
        <f>IF(Table13[[#This Row],[Column2]]="","",SUM(Table13[[#This Row],[Column31]]+Table13[[#This Row],[Column32]]))</f>
        <v>45000</v>
      </c>
      <c r="AE815" s="501"/>
      <c r="AF815" s="540">
        <v>45000</v>
      </c>
      <c r="AG815" s="405"/>
      <c r="AH815" s="380" t="s">
        <v>1205</v>
      </c>
      <c r="AI815" s="576" t="str">
        <f>VLOOKUP(Table13[[#This Row],[Column1]],[1]Sheet1!$A:$AO,35,FALSE)</f>
        <v>N/A</v>
      </c>
      <c r="AJ815" s="576" t="str">
        <f>VLOOKUP(Table13[[#This Row],[Column1]],[1]Sheet1!$A:$AO,36,FALSE)</f>
        <v>N/A</v>
      </c>
      <c r="AK815" s="576" t="str">
        <f>VLOOKUP(Table13[[#This Row],[Column1]],[1]Sheet1!$A:$AO,37,FALSE)</f>
        <v>N/A</v>
      </c>
      <c r="AL815" s="576" t="str">
        <f>VLOOKUP(Table13[[#This Row],[Column1]],[1]Sheet1!$A:$AO,38,FALSE)</f>
        <v>N/A</v>
      </c>
      <c r="AM815" s="576" t="str">
        <f>VLOOKUP(Table13[[#This Row],[Column1]],[1]Sheet1!$A:$AO,39,FALSE)</f>
        <v>N/A</v>
      </c>
      <c r="AN815" s="576" t="s">
        <v>713</v>
      </c>
      <c r="AO815" s="303" t="s">
        <v>1172</v>
      </c>
      <c r="AP815" s="378"/>
      <c r="AQ815" s="237"/>
    </row>
    <row r="816" spans="1:43" s="238" customFormat="1" ht="75" customHeight="1" x14ac:dyDescent="0.25">
      <c r="A816" s="556" t="s">
        <v>1028</v>
      </c>
      <c r="B816" s="627" t="str">
        <f>VLOOKUP(Table13[[#This Row],[Column1]],[1]Sheet1!$A:$AO,2,FALSE)</f>
        <v>TARPAULIN</v>
      </c>
      <c r="C816" s="298" t="str">
        <f>VLOOKUP(Table13[[#This Row],[Column1]],[1]Sheet1!$A:$AO,3,FALSE)</f>
        <v>PAO-ADMIN</v>
      </c>
      <c r="D816" s="298" t="s">
        <v>712</v>
      </c>
      <c r="E816" s="450" t="str">
        <f>VLOOKUP(Table13[[#This Row],[Column1]],[1]Sheet1!$A:$AO,5,FALSE)</f>
        <v>NP-53.9 - Small Value Procurement</v>
      </c>
      <c r="F816" s="446" t="str">
        <f>VLOOKUP(Table13[[#This Row],[Column1]],[1]Sheet1!$A:$AO,6,FALSE)</f>
        <v>N/A</v>
      </c>
      <c r="G816" s="402">
        <f>VLOOKUP(Table13[[#This Row],[Column1]],[1]Sheet1!$A:$AO,7,FALSE)</f>
        <v>45436</v>
      </c>
      <c r="H816" s="374"/>
      <c r="I816" s="402" t="str">
        <f>VLOOKUP(Table13[[#This Row],[Column1]],[1]Sheet1!$A:$AO,9,FALSE)</f>
        <v>N/A</v>
      </c>
      <c r="J816" s="402">
        <f>VLOOKUP(Table13[[#This Row],[Column1]],[1]Sheet1!$A:$AO,10,FALSE)</f>
        <v>45446</v>
      </c>
      <c r="K816" s="402">
        <f>VLOOKUP(Table13[[#This Row],[Column1]],[1]Sheet1!$A:$AO,11,FALSE)</f>
        <v>45446</v>
      </c>
      <c r="L816" s="404"/>
      <c r="M816" s="402" t="str">
        <f>VLOOKUP(Table13[[#This Row],[Column1]],[1]Sheet1!$A:$AO,13,FALSE)</f>
        <v>N/A</v>
      </c>
      <c r="N816" s="402" t="str">
        <f>VLOOKUP(Table13[[#This Row],[Column1]],[1]Sheet1!$A:$AO,14,FALSE)</f>
        <v>N/A</v>
      </c>
      <c r="O816" s="402">
        <f>VLOOKUP(Table13[[#This Row],[Column1]],[1]Sheet1!$A:$AO,15,FALSE)</f>
        <v>45450</v>
      </c>
      <c r="P816" s="375"/>
      <c r="Q816" s="375"/>
      <c r="R816" s="376"/>
      <c r="S816" s="583" t="s">
        <v>713</v>
      </c>
      <c r="T816" s="583">
        <f>VLOOKUP(Table13[[#This Row],[Column1]],[1]Sheet1!$A:$AO,20,FALSE)</f>
        <v>45454</v>
      </c>
      <c r="U816" s="583"/>
      <c r="V816" s="376"/>
      <c r="W816" s="376"/>
      <c r="X816" s="402"/>
      <c r="Y816" s="402"/>
      <c r="Z816" s="610" t="s">
        <v>1478</v>
      </c>
      <c r="AA816" s="532">
        <f>IF(Table13[[#This Row],[Column2]]="","",SUM(Table13[[#This Row],[Column28]]+Table13[[#This Row],[Column29]]))</f>
        <v>7476</v>
      </c>
      <c r="AB816" s="537">
        <v>7476</v>
      </c>
      <c r="AC816" s="502"/>
      <c r="AD816" s="532">
        <f>IF(Table13[[#This Row],[Column2]]="","",SUM(Table13[[#This Row],[Column31]]+Table13[[#This Row],[Column32]]))</f>
        <v>7476</v>
      </c>
      <c r="AE816" s="501">
        <v>7476</v>
      </c>
      <c r="AF816" s="541"/>
      <c r="AG816" s="405"/>
      <c r="AH816" s="380" t="s">
        <v>1205</v>
      </c>
      <c r="AI816" s="576" t="str">
        <f>VLOOKUP(Table13[[#This Row],[Column1]],[1]Sheet1!$A:$AO,35,FALSE)</f>
        <v>N/A</v>
      </c>
      <c r="AJ816" s="576" t="str">
        <f>VLOOKUP(Table13[[#This Row],[Column1]],[1]Sheet1!$A:$AO,36,FALSE)</f>
        <v>N/A</v>
      </c>
      <c r="AK816" s="576" t="str">
        <f>VLOOKUP(Table13[[#This Row],[Column1]],[1]Sheet1!$A:$AO,37,FALSE)</f>
        <v>N/A</v>
      </c>
      <c r="AL816" s="576" t="str">
        <f>VLOOKUP(Table13[[#This Row],[Column1]],[1]Sheet1!$A:$AO,38,FALSE)</f>
        <v>N/A</v>
      </c>
      <c r="AM816" s="576" t="str">
        <f>VLOOKUP(Table13[[#This Row],[Column1]],[1]Sheet1!$A:$AO,39,FALSE)</f>
        <v>N/A</v>
      </c>
      <c r="AN816" s="576" t="s">
        <v>713</v>
      </c>
      <c r="AO816" s="303" t="s">
        <v>1172</v>
      </c>
      <c r="AP816" s="378"/>
      <c r="AQ816" s="237"/>
    </row>
    <row r="817" spans="1:43" s="238" customFormat="1" ht="75" customHeight="1" x14ac:dyDescent="0.25">
      <c r="A817" s="556" t="s">
        <v>1029</v>
      </c>
      <c r="B817" s="627" t="str">
        <f>VLOOKUP(Table13[[#This Row],[Column1]],[1]Sheet1!$A:$AO,2,FALSE)</f>
        <v>SPAREPARTS (LIGHT
VEHICLES)</v>
      </c>
      <c r="C817" s="298" t="str">
        <f>VLOOKUP(Table13[[#This Row],[Column1]],[1]Sheet1!$A:$AO,3,FALSE)</f>
        <v>DDOPH-Montevista</v>
      </c>
      <c r="D817" s="298" t="s">
        <v>712</v>
      </c>
      <c r="E817" s="450" t="str">
        <f>VLOOKUP(Table13[[#This Row],[Column1]],[1]Sheet1!$A:$AO,5,FALSE)</f>
        <v>Shopping 52.1(a) - Unforeseen Contingency</v>
      </c>
      <c r="F817" s="446" t="str">
        <f>VLOOKUP(Table13[[#This Row],[Column1]],[1]Sheet1!$A:$AO,6,FALSE)</f>
        <v>N/A</v>
      </c>
      <c r="G817" s="402">
        <f>VLOOKUP(Table13[[#This Row],[Column1]],[1]Sheet1!$A:$AO,7,FALSE)</f>
        <v>45442</v>
      </c>
      <c r="H817" s="374"/>
      <c r="I817" s="402" t="str">
        <f>VLOOKUP(Table13[[#This Row],[Column1]],[1]Sheet1!$A:$AO,9,FALSE)</f>
        <v>N/A</v>
      </c>
      <c r="J817" s="402">
        <f>VLOOKUP(Table13[[#This Row],[Column1]],[1]Sheet1!$A:$AO,10,FALSE)</f>
        <v>45454</v>
      </c>
      <c r="K817" s="402">
        <f>VLOOKUP(Table13[[#This Row],[Column1]],[1]Sheet1!$A:$AO,11,FALSE)</f>
        <v>45454</v>
      </c>
      <c r="L817" s="404"/>
      <c r="M817" s="402" t="str">
        <f>VLOOKUP(Table13[[#This Row],[Column1]],[1]Sheet1!$A:$AO,13,FALSE)</f>
        <v>N/A</v>
      </c>
      <c r="N817" s="402" t="str">
        <f>VLOOKUP(Table13[[#This Row],[Column1]],[1]Sheet1!$A:$AO,14,FALSE)</f>
        <v>N/A</v>
      </c>
      <c r="O817" s="402">
        <f>VLOOKUP(Table13[[#This Row],[Column1]],[1]Sheet1!$A:$AO,15,FALSE)</f>
        <v>45464</v>
      </c>
      <c r="P817" s="375"/>
      <c r="Q817" s="375"/>
      <c r="R817" s="376"/>
      <c r="S817" s="583" t="str">
        <f>VLOOKUP(Table13[[#This Row],[Column1]],[1]Sheet1!$A:$AO,19,FALSE)</f>
        <v>N/A</v>
      </c>
      <c r="T817" s="583">
        <f>VLOOKUP(Table13[[#This Row],[Column1]],[1]Sheet1!$A:$AO,20,FALSE)</f>
        <v>45463</v>
      </c>
      <c r="U817" s="583"/>
      <c r="V817" s="376"/>
      <c r="W817" s="376"/>
      <c r="X817" s="402"/>
      <c r="Y817" s="402"/>
      <c r="Z817" s="610" t="s">
        <v>1478</v>
      </c>
      <c r="AA817" s="532">
        <f>IF(Table13[[#This Row],[Column2]]="","",SUM(Table13[[#This Row],[Column28]]+Table13[[#This Row],[Column29]]))</f>
        <v>23600</v>
      </c>
      <c r="AB817" s="537">
        <v>23600</v>
      </c>
      <c r="AC817" s="502"/>
      <c r="AD817" s="532">
        <f>IF(Table13[[#This Row],[Column2]]="","",SUM(Table13[[#This Row],[Column31]]+Table13[[#This Row],[Column32]]))</f>
        <v>23600</v>
      </c>
      <c r="AE817" s="501">
        <v>23600</v>
      </c>
      <c r="AF817" s="541"/>
      <c r="AG817" s="405"/>
      <c r="AH817" s="380" t="s">
        <v>1205</v>
      </c>
      <c r="AI817" s="576" t="str">
        <f>VLOOKUP(Table13[[#This Row],[Column1]],[1]Sheet1!$A:$AO,35,FALSE)</f>
        <v>N/A</v>
      </c>
      <c r="AJ817" s="576" t="str">
        <f>VLOOKUP(Table13[[#This Row],[Column1]],[1]Sheet1!$A:$AO,36,FALSE)</f>
        <v>N/A</v>
      </c>
      <c r="AK817" s="576" t="str">
        <f>VLOOKUP(Table13[[#This Row],[Column1]],[1]Sheet1!$A:$AO,37,FALSE)</f>
        <v>N/A</v>
      </c>
      <c r="AL817" s="576" t="str">
        <f>VLOOKUP(Table13[[#This Row],[Column1]],[1]Sheet1!$A:$AO,38,FALSE)</f>
        <v>N/A</v>
      </c>
      <c r="AM817" s="576" t="str">
        <f>VLOOKUP(Table13[[#This Row],[Column1]],[1]Sheet1!$A:$AO,39,FALSE)</f>
        <v>N/A</v>
      </c>
      <c r="AN817" s="576" t="s">
        <v>713</v>
      </c>
      <c r="AO817" s="303" t="s">
        <v>1172</v>
      </c>
      <c r="AP817" s="378"/>
      <c r="AQ817" s="237"/>
    </row>
    <row r="818" spans="1:43" s="238" customFormat="1" ht="75" customHeight="1" x14ac:dyDescent="0.25">
      <c r="A818" s="556" t="s">
        <v>1030</v>
      </c>
      <c r="B818" s="627" t="str">
        <f>VLOOKUP(Table13[[#This Row],[Column1]],[1]Sheet1!$A:$AO,2,FALSE)</f>
        <v>SPAREPARTS (MOTOR
CYCLE)</v>
      </c>
      <c r="C818" s="298" t="str">
        <f>VLOOKUP(Table13[[#This Row],[Column1]],[1]Sheet1!$A:$AO,3,FALSE)</f>
        <v>PGSO</v>
      </c>
      <c r="D818" s="298" t="s">
        <v>712</v>
      </c>
      <c r="E818" s="450" t="str">
        <f>VLOOKUP(Table13[[#This Row],[Column1]],[1]Sheet1!$A:$AO,5,FALSE)</f>
        <v>Shopping 52.1(a) - Unforeseen Contingency</v>
      </c>
      <c r="F818" s="446" t="str">
        <f>VLOOKUP(Table13[[#This Row],[Column1]],[1]Sheet1!$A:$AO,6,FALSE)</f>
        <v>N/A</v>
      </c>
      <c r="G818" s="402">
        <f>VLOOKUP(Table13[[#This Row],[Column1]],[1]Sheet1!$A:$AO,7,FALSE)</f>
        <v>45448</v>
      </c>
      <c r="H818" s="374"/>
      <c r="I818" s="402" t="str">
        <f>VLOOKUP(Table13[[#This Row],[Column1]],[1]Sheet1!$A:$AO,9,FALSE)</f>
        <v>N/A</v>
      </c>
      <c r="J818" s="402">
        <f>VLOOKUP(Table13[[#This Row],[Column1]],[1]Sheet1!$A:$AO,10,FALSE)</f>
        <v>45454</v>
      </c>
      <c r="K818" s="402">
        <f>VLOOKUP(Table13[[#This Row],[Column1]],[1]Sheet1!$A:$AO,11,FALSE)</f>
        <v>45454</v>
      </c>
      <c r="L818" s="404"/>
      <c r="M818" s="402" t="str">
        <f>VLOOKUP(Table13[[#This Row],[Column1]],[1]Sheet1!$A:$AO,13,FALSE)</f>
        <v>N/A</v>
      </c>
      <c r="N818" s="402" t="str">
        <f>VLOOKUP(Table13[[#This Row],[Column1]],[1]Sheet1!$A:$AO,14,FALSE)</f>
        <v>N/A</v>
      </c>
      <c r="O818" s="402">
        <f>VLOOKUP(Table13[[#This Row],[Column1]],[1]Sheet1!$A:$AO,15,FALSE)</f>
        <v>45464</v>
      </c>
      <c r="P818" s="375"/>
      <c r="Q818" s="375"/>
      <c r="R818" s="376"/>
      <c r="S818" s="583" t="str">
        <f>VLOOKUP(Table13[[#This Row],[Column1]],[1]Sheet1!$A:$AO,19,FALSE)</f>
        <v>N/A</v>
      </c>
      <c r="T818" s="583">
        <f>VLOOKUP(Table13[[#This Row],[Column1]],[1]Sheet1!$A:$AO,20,FALSE)</f>
        <v>45463</v>
      </c>
      <c r="U818" s="583"/>
      <c r="V818" s="376"/>
      <c r="W818" s="376"/>
      <c r="X818" s="402"/>
      <c r="Y818" s="402"/>
      <c r="Z818" s="610" t="s">
        <v>1478</v>
      </c>
      <c r="AA818" s="532">
        <f>IF(Table13[[#This Row],[Column2]]="","",SUM(Table13[[#This Row],[Column28]]+Table13[[#This Row],[Column29]]))</f>
        <v>2750</v>
      </c>
      <c r="AB818" s="537">
        <v>2750</v>
      </c>
      <c r="AC818" s="502"/>
      <c r="AD818" s="532">
        <f>IF(Table13[[#This Row],[Column2]]="","",SUM(Table13[[#This Row],[Column31]]+Table13[[#This Row],[Column32]]))</f>
        <v>2750</v>
      </c>
      <c r="AE818" s="501">
        <v>2750</v>
      </c>
      <c r="AF818" s="541"/>
      <c r="AG818" s="405"/>
      <c r="AH818" s="380" t="s">
        <v>1205</v>
      </c>
      <c r="AI818" s="576" t="str">
        <f>VLOOKUP(Table13[[#This Row],[Column1]],[1]Sheet1!$A:$AO,35,FALSE)</f>
        <v>N/A</v>
      </c>
      <c r="AJ818" s="576" t="str">
        <f>VLOOKUP(Table13[[#This Row],[Column1]],[1]Sheet1!$A:$AO,36,FALSE)</f>
        <v>N/A</v>
      </c>
      <c r="AK818" s="576" t="str">
        <f>VLOOKUP(Table13[[#This Row],[Column1]],[1]Sheet1!$A:$AO,37,FALSE)</f>
        <v>N/A</v>
      </c>
      <c r="AL818" s="576" t="str">
        <f>VLOOKUP(Table13[[#This Row],[Column1]],[1]Sheet1!$A:$AO,38,FALSE)</f>
        <v>N/A</v>
      </c>
      <c r="AM818" s="576" t="str">
        <f>VLOOKUP(Table13[[#This Row],[Column1]],[1]Sheet1!$A:$AO,39,FALSE)</f>
        <v>N/A</v>
      </c>
      <c r="AN818" s="576" t="s">
        <v>713</v>
      </c>
      <c r="AO818" s="303" t="s">
        <v>1172</v>
      </c>
      <c r="AP818" s="378"/>
      <c r="AQ818" s="237"/>
    </row>
    <row r="819" spans="1:43" s="238" customFormat="1" ht="75" customHeight="1" x14ac:dyDescent="0.25">
      <c r="A819" s="556" t="s">
        <v>1031</v>
      </c>
      <c r="B819" s="627" t="str">
        <f>VLOOKUP(Table13[[#This Row],[Column1]],[1]Sheet1!$A:$AO,2,FALSE)</f>
        <v>SPAREPARTS (LIGHT
VEHICLES)</v>
      </c>
      <c r="C819" s="298" t="str">
        <f>VLOOKUP(Table13[[#This Row],[Column1]],[1]Sheet1!$A:$AO,3,FALSE)</f>
        <v>PGSO</v>
      </c>
      <c r="D819" s="298" t="s">
        <v>712</v>
      </c>
      <c r="E819" s="450" t="str">
        <f>VLOOKUP(Table13[[#This Row],[Column1]],[1]Sheet1!$A:$AO,5,FALSE)</f>
        <v>NP-53.9 - Small Value Procurement</v>
      </c>
      <c r="F819" s="446">
        <f>VLOOKUP(Table13[[#This Row],[Column1]],[1]Sheet1!$A:$AO,6,FALSE)</f>
        <v>45407</v>
      </c>
      <c r="G819" s="402">
        <f>VLOOKUP(Table13[[#This Row],[Column1]],[1]Sheet1!$A:$AO,7,FALSE)</f>
        <v>45412</v>
      </c>
      <c r="H819" s="374"/>
      <c r="I819" s="402" t="str">
        <f>VLOOKUP(Table13[[#This Row],[Column1]],[1]Sheet1!$A:$AO,9,FALSE)</f>
        <v>N/A</v>
      </c>
      <c r="J819" s="402">
        <f>VLOOKUP(Table13[[#This Row],[Column1]],[1]Sheet1!$A:$AO,10,FALSE)</f>
        <v>45454</v>
      </c>
      <c r="K819" s="402">
        <f>VLOOKUP(Table13[[#This Row],[Column1]],[1]Sheet1!$A:$AO,11,FALSE)</f>
        <v>45454</v>
      </c>
      <c r="L819" s="404"/>
      <c r="M819" s="402" t="str">
        <f>VLOOKUP(Table13[[#This Row],[Column1]],[1]Sheet1!$A:$AO,13,FALSE)</f>
        <v>N/A</v>
      </c>
      <c r="N819" s="402" t="str">
        <f>VLOOKUP(Table13[[#This Row],[Column1]],[1]Sheet1!$A:$AO,14,FALSE)</f>
        <v>N/A</v>
      </c>
      <c r="O819" s="402">
        <f>VLOOKUP(Table13[[#This Row],[Column1]],[1]Sheet1!$A:$AO,15,FALSE)</f>
        <v>45464</v>
      </c>
      <c r="P819" s="375"/>
      <c r="Q819" s="375"/>
      <c r="R819" s="376"/>
      <c r="S819" s="583" t="str">
        <f>VLOOKUP(Table13[[#This Row],[Column1]],[1]Sheet1!$A:$AO,19,FALSE)</f>
        <v>N/A</v>
      </c>
      <c r="T819" s="583">
        <f>VLOOKUP(Table13[[#This Row],[Column1]],[1]Sheet1!$A:$AO,20,FALSE)</f>
        <v>45463</v>
      </c>
      <c r="U819" s="583"/>
      <c r="V819" s="376"/>
      <c r="W819" s="376"/>
      <c r="X819" s="402"/>
      <c r="Y819" s="402"/>
      <c r="Z819" s="610" t="s">
        <v>1478</v>
      </c>
      <c r="AA819" s="532">
        <f>IF(Table13[[#This Row],[Column2]]="","",SUM(Table13[[#This Row],[Column28]]+Table13[[#This Row],[Column29]]))</f>
        <v>20800</v>
      </c>
      <c r="AB819" s="537">
        <v>20800</v>
      </c>
      <c r="AC819" s="502"/>
      <c r="AD819" s="532">
        <f>IF(Table13[[#This Row],[Column2]]="","",SUM(Table13[[#This Row],[Column31]]+Table13[[#This Row],[Column32]]))</f>
        <v>20800</v>
      </c>
      <c r="AE819" s="501">
        <v>20800</v>
      </c>
      <c r="AF819" s="541"/>
      <c r="AG819" s="405"/>
      <c r="AH819" s="380" t="s">
        <v>1205</v>
      </c>
      <c r="AI819" s="576" t="str">
        <f>VLOOKUP(Table13[[#This Row],[Column1]],[1]Sheet1!$A:$AO,35,FALSE)</f>
        <v>N/A</v>
      </c>
      <c r="AJ819" s="576" t="str">
        <f>VLOOKUP(Table13[[#This Row],[Column1]],[1]Sheet1!$A:$AO,36,FALSE)</f>
        <v>N/A</v>
      </c>
      <c r="AK819" s="576" t="str">
        <f>VLOOKUP(Table13[[#This Row],[Column1]],[1]Sheet1!$A:$AO,37,FALSE)</f>
        <v>N/A</v>
      </c>
      <c r="AL819" s="576" t="str">
        <f>VLOOKUP(Table13[[#This Row],[Column1]],[1]Sheet1!$A:$AO,38,FALSE)</f>
        <v>N/A</v>
      </c>
      <c r="AM819" s="576" t="str">
        <f>VLOOKUP(Table13[[#This Row],[Column1]],[1]Sheet1!$A:$AO,39,FALSE)</f>
        <v>N/A</v>
      </c>
      <c r="AN819" s="576" t="s">
        <v>713</v>
      </c>
      <c r="AO819" s="303" t="s">
        <v>1172</v>
      </c>
      <c r="AP819" s="378"/>
      <c r="AQ819" s="237"/>
    </row>
    <row r="820" spans="1:43" s="238" customFormat="1" ht="75" customHeight="1" x14ac:dyDescent="0.25">
      <c r="A820" s="556" t="s">
        <v>1039</v>
      </c>
      <c r="B820" s="627" t="str">
        <f>VLOOKUP(Table13[[#This Row],[Column1]],[1]Sheet1!$A:$AO,2,FALSE)</f>
        <v>OFFICE SUPPLIES</v>
      </c>
      <c r="C820" s="298" t="str">
        <f>VLOOKUP(Table13[[#This Row],[Column1]],[1]Sheet1!$A:$AO,3,FALSE)</f>
        <v>PHO</v>
      </c>
      <c r="D820" s="298" t="s">
        <v>712</v>
      </c>
      <c r="E820" s="450" t="str">
        <f>VLOOKUP(Table13[[#This Row],[Column1]],[1]Sheet1!$A:$AO,5,FALSE)</f>
        <v>Shopping 52.1(b) - Regular Office Supplies and Equipment no available in PS</v>
      </c>
      <c r="F820" s="446" t="str">
        <f>VLOOKUP(Table13[[#This Row],[Column1]],[1]Sheet1!$A:$AO,6,FALSE)</f>
        <v>N/A</v>
      </c>
      <c r="G820" s="402">
        <f>VLOOKUP(Table13[[#This Row],[Column1]],[1]Sheet1!$A:$AO,7,FALSE)</f>
        <v>45397</v>
      </c>
      <c r="H820" s="374"/>
      <c r="I820" s="402" t="str">
        <f>VLOOKUP(Table13[[#This Row],[Column1]],[1]Sheet1!$A:$AO,9,FALSE)</f>
        <v>N/A</v>
      </c>
      <c r="J820" s="402">
        <f>VLOOKUP(Table13[[#This Row],[Column1]],[1]Sheet1!$A:$AO,10,FALSE)</f>
        <v>45446</v>
      </c>
      <c r="K820" s="402">
        <f>VLOOKUP(Table13[[#This Row],[Column1]],[1]Sheet1!$A:$AO,11,FALSE)</f>
        <v>45446</v>
      </c>
      <c r="L820" s="404"/>
      <c r="M820" s="402" t="str">
        <f>VLOOKUP(Table13[[#This Row],[Column1]],[1]Sheet1!$A:$AO,13,FALSE)</f>
        <v>N/A</v>
      </c>
      <c r="N820" s="402" t="str">
        <f>VLOOKUP(Table13[[#This Row],[Column1]],[1]Sheet1!$A:$AO,14,FALSE)</f>
        <v>N/A</v>
      </c>
      <c r="O820" s="402">
        <f>VLOOKUP(Table13[[#This Row],[Column1]],[1]Sheet1!$A:$AO,15,FALSE)</f>
        <v>45450</v>
      </c>
      <c r="P820" s="375"/>
      <c r="Q820" s="375"/>
      <c r="R820" s="376"/>
      <c r="S820" s="583">
        <f>VLOOKUP(Table13[[#This Row],[Column1]],[1]Sheet1!$A:$AO,19,FALSE)</f>
        <v>45450</v>
      </c>
      <c r="T820" s="583">
        <f>VLOOKUP(Table13[[#This Row],[Column1]],[1]Sheet1!$A:$AO,20,FALSE)</f>
        <v>45454</v>
      </c>
      <c r="U820" s="583"/>
      <c r="V820" s="376"/>
      <c r="W820" s="376"/>
      <c r="X820" s="402"/>
      <c r="Y820" s="402"/>
      <c r="Z820" s="610" t="s">
        <v>1478</v>
      </c>
      <c r="AA820" s="532">
        <f>IF(Table13[[#This Row],[Column2]]="","",SUM(Table13[[#This Row],[Column28]]+Table13[[#This Row],[Column29]]))</f>
        <v>25448</v>
      </c>
      <c r="AB820" s="537"/>
      <c r="AC820" s="502">
        <v>25448</v>
      </c>
      <c r="AD820" s="532">
        <f>IF(Table13[[#This Row],[Column2]]="","",SUM(Table13[[#This Row],[Column31]]+Table13[[#This Row],[Column32]]))</f>
        <v>25448</v>
      </c>
      <c r="AE820" s="501"/>
      <c r="AF820" s="541">
        <v>25448</v>
      </c>
      <c r="AG820" s="405"/>
      <c r="AH820" s="380" t="s">
        <v>1205</v>
      </c>
      <c r="AI820" s="576" t="str">
        <f>VLOOKUP(Table13[[#This Row],[Column1]],[1]Sheet1!$A:$AO,35,FALSE)</f>
        <v>N/A</v>
      </c>
      <c r="AJ820" s="576" t="str">
        <f>VLOOKUP(Table13[[#This Row],[Column1]],[1]Sheet1!$A:$AO,36,FALSE)</f>
        <v>N/A</v>
      </c>
      <c r="AK820" s="576" t="str">
        <f>VLOOKUP(Table13[[#This Row],[Column1]],[1]Sheet1!$A:$AO,37,FALSE)</f>
        <v>N/A</v>
      </c>
      <c r="AL820" s="576" t="str">
        <f>VLOOKUP(Table13[[#This Row],[Column1]],[1]Sheet1!$A:$AO,38,FALSE)</f>
        <v>N/A</v>
      </c>
      <c r="AM820" s="576" t="str">
        <f>VLOOKUP(Table13[[#This Row],[Column1]],[1]Sheet1!$A:$AO,39,FALSE)</f>
        <v>N/A</v>
      </c>
      <c r="AN820" s="576" t="s">
        <v>713</v>
      </c>
      <c r="AO820" s="303" t="s">
        <v>1172</v>
      </c>
      <c r="AP820" s="378"/>
      <c r="AQ820" s="237"/>
    </row>
    <row r="821" spans="1:43" s="238" customFormat="1" ht="75" customHeight="1" x14ac:dyDescent="0.25">
      <c r="A821" s="556" t="s">
        <v>1040</v>
      </c>
      <c r="B821" s="627" t="str">
        <f>VLOOKUP(Table13[[#This Row],[Column1]],[1]Sheet1!$A:$AO,2,FALSE)</f>
        <v>OFFICE SUPPLIES</v>
      </c>
      <c r="C821" s="298" t="str">
        <f>VLOOKUP(Table13[[#This Row],[Column1]],[1]Sheet1!$A:$AO,3,FALSE)</f>
        <v>PGO</v>
      </c>
      <c r="D821" s="298" t="s">
        <v>712</v>
      </c>
      <c r="E821" s="450" t="str">
        <f>VLOOKUP(Table13[[#This Row],[Column1]],[1]Sheet1!$A:$AO,5,FALSE)</f>
        <v>Shopping 52.1(b) - Regular Office Supplies and Equipment no available in PS</v>
      </c>
      <c r="F821" s="446" t="str">
        <f>VLOOKUP(Table13[[#This Row],[Column1]],[1]Sheet1!$A:$AO,6,FALSE)</f>
        <v>N/A</v>
      </c>
      <c r="G821" s="402">
        <f>VLOOKUP(Table13[[#This Row],[Column1]],[1]Sheet1!$A:$AO,7,FALSE)</f>
        <v>45442</v>
      </c>
      <c r="H821" s="374"/>
      <c r="I821" s="402" t="str">
        <f>VLOOKUP(Table13[[#This Row],[Column1]],[1]Sheet1!$A:$AO,9,FALSE)</f>
        <v>N/A</v>
      </c>
      <c r="J821" s="402">
        <f>VLOOKUP(Table13[[#This Row],[Column1]],[1]Sheet1!$A:$AO,10,FALSE)</f>
        <v>45446</v>
      </c>
      <c r="K821" s="402">
        <f>VLOOKUP(Table13[[#This Row],[Column1]],[1]Sheet1!$A:$AO,11,FALSE)</f>
        <v>45446</v>
      </c>
      <c r="L821" s="404"/>
      <c r="M821" s="402" t="str">
        <f>VLOOKUP(Table13[[#This Row],[Column1]],[1]Sheet1!$A:$AO,13,FALSE)</f>
        <v>N/A</v>
      </c>
      <c r="N821" s="402" t="str">
        <f>VLOOKUP(Table13[[#This Row],[Column1]],[1]Sheet1!$A:$AO,14,FALSE)</f>
        <v>N/A</v>
      </c>
      <c r="O821" s="402">
        <f>VLOOKUP(Table13[[#This Row],[Column1]],[1]Sheet1!$A:$AO,15,FALSE)</f>
        <v>45450</v>
      </c>
      <c r="P821" s="375"/>
      <c r="Q821" s="375"/>
      <c r="R821" s="376"/>
      <c r="S821" s="583">
        <f>VLOOKUP(Table13[[#This Row],[Column1]],[1]Sheet1!$A:$AO,19,FALSE)</f>
        <v>45464</v>
      </c>
      <c r="T821" s="583">
        <f>VLOOKUP(Table13[[#This Row],[Column1]],[1]Sheet1!$A:$AO,20,FALSE)</f>
        <v>45454</v>
      </c>
      <c r="U821" s="583"/>
      <c r="V821" s="376"/>
      <c r="W821" s="376"/>
      <c r="X821" s="402"/>
      <c r="Y821" s="402"/>
      <c r="Z821" s="610" t="s">
        <v>1478</v>
      </c>
      <c r="AA821" s="532">
        <f>IF(Table13[[#This Row],[Column2]]="","",SUM(Table13[[#This Row],[Column28]]+Table13[[#This Row],[Column29]]))</f>
        <v>2958</v>
      </c>
      <c r="AB821" s="537">
        <v>2958</v>
      </c>
      <c r="AC821" s="502"/>
      <c r="AD821" s="532">
        <f>IF(Table13[[#This Row],[Column2]]="","",SUM(Table13[[#This Row],[Column31]]+Table13[[#This Row],[Column32]]))</f>
        <v>2905</v>
      </c>
      <c r="AE821" s="501">
        <v>2905</v>
      </c>
      <c r="AF821" s="541"/>
      <c r="AG821" s="405"/>
      <c r="AH821" s="380" t="s">
        <v>1205</v>
      </c>
      <c r="AI821" s="576" t="str">
        <f>VLOOKUP(Table13[[#This Row],[Column1]],[1]Sheet1!$A:$AO,35,FALSE)</f>
        <v>N/A</v>
      </c>
      <c r="AJ821" s="576" t="str">
        <f>VLOOKUP(Table13[[#This Row],[Column1]],[1]Sheet1!$A:$AO,36,FALSE)</f>
        <v>N/A</v>
      </c>
      <c r="AK821" s="576" t="str">
        <f>VLOOKUP(Table13[[#This Row],[Column1]],[1]Sheet1!$A:$AO,37,FALSE)</f>
        <v>N/A</v>
      </c>
      <c r="AL821" s="576" t="str">
        <f>VLOOKUP(Table13[[#This Row],[Column1]],[1]Sheet1!$A:$AO,38,FALSE)</f>
        <v>N/A</v>
      </c>
      <c r="AM821" s="576" t="str">
        <f>VLOOKUP(Table13[[#This Row],[Column1]],[1]Sheet1!$A:$AO,39,FALSE)</f>
        <v>N/A</v>
      </c>
      <c r="AN821" s="576" t="s">
        <v>713</v>
      </c>
      <c r="AO821" s="303" t="s">
        <v>1172</v>
      </c>
      <c r="AP821" s="378"/>
      <c r="AQ821" s="237"/>
    </row>
    <row r="822" spans="1:43" s="238" customFormat="1" ht="75" customHeight="1" x14ac:dyDescent="0.25">
      <c r="A822" s="297" t="s">
        <v>1041</v>
      </c>
      <c r="B822" s="627" t="str">
        <f>VLOOKUP(Table13[[#This Row],[Column1]],[1]Sheet1!$A:$AO,2,FALSE)</f>
        <v>PORTABLE SOUND SYSTEM</v>
      </c>
      <c r="C822" s="298" t="str">
        <f>VLOOKUP(Table13[[#This Row],[Column1]],[1]Sheet1!$A:$AO,3,FALSE)</f>
        <v>PGO</v>
      </c>
      <c r="D822" s="298" t="s">
        <v>712</v>
      </c>
      <c r="E822" s="450" t="str">
        <f>VLOOKUP(Table13[[#This Row],[Column1]],[1]Sheet1!$A:$AO,5,FALSE)</f>
        <v>NP-53.9 - Small Value Procurement</v>
      </c>
      <c r="F822" s="446" t="str">
        <f>VLOOKUP(Table13[[#This Row],[Column1]],[1]Sheet1!$A:$AO,6,FALSE)</f>
        <v>N/A</v>
      </c>
      <c r="G822" s="402">
        <f>VLOOKUP(Table13[[#This Row],[Column1]],[1]Sheet1!$A:$AO,7,FALSE)</f>
        <v>45376</v>
      </c>
      <c r="H822" s="374"/>
      <c r="I822" s="402" t="str">
        <f>VLOOKUP(Table13[[#This Row],[Column1]],[1]Sheet1!$A:$AO,9,FALSE)</f>
        <v>N/A</v>
      </c>
      <c r="J822" s="402">
        <f>VLOOKUP(Table13[[#This Row],[Column1]],[1]Sheet1!$A:$AO,10,FALSE)</f>
        <v>45398</v>
      </c>
      <c r="K822" s="402">
        <f>VLOOKUP(Table13[[#This Row],[Column1]],[1]Sheet1!$A:$AO,11,FALSE)</f>
        <v>45398</v>
      </c>
      <c r="L822" s="404"/>
      <c r="M822" s="402" t="str">
        <f>VLOOKUP(Table13[[#This Row],[Column1]],[1]Sheet1!$A:$AO,13,FALSE)</f>
        <v>N/A</v>
      </c>
      <c r="N822" s="402" t="str">
        <f>VLOOKUP(Table13[[#This Row],[Column1]],[1]Sheet1!$A:$AO,14,FALSE)</f>
        <v>N/A</v>
      </c>
      <c r="O822" s="402">
        <f>VLOOKUP(Table13[[#This Row],[Column1]],[1]Sheet1!$A:$AO,15,FALSE)</f>
        <v>45405</v>
      </c>
      <c r="P822" s="375"/>
      <c r="Q822" s="375"/>
      <c r="R822" s="376"/>
      <c r="S822" s="583" t="str">
        <f>VLOOKUP(Table13[[#This Row],[Column1]],[1]Sheet1!$A:$AO,19,FALSE)</f>
        <v>N/A</v>
      </c>
      <c r="T822" s="583"/>
      <c r="U822" s="583"/>
      <c r="V822" s="376"/>
      <c r="W822" s="376"/>
      <c r="X822" s="402"/>
      <c r="Y822" s="402"/>
      <c r="Z822" s="610" t="s">
        <v>1478</v>
      </c>
      <c r="AA822" s="532">
        <f>IF(Table13[[#This Row],[Column2]]="","",SUM(Table13[[#This Row],[Column28]]+Table13[[#This Row],[Column29]]))</f>
        <v>31518</v>
      </c>
      <c r="AB822" s="537">
        <v>31518</v>
      </c>
      <c r="AC822" s="502"/>
      <c r="AD822" s="532">
        <f>IF(Table13[[#This Row],[Column2]]="","",SUM(Table13[[#This Row],[Column31]]+Table13[[#This Row],[Column32]]))</f>
        <v>31500</v>
      </c>
      <c r="AE822" s="501">
        <v>31500</v>
      </c>
      <c r="AF822" s="541"/>
      <c r="AG822" s="405"/>
      <c r="AH822" s="380" t="s">
        <v>1205</v>
      </c>
      <c r="AI822" s="576" t="str">
        <f>VLOOKUP(Table13[[#This Row],[Column1]],[1]Sheet1!$A:$AO,35,FALSE)</f>
        <v>N/A</v>
      </c>
      <c r="AJ822" s="576" t="str">
        <f>VLOOKUP(Table13[[#This Row],[Column1]],[1]Sheet1!$A:$AO,36,FALSE)</f>
        <v>N/A</v>
      </c>
      <c r="AK822" s="576" t="str">
        <f>VLOOKUP(Table13[[#This Row],[Column1]],[1]Sheet1!$A:$AO,37,FALSE)</f>
        <v>N/A</v>
      </c>
      <c r="AL822" s="576" t="str">
        <f>VLOOKUP(Table13[[#This Row],[Column1]],[1]Sheet1!$A:$AO,38,FALSE)</f>
        <v>N/A</v>
      </c>
      <c r="AM822" s="576" t="str">
        <f>VLOOKUP(Table13[[#This Row],[Column1]],[1]Sheet1!$A:$AO,39,FALSE)</f>
        <v>N/A</v>
      </c>
      <c r="AN822" s="576" t="s">
        <v>713</v>
      </c>
      <c r="AO822" s="303" t="s">
        <v>1044</v>
      </c>
      <c r="AP822" s="378"/>
      <c r="AQ822" s="237"/>
    </row>
    <row r="823" spans="1:43" s="238" customFormat="1" ht="75" customHeight="1" x14ac:dyDescent="0.25">
      <c r="A823" s="297" t="s">
        <v>1045</v>
      </c>
      <c r="B823" s="627" t="str">
        <f>VLOOKUP(Table13[[#This Row],[Column1]],[1]Sheet1!$A:$AO,2,FALSE)</f>
        <v>FOOD/CATERING SERVICES</v>
      </c>
      <c r="C823" s="298" t="str">
        <f>VLOOKUP(Table13[[#This Row],[Column1]],[1]Sheet1!$A:$AO,3,FALSE)</f>
        <v>PAO-ADMIN</v>
      </c>
      <c r="D823" s="298" t="s">
        <v>712</v>
      </c>
      <c r="E823" s="450" t="str">
        <f>VLOOKUP(Table13[[#This Row],[Column1]],[1]Sheet1!$A:$AO,5,FALSE)</f>
        <v>NP-53.9 - Small Value Procurement</v>
      </c>
      <c r="F823" s="446" t="str">
        <f>VLOOKUP(Table13[[#This Row],[Column1]],[1]Sheet1!$A:$AO,6,FALSE)</f>
        <v>N/A</v>
      </c>
      <c r="G823" s="402">
        <f>VLOOKUP(Table13[[#This Row],[Column1]],[1]Sheet1!$A:$AO,7,FALSE)</f>
        <v>45442</v>
      </c>
      <c r="H823" s="374"/>
      <c r="I823" s="402" t="str">
        <f>VLOOKUP(Table13[[#This Row],[Column1]],[1]Sheet1!$A:$AO,9,FALSE)</f>
        <v>N/A</v>
      </c>
      <c r="J823" s="402">
        <f>VLOOKUP(Table13[[#This Row],[Column1]],[1]Sheet1!$A:$AO,10,FALSE)</f>
        <v>45454</v>
      </c>
      <c r="K823" s="402">
        <f>VLOOKUP(Table13[[#This Row],[Column1]],[1]Sheet1!$A:$AO,11,FALSE)</f>
        <v>45454</v>
      </c>
      <c r="L823" s="404"/>
      <c r="M823" s="402" t="str">
        <f>VLOOKUP(Table13[[#This Row],[Column1]],[1]Sheet1!$A:$AO,13,FALSE)</f>
        <v>N/A</v>
      </c>
      <c r="N823" s="402" t="str">
        <f>VLOOKUP(Table13[[#This Row],[Column1]],[1]Sheet1!$A:$AO,14,FALSE)</f>
        <v>N/A</v>
      </c>
      <c r="O823" s="402">
        <f>VLOOKUP(Table13[[#This Row],[Column1]],[1]Sheet1!$A:$AO,15,FALSE)</f>
        <v>45463</v>
      </c>
      <c r="P823" s="375"/>
      <c r="Q823" s="375"/>
      <c r="R823" s="376"/>
      <c r="S823" s="583">
        <f>VLOOKUP(Table13[[#This Row],[Column1]],[1]Sheet1!$A:$AO,19,FALSE)</f>
        <v>45467</v>
      </c>
      <c r="T823" s="583">
        <f>VLOOKUP(Table13[[#This Row],[Column1]],[1]Sheet1!$A:$AO,20,FALSE)</f>
        <v>45463</v>
      </c>
      <c r="U823" s="583">
        <f>VLOOKUP(Table13[[#This Row],[Column1]],[1]Sheet1!$A:$AO,21,FALSE)</f>
        <v>45471</v>
      </c>
      <c r="V823" s="376"/>
      <c r="W823" s="376"/>
      <c r="X823" s="402"/>
      <c r="Y823" s="402"/>
      <c r="Z823" s="610" t="s">
        <v>1478</v>
      </c>
      <c r="AA823" s="532">
        <f>IF(Table13[[#This Row],[Column2]]="","",SUM(Table13[[#This Row],[Column28]]+Table13[[#This Row],[Column29]]))</f>
        <v>100000</v>
      </c>
      <c r="AB823" s="537">
        <v>100000</v>
      </c>
      <c r="AC823" s="502"/>
      <c r="AD823" s="532">
        <f>IF(Table13[[#This Row],[Column2]]="","",SUM(Table13[[#This Row],[Column31]]+Table13[[#This Row],[Column32]]))</f>
        <v>98858</v>
      </c>
      <c r="AE823" s="501">
        <v>98858</v>
      </c>
      <c r="AF823" s="541"/>
      <c r="AG823" s="405"/>
      <c r="AH823" s="380" t="s">
        <v>1205</v>
      </c>
      <c r="AI823" s="576" t="str">
        <f>VLOOKUP(Table13[[#This Row],[Column1]],[1]Sheet1!$A:$AO,35,FALSE)</f>
        <v>N/A</v>
      </c>
      <c r="AJ823" s="576" t="str">
        <f>VLOOKUP(Table13[[#This Row],[Column1]],[1]Sheet1!$A:$AO,36,FALSE)</f>
        <v>N/A</v>
      </c>
      <c r="AK823" s="576" t="str">
        <f>VLOOKUP(Table13[[#This Row],[Column1]],[1]Sheet1!$A:$AO,37,FALSE)</f>
        <v>N/A</v>
      </c>
      <c r="AL823" s="576" t="str">
        <f>VLOOKUP(Table13[[#This Row],[Column1]],[1]Sheet1!$A:$AO,38,FALSE)</f>
        <v>N/A</v>
      </c>
      <c r="AM823" s="576" t="str">
        <f>VLOOKUP(Table13[[#This Row],[Column1]],[1]Sheet1!$A:$AO,39,FALSE)</f>
        <v>N/A</v>
      </c>
      <c r="AN823" s="576" t="s">
        <v>713</v>
      </c>
      <c r="AO823" s="303" t="s">
        <v>919</v>
      </c>
      <c r="AP823" s="378"/>
      <c r="AQ823" s="237"/>
    </row>
    <row r="824" spans="1:43" s="238" customFormat="1" ht="75" customHeight="1" x14ac:dyDescent="0.25">
      <c r="A824" s="297" t="s">
        <v>1046</v>
      </c>
      <c r="B824" s="627" t="str">
        <f>VLOOKUP(Table13[[#This Row],[Column1]],[1]Sheet1!$A:$AO,2,FALSE)</f>
        <v>MONOBLOCK PLASTIC
CHAIR</v>
      </c>
      <c r="C824" s="298" t="str">
        <f>VLOOKUP(Table13[[#This Row],[Column1]],[1]Sheet1!$A:$AO,3,FALSE)</f>
        <v>PGO</v>
      </c>
      <c r="D824" s="298" t="s">
        <v>712</v>
      </c>
      <c r="E824" s="450" t="str">
        <f>VLOOKUP(Table13[[#This Row],[Column1]],[1]Sheet1!$A:$AO,5,FALSE)</f>
        <v>NP-53.9 - Small Value Procurement</v>
      </c>
      <c r="F824" s="446" t="str">
        <f>VLOOKUP(Table13[[#This Row],[Column1]],[1]Sheet1!$A:$AO,6,FALSE)</f>
        <v>N/A</v>
      </c>
      <c r="G824" s="402">
        <f>VLOOKUP(Table13[[#This Row],[Column1]],[1]Sheet1!$A:$AO,7,FALSE)</f>
        <v>45442</v>
      </c>
      <c r="H824" s="374"/>
      <c r="I824" s="402" t="str">
        <f>VLOOKUP(Table13[[#This Row],[Column1]],[1]Sheet1!$A:$AO,9,FALSE)</f>
        <v>N/A</v>
      </c>
      <c r="J824" s="402">
        <f>VLOOKUP(Table13[[#This Row],[Column1]],[1]Sheet1!$A:$AO,10,FALSE)</f>
        <v>45454</v>
      </c>
      <c r="K824" s="402">
        <f>VLOOKUP(Table13[[#This Row],[Column1]],[1]Sheet1!$A:$AO,11,FALSE)</f>
        <v>45454</v>
      </c>
      <c r="L824" s="404"/>
      <c r="M824" s="402" t="str">
        <f>VLOOKUP(Table13[[#This Row],[Column1]],[1]Sheet1!$A:$AO,13,FALSE)</f>
        <v>N/A</v>
      </c>
      <c r="N824" s="402" t="str">
        <f>VLOOKUP(Table13[[#This Row],[Column1]],[1]Sheet1!$A:$AO,14,FALSE)</f>
        <v>N/A</v>
      </c>
      <c r="O824" s="402">
        <f>VLOOKUP(Table13[[#This Row],[Column1]],[1]Sheet1!$A:$AO,15,FALSE)</f>
        <v>45463</v>
      </c>
      <c r="P824" s="375"/>
      <c r="Q824" s="375"/>
      <c r="R824" s="376"/>
      <c r="S824" s="583">
        <f>VLOOKUP(Table13[[#This Row],[Column1]],[1]Sheet1!$A:$AO,19,FALSE)</f>
        <v>45464</v>
      </c>
      <c r="T824" s="583"/>
      <c r="U824" s="583"/>
      <c r="V824" s="376"/>
      <c r="W824" s="376"/>
      <c r="X824" s="402"/>
      <c r="Y824" s="402"/>
      <c r="Z824" s="610" t="s">
        <v>1478</v>
      </c>
      <c r="AA824" s="532">
        <f>IF(Table13[[#This Row],[Column2]]="","",SUM(Table13[[#This Row],[Column28]]+Table13[[#This Row],[Column29]]))</f>
        <v>277680</v>
      </c>
      <c r="AB824" s="537"/>
      <c r="AC824" s="502">
        <v>277680</v>
      </c>
      <c r="AD824" s="532">
        <f>IF(Table13[[#This Row],[Column2]]="","",SUM(Table13[[#This Row],[Column31]]+Table13[[#This Row],[Column32]]))</f>
        <v>275600</v>
      </c>
      <c r="AE824" s="501"/>
      <c r="AF824" s="541">
        <v>275600</v>
      </c>
      <c r="AG824" s="405"/>
      <c r="AH824" s="380" t="s">
        <v>1205</v>
      </c>
      <c r="AI824" s="576" t="str">
        <f>VLOOKUP(Table13[[#This Row],[Column1]],[1]Sheet1!$A:$AO,35,FALSE)</f>
        <v>N/A</v>
      </c>
      <c r="AJ824" s="576" t="str">
        <f>VLOOKUP(Table13[[#This Row],[Column1]],[1]Sheet1!$A:$AO,36,FALSE)</f>
        <v>N/A</v>
      </c>
      <c r="AK824" s="576" t="str">
        <f>VLOOKUP(Table13[[#This Row],[Column1]],[1]Sheet1!$A:$AO,37,FALSE)</f>
        <v>N/A</v>
      </c>
      <c r="AL824" s="576" t="str">
        <f>VLOOKUP(Table13[[#This Row],[Column1]],[1]Sheet1!$A:$AO,38,FALSE)</f>
        <v>N/A</v>
      </c>
      <c r="AM824" s="576" t="str">
        <f>VLOOKUP(Table13[[#This Row],[Column1]],[1]Sheet1!$A:$AO,39,FALSE)</f>
        <v>N/A</v>
      </c>
      <c r="AN824" s="576" t="s">
        <v>713</v>
      </c>
      <c r="AO824" s="303" t="s">
        <v>1044</v>
      </c>
      <c r="AP824" s="378"/>
      <c r="AQ824" s="237"/>
    </row>
    <row r="825" spans="1:43" s="238" customFormat="1" ht="75" customHeight="1" x14ac:dyDescent="0.25">
      <c r="A825" s="297" t="s">
        <v>1047</v>
      </c>
      <c r="B825" s="627" t="str">
        <f>VLOOKUP(Table13[[#This Row],[Column1]],[1]Sheet1!$A:$AO,2,FALSE)</f>
        <v>BATTERY &amp; SELF INKING
STAMP WITH ATTACHED
SAMPLE</v>
      </c>
      <c r="C825" s="298" t="str">
        <f>VLOOKUP(Table13[[#This Row],[Column1]],[1]Sheet1!$A:$AO,3,FALSE)</f>
        <v>PTO</v>
      </c>
      <c r="D825" s="298" t="s">
        <v>712</v>
      </c>
      <c r="E825" s="450" t="str">
        <f>VLOOKUP(Table13[[#This Row],[Column1]],[1]Sheet1!$A:$AO,5,FALSE)</f>
        <v>NP-53.9 - Small Value Procurement</v>
      </c>
      <c r="F825" s="446" t="str">
        <f>VLOOKUP(Table13[[#This Row],[Column1]],[1]Sheet1!$A:$AO,6,FALSE)</f>
        <v>N/A</v>
      </c>
      <c r="G825" s="402">
        <f>VLOOKUP(Table13[[#This Row],[Column1]],[1]Sheet1!$A:$AO,7,FALSE)</f>
        <v>45442</v>
      </c>
      <c r="H825" s="374"/>
      <c r="I825" s="402" t="str">
        <f>VLOOKUP(Table13[[#This Row],[Column1]],[1]Sheet1!$A:$AO,9,FALSE)</f>
        <v>N/A</v>
      </c>
      <c r="J825" s="402">
        <f>VLOOKUP(Table13[[#This Row],[Column1]],[1]Sheet1!$A:$AO,10,FALSE)</f>
        <v>45454</v>
      </c>
      <c r="K825" s="402">
        <f>VLOOKUP(Table13[[#This Row],[Column1]],[1]Sheet1!$A:$AO,11,FALSE)</f>
        <v>45454</v>
      </c>
      <c r="L825" s="404"/>
      <c r="M825" s="402" t="str">
        <f>VLOOKUP(Table13[[#This Row],[Column1]],[1]Sheet1!$A:$AO,13,FALSE)</f>
        <v>N/A</v>
      </c>
      <c r="N825" s="402" t="str">
        <f>VLOOKUP(Table13[[#This Row],[Column1]],[1]Sheet1!$A:$AO,14,FALSE)</f>
        <v>N/A</v>
      </c>
      <c r="O825" s="402">
        <f>VLOOKUP(Table13[[#This Row],[Column1]],[1]Sheet1!$A:$AO,15,FALSE)</f>
        <v>45463</v>
      </c>
      <c r="P825" s="375"/>
      <c r="Q825" s="375"/>
      <c r="R825" s="376"/>
      <c r="S825" s="583" t="str">
        <f>VLOOKUP(Table13[[#This Row],[Column1]],[1]Sheet1!$A:$AO,19,FALSE)</f>
        <v>N/A</v>
      </c>
      <c r="T825" s="583">
        <f>VLOOKUP(Table13[[#This Row],[Column1]],[1]Sheet1!$A:$AO,20,FALSE)</f>
        <v>45463</v>
      </c>
      <c r="U825" s="583"/>
      <c r="V825" s="376"/>
      <c r="W825" s="376"/>
      <c r="X825" s="402"/>
      <c r="Y825" s="402"/>
      <c r="Z825" s="610" t="s">
        <v>1478</v>
      </c>
      <c r="AA825" s="532">
        <f>IF(Table13[[#This Row],[Column2]]="","",SUM(Table13[[#This Row],[Column28]]+Table13[[#This Row],[Column29]]))</f>
        <v>5040</v>
      </c>
      <c r="AB825" s="537">
        <v>5040</v>
      </c>
      <c r="AC825" s="502"/>
      <c r="AD825" s="532">
        <f>IF(Table13[[#This Row],[Column2]]="","",SUM(Table13[[#This Row],[Column31]]+Table13[[#This Row],[Column32]]))</f>
        <v>5040</v>
      </c>
      <c r="AE825" s="501">
        <v>5040</v>
      </c>
      <c r="AF825" s="541"/>
      <c r="AG825" s="405"/>
      <c r="AH825" s="380" t="s">
        <v>1205</v>
      </c>
      <c r="AI825" s="576" t="str">
        <f>VLOOKUP(Table13[[#This Row],[Column1]],[1]Sheet1!$A:$AO,35,FALSE)</f>
        <v>N/A</v>
      </c>
      <c r="AJ825" s="576" t="str">
        <f>VLOOKUP(Table13[[#This Row],[Column1]],[1]Sheet1!$A:$AO,36,FALSE)</f>
        <v>N/A</v>
      </c>
      <c r="AK825" s="576" t="str">
        <f>VLOOKUP(Table13[[#This Row],[Column1]],[1]Sheet1!$A:$AO,37,FALSE)</f>
        <v>N/A</v>
      </c>
      <c r="AL825" s="576" t="str">
        <f>VLOOKUP(Table13[[#This Row],[Column1]],[1]Sheet1!$A:$AO,38,FALSE)</f>
        <v>N/A</v>
      </c>
      <c r="AM825" s="576" t="str">
        <f>VLOOKUP(Table13[[#This Row],[Column1]],[1]Sheet1!$A:$AO,39,FALSE)</f>
        <v>N/A</v>
      </c>
      <c r="AN825" s="576" t="s">
        <v>713</v>
      </c>
      <c r="AO825" s="303" t="s">
        <v>1172</v>
      </c>
      <c r="AP825" s="378"/>
      <c r="AQ825" s="237"/>
    </row>
    <row r="826" spans="1:43" s="238" customFormat="1" ht="75" customHeight="1" x14ac:dyDescent="0.25">
      <c r="A826" s="297" t="s">
        <v>1048</v>
      </c>
      <c r="B826" s="627" t="str">
        <f>VLOOKUP(Table13[[#This Row],[Column1]],[1]Sheet1!$A:$AO,2,FALSE)</f>
        <v>AIRPOT</v>
      </c>
      <c r="C826" s="298" t="str">
        <f>VLOOKUP(Table13[[#This Row],[Column1]],[1]Sheet1!$A:$AO,3,FALSE)</f>
        <v>PTO</v>
      </c>
      <c r="D826" s="298" t="s">
        <v>712</v>
      </c>
      <c r="E826" s="450" t="str">
        <f>VLOOKUP(Table13[[#This Row],[Column1]],[1]Sheet1!$A:$AO,5,FALSE)</f>
        <v>NP-53.9 - Small Value Procurement</v>
      </c>
      <c r="F826" s="446" t="str">
        <f>VLOOKUP(Table13[[#This Row],[Column1]],[1]Sheet1!$A:$AO,6,FALSE)</f>
        <v>N/A</v>
      </c>
      <c r="G826" s="402">
        <f>VLOOKUP(Table13[[#This Row],[Column1]],[1]Sheet1!$A:$AO,7,FALSE)</f>
        <v>45442</v>
      </c>
      <c r="H826" s="374"/>
      <c r="I826" s="402" t="str">
        <f>VLOOKUP(Table13[[#This Row],[Column1]],[1]Sheet1!$A:$AO,9,FALSE)</f>
        <v>N/A</v>
      </c>
      <c r="J826" s="402">
        <f>VLOOKUP(Table13[[#This Row],[Column1]],[1]Sheet1!$A:$AO,10,FALSE)</f>
        <v>45454</v>
      </c>
      <c r="K826" s="402">
        <f>VLOOKUP(Table13[[#This Row],[Column1]],[1]Sheet1!$A:$AO,11,FALSE)</f>
        <v>45454</v>
      </c>
      <c r="L826" s="404"/>
      <c r="M826" s="402" t="str">
        <f>VLOOKUP(Table13[[#This Row],[Column1]],[1]Sheet1!$A:$AO,13,FALSE)</f>
        <v>N/A</v>
      </c>
      <c r="N826" s="402" t="str">
        <f>VLOOKUP(Table13[[#This Row],[Column1]],[1]Sheet1!$A:$AO,14,FALSE)</f>
        <v>N/A</v>
      </c>
      <c r="O826" s="402">
        <f>VLOOKUP(Table13[[#This Row],[Column1]],[1]Sheet1!$A:$AO,15,FALSE)</f>
        <v>45463</v>
      </c>
      <c r="P826" s="375"/>
      <c r="Q826" s="375"/>
      <c r="R826" s="376"/>
      <c r="S826" s="583" t="str">
        <f>VLOOKUP(Table13[[#This Row],[Column1]],[1]Sheet1!$A:$AO,19,FALSE)</f>
        <v>N/A</v>
      </c>
      <c r="T826" s="583">
        <f>VLOOKUP(Table13[[#This Row],[Column1]],[1]Sheet1!$A:$AO,20,FALSE)</f>
        <v>45463</v>
      </c>
      <c r="U826" s="583"/>
      <c r="V826" s="376"/>
      <c r="W826" s="376"/>
      <c r="X826" s="402"/>
      <c r="Y826" s="402"/>
      <c r="Z826" s="610" t="s">
        <v>1478</v>
      </c>
      <c r="AA826" s="532">
        <f>IF(Table13[[#This Row],[Column2]]="","",SUM(Table13[[#This Row],[Column28]]+Table13[[#This Row],[Column29]]))</f>
        <v>3500</v>
      </c>
      <c r="AB826" s="537">
        <v>3500</v>
      </c>
      <c r="AC826" s="502"/>
      <c r="AD826" s="532">
        <f>IF(Table13[[#This Row],[Column2]]="","",SUM(Table13[[#This Row],[Column31]]+Table13[[#This Row],[Column32]]))</f>
        <v>3500</v>
      </c>
      <c r="AE826" s="501">
        <v>3500</v>
      </c>
      <c r="AF826" s="541"/>
      <c r="AG826" s="405"/>
      <c r="AH826" s="380" t="s">
        <v>1205</v>
      </c>
      <c r="AI826" s="576" t="str">
        <f>VLOOKUP(Table13[[#This Row],[Column1]],[1]Sheet1!$A:$AO,35,FALSE)</f>
        <v>N/A</v>
      </c>
      <c r="AJ826" s="576" t="str">
        <f>VLOOKUP(Table13[[#This Row],[Column1]],[1]Sheet1!$A:$AO,36,FALSE)</f>
        <v>N/A</v>
      </c>
      <c r="AK826" s="576" t="str">
        <f>VLOOKUP(Table13[[#This Row],[Column1]],[1]Sheet1!$A:$AO,37,FALSE)</f>
        <v>N/A</v>
      </c>
      <c r="AL826" s="576" t="str">
        <f>VLOOKUP(Table13[[#This Row],[Column1]],[1]Sheet1!$A:$AO,38,FALSE)</f>
        <v>N/A</v>
      </c>
      <c r="AM826" s="576" t="str">
        <f>VLOOKUP(Table13[[#This Row],[Column1]],[1]Sheet1!$A:$AO,39,FALSE)</f>
        <v>N/A</v>
      </c>
      <c r="AN826" s="576" t="s">
        <v>713</v>
      </c>
      <c r="AO826" s="303" t="s">
        <v>1172</v>
      </c>
      <c r="AP826" s="378"/>
      <c r="AQ826" s="237"/>
    </row>
    <row r="827" spans="1:43" s="238" customFormat="1" ht="75" customHeight="1" x14ac:dyDescent="0.25">
      <c r="A827" s="297" t="s">
        <v>1049</v>
      </c>
      <c r="B827" s="627" t="str">
        <f>VLOOKUP(Table13[[#This Row],[Column1]],[1]Sheet1!$A:$AO,2,FALSE)</f>
        <v>CONSTRUCTION SUPPLIES</v>
      </c>
      <c r="C827" s="298" t="str">
        <f>VLOOKUP(Table13[[#This Row],[Column1]],[1]Sheet1!$A:$AO,3,FALSE)</f>
        <v>PDRRMO</v>
      </c>
      <c r="D827" s="298" t="s">
        <v>712</v>
      </c>
      <c r="E827" s="450" t="str">
        <f>VLOOKUP(Table13[[#This Row],[Column1]],[1]Sheet1!$A:$AO,5,FALSE)</f>
        <v>NP-53.9 - Small Value Procurement</v>
      </c>
      <c r="F827" s="446">
        <f>VLOOKUP(Table13[[#This Row],[Column1]],[1]Sheet1!$A:$AO,6,FALSE)</f>
        <v>45440</v>
      </c>
      <c r="G827" s="402">
        <f>VLOOKUP(Table13[[#This Row],[Column1]],[1]Sheet1!$A:$AO,7,FALSE)</f>
        <v>45442</v>
      </c>
      <c r="H827" s="374"/>
      <c r="I827" s="402" t="str">
        <f>VLOOKUP(Table13[[#This Row],[Column1]],[1]Sheet1!$A:$AO,9,FALSE)</f>
        <v>N/A</v>
      </c>
      <c r="J827" s="402">
        <f>VLOOKUP(Table13[[#This Row],[Column1]],[1]Sheet1!$A:$AO,10,FALSE)</f>
        <v>45454</v>
      </c>
      <c r="K827" s="402">
        <f>VLOOKUP(Table13[[#This Row],[Column1]],[1]Sheet1!$A:$AO,11,FALSE)</f>
        <v>45454</v>
      </c>
      <c r="L827" s="404"/>
      <c r="M827" s="402" t="str">
        <f>VLOOKUP(Table13[[#This Row],[Column1]],[1]Sheet1!$A:$AO,13,FALSE)</f>
        <v>N/A</v>
      </c>
      <c r="N827" s="402" t="str">
        <f>VLOOKUP(Table13[[#This Row],[Column1]],[1]Sheet1!$A:$AO,14,FALSE)</f>
        <v>N/A</v>
      </c>
      <c r="O827" s="402">
        <f>VLOOKUP(Table13[[#This Row],[Column1]],[1]Sheet1!$A:$AO,15,FALSE)</f>
        <v>45463</v>
      </c>
      <c r="P827" s="375"/>
      <c r="Q827" s="375"/>
      <c r="R827" s="376"/>
      <c r="S827" s="583">
        <f>VLOOKUP(Table13[[#This Row],[Column1]],[1]Sheet1!$A:$AO,19,FALSE)</f>
        <v>45464</v>
      </c>
      <c r="T827" s="583">
        <f>VLOOKUP(Table13[[#This Row],[Column1]],[1]Sheet1!$A:$AO,20,FALSE)</f>
        <v>45463</v>
      </c>
      <c r="U827" s="583"/>
      <c r="V827" s="376"/>
      <c r="W827" s="376"/>
      <c r="X827" s="402"/>
      <c r="Y827" s="402"/>
      <c r="Z827" s="610" t="s">
        <v>1478</v>
      </c>
      <c r="AA827" s="532">
        <f>IF(Table13[[#This Row],[Column2]]="","",SUM(Table13[[#This Row],[Column28]]+Table13[[#This Row],[Column29]]))</f>
        <v>115928</v>
      </c>
      <c r="AB827" s="537"/>
      <c r="AC827" s="502">
        <v>115928</v>
      </c>
      <c r="AD827" s="532">
        <f>IF(Table13[[#This Row],[Column2]]="","",SUM(Table13[[#This Row],[Column31]]+Table13[[#This Row],[Column32]]))</f>
        <v>115612</v>
      </c>
      <c r="AE827" s="501"/>
      <c r="AF827" s="541">
        <v>115612</v>
      </c>
      <c r="AG827" s="405"/>
      <c r="AH827" s="380" t="s">
        <v>1205</v>
      </c>
      <c r="AI827" s="576" t="str">
        <f>VLOOKUP(Table13[[#This Row],[Column1]],[1]Sheet1!$A:$AO,35,FALSE)</f>
        <v>N/A</v>
      </c>
      <c r="AJ827" s="576" t="str">
        <f>VLOOKUP(Table13[[#This Row],[Column1]],[1]Sheet1!$A:$AO,36,FALSE)</f>
        <v>N/A</v>
      </c>
      <c r="AK827" s="576" t="str">
        <f>VLOOKUP(Table13[[#This Row],[Column1]],[1]Sheet1!$A:$AO,37,FALSE)</f>
        <v>N/A</v>
      </c>
      <c r="AL827" s="576" t="str">
        <f>VLOOKUP(Table13[[#This Row],[Column1]],[1]Sheet1!$A:$AO,38,FALSE)</f>
        <v>N/A</v>
      </c>
      <c r="AM827" s="576" t="str">
        <f>VLOOKUP(Table13[[#This Row],[Column1]],[1]Sheet1!$A:$AO,39,FALSE)</f>
        <v>N/A</v>
      </c>
      <c r="AN827" s="576" t="s">
        <v>713</v>
      </c>
      <c r="AO827" s="303" t="s">
        <v>1172</v>
      </c>
      <c r="AP827" s="378"/>
      <c r="AQ827" s="237"/>
    </row>
    <row r="828" spans="1:43" s="238" customFormat="1" ht="75" customHeight="1" x14ac:dyDescent="0.25">
      <c r="A828" s="297" t="s">
        <v>1050</v>
      </c>
      <c r="B828" s="627" t="str">
        <f>VLOOKUP(Table13[[#This Row],[Column1]],[1]Sheet1!$A:$AO,2,FALSE)</f>
        <v>BARCODE SCANNER</v>
      </c>
      <c r="C828" s="298" t="str">
        <f>VLOOKUP(Table13[[#This Row],[Column1]],[1]Sheet1!$A:$AO,3,FALSE)</f>
        <v>PACCO</v>
      </c>
      <c r="D828" s="298" t="s">
        <v>712</v>
      </c>
      <c r="E828" s="450" t="str">
        <f>VLOOKUP(Table13[[#This Row],[Column1]],[1]Sheet1!$A:$AO,5,FALSE)</f>
        <v>NP-53.9 - Small Value Procurement</v>
      </c>
      <c r="F828" s="446" t="str">
        <f>VLOOKUP(Table13[[#This Row],[Column1]],[1]Sheet1!$A:$AO,6,FALSE)</f>
        <v>N/A</v>
      </c>
      <c r="G828" s="402">
        <f>VLOOKUP(Table13[[#This Row],[Column1]],[1]Sheet1!$A:$AO,7,FALSE)</f>
        <v>45442</v>
      </c>
      <c r="H828" s="374"/>
      <c r="I828" s="402" t="str">
        <f>VLOOKUP(Table13[[#This Row],[Column1]],[1]Sheet1!$A:$AO,9,FALSE)</f>
        <v>N/A</v>
      </c>
      <c r="J828" s="402">
        <f>VLOOKUP(Table13[[#This Row],[Column1]],[1]Sheet1!$A:$AO,10,FALSE)</f>
        <v>45454</v>
      </c>
      <c r="K828" s="402">
        <f>VLOOKUP(Table13[[#This Row],[Column1]],[1]Sheet1!$A:$AO,11,FALSE)</f>
        <v>45454</v>
      </c>
      <c r="L828" s="404"/>
      <c r="M828" s="402" t="str">
        <f>VLOOKUP(Table13[[#This Row],[Column1]],[1]Sheet1!$A:$AO,13,FALSE)</f>
        <v>N/A</v>
      </c>
      <c r="N828" s="402" t="str">
        <f>VLOOKUP(Table13[[#This Row],[Column1]],[1]Sheet1!$A:$AO,14,FALSE)</f>
        <v>N/A</v>
      </c>
      <c r="O828" s="402">
        <f>VLOOKUP(Table13[[#This Row],[Column1]],[1]Sheet1!$A:$AO,15,FALSE)</f>
        <v>45463</v>
      </c>
      <c r="P828" s="375"/>
      <c r="Q828" s="375"/>
      <c r="R828" s="376"/>
      <c r="S828" s="583" t="str">
        <f>VLOOKUP(Table13[[#This Row],[Column1]],[1]Sheet1!$A:$AO,19,FALSE)</f>
        <v>N/A</v>
      </c>
      <c r="T828" s="583">
        <f>VLOOKUP(Table13[[#This Row],[Column1]],[1]Sheet1!$A:$AO,20,FALSE)</f>
        <v>45463</v>
      </c>
      <c r="U828" s="583"/>
      <c r="V828" s="376"/>
      <c r="W828" s="376"/>
      <c r="X828" s="402"/>
      <c r="Y828" s="402"/>
      <c r="Z828" s="610" t="s">
        <v>1478</v>
      </c>
      <c r="AA828" s="532">
        <f>IF(Table13[[#This Row],[Column2]]="","",SUM(Table13[[#This Row],[Column28]]+Table13[[#This Row],[Column29]]))</f>
        <v>1792</v>
      </c>
      <c r="AB828" s="537"/>
      <c r="AC828" s="502">
        <v>1792</v>
      </c>
      <c r="AD828" s="532">
        <f>IF(Table13[[#This Row],[Column2]]="","",SUM(Table13[[#This Row],[Column31]]+Table13[[#This Row],[Column32]]))</f>
        <v>1792</v>
      </c>
      <c r="AE828" s="501"/>
      <c r="AF828" s="541">
        <v>1792</v>
      </c>
      <c r="AG828" s="405"/>
      <c r="AH828" s="380" t="s">
        <v>1205</v>
      </c>
      <c r="AI828" s="576" t="str">
        <f>VLOOKUP(Table13[[#This Row],[Column1]],[1]Sheet1!$A:$AO,35,FALSE)</f>
        <v>N/A</v>
      </c>
      <c r="AJ828" s="576" t="str">
        <f>VLOOKUP(Table13[[#This Row],[Column1]],[1]Sheet1!$A:$AO,36,FALSE)</f>
        <v>N/A</v>
      </c>
      <c r="AK828" s="576" t="str">
        <f>VLOOKUP(Table13[[#This Row],[Column1]],[1]Sheet1!$A:$AO,37,FALSE)</f>
        <v>N/A</v>
      </c>
      <c r="AL828" s="576" t="str">
        <f>VLOOKUP(Table13[[#This Row],[Column1]],[1]Sheet1!$A:$AO,38,FALSE)</f>
        <v>N/A</v>
      </c>
      <c r="AM828" s="576" t="str">
        <f>VLOOKUP(Table13[[#This Row],[Column1]],[1]Sheet1!$A:$AO,39,FALSE)</f>
        <v>N/A</v>
      </c>
      <c r="AN828" s="576" t="s">
        <v>713</v>
      </c>
      <c r="AO828" s="303" t="s">
        <v>1172</v>
      </c>
      <c r="AP828" s="378"/>
      <c r="AQ828" s="237"/>
    </row>
    <row r="829" spans="1:43" s="238" customFormat="1" ht="75" customHeight="1" x14ac:dyDescent="0.25">
      <c r="A829" s="297" t="s">
        <v>1051</v>
      </c>
      <c r="B829" s="627" t="str">
        <f>VLOOKUP(Table13[[#This Row],[Column1]],[1]Sheet1!$A:$AO,2,FALSE)</f>
        <v>TARPAULIN</v>
      </c>
      <c r="C829" s="298" t="str">
        <f>VLOOKUP(Table13[[#This Row],[Column1]],[1]Sheet1!$A:$AO,3,FALSE)</f>
        <v>SEF</v>
      </c>
      <c r="D829" s="298" t="s">
        <v>712</v>
      </c>
      <c r="E829" s="450" t="str">
        <f>VLOOKUP(Table13[[#This Row],[Column1]],[1]Sheet1!$A:$AO,5,FALSE)</f>
        <v>NP-53.9 - Small Value Procurement</v>
      </c>
      <c r="F829" s="446">
        <f>VLOOKUP(Table13[[#This Row],[Column1]],[1]Sheet1!$A:$AO,6,FALSE)</f>
        <v>45440</v>
      </c>
      <c r="G829" s="402">
        <f>VLOOKUP(Table13[[#This Row],[Column1]],[1]Sheet1!$A:$AO,7,FALSE)</f>
        <v>45442</v>
      </c>
      <c r="H829" s="374"/>
      <c r="I829" s="402" t="str">
        <f>VLOOKUP(Table13[[#This Row],[Column1]],[1]Sheet1!$A:$AO,9,FALSE)</f>
        <v>N/A</v>
      </c>
      <c r="J829" s="402">
        <f>VLOOKUP(Table13[[#This Row],[Column1]],[1]Sheet1!$A:$AO,10,FALSE)</f>
        <v>45454</v>
      </c>
      <c r="K829" s="402">
        <f>VLOOKUP(Table13[[#This Row],[Column1]],[1]Sheet1!$A:$AO,11,FALSE)</f>
        <v>45454</v>
      </c>
      <c r="L829" s="404"/>
      <c r="M829" s="402" t="str">
        <f>VLOOKUP(Table13[[#This Row],[Column1]],[1]Sheet1!$A:$AO,13,FALSE)</f>
        <v>N/A</v>
      </c>
      <c r="N829" s="402" t="str">
        <f>VLOOKUP(Table13[[#This Row],[Column1]],[1]Sheet1!$A:$AO,14,FALSE)</f>
        <v>N/A</v>
      </c>
      <c r="O829" s="402">
        <f>VLOOKUP(Table13[[#This Row],[Column1]],[1]Sheet1!$A:$AO,15,FALSE)</f>
        <v>45463</v>
      </c>
      <c r="P829" s="375"/>
      <c r="Q829" s="375"/>
      <c r="R829" s="376"/>
      <c r="S829" s="583" t="str">
        <f>VLOOKUP(Table13[[#This Row],[Column1]],[1]Sheet1!$A:$AO,19,FALSE)</f>
        <v>N/A</v>
      </c>
      <c r="T829" s="583">
        <f>VLOOKUP(Table13[[#This Row],[Column1]],[1]Sheet1!$A:$AO,20,FALSE)</f>
        <v>45463</v>
      </c>
      <c r="U829" s="583"/>
      <c r="V829" s="376"/>
      <c r="W829" s="376"/>
      <c r="X829" s="402"/>
      <c r="Y829" s="402"/>
      <c r="Z829" s="610" t="s">
        <v>1478</v>
      </c>
      <c r="AA829" s="532">
        <f>IF(Table13[[#This Row],[Column2]]="","",SUM(Table13[[#This Row],[Column28]]+Table13[[#This Row],[Column29]]))</f>
        <v>1792</v>
      </c>
      <c r="AB829" s="537"/>
      <c r="AC829" s="502">
        <v>1792</v>
      </c>
      <c r="AD829" s="532">
        <f>IF(Table13[[#This Row],[Column2]]="","",SUM(Table13[[#This Row],[Column31]]+Table13[[#This Row],[Column32]]))</f>
        <v>1792</v>
      </c>
      <c r="AE829" s="501"/>
      <c r="AF829" s="541">
        <v>1792</v>
      </c>
      <c r="AG829" s="405"/>
      <c r="AH829" s="380" t="s">
        <v>1205</v>
      </c>
      <c r="AI829" s="576" t="str">
        <f>VLOOKUP(Table13[[#This Row],[Column1]],[1]Sheet1!$A:$AO,35,FALSE)</f>
        <v>N/A</v>
      </c>
      <c r="AJ829" s="576" t="str">
        <f>VLOOKUP(Table13[[#This Row],[Column1]],[1]Sheet1!$A:$AO,36,FALSE)</f>
        <v>N/A</v>
      </c>
      <c r="AK829" s="576" t="str">
        <f>VLOOKUP(Table13[[#This Row],[Column1]],[1]Sheet1!$A:$AO,37,FALSE)</f>
        <v>N/A</v>
      </c>
      <c r="AL829" s="576" t="str">
        <f>VLOOKUP(Table13[[#This Row],[Column1]],[1]Sheet1!$A:$AO,38,FALSE)</f>
        <v>N/A</v>
      </c>
      <c r="AM829" s="576" t="str">
        <f>VLOOKUP(Table13[[#This Row],[Column1]],[1]Sheet1!$A:$AO,39,FALSE)</f>
        <v>N/A</v>
      </c>
      <c r="AN829" s="576" t="s">
        <v>713</v>
      </c>
      <c r="AO829" s="303" t="s">
        <v>1172</v>
      </c>
      <c r="AP829" s="378"/>
      <c r="AQ829" s="237"/>
    </row>
    <row r="830" spans="1:43" s="238" customFormat="1" ht="75" customHeight="1" x14ac:dyDescent="0.25">
      <c r="A830" s="297" t="s">
        <v>1052</v>
      </c>
      <c r="B830" s="627" t="str">
        <f>VLOOKUP(Table13[[#This Row],[Column1]],[1]Sheet1!$A:$AO,2,FALSE)</f>
        <v>TARPAULIN</v>
      </c>
      <c r="C830" s="298" t="str">
        <f>VLOOKUP(Table13[[#This Row],[Column1]],[1]Sheet1!$A:$AO,3,FALSE)</f>
        <v>PEO</v>
      </c>
      <c r="D830" s="298" t="s">
        <v>712</v>
      </c>
      <c r="E830" s="450" t="str">
        <f>VLOOKUP(Table13[[#This Row],[Column1]],[1]Sheet1!$A:$AO,5,FALSE)</f>
        <v>NP-53.9 - Small Value Procurement</v>
      </c>
      <c r="F830" s="446">
        <f>VLOOKUP(Table13[[#This Row],[Column1]],[1]Sheet1!$A:$AO,6,FALSE)</f>
        <v>45440</v>
      </c>
      <c r="G830" s="402">
        <f>VLOOKUP(Table13[[#This Row],[Column1]],[1]Sheet1!$A:$AO,7,FALSE)</f>
        <v>45442</v>
      </c>
      <c r="H830" s="374"/>
      <c r="I830" s="402" t="str">
        <f>VLOOKUP(Table13[[#This Row],[Column1]],[1]Sheet1!$A:$AO,9,FALSE)</f>
        <v>N/A</v>
      </c>
      <c r="J830" s="402">
        <f>VLOOKUP(Table13[[#This Row],[Column1]],[1]Sheet1!$A:$AO,10,FALSE)</f>
        <v>45454</v>
      </c>
      <c r="K830" s="402">
        <f>VLOOKUP(Table13[[#This Row],[Column1]],[1]Sheet1!$A:$AO,11,FALSE)</f>
        <v>45454</v>
      </c>
      <c r="L830" s="404"/>
      <c r="M830" s="402" t="str">
        <f>VLOOKUP(Table13[[#This Row],[Column1]],[1]Sheet1!$A:$AO,13,FALSE)</f>
        <v>N/A</v>
      </c>
      <c r="N830" s="402" t="str">
        <f>VLOOKUP(Table13[[#This Row],[Column1]],[1]Sheet1!$A:$AO,14,FALSE)</f>
        <v>N/A</v>
      </c>
      <c r="O830" s="402">
        <f>VLOOKUP(Table13[[#This Row],[Column1]],[1]Sheet1!$A:$AO,15,FALSE)</f>
        <v>45463</v>
      </c>
      <c r="P830" s="375"/>
      <c r="Q830" s="375"/>
      <c r="R830" s="376"/>
      <c r="S830" s="583" t="str">
        <f>VLOOKUP(Table13[[#This Row],[Column1]],[1]Sheet1!$A:$AO,19,FALSE)</f>
        <v>N/A</v>
      </c>
      <c r="T830" s="583">
        <f>VLOOKUP(Table13[[#This Row],[Column1]],[1]Sheet1!$A:$AO,20,FALSE)</f>
        <v>45463</v>
      </c>
      <c r="U830" s="583"/>
      <c r="V830" s="376"/>
      <c r="W830" s="376"/>
      <c r="X830" s="402"/>
      <c r="Y830" s="402"/>
      <c r="Z830" s="610" t="s">
        <v>1478</v>
      </c>
      <c r="AA830" s="532">
        <f>IF(Table13[[#This Row],[Column2]]="","",SUM(Table13[[#This Row],[Column28]]+Table13[[#This Row],[Column29]]))</f>
        <v>1792</v>
      </c>
      <c r="AB830" s="537"/>
      <c r="AC830" s="502">
        <v>1792</v>
      </c>
      <c r="AD830" s="532">
        <f>IF(Table13[[#This Row],[Column2]]="","",SUM(Table13[[#This Row],[Column31]]+Table13[[#This Row],[Column32]]))</f>
        <v>1792</v>
      </c>
      <c r="AE830" s="501"/>
      <c r="AF830" s="541">
        <v>1792</v>
      </c>
      <c r="AG830" s="405"/>
      <c r="AH830" s="380" t="s">
        <v>1205</v>
      </c>
      <c r="AI830" s="576" t="str">
        <f>VLOOKUP(Table13[[#This Row],[Column1]],[1]Sheet1!$A:$AO,35,FALSE)</f>
        <v>N/A</v>
      </c>
      <c r="AJ830" s="576" t="str">
        <f>VLOOKUP(Table13[[#This Row],[Column1]],[1]Sheet1!$A:$AO,36,FALSE)</f>
        <v>N/A</v>
      </c>
      <c r="AK830" s="576" t="str">
        <f>VLOOKUP(Table13[[#This Row],[Column1]],[1]Sheet1!$A:$AO,37,FALSE)</f>
        <v>N/A</v>
      </c>
      <c r="AL830" s="576" t="str">
        <f>VLOOKUP(Table13[[#This Row],[Column1]],[1]Sheet1!$A:$AO,38,FALSE)</f>
        <v>N/A</v>
      </c>
      <c r="AM830" s="576" t="str">
        <f>VLOOKUP(Table13[[#This Row],[Column1]],[1]Sheet1!$A:$AO,39,FALSE)</f>
        <v>N/A</v>
      </c>
      <c r="AN830" s="576" t="s">
        <v>713</v>
      </c>
      <c r="AO830" s="303" t="s">
        <v>1172</v>
      </c>
      <c r="AP830" s="378"/>
      <c r="AQ830" s="237"/>
    </row>
    <row r="831" spans="1:43" s="238" customFormat="1" ht="75" customHeight="1" x14ac:dyDescent="0.25">
      <c r="A831" s="297" t="s">
        <v>1053</v>
      </c>
      <c r="B831" s="627" t="str">
        <f>VLOOKUP(Table13[[#This Row],[Column1]],[1]Sheet1!$A:$AO,2,FALSE)</f>
        <v>FOOD/CATERING SERVICES</v>
      </c>
      <c r="C831" s="298" t="str">
        <f>VLOOKUP(Table13[[#This Row],[Column1]],[1]Sheet1!$A:$AO,3,FALSE)</f>
        <v>PAO-ADMIN</v>
      </c>
      <c r="D831" s="298" t="s">
        <v>712</v>
      </c>
      <c r="E831" s="450" t="str">
        <f>VLOOKUP(Table13[[#This Row],[Column1]],[1]Sheet1!$A:$AO,5,FALSE)</f>
        <v>NP-53.9 - Small Value Procurement</v>
      </c>
      <c r="F831" s="446" t="str">
        <f>VLOOKUP(Table13[[#This Row],[Column1]],[1]Sheet1!$A:$AO,6,FALSE)</f>
        <v>N/A</v>
      </c>
      <c r="G831" s="402">
        <f>VLOOKUP(Table13[[#This Row],[Column1]],[1]Sheet1!$A:$AO,7,FALSE)</f>
        <v>45442</v>
      </c>
      <c r="H831" s="374"/>
      <c r="I831" s="402" t="str">
        <f>VLOOKUP(Table13[[#This Row],[Column1]],[1]Sheet1!$A:$AO,9,FALSE)</f>
        <v>N/A</v>
      </c>
      <c r="J831" s="402">
        <f>VLOOKUP(Table13[[#This Row],[Column1]],[1]Sheet1!$A:$AO,10,FALSE)</f>
        <v>45454</v>
      </c>
      <c r="K831" s="402">
        <f>VLOOKUP(Table13[[#This Row],[Column1]],[1]Sheet1!$A:$AO,11,FALSE)</f>
        <v>45454</v>
      </c>
      <c r="L831" s="404"/>
      <c r="M831" s="402" t="str">
        <f>VLOOKUP(Table13[[#This Row],[Column1]],[1]Sheet1!$A:$AO,13,FALSE)</f>
        <v>N/A</v>
      </c>
      <c r="N831" s="402" t="str">
        <f>VLOOKUP(Table13[[#This Row],[Column1]],[1]Sheet1!$A:$AO,14,FALSE)</f>
        <v>N/A</v>
      </c>
      <c r="O831" s="402">
        <f>VLOOKUP(Table13[[#This Row],[Column1]],[1]Sheet1!$A:$AO,15,FALSE)</f>
        <v>45463</v>
      </c>
      <c r="P831" s="375"/>
      <c r="Q831" s="375"/>
      <c r="R831" s="376"/>
      <c r="S831" s="583">
        <f>VLOOKUP(Table13[[#This Row],[Column1]],[1]Sheet1!$A:$AO,19,FALSE)</f>
        <v>45467</v>
      </c>
      <c r="T831" s="583">
        <f>VLOOKUP(Table13[[#This Row],[Column1]],[1]Sheet1!$A:$AO,20,FALSE)</f>
        <v>45463</v>
      </c>
      <c r="U831" s="583"/>
      <c r="V831" s="376"/>
      <c r="W831" s="376"/>
      <c r="X831" s="402"/>
      <c r="Y831" s="402"/>
      <c r="Z831" s="610" t="s">
        <v>1478</v>
      </c>
      <c r="AA831" s="532">
        <f>IF(Table13[[#This Row],[Column2]]="","",SUM(Table13[[#This Row],[Column28]]+Table13[[#This Row],[Column29]]))</f>
        <v>230000</v>
      </c>
      <c r="AB831" s="537">
        <v>230000</v>
      </c>
      <c r="AC831" s="502"/>
      <c r="AD831" s="532">
        <f>IF(Table13[[#This Row],[Column2]]="","",SUM(Table13[[#This Row],[Column31]]+Table13[[#This Row],[Column32]]))</f>
        <v>230000</v>
      </c>
      <c r="AE831" s="501">
        <v>230000</v>
      </c>
      <c r="AF831" s="541"/>
      <c r="AG831" s="405"/>
      <c r="AH831" s="380" t="s">
        <v>1205</v>
      </c>
      <c r="AI831" s="576" t="str">
        <f>VLOOKUP(Table13[[#This Row],[Column1]],[1]Sheet1!$A:$AO,35,FALSE)</f>
        <v>N/A</v>
      </c>
      <c r="AJ831" s="576" t="str">
        <f>VLOOKUP(Table13[[#This Row],[Column1]],[1]Sheet1!$A:$AO,36,FALSE)</f>
        <v>N/A</v>
      </c>
      <c r="AK831" s="576" t="str">
        <f>VLOOKUP(Table13[[#This Row],[Column1]],[1]Sheet1!$A:$AO,37,FALSE)</f>
        <v>N/A</v>
      </c>
      <c r="AL831" s="576" t="str">
        <f>VLOOKUP(Table13[[#This Row],[Column1]],[1]Sheet1!$A:$AO,38,FALSE)</f>
        <v>N/A</v>
      </c>
      <c r="AM831" s="576" t="str">
        <f>VLOOKUP(Table13[[#This Row],[Column1]],[1]Sheet1!$A:$AO,39,FALSE)</f>
        <v>N/A</v>
      </c>
      <c r="AN831" s="576" t="s">
        <v>713</v>
      </c>
      <c r="AO831" s="303" t="s">
        <v>1172</v>
      </c>
      <c r="AP831" s="378"/>
      <c r="AQ831" s="237"/>
    </row>
    <row r="832" spans="1:43" s="238" customFormat="1" ht="75" customHeight="1" x14ac:dyDescent="0.25">
      <c r="A832" s="297" t="s">
        <v>1054</v>
      </c>
      <c r="B832" s="627" t="str">
        <f>VLOOKUP(Table13[[#This Row],[Column1]],[1]Sheet1!$A:$AO,2,FALSE)</f>
        <v>FOOD/CATERING SERVICES</v>
      </c>
      <c r="C832" s="298" t="str">
        <f>VLOOKUP(Table13[[#This Row],[Column1]],[1]Sheet1!$A:$AO,3,FALSE)</f>
        <v>PGO</v>
      </c>
      <c r="D832" s="298" t="s">
        <v>712</v>
      </c>
      <c r="E832" s="450" t="str">
        <f>VLOOKUP(Table13[[#This Row],[Column1]],[1]Sheet1!$A:$AO,5,FALSE)</f>
        <v>NP-53.9 - Small Value Procurement</v>
      </c>
      <c r="F832" s="446" t="str">
        <f>VLOOKUP(Table13[[#This Row],[Column1]],[1]Sheet1!$A:$AO,6,FALSE)</f>
        <v>N/A</v>
      </c>
      <c r="G832" s="402">
        <f>VLOOKUP(Table13[[#This Row],[Column1]],[1]Sheet1!$A:$AO,7,FALSE)</f>
        <v>45442</v>
      </c>
      <c r="H832" s="374"/>
      <c r="I832" s="402" t="str">
        <f>VLOOKUP(Table13[[#This Row],[Column1]],[1]Sheet1!$A:$AO,9,FALSE)</f>
        <v>N/A</v>
      </c>
      <c r="J832" s="402">
        <f>VLOOKUP(Table13[[#This Row],[Column1]],[1]Sheet1!$A:$AO,10,FALSE)</f>
        <v>45454</v>
      </c>
      <c r="K832" s="402">
        <f>VLOOKUP(Table13[[#This Row],[Column1]],[1]Sheet1!$A:$AO,11,FALSE)</f>
        <v>45454</v>
      </c>
      <c r="L832" s="404"/>
      <c r="M832" s="402" t="str">
        <f>VLOOKUP(Table13[[#This Row],[Column1]],[1]Sheet1!$A:$AO,13,FALSE)</f>
        <v>N/A</v>
      </c>
      <c r="N832" s="402" t="str">
        <f>VLOOKUP(Table13[[#This Row],[Column1]],[1]Sheet1!$A:$AO,14,FALSE)</f>
        <v>N/A</v>
      </c>
      <c r="O832" s="402">
        <f>VLOOKUP(Table13[[#This Row],[Column1]],[1]Sheet1!$A:$AO,15,FALSE)</f>
        <v>45463</v>
      </c>
      <c r="P832" s="375"/>
      <c r="Q832" s="375"/>
      <c r="R832" s="376"/>
      <c r="S832" s="583" t="str">
        <f>VLOOKUP(Table13[[#This Row],[Column1]],[1]Sheet1!$A:$AO,19,FALSE)</f>
        <v>N/A</v>
      </c>
      <c r="T832" s="583">
        <f>VLOOKUP(Table13[[#This Row],[Column1]],[1]Sheet1!$A:$AO,20,FALSE)</f>
        <v>45463</v>
      </c>
      <c r="U832" s="583"/>
      <c r="V832" s="376"/>
      <c r="W832" s="376"/>
      <c r="X832" s="402"/>
      <c r="Y832" s="402"/>
      <c r="Z832" s="610" t="s">
        <v>1478</v>
      </c>
      <c r="AA832" s="532">
        <f>IF(Table13[[#This Row],[Column2]]="","",SUM(Table13[[#This Row],[Column28]]+Table13[[#This Row],[Column29]]))</f>
        <v>12480</v>
      </c>
      <c r="AB832" s="537">
        <v>12480</v>
      </c>
      <c r="AC832" s="502"/>
      <c r="AD832" s="532">
        <f>IF(Table13[[#This Row],[Column2]]="","",SUM(Table13[[#This Row],[Column31]]+Table13[[#This Row],[Column32]]))</f>
        <v>12366</v>
      </c>
      <c r="AE832" s="501">
        <v>12366</v>
      </c>
      <c r="AF832" s="541"/>
      <c r="AG832" s="405"/>
      <c r="AH832" s="380" t="s">
        <v>1205</v>
      </c>
      <c r="AI832" s="576" t="str">
        <f>VLOOKUP(Table13[[#This Row],[Column1]],[1]Sheet1!$A:$AO,35,FALSE)</f>
        <v>N/A</v>
      </c>
      <c r="AJ832" s="576" t="str">
        <f>VLOOKUP(Table13[[#This Row],[Column1]],[1]Sheet1!$A:$AO,36,FALSE)</f>
        <v>N/A</v>
      </c>
      <c r="AK832" s="576" t="str">
        <f>VLOOKUP(Table13[[#This Row],[Column1]],[1]Sheet1!$A:$AO,37,FALSE)</f>
        <v>N/A</v>
      </c>
      <c r="AL832" s="576" t="str">
        <f>VLOOKUP(Table13[[#This Row],[Column1]],[1]Sheet1!$A:$AO,38,FALSE)</f>
        <v>N/A</v>
      </c>
      <c r="AM832" s="576" t="str">
        <f>VLOOKUP(Table13[[#This Row],[Column1]],[1]Sheet1!$A:$AO,39,FALSE)</f>
        <v>N/A</v>
      </c>
      <c r="AN832" s="576" t="s">
        <v>713</v>
      </c>
      <c r="AO832" s="303" t="s">
        <v>1172</v>
      </c>
      <c r="AP832" s="378"/>
      <c r="AQ832" s="237"/>
    </row>
    <row r="833" spans="1:43" s="238" customFormat="1" ht="75" customHeight="1" x14ac:dyDescent="0.25">
      <c r="A833" s="297" t="s">
        <v>1055</v>
      </c>
      <c r="B833" s="627" t="str">
        <f>VLOOKUP(Table13[[#This Row],[Column1]],[1]Sheet1!$A:$AO,2,FALSE)</f>
        <v>TARPAULIN</v>
      </c>
      <c r="C833" s="298" t="str">
        <f>VLOOKUP(Table13[[#This Row],[Column1]],[1]Sheet1!$A:$AO,3,FALSE)</f>
        <v>PDRRMO</v>
      </c>
      <c r="D833" s="298" t="s">
        <v>712</v>
      </c>
      <c r="E833" s="450" t="str">
        <f>VLOOKUP(Table13[[#This Row],[Column1]],[1]Sheet1!$A:$AO,5,FALSE)</f>
        <v>NP-53.9 - Small Value Procurement</v>
      </c>
      <c r="F833" s="446">
        <f>VLOOKUP(Table13[[#This Row],[Column1]],[1]Sheet1!$A:$AO,6,FALSE)</f>
        <v>45440</v>
      </c>
      <c r="G833" s="402">
        <f>VLOOKUP(Table13[[#This Row],[Column1]],[1]Sheet1!$A:$AO,7,FALSE)</f>
        <v>45442</v>
      </c>
      <c r="H833" s="374"/>
      <c r="I833" s="402" t="str">
        <f>VLOOKUP(Table13[[#This Row],[Column1]],[1]Sheet1!$A:$AO,9,FALSE)</f>
        <v>N/A</v>
      </c>
      <c r="J833" s="402">
        <f>VLOOKUP(Table13[[#This Row],[Column1]],[1]Sheet1!$A:$AO,10,FALSE)</f>
        <v>45454</v>
      </c>
      <c r="K833" s="402">
        <f>VLOOKUP(Table13[[#This Row],[Column1]],[1]Sheet1!$A:$AO,11,FALSE)</f>
        <v>45454</v>
      </c>
      <c r="L833" s="404"/>
      <c r="M833" s="402" t="str">
        <f>VLOOKUP(Table13[[#This Row],[Column1]],[1]Sheet1!$A:$AO,13,FALSE)</f>
        <v>N/A</v>
      </c>
      <c r="N833" s="402" t="str">
        <f>VLOOKUP(Table13[[#This Row],[Column1]],[1]Sheet1!$A:$AO,14,FALSE)</f>
        <v>N/A</v>
      </c>
      <c r="O833" s="402">
        <f>VLOOKUP(Table13[[#This Row],[Column1]],[1]Sheet1!$A:$AO,15,FALSE)</f>
        <v>45463</v>
      </c>
      <c r="P833" s="375"/>
      <c r="Q833" s="375"/>
      <c r="R833" s="376"/>
      <c r="S833" s="583" t="str">
        <f>VLOOKUP(Table13[[#This Row],[Column1]],[1]Sheet1!$A:$AO,19,FALSE)</f>
        <v>N/A</v>
      </c>
      <c r="T833" s="583">
        <f>VLOOKUP(Table13[[#This Row],[Column1]],[1]Sheet1!$A:$AO,20,FALSE)</f>
        <v>45463</v>
      </c>
      <c r="U833" s="583"/>
      <c r="V833" s="376"/>
      <c r="W833" s="376"/>
      <c r="X833" s="402"/>
      <c r="Y833" s="402"/>
      <c r="Z833" s="610" t="s">
        <v>1478</v>
      </c>
      <c r="AA833" s="532">
        <f>IF(Table13[[#This Row],[Column2]]="","",SUM(Table13[[#This Row],[Column28]]+Table13[[#This Row],[Column29]]))</f>
        <v>1792</v>
      </c>
      <c r="AB833" s="537"/>
      <c r="AC833" s="502">
        <v>1792</v>
      </c>
      <c r="AD833" s="532">
        <f>IF(Table13[[#This Row],[Column2]]="","",SUM(Table13[[#This Row],[Column31]]+Table13[[#This Row],[Column32]]))</f>
        <v>1792</v>
      </c>
      <c r="AE833" s="501"/>
      <c r="AF833" s="541">
        <v>1792</v>
      </c>
      <c r="AG833" s="405"/>
      <c r="AH833" s="380" t="s">
        <v>1205</v>
      </c>
      <c r="AI833" s="576" t="str">
        <f>VLOOKUP(Table13[[#This Row],[Column1]],[1]Sheet1!$A:$AO,35,FALSE)</f>
        <v>N/A</v>
      </c>
      <c r="AJ833" s="576" t="str">
        <f>VLOOKUP(Table13[[#This Row],[Column1]],[1]Sheet1!$A:$AO,36,FALSE)</f>
        <v>N/A</v>
      </c>
      <c r="AK833" s="576" t="str">
        <f>VLOOKUP(Table13[[#This Row],[Column1]],[1]Sheet1!$A:$AO,37,FALSE)</f>
        <v>N/A</v>
      </c>
      <c r="AL833" s="576" t="str">
        <f>VLOOKUP(Table13[[#This Row],[Column1]],[1]Sheet1!$A:$AO,38,FALSE)</f>
        <v>N/A</v>
      </c>
      <c r="AM833" s="576" t="str">
        <f>VLOOKUP(Table13[[#This Row],[Column1]],[1]Sheet1!$A:$AO,39,FALSE)</f>
        <v>N/A</v>
      </c>
      <c r="AN833" s="576" t="s">
        <v>713</v>
      </c>
      <c r="AO833" s="303" t="s">
        <v>1172</v>
      </c>
      <c r="AP833" s="378"/>
      <c r="AQ833" s="237"/>
    </row>
    <row r="834" spans="1:43" s="238" customFormat="1" ht="75" customHeight="1" x14ac:dyDescent="0.25">
      <c r="A834" s="297" t="s">
        <v>1056</v>
      </c>
      <c r="B834" s="627" t="str">
        <f>VLOOKUP(Table13[[#This Row],[Column1]],[1]Sheet1!$A:$AO,2,FALSE)</f>
        <v>POSTER CALENDAR</v>
      </c>
      <c r="C834" s="298" t="str">
        <f>VLOOKUP(Table13[[#This Row],[Column1]],[1]Sheet1!$A:$AO,3,FALSE)</f>
        <v>PAO-ADMIN</v>
      </c>
      <c r="D834" s="298" t="s">
        <v>712</v>
      </c>
      <c r="E834" s="450" t="str">
        <f>VLOOKUP(Table13[[#This Row],[Column1]],[1]Sheet1!$A:$AO,5,FALSE)</f>
        <v>NP-53.9 - Small Value Procurement</v>
      </c>
      <c r="F834" s="446" t="str">
        <f>VLOOKUP(Table13[[#This Row],[Column1]],[1]Sheet1!$A:$AO,6,FALSE)</f>
        <v>N/A</v>
      </c>
      <c r="G834" s="402">
        <f>VLOOKUP(Table13[[#This Row],[Column1]],[1]Sheet1!$A:$AO,7,FALSE)</f>
        <v>45442</v>
      </c>
      <c r="H834" s="374"/>
      <c r="I834" s="402" t="str">
        <f>VLOOKUP(Table13[[#This Row],[Column1]],[1]Sheet1!$A:$AO,9,FALSE)</f>
        <v>N/A</v>
      </c>
      <c r="J834" s="402">
        <f>VLOOKUP(Table13[[#This Row],[Column1]],[1]Sheet1!$A:$AO,10,FALSE)</f>
        <v>45454</v>
      </c>
      <c r="K834" s="402">
        <f>VLOOKUP(Table13[[#This Row],[Column1]],[1]Sheet1!$A:$AO,11,FALSE)</f>
        <v>45454</v>
      </c>
      <c r="L834" s="404"/>
      <c r="M834" s="402" t="str">
        <f>VLOOKUP(Table13[[#This Row],[Column1]],[1]Sheet1!$A:$AO,13,FALSE)</f>
        <v>N/A</v>
      </c>
      <c r="N834" s="402" t="str">
        <f>VLOOKUP(Table13[[#This Row],[Column1]],[1]Sheet1!$A:$AO,14,FALSE)</f>
        <v>N/A</v>
      </c>
      <c r="O834" s="402">
        <f>VLOOKUP(Table13[[#This Row],[Column1]],[1]Sheet1!$A:$AO,15,FALSE)</f>
        <v>45463</v>
      </c>
      <c r="P834" s="375"/>
      <c r="Q834" s="375"/>
      <c r="R834" s="376"/>
      <c r="S834" s="583" t="str">
        <f>VLOOKUP(Table13[[#This Row],[Column1]],[1]Sheet1!$A:$AO,19,FALSE)</f>
        <v>N/A</v>
      </c>
      <c r="T834" s="583">
        <f>VLOOKUP(Table13[[#This Row],[Column1]],[1]Sheet1!$A:$AO,20,FALSE)</f>
        <v>45463</v>
      </c>
      <c r="U834" s="583"/>
      <c r="V834" s="376"/>
      <c r="W834" s="376"/>
      <c r="X834" s="402"/>
      <c r="Y834" s="402"/>
      <c r="Z834" s="610" t="s">
        <v>1478</v>
      </c>
      <c r="AA834" s="532">
        <f>IF(Table13[[#This Row],[Column2]]="","",SUM(Table13[[#This Row],[Column28]]+Table13[[#This Row],[Column29]]))</f>
        <v>24981</v>
      </c>
      <c r="AB834" s="537"/>
      <c r="AC834" s="502">
        <v>24981</v>
      </c>
      <c r="AD834" s="532">
        <f>IF(Table13[[#This Row],[Column2]]="","",SUM(Table13[[#This Row],[Column31]]+Table13[[#This Row],[Column32]]))</f>
        <v>23467</v>
      </c>
      <c r="AE834" s="501"/>
      <c r="AF834" s="541">
        <v>23467</v>
      </c>
      <c r="AG834" s="405"/>
      <c r="AH834" s="380" t="s">
        <v>1205</v>
      </c>
      <c r="AI834" s="576" t="str">
        <f>VLOOKUP(Table13[[#This Row],[Column1]],[1]Sheet1!$A:$AO,35,FALSE)</f>
        <v>N/A</v>
      </c>
      <c r="AJ834" s="576" t="str">
        <f>VLOOKUP(Table13[[#This Row],[Column1]],[1]Sheet1!$A:$AO,36,FALSE)</f>
        <v>N/A</v>
      </c>
      <c r="AK834" s="576" t="str">
        <f>VLOOKUP(Table13[[#This Row],[Column1]],[1]Sheet1!$A:$AO,37,FALSE)</f>
        <v>N/A</v>
      </c>
      <c r="AL834" s="576" t="str">
        <f>VLOOKUP(Table13[[#This Row],[Column1]],[1]Sheet1!$A:$AO,38,FALSE)</f>
        <v>N/A</v>
      </c>
      <c r="AM834" s="576" t="str">
        <f>VLOOKUP(Table13[[#This Row],[Column1]],[1]Sheet1!$A:$AO,39,FALSE)</f>
        <v>N/A</v>
      </c>
      <c r="AN834" s="576" t="s">
        <v>713</v>
      </c>
      <c r="AO834" s="303" t="s">
        <v>1172</v>
      </c>
      <c r="AP834" s="378"/>
      <c r="AQ834" s="237"/>
    </row>
    <row r="835" spans="1:43" s="238" customFormat="1" ht="75" customHeight="1" x14ac:dyDescent="0.25">
      <c r="A835" s="297" t="s">
        <v>1057</v>
      </c>
      <c r="B835" s="627" t="str">
        <f>VLOOKUP(Table13[[#This Row],[Column1]],[1]Sheet1!$A:$AO,2,FALSE)</f>
        <v>TARPAULIN</v>
      </c>
      <c r="C835" s="298" t="str">
        <f>VLOOKUP(Table13[[#This Row],[Column1]],[1]Sheet1!$A:$AO,3,FALSE)</f>
        <v>PAO-ADMIN</v>
      </c>
      <c r="D835" s="298" t="s">
        <v>712</v>
      </c>
      <c r="E835" s="450" t="str">
        <f>VLOOKUP(Table13[[#This Row],[Column1]],[1]Sheet1!$A:$AO,5,FALSE)</f>
        <v>NP-53.9 - Small Value Procurement</v>
      </c>
      <c r="F835" s="446" t="str">
        <f>VLOOKUP(Table13[[#This Row],[Column1]],[1]Sheet1!$A:$AO,6,FALSE)</f>
        <v>N/A</v>
      </c>
      <c r="G835" s="402">
        <f>VLOOKUP(Table13[[#This Row],[Column1]],[1]Sheet1!$A:$AO,7,FALSE)</f>
        <v>45442</v>
      </c>
      <c r="H835" s="374"/>
      <c r="I835" s="402" t="str">
        <f>VLOOKUP(Table13[[#This Row],[Column1]],[1]Sheet1!$A:$AO,9,FALSE)</f>
        <v>N/A</v>
      </c>
      <c r="J835" s="402">
        <f>VLOOKUP(Table13[[#This Row],[Column1]],[1]Sheet1!$A:$AO,10,FALSE)</f>
        <v>45454</v>
      </c>
      <c r="K835" s="402">
        <f>VLOOKUP(Table13[[#This Row],[Column1]],[1]Sheet1!$A:$AO,11,FALSE)</f>
        <v>45454</v>
      </c>
      <c r="L835" s="404"/>
      <c r="M835" s="402" t="str">
        <f>VLOOKUP(Table13[[#This Row],[Column1]],[1]Sheet1!$A:$AO,13,FALSE)</f>
        <v>N/A</v>
      </c>
      <c r="N835" s="402" t="str">
        <f>VLOOKUP(Table13[[#This Row],[Column1]],[1]Sheet1!$A:$AO,14,FALSE)</f>
        <v>N/A</v>
      </c>
      <c r="O835" s="402">
        <f>VLOOKUP(Table13[[#This Row],[Column1]],[1]Sheet1!$A:$AO,15,FALSE)</f>
        <v>45463</v>
      </c>
      <c r="P835" s="375"/>
      <c r="Q835" s="375"/>
      <c r="R835" s="376"/>
      <c r="S835" s="583" t="str">
        <f>VLOOKUP(Table13[[#This Row],[Column1]],[1]Sheet1!$A:$AO,19,FALSE)</f>
        <v>N/A</v>
      </c>
      <c r="T835" s="583">
        <f>VLOOKUP(Table13[[#This Row],[Column1]],[1]Sheet1!$A:$AO,20,FALSE)</f>
        <v>45463</v>
      </c>
      <c r="U835" s="583"/>
      <c r="V835" s="376"/>
      <c r="W835" s="376"/>
      <c r="X835" s="402"/>
      <c r="Y835" s="402"/>
      <c r="Z835" s="610" t="s">
        <v>1478</v>
      </c>
      <c r="AA835" s="532">
        <f>IF(Table13[[#This Row],[Column2]]="","",SUM(Table13[[#This Row],[Column28]]+Table13[[#This Row],[Column29]]))</f>
        <v>28000</v>
      </c>
      <c r="AB835" s="537">
        <v>28000</v>
      </c>
      <c r="AC835" s="502"/>
      <c r="AD835" s="532">
        <f>IF(Table13[[#This Row],[Column2]]="","",SUM(Table13[[#This Row],[Column31]]+Table13[[#This Row],[Column32]]))</f>
        <v>28000</v>
      </c>
      <c r="AE835" s="501">
        <v>28000</v>
      </c>
      <c r="AF835" s="541"/>
      <c r="AG835" s="405"/>
      <c r="AH835" s="380" t="s">
        <v>1205</v>
      </c>
      <c r="AI835" s="576" t="str">
        <f>VLOOKUP(Table13[[#This Row],[Column1]],[1]Sheet1!$A:$AO,35,FALSE)</f>
        <v>N/A</v>
      </c>
      <c r="AJ835" s="576" t="str">
        <f>VLOOKUP(Table13[[#This Row],[Column1]],[1]Sheet1!$A:$AO,36,FALSE)</f>
        <v>N/A</v>
      </c>
      <c r="AK835" s="576" t="str">
        <f>VLOOKUP(Table13[[#This Row],[Column1]],[1]Sheet1!$A:$AO,37,FALSE)</f>
        <v>N/A</v>
      </c>
      <c r="AL835" s="576" t="str">
        <f>VLOOKUP(Table13[[#This Row],[Column1]],[1]Sheet1!$A:$AO,38,FALSE)</f>
        <v>N/A</v>
      </c>
      <c r="AM835" s="576" t="str">
        <f>VLOOKUP(Table13[[#This Row],[Column1]],[1]Sheet1!$A:$AO,39,FALSE)</f>
        <v>N/A</v>
      </c>
      <c r="AN835" s="576" t="s">
        <v>713</v>
      </c>
      <c r="AO835" s="303" t="s">
        <v>1172</v>
      </c>
      <c r="AP835" s="378"/>
      <c r="AQ835" s="237"/>
    </row>
    <row r="836" spans="1:43" s="238" customFormat="1" ht="75" customHeight="1" x14ac:dyDescent="0.25">
      <c r="A836" s="297" t="s">
        <v>1058</v>
      </c>
      <c r="B836" s="627" t="str">
        <f>VLOOKUP(Table13[[#This Row],[Column1]],[1]Sheet1!$A:$AO,2,FALSE)</f>
        <v>COMPUTER SUPPLIES &amp;
PRINTER</v>
      </c>
      <c r="C836" s="298" t="str">
        <f>VLOOKUP(Table13[[#This Row],[Column1]],[1]Sheet1!$A:$AO,3,FALSE)</f>
        <v>PBO</v>
      </c>
      <c r="D836" s="298" t="s">
        <v>712</v>
      </c>
      <c r="E836" s="450" t="str">
        <f>VLOOKUP(Table13[[#This Row],[Column1]],[1]Sheet1!$A:$AO,5,FALSE)</f>
        <v>NP-53.9 - Small Value Procurement</v>
      </c>
      <c r="F836" s="446" t="str">
        <f>VLOOKUP(Table13[[#This Row],[Column1]],[1]Sheet1!$A:$AO,6,FALSE)</f>
        <v>N/A</v>
      </c>
      <c r="G836" s="402">
        <f>VLOOKUP(Table13[[#This Row],[Column1]],[1]Sheet1!$A:$AO,7,FALSE)</f>
        <v>45442</v>
      </c>
      <c r="H836" s="374"/>
      <c r="I836" s="402" t="str">
        <f>VLOOKUP(Table13[[#This Row],[Column1]],[1]Sheet1!$A:$AO,9,FALSE)</f>
        <v>N/A</v>
      </c>
      <c r="J836" s="402">
        <f>VLOOKUP(Table13[[#This Row],[Column1]],[1]Sheet1!$A:$AO,10,FALSE)</f>
        <v>45454</v>
      </c>
      <c r="K836" s="402">
        <f>VLOOKUP(Table13[[#This Row],[Column1]],[1]Sheet1!$A:$AO,11,FALSE)</f>
        <v>45454</v>
      </c>
      <c r="L836" s="404"/>
      <c r="M836" s="402" t="str">
        <f>VLOOKUP(Table13[[#This Row],[Column1]],[1]Sheet1!$A:$AO,13,FALSE)</f>
        <v>N/A</v>
      </c>
      <c r="N836" s="402" t="str">
        <f>VLOOKUP(Table13[[#This Row],[Column1]],[1]Sheet1!$A:$AO,14,FALSE)</f>
        <v>N/A</v>
      </c>
      <c r="O836" s="402">
        <f>VLOOKUP(Table13[[#This Row],[Column1]],[1]Sheet1!$A:$AO,15,FALSE)</f>
        <v>45463</v>
      </c>
      <c r="P836" s="375"/>
      <c r="Q836" s="375"/>
      <c r="R836" s="376"/>
      <c r="S836" s="583" t="str">
        <f>VLOOKUP(Table13[[#This Row],[Column1]],[1]Sheet1!$A:$AO,19,FALSE)</f>
        <v>N/A</v>
      </c>
      <c r="T836" s="583">
        <f>VLOOKUP(Table13[[#This Row],[Column1]],[1]Sheet1!$A:$AO,20,FALSE)</f>
        <v>45463</v>
      </c>
      <c r="U836" s="583"/>
      <c r="V836" s="376"/>
      <c r="W836" s="376"/>
      <c r="X836" s="402"/>
      <c r="Y836" s="402"/>
      <c r="Z836" s="610" t="s">
        <v>1478</v>
      </c>
      <c r="AA836" s="532">
        <f>IF(Table13[[#This Row],[Column2]]="","",SUM(Table13[[#This Row],[Column28]]+Table13[[#This Row],[Column29]]))</f>
        <v>25137</v>
      </c>
      <c r="AB836" s="537">
        <v>25137</v>
      </c>
      <c r="AC836" s="502"/>
      <c r="AD836" s="532">
        <f>IF(Table13[[#This Row],[Column2]]="","",SUM(Table13[[#This Row],[Column31]]+Table13[[#This Row],[Column32]]))</f>
        <v>21111</v>
      </c>
      <c r="AE836" s="501">
        <v>21111</v>
      </c>
      <c r="AF836" s="541"/>
      <c r="AG836" s="405"/>
      <c r="AH836" s="380" t="s">
        <v>1205</v>
      </c>
      <c r="AI836" s="576" t="str">
        <f>VLOOKUP(Table13[[#This Row],[Column1]],[1]Sheet1!$A:$AO,35,FALSE)</f>
        <v>N/A</v>
      </c>
      <c r="AJ836" s="576" t="str">
        <f>VLOOKUP(Table13[[#This Row],[Column1]],[1]Sheet1!$A:$AO,36,FALSE)</f>
        <v>N/A</v>
      </c>
      <c r="AK836" s="576" t="str">
        <f>VLOOKUP(Table13[[#This Row],[Column1]],[1]Sheet1!$A:$AO,37,FALSE)</f>
        <v>N/A</v>
      </c>
      <c r="AL836" s="576" t="str">
        <f>VLOOKUP(Table13[[#This Row],[Column1]],[1]Sheet1!$A:$AO,38,FALSE)</f>
        <v>N/A</v>
      </c>
      <c r="AM836" s="576" t="str">
        <f>VLOOKUP(Table13[[#This Row],[Column1]],[1]Sheet1!$A:$AO,39,FALSE)</f>
        <v>N/A</v>
      </c>
      <c r="AN836" s="576" t="s">
        <v>713</v>
      </c>
      <c r="AO836" s="303" t="s">
        <v>1172</v>
      </c>
      <c r="AP836" s="378"/>
      <c r="AQ836" s="237"/>
    </row>
    <row r="837" spans="1:43" s="238" customFormat="1" ht="75" customHeight="1" x14ac:dyDescent="0.25">
      <c r="A837" s="297" t="s">
        <v>1059</v>
      </c>
      <c r="B837" s="627" t="str">
        <f>VLOOKUP(Table13[[#This Row],[Column1]],[1]Sheet1!$A:$AO,2,FALSE)</f>
        <v>PUBLICATION OF
ORDINANCES</v>
      </c>
      <c r="C837" s="298" t="str">
        <f>VLOOKUP(Table13[[#This Row],[Column1]],[1]Sheet1!$A:$AO,3,FALSE)</f>
        <v>SPO</v>
      </c>
      <c r="D837" s="298" t="s">
        <v>712</v>
      </c>
      <c r="E837" s="450" t="str">
        <f>VLOOKUP(Table13[[#This Row],[Column1]],[1]Sheet1!$A:$AO,5,FALSE)</f>
        <v>NP-53.9 - Small Value Procurement</v>
      </c>
      <c r="F837" s="446">
        <f>VLOOKUP(Table13[[#This Row],[Column1]],[1]Sheet1!$A:$AO,6,FALSE)</f>
        <v>45440</v>
      </c>
      <c r="G837" s="402">
        <f>VLOOKUP(Table13[[#This Row],[Column1]],[1]Sheet1!$A:$AO,7,FALSE)</f>
        <v>45442</v>
      </c>
      <c r="H837" s="374"/>
      <c r="I837" s="402" t="str">
        <f>VLOOKUP(Table13[[#This Row],[Column1]],[1]Sheet1!$A:$AO,9,FALSE)</f>
        <v>N/A</v>
      </c>
      <c r="J837" s="402">
        <f>VLOOKUP(Table13[[#This Row],[Column1]],[1]Sheet1!$A:$AO,10,FALSE)</f>
        <v>45454</v>
      </c>
      <c r="K837" s="402">
        <f>VLOOKUP(Table13[[#This Row],[Column1]],[1]Sheet1!$A:$AO,11,FALSE)</f>
        <v>45454</v>
      </c>
      <c r="L837" s="404"/>
      <c r="M837" s="402" t="str">
        <f>VLOOKUP(Table13[[#This Row],[Column1]],[1]Sheet1!$A:$AO,13,FALSE)</f>
        <v>N/A</v>
      </c>
      <c r="N837" s="402" t="str">
        <f>VLOOKUP(Table13[[#This Row],[Column1]],[1]Sheet1!$A:$AO,14,FALSE)</f>
        <v>N/A</v>
      </c>
      <c r="O837" s="402">
        <f>VLOOKUP(Table13[[#This Row],[Column1]],[1]Sheet1!$A:$AO,15,FALSE)</f>
        <v>45463</v>
      </c>
      <c r="P837" s="375"/>
      <c r="Q837" s="375"/>
      <c r="R837" s="376"/>
      <c r="S837" s="583">
        <f>VLOOKUP(Table13[[#This Row],[Column1]],[1]Sheet1!$A:$AO,19,FALSE)</f>
        <v>45464</v>
      </c>
      <c r="T837" s="583">
        <f>VLOOKUP(Table13[[#This Row],[Column1]],[1]Sheet1!$A:$AO,20,FALSE)</f>
        <v>45463</v>
      </c>
      <c r="U837" s="583"/>
      <c r="V837" s="376"/>
      <c r="W837" s="376"/>
      <c r="X837" s="402"/>
      <c r="Y837" s="402"/>
      <c r="Z837" s="610" t="s">
        <v>1478</v>
      </c>
      <c r="AA837" s="532">
        <f>IF(Table13[[#This Row],[Column2]]="","",SUM(Table13[[#This Row],[Column28]]+Table13[[#This Row],[Column29]]))</f>
        <v>180000</v>
      </c>
      <c r="AB837" s="537">
        <v>180000</v>
      </c>
      <c r="AC837" s="502"/>
      <c r="AD837" s="532">
        <f>IF(Table13[[#This Row],[Column2]]="","",SUM(Table13[[#This Row],[Column31]]+Table13[[#This Row],[Column32]]))</f>
        <v>150000</v>
      </c>
      <c r="AE837" s="501">
        <v>150000</v>
      </c>
      <c r="AF837" s="541"/>
      <c r="AG837" s="405"/>
      <c r="AH837" s="380" t="s">
        <v>1205</v>
      </c>
      <c r="AI837" s="576" t="str">
        <f>VLOOKUP(Table13[[#This Row],[Column1]],[1]Sheet1!$A:$AO,35,FALSE)</f>
        <v>N/A</v>
      </c>
      <c r="AJ837" s="576" t="str">
        <f>VLOOKUP(Table13[[#This Row],[Column1]],[1]Sheet1!$A:$AO,36,FALSE)</f>
        <v>N/A</v>
      </c>
      <c r="AK837" s="576" t="str">
        <f>VLOOKUP(Table13[[#This Row],[Column1]],[1]Sheet1!$A:$AO,37,FALSE)</f>
        <v>N/A</v>
      </c>
      <c r="AL837" s="576" t="str">
        <f>VLOOKUP(Table13[[#This Row],[Column1]],[1]Sheet1!$A:$AO,38,FALSE)</f>
        <v>N/A</v>
      </c>
      <c r="AM837" s="576" t="str">
        <f>VLOOKUP(Table13[[#This Row],[Column1]],[1]Sheet1!$A:$AO,39,FALSE)</f>
        <v>N/A</v>
      </c>
      <c r="AN837" s="576" t="s">
        <v>713</v>
      </c>
      <c r="AO837" s="303" t="s">
        <v>1172</v>
      </c>
      <c r="AP837" s="378"/>
      <c r="AQ837" s="237"/>
    </row>
    <row r="838" spans="1:43" s="238" customFormat="1" ht="75" customHeight="1" x14ac:dyDescent="0.25">
      <c r="A838" s="556" t="s">
        <v>1060</v>
      </c>
      <c r="B838" s="627" t="str">
        <f>VLOOKUP(Table13[[#This Row],[Column1]],[1]Sheet1!$A:$AO,2,FALSE)</f>
        <v>FOOD/CATERING SERVICES</v>
      </c>
      <c r="C838" s="298" t="str">
        <f>VLOOKUP(Table13[[#This Row],[Column1]],[1]Sheet1!$A:$AO,3,FALSE)</f>
        <v>PGO</v>
      </c>
      <c r="D838" s="298" t="s">
        <v>712</v>
      </c>
      <c r="E838" s="450" t="str">
        <f>VLOOKUP(Table13[[#This Row],[Column1]],[1]Sheet1!$A:$AO,5,FALSE)</f>
        <v>NP-53.9 - Small Value Procurement</v>
      </c>
      <c r="F838" s="446" t="str">
        <f>VLOOKUP(Table13[[#This Row],[Column1]],[1]Sheet1!$A:$AO,6,FALSE)</f>
        <v>N/A</v>
      </c>
      <c r="G838" s="402">
        <f>VLOOKUP(Table13[[#This Row],[Column1]],[1]Sheet1!$A:$AO,7,FALSE)</f>
        <v>45442</v>
      </c>
      <c r="H838" s="374"/>
      <c r="I838" s="402" t="str">
        <f>VLOOKUP(Table13[[#This Row],[Column1]],[1]Sheet1!$A:$AO,9,FALSE)</f>
        <v>N/A</v>
      </c>
      <c r="J838" s="402">
        <f>VLOOKUP(Table13[[#This Row],[Column1]],[1]Sheet1!$A:$AO,10,FALSE)</f>
        <v>45454</v>
      </c>
      <c r="K838" s="402">
        <f>VLOOKUP(Table13[[#This Row],[Column1]],[1]Sheet1!$A:$AO,11,FALSE)</f>
        <v>45454</v>
      </c>
      <c r="L838" s="404"/>
      <c r="M838" s="402" t="str">
        <f>VLOOKUP(Table13[[#This Row],[Column1]],[1]Sheet1!$A:$AO,13,FALSE)</f>
        <v>N/A</v>
      </c>
      <c r="N838" s="402" t="str">
        <f>VLOOKUP(Table13[[#This Row],[Column1]],[1]Sheet1!$A:$AO,14,FALSE)</f>
        <v>N/A</v>
      </c>
      <c r="O838" s="402">
        <f>VLOOKUP(Table13[[#This Row],[Column1]],[1]Sheet1!$A:$AO,15,FALSE)</f>
        <v>45463</v>
      </c>
      <c r="P838" s="375"/>
      <c r="Q838" s="375"/>
      <c r="R838" s="376"/>
      <c r="S838" s="583">
        <f>VLOOKUP(Table13[[#This Row],[Column1]],[1]Sheet1!$A:$AO,19,FALSE)</f>
        <v>45464</v>
      </c>
      <c r="T838" s="583">
        <f>VLOOKUP(Table13[[#This Row],[Column1]],[1]Sheet1!$A:$AO,20,FALSE)</f>
        <v>45463</v>
      </c>
      <c r="U838" s="583"/>
      <c r="V838" s="376"/>
      <c r="W838" s="376"/>
      <c r="X838" s="402"/>
      <c r="Y838" s="402"/>
      <c r="Z838" s="610" t="s">
        <v>1478</v>
      </c>
      <c r="AA838" s="532">
        <f>IF(Table13[[#This Row],[Column2]]="","",SUM(Table13[[#This Row],[Column28]]+Table13[[#This Row],[Column29]]))</f>
        <v>74460</v>
      </c>
      <c r="AB838" s="537"/>
      <c r="AC838" s="502">
        <v>74460</v>
      </c>
      <c r="AD838" s="532">
        <f>IF(Table13[[#This Row],[Column2]]="","",SUM(Table13[[#This Row],[Column31]]+Table13[[#This Row],[Column32]]))</f>
        <v>73584</v>
      </c>
      <c r="AE838" s="501"/>
      <c r="AF838" s="540">
        <v>73584</v>
      </c>
      <c r="AG838" s="405"/>
      <c r="AH838" s="380" t="s">
        <v>1205</v>
      </c>
      <c r="AI838" s="576" t="str">
        <f>VLOOKUP(Table13[[#This Row],[Column1]],[1]Sheet1!$A:$AO,35,FALSE)</f>
        <v>N/A</v>
      </c>
      <c r="AJ838" s="576" t="str">
        <f>VLOOKUP(Table13[[#This Row],[Column1]],[1]Sheet1!$A:$AO,36,FALSE)</f>
        <v>N/A</v>
      </c>
      <c r="AK838" s="576" t="str">
        <f>VLOOKUP(Table13[[#This Row],[Column1]],[1]Sheet1!$A:$AO,37,FALSE)</f>
        <v>N/A</v>
      </c>
      <c r="AL838" s="576" t="str">
        <f>VLOOKUP(Table13[[#This Row],[Column1]],[1]Sheet1!$A:$AO,38,FALSE)</f>
        <v>N/A</v>
      </c>
      <c r="AM838" s="576" t="str">
        <f>VLOOKUP(Table13[[#This Row],[Column1]],[1]Sheet1!$A:$AO,39,FALSE)</f>
        <v>N/A</v>
      </c>
      <c r="AN838" s="576" t="s">
        <v>713</v>
      </c>
      <c r="AO838" s="303" t="s">
        <v>1172</v>
      </c>
      <c r="AP838" s="378"/>
      <c r="AQ838" s="237"/>
    </row>
    <row r="839" spans="1:43" s="238" customFormat="1" ht="75" customHeight="1" x14ac:dyDescent="0.25">
      <c r="A839" s="556" t="s">
        <v>1061</v>
      </c>
      <c r="B839" s="627" t="str">
        <f>VLOOKUP(Table13[[#This Row],[Column1]],[1]Sheet1!$A:$AO,2,FALSE)</f>
        <v>CHB</v>
      </c>
      <c r="C839" s="298" t="str">
        <f>VLOOKUP(Table13[[#This Row],[Column1]],[1]Sheet1!$A:$AO,3,FALSE)</f>
        <v>PEO</v>
      </c>
      <c r="D839" s="298" t="s">
        <v>712</v>
      </c>
      <c r="E839" s="450" t="str">
        <f>VLOOKUP(Table13[[#This Row],[Column1]],[1]Sheet1!$A:$AO,5,FALSE)</f>
        <v>NP-53.9 - Small Value Procurement</v>
      </c>
      <c r="F839" s="446">
        <f>VLOOKUP(Table13[[#This Row],[Column1]],[1]Sheet1!$A:$AO,6,FALSE)</f>
        <v>45407</v>
      </c>
      <c r="G839" s="402">
        <f>VLOOKUP(Table13[[#This Row],[Column1]],[1]Sheet1!$A:$AO,7,FALSE)</f>
        <v>45442</v>
      </c>
      <c r="H839" s="374"/>
      <c r="I839" s="402" t="str">
        <f>VLOOKUP(Table13[[#This Row],[Column1]],[1]Sheet1!$A:$AO,9,FALSE)</f>
        <v>N/A</v>
      </c>
      <c r="J839" s="402">
        <f>VLOOKUP(Table13[[#This Row],[Column1]],[1]Sheet1!$A:$AO,10,FALSE)</f>
        <v>45454</v>
      </c>
      <c r="K839" s="402">
        <f>VLOOKUP(Table13[[#This Row],[Column1]],[1]Sheet1!$A:$AO,11,FALSE)</f>
        <v>45454</v>
      </c>
      <c r="L839" s="404"/>
      <c r="M839" s="402" t="str">
        <f>VLOOKUP(Table13[[#This Row],[Column1]],[1]Sheet1!$A:$AO,13,FALSE)</f>
        <v>N/A</v>
      </c>
      <c r="N839" s="402" t="str">
        <f>VLOOKUP(Table13[[#This Row],[Column1]],[1]Sheet1!$A:$AO,14,FALSE)</f>
        <v>N/A</v>
      </c>
      <c r="O839" s="402">
        <f>VLOOKUP(Table13[[#This Row],[Column1]],[1]Sheet1!$A:$AO,15,FALSE)</f>
        <v>45463</v>
      </c>
      <c r="P839" s="375"/>
      <c r="Q839" s="375"/>
      <c r="R839" s="376"/>
      <c r="S839" s="583" t="str">
        <f>VLOOKUP(Table13[[#This Row],[Column1]],[1]Sheet1!$A:$AO,19,FALSE)</f>
        <v>N/A</v>
      </c>
      <c r="T839" s="583">
        <f>VLOOKUP(Table13[[#This Row],[Column1]],[1]Sheet1!$A:$AO,20,FALSE)</f>
        <v>45463</v>
      </c>
      <c r="U839" s="583"/>
      <c r="V839" s="376"/>
      <c r="W839" s="376"/>
      <c r="X839" s="402"/>
      <c r="Y839" s="402"/>
      <c r="Z839" s="610" t="s">
        <v>1478</v>
      </c>
      <c r="AA839" s="532">
        <f>IF(Table13[[#This Row],[Column2]]="","",SUM(Table13[[#This Row],[Column28]]+Table13[[#This Row],[Column29]]))</f>
        <v>6270</v>
      </c>
      <c r="AB839" s="537"/>
      <c r="AC839" s="502">
        <v>6270</v>
      </c>
      <c r="AD839" s="532">
        <f>IF(Table13[[#This Row],[Column2]]="","",SUM(Table13[[#This Row],[Column31]]+Table13[[#This Row],[Column32]]))</f>
        <v>6270</v>
      </c>
      <c r="AE839" s="501"/>
      <c r="AF839" s="540">
        <v>6270</v>
      </c>
      <c r="AG839" s="405"/>
      <c r="AH839" s="380" t="s">
        <v>1205</v>
      </c>
      <c r="AI839" s="576" t="str">
        <f>VLOOKUP(Table13[[#This Row],[Column1]],[1]Sheet1!$A:$AO,35,FALSE)</f>
        <v>N/A</v>
      </c>
      <c r="AJ839" s="576" t="str">
        <f>VLOOKUP(Table13[[#This Row],[Column1]],[1]Sheet1!$A:$AO,36,FALSE)</f>
        <v>N/A</v>
      </c>
      <c r="AK839" s="576" t="str">
        <f>VLOOKUP(Table13[[#This Row],[Column1]],[1]Sheet1!$A:$AO,37,FALSE)</f>
        <v>N/A</v>
      </c>
      <c r="AL839" s="576" t="str">
        <f>VLOOKUP(Table13[[#This Row],[Column1]],[1]Sheet1!$A:$AO,38,FALSE)</f>
        <v>N/A</v>
      </c>
      <c r="AM839" s="576" t="str">
        <f>VLOOKUP(Table13[[#This Row],[Column1]],[1]Sheet1!$A:$AO,39,FALSE)</f>
        <v>N/A</v>
      </c>
      <c r="AN839" s="576" t="s">
        <v>713</v>
      </c>
      <c r="AO839" s="303" t="s">
        <v>1172</v>
      </c>
      <c r="AP839" s="378"/>
      <c r="AQ839" s="237"/>
    </row>
    <row r="840" spans="1:43" s="238" customFormat="1" ht="75" customHeight="1" x14ac:dyDescent="0.25">
      <c r="A840" s="556" t="s">
        <v>1062</v>
      </c>
      <c r="B840" s="627" t="str">
        <f>VLOOKUP(Table13[[#This Row],[Column1]],[1]Sheet1!$A:$AO,2,FALSE)</f>
        <v>WATER</v>
      </c>
      <c r="C840" s="298" t="str">
        <f>VLOOKUP(Table13[[#This Row],[Column1]],[1]Sheet1!$A:$AO,3,FALSE)</f>
        <v>PGO</v>
      </c>
      <c r="D840" s="298" t="s">
        <v>712</v>
      </c>
      <c r="E840" s="450" t="str">
        <f>VLOOKUP(Table13[[#This Row],[Column1]],[1]Sheet1!$A:$AO,5,FALSE)</f>
        <v>NP-53.9 - Small Value Procurement</v>
      </c>
      <c r="F840" s="446" t="str">
        <f>VLOOKUP(Table13[[#This Row],[Column1]],[1]Sheet1!$A:$AO,6,FALSE)</f>
        <v>N/A</v>
      </c>
      <c r="G840" s="402">
        <f>VLOOKUP(Table13[[#This Row],[Column1]],[1]Sheet1!$A:$AO,7,FALSE)</f>
        <v>45397</v>
      </c>
      <c r="H840" s="374"/>
      <c r="I840" s="402" t="str">
        <f>VLOOKUP(Table13[[#This Row],[Column1]],[1]Sheet1!$A:$AO,9,FALSE)</f>
        <v>N/A</v>
      </c>
      <c r="J840" s="402">
        <f>VLOOKUP(Table13[[#This Row],[Column1]],[1]Sheet1!$A:$AO,10,FALSE)</f>
        <v>45454</v>
      </c>
      <c r="K840" s="402">
        <f>VLOOKUP(Table13[[#This Row],[Column1]],[1]Sheet1!$A:$AO,11,FALSE)</f>
        <v>45454</v>
      </c>
      <c r="L840" s="404"/>
      <c r="M840" s="402" t="str">
        <f>VLOOKUP(Table13[[#This Row],[Column1]],[1]Sheet1!$A:$AO,13,FALSE)</f>
        <v>N/A</v>
      </c>
      <c r="N840" s="402" t="str">
        <f>VLOOKUP(Table13[[#This Row],[Column1]],[1]Sheet1!$A:$AO,14,FALSE)</f>
        <v>N/A</v>
      </c>
      <c r="O840" s="402">
        <f>VLOOKUP(Table13[[#This Row],[Column1]],[1]Sheet1!$A:$AO,15,FALSE)</f>
        <v>45463</v>
      </c>
      <c r="P840" s="375"/>
      <c r="Q840" s="375"/>
      <c r="R840" s="376"/>
      <c r="S840" s="583" t="str">
        <f>VLOOKUP(Table13[[#This Row],[Column1]],[1]Sheet1!$A:$AO,19,FALSE)</f>
        <v>N/A</v>
      </c>
      <c r="T840" s="583">
        <f>VLOOKUP(Table13[[#This Row],[Column1]],[1]Sheet1!$A:$AO,20,FALSE)</f>
        <v>45463</v>
      </c>
      <c r="U840" s="583"/>
      <c r="V840" s="376"/>
      <c r="W840" s="376"/>
      <c r="X840" s="402"/>
      <c r="Y840" s="402"/>
      <c r="Z840" s="610" t="s">
        <v>1478</v>
      </c>
      <c r="AA840" s="532">
        <f>IF(Table13[[#This Row],[Column2]]="","",SUM(Table13[[#This Row],[Column28]]+Table13[[#This Row],[Column29]]))</f>
        <v>1640</v>
      </c>
      <c r="AB840" s="537"/>
      <c r="AC840" s="502">
        <v>1640</v>
      </c>
      <c r="AD840" s="532">
        <f>IF(Table13[[#This Row],[Column2]]="","",SUM(Table13[[#This Row],[Column31]]+Table13[[#This Row],[Column32]]))</f>
        <v>1600</v>
      </c>
      <c r="AE840" s="501"/>
      <c r="AF840" s="540">
        <v>1600</v>
      </c>
      <c r="AG840" s="405"/>
      <c r="AH840" s="380" t="s">
        <v>1205</v>
      </c>
      <c r="AI840" s="576" t="str">
        <f>VLOOKUP(Table13[[#This Row],[Column1]],[1]Sheet1!$A:$AO,35,FALSE)</f>
        <v>N/A</v>
      </c>
      <c r="AJ840" s="576" t="str">
        <f>VLOOKUP(Table13[[#This Row],[Column1]],[1]Sheet1!$A:$AO,36,FALSE)</f>
        <v>N/A</v>
      </c>
      <c r="AK840" s="576" t="str">
        <f>VLOOKUP(Table13[[#This Row],[Column1]],[1]Sheet1!$A:$AO,37,FALSE)</f>
        <v>N/A</v>
      </c>
      <c r="AL840" s="576" t="str">
        <f>VLOOKUP(Table13[[#This Row],[Column1]],[1]Sheet1!$A:$AO,38,FALSE)</f>
        <v>N/A</v>
      </c>
      <c r="AM840" s="576" t="str">
        <f>VLOOKUP(Table13[[#This Row],[Column1]],[1]Sheet1!$A:$AO,39,FALSE)</f>
        <v>N/A</v>
      </c>
      <c r="AN840" s="576" t="s">
        <v>713</v>
      </c>
      <c r="AO840" s="303" t="s">
        <v>1172</v>
      </c>
      <c r="AP840" s="378"/>
      <c r="AQ840" s="237"/>
    </row>
    <row r="841" spans="1:43" s="238" customFormat="1" ht="75" customHeight="1" x14ac:dyDescent="0.25">
      <c r="A841" s="556" t="s">
        <v>1063</v>
      </c>
      <c r="B841" s="627" t="str">
        <f>VLOOKUP(Table13[[#This Row],[Column1]],[1]Sheet1!$A:$AO,2,FALSE)</f>
        <v>CHB</v>
      </c>
      <c r="C841" s="298" t="str">
        <f>VLOOKUP(Table13[[#This Row],[Column1]],[1]Sheet1!$A:$AO,3,FALSE)</f>
        <v>PEO</v>
      </c>
      <c r="D841" s="298" t="s">
        <v>712</v>
      </c>
      <c r="E841" s="450" t="str">
        <f>VLOOKUP(Table13[[#This Row],[Column1]],[1]Sheet1!$A:$AO,5,FALSE)</f>
        <v>NP-53.9 - Small Value Procurement</v>
      </c>
      <c r="F841" s="446" t="str">
        <f>VLOOKUP(Table13[[#This Row],[Column1]],[1]Sheet1!$A:$AO,6,FALSE)</f>
        <v>N/A</v>
      </c>
      <c r="G841" s="402">
        <f>VLOOKUP(Table13[[#This Row],[Column1]],[1]Sheet1!$A:$AO,7,FALSE)</f>
        <v>45397</v>
      </c>
      <c r="H841" s="374"/>
      <c r="I841" s="402" t="str">
        <f>VLOOKUP(Table13[[#This Row],[Column1]],[1]Sheet1!$A:$AO,9,FALSE)</f>
        <v>N/A</v>
      </c>
      <c r="J841" s="402">
        <f>VLOOKUP(Table13[[#This Row],[Column1]],[1]Sheet1!$A:$AO,10,FALSE)</f>
        <v>45454</v>
      </c>
      <c r="K841" s="402">
        <f>VLOOKUP(Table13[[#This Row],[Column1]],[1]Sheet1!$A:$AO,11,FALSE)</f>
        <v>45454</v>
      </c>
      <c r="L841" s="404"/>
      <c r="M841" s="402" t="str">
        <f>VLOOKUP(Table13[[#This Row],[Column1]],[1]Sheet1!$A:$AO,13,FALSE)</f>
        <v>N/A</v>
      </c>
      <c r="N841" s="402" t="str">
        <f>VLOOKUP(Table13[[#This Row],[Column1]],[1]Sheet1!$A:$AO,14,FALSE)</f>
        <v>N/A</v>
      </c>
      <c r="O841" s="402">
        <f>VLOOKUP(Table13[[#This Row],[Column1]],[1]Sheet1!$A:$AO,15,FALSE)</f>
        <v>45463</v>
      </c>
      <c r="P841" s="375"/>
      <c r="Q841" s="375"/>
      <c r="R841" s="376"/>
      <c r="S841" s="583" t="str">
        <f>VLOOKUP(Table13[[#This Row],[Column1]],[1]Sheet1!$A:$AO,19,FALSE)</f>
        <v>N/A</v>
      </c>
      <c r="T841" s="583">
        <f>VLOOKUP(Table13[[#This Row],[Column1]],[1]Sheet1!$A:$AO,20,FALSE)</f>
        <v>45463</v>
      </c>
      <c r="U841" s="583"/>
      <c r="V841" s="376"/>
      <c r="W841" s="376"/>
      <c r="X841" s="402"/>
      <c r="Y841" s="402"/>
      <c r="Z841" s="610" t="s">
        <v>1478</v>
      </c>
      <c r="AA841" s="532">
        <f>IF(Table13[[#This Row],[Column2]]="","",SUM(Table13[[#This Row],[Column28]]+Table13[[#This Row],[Column29]]))</f>
        <v>6270</v>
      </c>
      <c r="AB841" s="537"/>
      <c r="AC841" s="502">
        <v>6270</v>
      </c>
      <c r="AD841" s="532">
        <f>IF(Table13[[#This Row],[Column2]]="","",SUM(Table13[[#This Row],[Column31]]+Table13[[#This Row],[Column32]]))</f>
        <v>6270</v>
      </c>
      <c r="AE841" s="501"/>
      <c r="AF841" s="540">
        <v>6270</v>
      </c>
      <c r="AG841" s="405"/>
      <c r="AH841" s="380" t="s">
        <v>1205</v>
      </c>
      <c r="AI841" s="576" t="str">
        <f>VLOOKUP(Table13[[#This Row],[Column1]],[1]Sheet1!$A:$AO,35,FALSE)</f>
        <v>N/A</v>
      </c>
      <c r="AJ841" s="576" t="str">
        <f>VLOOKUP(Table13[[#This Row],[Column1]],[1]Sheet1!$A:$AO,36,FALSE)</f>
        <v>N/A</v>
      </c>
      <c r="AK841" s="576" t="str">
        <f>VLOOKUP(Table13[[#This Row],[Column1]],[1]Sheet1!$A:$AO,37,FALSE)</f>
        <v>N/A</v>
      </c>
      <c r="AL841" s="576" t="str">
        <f>VLOOKUP(Table13[[#This Row],[Column1]],[1]Sheet1!$A:$AO,38,FALSE)</f>
        <v>N/A</v>
      </c>
      <c r="AM841" s="576" t="str">
        <f>VLOOKUP(Table13[[#This Row],[Column1]],[1]Sheet1!$A:$AO,39,FALSE)</f>
        <v>N/A</v>
      </c>
      <c r="AN841" s="576" t="s">
        <v>713</v>
      </c>
      <c r="AO841" s="303" t="s">
        <v>1172</v>
      </c>
      <c r="AP841" s="378"/>
      <c r="AQ841" s="237"/>
    </row>
    <row r="842" spans="1:43" s="238" customFormat="1" ht="75" customHeight="1" x14ac:dyDescent="0.25">
      <c r="A842" s="556" t="s">
        <v>1064</v>
      </c>
      <c r="B842" s="627" t="str">
        <f>VLOOKUP(Table13[[#This Row],[Column1]],[1]Sheet1!$A:$AO,2,FALSE)</f>
        <v>CONSTRUCTION MATERIALS</v>
      </c>
      <c r="C842" s="298" t="str">
        <f>VLOOKUP(Table13[[#This Row],[Column1]],[1]Sheet1!$A:$AO,3,FALSE)</f>
        <v>SEF</v>
      </c>
      <c r="D842" s="298" t="s">
        <v>712</v>
      </c>
      <c r="E842" s="450" t="str">
        <f>VLOOKUP(Table13[[#This Row],[Column1]],[1]Sheet1!$A:$AO,5,FALSE)</f>
        <v>NP-53.9 - Small Value Procurement</v>
      </c>
      <c r="F842" s="446">
        <f>VLOOKUP(Table13[[#This Row],[Column1]],[1]Sheet1!$A:$AO,6,FALSE)</f>
        <v>45387</v>
      </c>
      <c r="G842" s="402">
        <f>VLOOKUP(Table13[[#This Row],[Column1]],[1]Sheet1!$A:$AO,7,FALSE)</f>
        <v>45397</v>
      </c>
      <c r="H842" s="374"/>
      <c r="I842" s="402" t="str">
        <f>VLOOKUP(Table13[[#This Row],[Column1]],[1]Sheet1!$A:$AO,9,FALSE)</f>
        <v>N/A</v>
      </c>
      <c r="J842" s="402">
        <f>VLOOKUP(Table13[[#This Row],[Column1]],[1]Sheet1!$A:$AO,10,FALSE)</f>
        <v>45454</v>
      </c>
      <c r="K842" s="402">
        <f>VLOOKUP(Table13[[#This Row],[Column1]],[1]Sheet1!$A:$AO,11,FALSE)</f>
        <v>45454</v>
      </c>
      <c r="L842" s="404"/>
      <c r="M842" s="402" t="str">
        <f>VLOOKUP(Table13[[#This Row],[Column1]],[1]Sheet1!$A:$AO,13,FALSE)</f>
        <v>N/A</v>
      </c>
      <c r="N842" s="402" t="str">
        <f>VLOOKUP(Table13[[#This Row],[Column1]],[1]Sheet1!$A:$AO,14,FALSE)</f>
        <v>N/A</v>
      </c>
      <c r="O842" s="402">
        <f>VLOOKUP(Table13[[#This Row],[Column1]],[1]Sheet1!$A:$AO,15,FALSE)</f>
        <v>45463</v>
      </c>
      <c r="P842" s="375"/>
      <c r="Q842" s="375"/>
      <c r="R842" s="376"/>
      <c r="S842" s="583">
        <f>VLOOKUP(Table13[[#This Row],[Column1]],[1]Sheet1!$A:$AO,19,FALSE)</f>
        <v>45463</v>
      </c>
      <c r="T842" s="583">
        <f>VLOOKUP(Table13[[#This Row],[Column1]],[1]Sheet1!$A:$AO,20,FALSE)</f>
        <v>45464</v>
      </c>
      <c r="U842" s="583"/>
      <c r="V842" s="376"/>
      <c r="W842" s="376"/>
      <c r="X842" s="402"/>
      <c r="Y842" s="402"/>
      <c r="Z842" s="610" t="s">
        <v>1478</v>
      </c>
      <c r="AA842" s="532">
        <f>IF(Table13[[#This Row],[Column2]]="","",SUM(Table13[[#This Row],[Column28]]+Table13[[#This Row],[Column29]]))</f>
        <v>224734.8</v>
      </c>
      <c r="AB842" s="537"/>
      <c r="AC842" s="502">
        <v>224734.8</v>
      </c>
      <c r="AD842" s="532">
        <f>IF(Table13[[#This Row],[Column2]]="","",SUM(Table13[[#This Row],[Column31]]+Table13[[#This Row],[Column32]]))</f>
        <v>224325</v>
      </c>
      <c r="AE842" s="501"/>
      <c r="AF842" s="540">
        <v>224325</v>
      </c>
      <c r="AG842" s="405"/>
      <c r="AH842" s="380" t="s">
        <v>1205</v>
      </c>
      <c r="AI842" s="576" t="str">
        <f>VLOOKUP(Table13[[#This Row],[Column1]],[1]Sheet1!$A:$AO,35,FALSE)</f>
        <v>N/A</v>
      </c>
      <c r="AJ842" s="576" t="str">
        <f>VLOOKUP(Table13[[#This Row],[Column1]],[1]Sheet1!$A:$AO,36,FALSE)</f>
        <v>N/A</v>
      </c>
      <c r="AK842" s="576" t="str">
        <f>VLOOKUP(Table13[[#This Row],[Column1]],[1]Sheet1!$A:$AO,37,FALSE)</f>
        <v>N/A</v>
      </c>
      <c r="AL842" s="576" t="str">
        <f>VLOOKUP(Table13[[#This Row],[Column1]],[1]Sheet1!$A:$AO,38,FALSE)</f>
        <v>N/A</v>
      </c>
      <c r="AM842" s="576" t="str">
        <f>VLOOKUP(Table13[[#This Row],[Column1]],[1]Sheet1!$A:$AO,39,FALSE)</f>
        <v>N/A</v>
      </c>
      <c r="AN842" s="576" t="s">
        <v>713</v>
      </c>
      <c r="AO842" s="303" t="s">
        <v>1172</v>
      </c>
      <c r="AP842" s="378"/>
      <c r="AQ842" s="237"/>
    </row>
    <row r="843" spans="1:43" s="238" customFormat="1" ht="75" customHeight="1" x14ac:dyDescent="0.25">
      <c r="A843" s="556" t="s">
        <v>1065</v>
      </c>
      <c r="B843" s="627" t="str">
        <f>VLOOKUP(Table13[[#This Row],[Column1]],[1]Sheet1!$A:$AO,2,FALSE)</f>
        <v>POWER TOOLS TIRE
WRENCE</v>
      </c>
      <c r="C843" s="298" t="str">
        <f>VLOOKUP(Table13[[#This Row],[Column1]],[1]Sheet1!$A:$AO,3,FALSE)</f>
        <v>PDRRMO</v>
      </c>
      <c r="D843" s="298" t="s">
        <v>712</v>
      </c>
      <c r="E843" s="450" t="str">
        <f>VLOOKUP(Table13[[#This Row],[Column1]],[1]Sheet1!$A:$AO,5,FALSE)</f>
        <v>NP-53.9 - Small Value Procurement</v>
      </c>
      <c r="F843" s="446">
        <f>VLOOKUP(Table13[[#This Row],[Column1]],[1]Sheet1!$A:$AO,6,FALSE)</f>
        <v>45440</v>
      </c>
      <c r="G843" s="402">
        <f>VLOOKUP(Table13[[#This Row],[Column1]],[1]Sheet1!$A:$AO,7,FALSE)</f>
        <v>45442</v>
      </c>
      <c r="H843" s="374"/>
      <c r="I843" s="402" t="str">
        <f>VLOOKUP(Table13[[#This Row],[Column1]],[1]Sheet1!$A:$AO,9,FALSE)</f>
        <v>N/A</v>
      </c>
      <c r="J843" s="402">
        <f>VLOOKUP(Table13[[#This Row],[Column1]],[1]Sheet1!$A:$AO,10,FALSE)</f>
        <v>45454</v>
      </c>
      <c r="K843" s="402">
        <f>VLOOKUP(Table13[[#This Row],[Column1]],[1]Sheet1!$A:$AO,11,FALSE)</f>
        <v>45454</v>
      </c>
      <c r="L843" s="404"/>
      <c r="M843" s="402" t="str">
        <f>VLOOKUP(Table13[[#This Row],[Column1]],[1]Sheet1!$A:$AO,13,FALSE)</f>
        <v>N/A</v>
      </c>
      <c r="N843" s="402" t="str">
        <f>VLOOKUP(Table13[[#This Row],[Column1]],[1]Sheet1!$A:$AO,14,FALSE)</f>
        <v>N/A</v>
      </c>
      <c r="O843" s="402">
        <f>VLOOKUP(Table13[[#This Row],[Column1]],[1]Sheet1!$A:$AO,15,FALSE)</f>
        <v>45463</v>
      </c>
      <c r="P843" s="375"/>
      <c r="Q843" s="375"/>
      <c r="R843" s="376"/>
      <c r="S843" s="583" t="str">
        <f>VLOOKUP(Table13[[#This Row],[Column1]],[1]Sheet1!$A:$AO,19,FALSE)</f>
        <v>N/A</v>
      </c>
      <c r="T843" s="583">
        <f>VLOOKUP(Table13[[#This Row],[Column1]],[1]Sheet1!$A:$AO,20,FALSE)</f>
        <v>45463</v>
      </c>
      <c r="U843" s="583"/>
      <c r="V843" s="376"/>
      <c r="W843" s="376"/>
      <c r="X843" s="402"/>
      <c r="Y843" s="402"/>
      <c r="Z843" s="610" t="s">
        <v>1478</v>
      </c>
      <c r="AA843" s="532">
        <f>IF(Table13[[#This Row],[Column2]]="","",SUM(Table13[[#This Row],[Column28]]+Table13[[#This Row],[Column29]]))</f>
        <v>18700</v>
      </c>
      <c r="AB843" s="537"/>
      <c r="AC843" s="502">
        <v>18700</v>
      </c>
      <c r="AD843" s="532">
        <f>IF(Table13[[#This Row],[Column2]]="","",SUM(Table13[[#This Row],[Column31]]+Table13[[#This Row],[Column32]]))</f>
        <v>18696</v>
      </c>
      <c r="AE843" s="501"/>
      <c r="AF843" s="540">
        <v>18696</v>
      </c>
      <c r="AG843" s="405"/>
      <c r="AH843" s="380" t="s">
        <v>1205</v>
      </c>
      <c r="AI843" s="576" t="str">
        <f>VLOOKUP(Table13[[#This Row],[Column1]],[1]Sheet1!$A:$AO,35,FALSE)</f>
        <v>N/A</v>
      </c>
      <c r="AJ843" s="576" t="str">
        <f>VLOOKUP(Table13[[#This Row],[Column1]],[1]Sheet1!$A:$AO,36,FALSE)</f>
        <v>N/A</v>
      </c>
      <c r="AK843" s="576" t="str">
        <f>VLOOKUP(Table13[[#This Row],[Column1]],[1]Sheet1!$A:$AO,37,FALSE)</f>
        <v>N/A</v>
      </c>
      <c r="AL843" s="576" t="str">
        <f>VLOOKUP(Table13[[#This Row],[Column1]],[1]Sheet1!$A:$AO,38,FALSE)</f>
        <v>N/A</v>
      </c>
      <c r="AM843" s="576" t="str">
        <f>VLOOKUP(Table13[[#This Row],[Column1]],[1]Sheet1!$A:$AO,39,FALSE)</f>
        <v>N/A</v>
      </c>
      <c r="AN843" s="576" t="s">
        <v>713</v>
      </c>
      <c r="AO843" s="303" t="s">
        <v>1172</v>
      </c>
      <c r="AP843" s="378"/>
      <c r="AQ843" s="237"/>
    </row>
    <row r="844" spans="1:43" s="238" customFormat="1" ht="75" customHeight="1" x14ac:dyDescent="0.25">
      <c r="A844" s="556" t="s">
        <v>1066</v>
      </c>
      <c r="B844" s="627" t="str">
        <f>VLOOKUP(Table13[[#This Row],[Column1]],[1]Sheet1!$A:$AO,2,FALSE)</f>
        <v>INDUSTRIAL FLOOR FAN</v>
      </c>
      <c r="C844" s="298" t="str">
        <f>VLOOKUP(Table13[[#This Row],[Column1]],[1]Sheet1!$A:$AO,3,FALSE)</f>
        <v>PGSO</v>
      </c>
      <c r="D844" s="298" t="s">
        <v>712</v>
      </c>
      <c r="E844" s="450" t="str">
        <f>VLOOKUP(Table13[[#This Row],[Column1]],[1]Sheet1!$A:$AO,5,FALSE)</f>
        <v>NP-53.9 - Small Value Procurement</v>
      </c>
      <c r="F844" s="446" t="str">
        <f>VLOOKUP(Table13[[#This Row],[Column1]],[1]Sheet1!$A:$AO,6,FALSE)</f>
        <v>N/A</v>
      </c>
      <c r="G844" s="402">
        <f>VLOOKUP(Table13[[#This Row],[Column1]],[1]Sheet1!$A:$AO,7,FALSE)</f>
        <v>45442</v>
      </c>
      <c r="H844" s="374"/>
      <c r="I844" s="402" t="str">
        <f>VLOOKUP(Table13[[#This Row],[Column1]],[1]Sheet1!$A:$AO,9,FALSE)</f>
        <v>N/A</v>
      </c>
      <c r="J844" s="402">
        <f>VLOOKUP(Table13[[#This Row],[Column1]],[1]Sheet1!$A:$AO,10,FALSE)</f>
        <v>45454</v>
      </c>
      <c r="K844" s="402">
        <f>VLOOKUP(Table13[[#This Row],[Column1]],[1]Sheet1!$A:$AO,11,FALSE)</f>
        <v>45454</v>
      </c>
      <c r="L844" s="404"/>
      <c r="M844" s="402" t="str">
        <f>VLOOKUP(Table13[[#This Row],[Column1]],[1]Sheet1!$A:$AO,13,FALSE)</f>
        <v>N/A</v>
      </c>
      <c r="N844" s="402" t="str">
        <f>VLOOKUP(Table13[[#This Row],[Column1]],[1]Sheet1!$A:$AO,14,FALSE)</f>
        <v>N/A</v>
      </c>
      <c r="O844" s="402">
        <f>VLOOKUP(Table13[[#This Row],[Column1]],[1]Sheet1!$A:$AO,15,FALSE)</f>
        <v>45463</v>
      </c>
      <c r="P844" s="375"/>
      <c r="Q844" s="375"/>
      <c r="R844" s="376"/>
      <c r="S844" s="583" t="str">
        <f>VLOOKUP(Table13[[#This Row],[Column1]],[1]Sheet1!$A:$AO,19,FALSE)</f>
        <v>N/A</v>
      </c>
      <c r="T844" s="583">
        <f>VLOOKUP(Table13[[#This Row],[Column1]],[1]Sheet1!$A:$AO,20,FALSE)</f>
        <v>45463</v>
      </c>
      <c r="U844" s="583"/>
      <c r="V844" s="376"/>
      <c r="W844" s="376"/>
      <c r="X844" s="402"/>
      <c r="Y844" s="402"/>
      <c r="Z844" s="610" t="s">
        <v>1478</v>
      </c>
      <c r="AA844" s="532">
        <f>IF(Table13[[#This Row],[Column2]]="","",SUM(Table13[[#This Row],[Column28]]+Table13[[#This Row],[Column29]]))</f>
        <v>20850</v>
      </c>
      <c r="AB844" s="537">
        <v>20850</v>
      </c>
      <c r="AC844" s="502"/>
      <c r="AD844" s="532">
        <f>IF(Table13[[#This Row],[Column2]]="","",SUM(Table13[[#This Row],[Column31]]+Table13[[#This Row],[Column32]]))</f>
        <v>20844</v>
      </c>
      <c r="AE844" s="501">
        <v>20844</v>
      </c>
      <c r="AF844" s="540"/>
      <c r="AG844" s="405"/>
      <c r="AH844" s="380" t="s">
        <v>1205</v>
      </c>
      <c r="AI844" s="576" t="str">
        <f>VLOOKUP(Table13[[#This Row],[Column1]],[1]Sheet1!$A:$AO,35,FALSE)</f>
        <v>N/A</v>
      </c>
      <c r="AJ844" s="576" t="str">
        <f>VLOOKUP(Table13[[#This Row],[Column1]],[1]Sheet1!$A:$AO,36,FALSE)</f>
        <v>N/A</v>
      </c>
      <c r="AK844" s="576" t="str">
        <f>VLOOKUP(Table13[[#This Row],[Column1]],[1]Sheet1!$A:$AO,37,FALSE)</f>
        <v>N/A</v>
      </c>
      <c r="AL844" s="576" t="str">
        <f>VLOOKUP(Table13[[#This Row],[Column1]],[1]Sheet1!$A:$AO,38,FALSE)</f>
        <v>N/A</v>
      </c>
      <c r="AM844" s="576" t="str">
        <f>VLOOKUP(Table13[[#This Row],[Column1]],[1]Sheet1!$A:$AO,39,FALSE)</f>
        <v>N/A</v>
      </c>
      <c r="AN844" s="576" t="s">
        <v>713</v>
      </c>
      <c r="AO844" s="303" t="s">
        <v>1172</v>
      </c>
      <c r="AP844" s="378"/>
      <c r="AQ844" s="237"/>
    </row>
    <row r="845" spans="1:43" s="238" customFormat="1" ht="75" customHeight="1" x14ac:dyDescent="0.25">
      <c r="A845" s="556" t="s">
        <v>1067</v>
      </c>
      <c r="B845" s="627" t="str">
        <f>VLOOKUP(Table13[[#This Row],[Column1]],[1]Sheet1!$A:$AO,2,FALSE)</f>
        <v>COMPUTER SUPPLIES</v>
      </c>
      <c r="C845" s="298" t="str">
        <f>VLOOKUP(Table13[[#This Row],[Column1]],[1]Sheet1!$A:$AO,3,FALSE)</f>
        <v>PDRRMO</v>
      </c>
      <c r="D845" s="298" t="s">
        <v>712</v>
      </c>
      <c r="E845" s="450" t="str">
        <f>VLOOKUP(Table13[[#This Row],[Column1]],[1]Sheet1!$A:$AO,5,FALSE)</f>
        <v>NP-53.9 - Small Value Procurement</v>
      </c>
      <c r="F845" s="446" t="str">
        <f>VLOOKUP(Table13[[#This Row],[Column1]],[1]Sheet1!$A:$AO,6,FALSE)</f>
        <v>N/A</v>
      </c>
      <c r="G845" s="402">
        <f>VLOOKUP(Table13[[#This Row],[Column1]],[1]Sheet1!$A:$AO,7,FALSE)</f>
        <v>45412</v>
      </c>
      <c r="H845" s="374"/>
      <c r="I845" s="402" t="str">
        <f>VLOOKUP(Table13[[#This Row],[Column1]],[1]Sheet1!$A:$AO,9,FALSE)</f>
        <v>N/A</v>
      </c>
      <c r="J845" s="402">
        <f>VLOOKUP(Table13[[#This Row],[Column1]],[1]Sheet1!$A:$AO,10,FALSE)</f>
        <v>45454</v>
      </c>
      <c r="K845" s="402">
        <f>VLOOKUP(Table13[[#This Row],[Column1]],[1]Sheet1!$A:$AO,11,FALSE)</f>
        <v>45454</v>
      </c>
      <c r="L845" s="404"/>
      <c r="M845" s="402" t="str">
        <f>VLOOKUP(Table13[[#This Row],[Column1]],[1]Sheet1!$A:$AO,13,FALSE)</f>
        <v>N/A</v>
      </c>
      <c r="N845" s="402" t="str">
        <f>VLOOKUP(Table13[[#This Row],[Column1]],[1]Sheet1!$A:$AO,14,FALSE)</f>
        <v>N/A</v>
      </c>
      <c r="O845" s="402">
        <f>VLOOKUP(Table13[[#This Row],[Column1]],[1]Sheet1!$A:$AO,15,FALSE)</f>
        <v>45463</v>
      </c>
      <c r="P845" s="375"/>
      <c r="Q845" s="375"/>
      <c r="R845" s="376"/>
      <c r="S845" s="583" t="str">
        <f>VLOOKUP(Table13[[#This Row],[Column1]],[1]Sheet1!$A:$AO,19,FALSE)</f>
        <v>N/A</v>
      </c>
      <c r="T845" s="583">
        <f>VLOOKUP(Table13[[#This Row],[Column1]],[1]Sheet1!$A:$AO,20,FALSE)</f>
        <v>45463</v>
      </c>
      <c r="U845" s="583"/>
      <c r="V845" s="376"/>
      <c r="W845" s="376"/>
      <c r="X845" s="402"/>
      <c r="Y845" s="402"/>
      <c r="Z845" s="610" t="s">
        <v>1478</v>
      </c>
      <c r="AA845" s="532">
        <f>IF(Table13[[#This Row],[Column2]]="","",SUM(Table13[[#This Row],[Column28]]+Table13[[#This Row],[Column29]]))</f>
        <v>24400</v>
      </c>
      <c r="AB845" s="537"/>
      <c r="AC845" s="502">
        <v>24400</v>
      </c>
      <c r="AD845" s="532">
        <f>IF(Table13[[#This Row],[Column2]]="","",SUM(Table13[[#This Row],[Column31]]+Table13[[#This Row],[Column32]]))</f>
        <v>24370</v>
      </c>
      <c r="AE845" s="501"/>
      <c r="AF845" s="540">
        <v>24370</v>
      </c>
      <c r="AG845" s="405"/>
      <c r="AH845" s="380" t="s">
        <v>1205</v>
      </c>
      <c r="AI845" s="576" t="str">
        <f>VLOOKUP(Table13[[#This Row],[Column1]],[1]Sheet1!$A:$AO,35,FALSE)</f>
        <v>N/A</v>
      </c>
      <c r="AJ845" s="576" t="str">
        <f>VLOOKUP(Table13[[#This Row],[Column1]],[1]Sheet1!$A:$AO,36,FALSE)</f>
        <v>N/A</v>
      </c>
      <c r="AK845" s="576" t="str">
        <f>VLOOKUP(Table13[[#This Row],[Column1]],[1]Sheet1!$A:$AO,37,FALSE)</f>
        <v>N/A</v>
      </c>
      <c r="AL845" s="576" t="str">
        <f>VLOOKUP(Table13[[#This Row],[Column1]],[1]Sheet1!$A:$AO,38,FALSE)</f>
        <v>N/A</v>
      </c>
      <c r="AM845" s="576" t="str">
        <f>VLOOKUP(Table13[[#This Row],[Column1]],[1]Sheet1!$A:$AO,39,FALSE)</f>
        <v>N/A</v>
      </c>
      <c r="AN845" s="576" t="s">
        <v>713</v>
      </c>
      <c r="AO845" s="303" t="s">
        <v>1172</v>
      </c>
      <c r="AP845" s="378"/>
      <c r="AQ845" s="237"/>
    </row>
    <row r="846" spans="1:43" s="238" customFormat="1" ht="75" customHeight="1" x14ac:dyDescent="0.25">
      <c r="A846" s="297" t="s">
        <v>1068</v>
      </c>
      <c r="B846" s="627" t="str">
        <f>VLOOKUP(Table13[[#This Row],[Column1]],[1]Sheet1!$A:$AO,2,FALSE)</f>
        <v>RECHARGEABLE BATTERY
&amp; BATTERY CHARGER</v>
      </c>
      <c r="C846" s="298" t="str">
        <f>VLOOKUP(Table13[[#This Row],[Column1]],[1]Sheet1!$A:$AO,3,FALSE)</f>
        <v>PTO</v>
      </c>
      <c r="D846" s="298" t="s">
        <v>712</v>
      </c>
      <c r="E846" s="450" t="str">
        <f>VLOOKUP(Table13[[#This Row],[Column1]],[1]Sheet1!$A:$AO,5,FALSE)</f>
        <v>NP-53.9 - Small Value Procurement</v>
      </c>
      <c r="F846" s="446" t="str">
        <f>VLOOKUP(Table13[[#This Row],[Column1]],[1]Sheet1!$A:$AO,6,FALSE)</f>
        <v>N/A</v>
      </c>
      <c r="G846" s="402">
        <f>VLOOKUP(Table13[[#This Row],[Column1]],[1]Sheet1!$A:$AO,7,FALSE)</f>
        <v>45442</v>
      </c>
      <c r="H846" s="374"/>
      <c r="I846" s="402" t="str">
        <f>VLOOKUP(Table13[[#This Row],[Column1]],[1]Sheet1!$A:$AO,9,FALSE)</f>
        <v>N/A</v>
      </c>
      <c r="J846" s="402">
        <f>VLOOKUP(Table13[[#This Row],[Column1]],[1]Sheet1!$A:$AO,10,FALSE)</f>
        <v>45454</v>
      </c>
      <c r="K846" s="402">
        <f>VLOOKUP(Table13[[#This Row],[Column1]],[1]Sheet1!$A:$AO,11,FALSE)</f>
        <v>45454</v>
      </c>
      <c r="L846" s="404"/>
      <c r="M846" s="402" t="str">
        <f>VLOOKUP(Table13[[#This Row],[Column1]],[1]Sheet1!$A:$AO,13,FALSE)</f>
        <v>N/A</v>
      </c>
      <c r="N846" s="402" t="str">
        <f>VLOOKUP(Table13[[#This Row],[Column1]],[1]Sheet1!$A:$AO,14,FALSE)</f>
        <v>N/A</v>
      </c>
      <c r="O846" s="402">
        <f>VLOOKUP(Table13[[#This Row],[Column1]],[1]Sheet1!$A:$AO,15,FALSE)</f>
        <v>45463</v>
      </c>
      <c r="P846" s="375"/>
      <c r="Q846" s="375"/>
      <c r="R846" s="376"/>
      <c r="S846" s="583" t="str">
        <f>VLOOKUP(Table13[[#This Row],[Column1]],[1]Sheet1!$A:$AO,19,FALSE)</f>
        <v>N/A</v>
      </c>
      <c r="T846" s="583">
        <f>VLOOKUP(Table13[[#This Row],[Column1]],[1]Sheet1!$A:$AO,20,FALSE)</f>
        <v>45463</v>
      </c>
      <c r="U846" s="583"/>
      <c r="V846" s="376"/>
      <c r="W846" s="376"/>
      <c r="X846" s="402"/>
      <c r="Y846" s="402"/>
      <c r="Z846" s="610" t="s">
        <v>1478</v>
      </c>
      <c r="AA846" s="532">
        <f>IF(Table13[[#This Row],[Column2]]="","",SUM(Table13[[#This Row],[Column28]]+Table13[[#This Row],[Column29]]))</f>
        <v>2360</v>
      </c>
      <c r="AB846" s="537">
        <v>2360</v>
      </c>
      <c r="AC846" s="502"/>
      <c r="AD846" s="532">
        <f>IF(Table13[[#This Row],[Column2]]="","",SUM(Table13[[#This Row],[Column31]]+Table13[[#This Row],[Column32]]))</f>
        <v>2360</v>
      </c>
      <c r="AE846" s="501">
        <v>2360</v>
      </c>
      <c r="AF846" s="541"/>
      <c r="AG846" s="405"/>
      <c r="AH846" s="380" t="s">
        <v>1205</v>
      </c>
      <c r="AI846" s="576" t="str">
        <f>VLOOKUP(Table13[[#This Row],[Column1]],[1]Sheet1!$A:$AO,35,FALSE)</f>
        <v>N/A</v>
      </c>
      <c r="AJ846" s="576" t="str">
        <f>VLOOKUP(Table13[[#This Row],[Column1]],[1]Sheet1!$A:$AO,36,FALSE)</f>
        <v>N/A</v>
      </c>
      <c r="AK846" s="576" t="str">
        <f>VLOOKUP(Table13[[#This Row],[Column1]],[1]Sheet1!$A:$AO,37,FALSE)</f>
        <v>N/A</v>
      </c>
      <c r="AL846" s="576" t="str">
        <f>VLOOKUP(Table13[[#This Row],[Column1]],[1]Sheet1!$A:$AO,38,FALSE)</f>
        <v>N/A</v>
      </c>
      <c r="AM846" s="576" t="str">
        <f>VLOOKUP(Table13[[#This Row],[Column1]],[1]Sheet1!$A:$AO,39,FALSE)</f>
        <v>N/A</v>
      </c>
      <c r="AN846" s="576" t="s">
        <v>713</v>
      </c>
      <c r="AO846" s="303" t="s">
        <v>1172</v>
      </c>
      <c r="AP846" s="378"/>
      <c r="AQ846" s="237"/>
    </row>
    <row r="847" spans="1:43" s="238" customFormat="1" ht="75" customHeight="1" x14ac:dyDescent="0.25">
      <c r="A847" s="556" t="s">
        <v>1069</v>
      </c>
      <c r="B847" s="627" t="str">
        <f>VLOOKUP(Table13[[#This Row],[Column1]],[1]Sheet1!$A:$AO,2,FALSE)</f>
        <v>HEAVY DUTY HYDRAULIC
JACK</v>
      </c>
      <c r="C847" s="298" t="str">
        <f>VLOOKUP(Table13[[#This Row],[Column1]],[1]Sheet1!$A:$AO,3,FALSE)</f>
        <v>PDRRMO</v>
      </c>
      <c r="D847" s="298" t="s">
        <v>712</v>
      </c>
      <c r="E847" s="450" t="str">
        <f>VLOOKUP(Table13[[#This Row],[Column1]],[1]Sheet1!$A:$AO,5,FALSE)</f>
        <v>NP-53.9 - Small Value Procurement</v>
      </c>
      <c r="F847" s="446">
        <f>VLOOKUP(Table13[[#This Row],[Column1]],[1]Sheet1!$A:$AO,6,FALSE)</f>
        <v>45440</v>
      </c>
      <c r="G847" s="402">
        <f>VLOOKUP(Table13[[#This Row],[Column1]],[1]Sheet1!$A:$AO,7,FALSE)</f>
        <v>45442</v>
      </c>
      <c r="H847" s="374"/>
      <c r="I847" s="402" t="str">
        <f>VLOOKUP(Table13[[#This Row],[Column1]],[1]Sheet1!$A:$AO,9,FALSE)</f>
        <v>N/A</v>
      </c>
      <c r="J847" s="402">
        <f>VLOOKUP(Table13[[#This Row],[Column1]],[1]Sheet1!$A:$AO,10,FALSE)</f>
        <v>45454</v>
      </c>
      <c r="K847" s="402">
        <f>VLOOKUP(Table13[[#This Row],[Column1]],[1]Sheet1!$A:$AO,11,FALSE)</f>
        <v>45454</v>
      </c>
      <c r="L847" s="404"/>
      <c r="M847" s="402" t="str">
        <f>VLOOKUP(Table13[[#This Row],[Column1]],[1]Sheet1!$A:$AO,13,FALSE)</f>
        <v>N/A</v>
      </c>
      <c r="N847" s="402" t="str">
        <f>VLOOKUP(Table13[[#This Row],[Column1]],[1]Sheet1!$A:$AO,14,FALSE)</f>
        <v>N/A</v>
      </c>
      <c r="O847" s="402">
        <f>VLOOKUP(Table13[[#This Row],[Column1]],[1]Sheet1!$A:$AO,15,FALSE)</f>
        <v>45463</v>
      </c>
      <c r="P847" s="375"/>
      <c r="Q847" s="375"/>
      <c r="R847" s="376"/>
      <c r="S847" s="583" t="str">
        <f>VLOOKUP(Table13[[#This Row],[Column1]],[1]Sheet1!$A:$AO,19,FALSE)</f>
        <v>N/A</v>
      </c>
      <c r="T847" s="583">
        <f>VLOOKUP(Table13[[#This Row],[Column1]],[1]Sheet1!$A:$AO,20,FALSE)</f>
        <v>45463</v>
      </c>
      <c r="U847" s="583"/>
      <c r="V847" s="376"/>
      <c r="W847" s="376"/>
      <c r="X847" s="402"/>
      <c r="Y847" s="402"/>
      <c r="Z847" s="610" t="s">
        <v>1478</v>
      </c>
      <c r="AA847" s="532">
        <f>IF(Table13[[#This Row],[Column2]]="","",SUM(Table13[[#This Row],[Column28]]+Table13[[#This Row],[Column29]]))</f>
        <v>14800</v>
      </c>
      <c r="AB847" s="537"/>
      <c r="AC847" s="502">
        <v>14800</v>
      </c>
      <c r="AD847" s="532">
        <f>IF(Table13[[#This Row],[Column2]]="","",SUM(Table13[[#This Row],[Column31]]+Table13[[#This Row],[Column32]]))</f>
        <v>14799</v>
      </c>
      <c r="AE847" s="501"/>
      <c r="AF847" s="540">
        <v>14799</v>
      </c>
      <c r="AG847" s="405"/>
      <c r="AH847" s="380" t="s">
        <v>1205</v>
      </c>
      <c r="AI847" s="576" t="str">
        <f>VLOOKUP(Table13[[#This Row],[Column1]],[1]Sheet1!$A:$AO,35,FALSE)</f>
        <v>N/A</v>
      </c>
      <c r="AJ847" s="576" t="str">
        <f>VLOOKUP(Table13[[#This Row],[Column1]],[1]Sheet1!$A:$AO,36,FALSE)</f>
        <v>N/A</v>
      </c>
      <c r="AK847" s="576" t="str">
        <f>VLOOKUP(Table13[[#This Row],[Column1]],[1]Sheet1!$A:$AO,37,FALSE)</f>
        <v>N/A</v>
      </c>
      <c r="AL847" s="576" t="str">
        <f>VLOOKUP(Table13[[#This Row],[Column1]],[1]Sheet1!$A:$AO,38,FALSE)</f>
        <v>N/A</v>
      </c>
      <c r="AM847" s="576" t="str">
        <f>VLOOKUP(Table13[[#This Row],[Column1]],[1]Sheet1!$A:$AO,39,FALSE)</f>
        <v>N/A</v>
      </c>
      <c r="AN847" s="576" t="s">
        <v>713</v>
      </c>
      <c r="AO847" s="303" t="s">
        <v>1172</v>
      </c>
      <c r="AP847" s="378"/>
      <c r="AQ847" s="237"/>
    </row>
    <row r="848" spans="1:43" s="238" customFormat="1" ht="75" customHeight="1" x14ac:dyDescent="0.25">
      <c r="A848" s="556" t="s">
        <v>1070</v>
      </c>
      <c r="B848" s="627" t="str">
        <f>VLOOKUP(Table13[[#This Row],[Column1]],[1]Sheet1!$A:$AO,2,FALSE)</f>
        <v>PIPE WRENCH</v>
      </c>
      <c r="C848" s="298" t="str">
        <f>VLOOKUP(Table13[[#This Row],[Column1]],[1]Sheet1!$A:$AO,3,FALSE)</f>
        <v>PDRRMO</v>
      </c>
      <c r="D848" s="298" t="s">
        <v>712</v>
      </c>
      <c r="E848" s="450" t="str">
        <f>VLOOKUP(Table13[[#This Row],[Column1]],[1]Sheet1!$A:$AO,5,FALSE)</f>
        <v>NP-53.9 - Small Value Procurement</v>
      </c>
      <c r="F848" s="446">
        <f>VLOOKUP(Table13[[#This Row],[Column1]],[1]Sheet1!$A:$AO,6,FALSE)</f>
        <v>45440</v>
      </c>
      <c r="G848" s="402">
        <f>VLOOKUP(Table13[[#This Row],[Column1]],[1]Sheet1!$A:$AO,7,FALSE)</f>
        <v>45442</v>
      </c>
      <c r="H848" s="374"/>
      <c r="I848" s="402" t="str">
        <f>VLOOKUP(Table13[[#This Row],[Column1]],[1]Sheet1!$A:$AO,9,FALSE)</f>
        <v>N/A</v>
      </c>
      <c r="J848" s="402">
        <f>VLOOKUP(Table13[[#This Row],[Column1]],[1]Sheet1!$A:$AO,10,FALSE)</f>
        <v>45454</v>
      </c>
      <c r="K848" s="402">
        <f>VLOOKUP(Table13[[#This Row],[Column1]],[1]Sheet1!$A:$AO,11,FALSE)</f>
        <v>45454</v>
      </c>
      <c r="L848" s="404"/>
      <c r="M848" s="402" t="str">
        <f>VLOOKUP(Table13[[#This Row],[Column1]],[1]Sheet1!$A:$AO,13,FALSE)</f>
        <v>N/A</v>
      </c>
      <c r="N848" s="402" t="str">
        <f>VLOOKUP(Table13[[#This Row],[Column1]],[1]Sheet1!$A:$AO,14,FALSE)</f>
        <v>N/A</v>
      </c>
      <c r="O848" s="402">
        <f>VLOOKUP(Table13[[#This Row],[Column1]],[1]Sheet1!$A:$AO,15,FALSE)</f>
        <v>45463</v>
      </c>
      <c r="P848" s="375"/>
      <c r="Q848" s="375"/>
      <c r="R848" s="376"/>
      <c r="S848" s="583" t="str">
        <f>VLOOKUP(Table13[[#This Row],[Column1]],[1]Sheet1!$A:$AO,19,FALSE)</f>
        <v>N/A</v>
      </c>
      <c r="T848" s="583">
        <f>VLOOKUP(Table13[[#This Row],[Column1]],[1]Sheet1!$A:$AO,20,FALSE)</f>
        <v>45463</v>
      </c>
      <c r="U848" s="583"/>
      <c r="V848" s="376"/>
      <c r="W848" s="376"/>
      <c r="X848" s="402"/>
      <c r="Y848" s="402"/>
      <c r="Z848" s="610" t="s">
        <v>1478</v>
      </c>
      <c r="AA848" s="532">
        <f>IF(Table13[[#This Row],[Column2]]="","",SUM(Table13[[#This Row],[Column28]]+Table13[[#This Row],[Column29]]))</f>
        <v>5200</v>
      </c>
      <c r="AB848" s="537"/>
      <c r="AC848" s="502">
        <v>5200</v>
      </c>
      <c r="AD848" s="532">
        <f>IF(Table13[[#This Row],[Column2]]="","",SUM(Table13[[#This Row],[Column31]]+Table13[[#This Row],[Column32]]))</f>
        <v>5198</v>
      </c>
      <c r="AE848" s="501"/>
      <c r="AF848" s="540">
        <v>5198</v>
      </c>
      <c r="AG848" s="405"/>
      <c r="AH848" s="380" t="s">
        <v>1205</v>
      </c>
      <c r="AI848" s="576" t="str">
        <f>VLOOKUP(Table13[[#This Row],[Column1]],[1]Sheet1!$A:$AO,35,FALSE)</f>
        <v>N/A</v>
      </c>
      <c r="AJ848" s="576" t="str">
        <f>VLOOKUP(Table13[[#This Row],[Column1]],[1]Sheet1!$A:$AO,36,FALSE)</f>
        <v>N/A</v>
      </c>
      <c r="AK848" s="576" t="str">
        <f>VLOOKUP(Table13[[#This Row],[Column1]],[1]Sheet1!$A:$AO,37,FALSE)</f>
        <v>N/A</v>
      </c>
      <c r="AL848" s="576" t="str">
        <f>VLOOKUP(Table13[[#This Row],[Column1]],[1]Sheet1!$A:$AO,38,FALSE)</f>
        <v>N/A</v>
      </c>
      <c r="AM848" s="576" t="str">
        <f>VLOOKUP(Table13[[#This Row],[Column1]],[1]Sheet1!$A:$AO,39,FALSE)</f>
        <v>N/A</v>
      </c>
      <c r="AN848" s="576" t="s">
        <v>713</v>
      </c>
      <c r="AO848" s="303" t="s">
        <v>1172</v>
      </c>
      <c r="AP848" s="378"/>
      <c r="AQ848" s="237"/>
    </row>
    <row r="849" spans="1:43" s="238" customFormat="1" ht="75" customHeight="1" x14ac:dyDescent="0.25">
      <c r="A849" s="556" t="s">
        <v>1071</v>
      </c>
      <c r="B849" s="627" t="str">
        <f>VLOOKUP(Table13[[#This Row],[Column1]],[1]Sheet1!$A:$AO,2,FALSE)</f>
        <v>JOB ORDER: SUPPLY AND INSTALLATION OF 3 UNITS OF 50KVA DISTRIBUTION TRANSFER</v>
      </c>
      <c r="C849" s="298" t="str">
        <f>VLOOKUP(Table13[[#This Row],[Column1]],[1]Sheet1!$A:$AO,3,FALSE)</f>
        <v>PAGRO</v>
      </c>
      <c r="D849" s="298" t="s">
        <v>712</v>
      </c>
      <c r="E849" s="450" t="str">
        <f>VLOOKUP(Table13[[#This Row],[Column1]],[1]Sheet1!$A:$AO,5,FALSE)</f>
        <v>Competitive Bidding</v>
      </c>
      <c r="F849" s="446">
        <f>VLOOKUP(Table13[[#This Row],[Column1]],[1]Sheet1!$A:$AO,6,FALSE)</f>
        <v>45398</v>
      </c>
      <c r="G849" s="402">
        <f>VLOOKUP(Table13[[#This Row],[Column1]],[1]Sheet1!$A:$AO,7,FALSE)</f>
        <v>45411</v>
      </c>
      <c r="H849" s="374"/>
      <c r="I849" s="402">
        <f>VLOOKUP(Table13[[#This Row],[Column1]],[1]Sheet1!$A:$AO,9,FALSE)</f>
        <v>45421</v>
      </c>
      <c r="J849" s="402">
        <f>VLOOKUP(Table13[[#This Row],[Column1]],[1]Sheet1!$A:$AO,10,FALSE)</f>
        <v>45440</v>
      </c>
      <c r="K849" s="402">
        <f>VLOOKUP(Table13[[#This Row],[Column1]],[1]Sheet1!$A:$AO,11,FALSE)</f>
        <v>45440</v>
      </c>
      <c r="L849" s="404"/>
      <c r="M849" s="402">
        <f>VLOOKUP(Table13[[#This Row],[Column1]],[1]Sheet1!$A:$AO,13,FALSE)</f>
        <v>45440</v>
      </c>
      <c r="N849" s="402">
        <f>VLOOKUP(Table13[[#This Row],[Column1]],[1]Sheet1!$A:$AO,14,FALSE)</f>
        <v>45457</v>
      </c>
      <c r="O849" s="402">
        <f>VLOOKUP(Table13[[#This Row],[Column1]],[1]Sheet1!$A:$AO,15,FALSE)</f>
        <v>45463</v>
      </c>
      <c r="P849" s="375"/>
      <c r="Q849" s="375"/>
      <c r="R849" s="376"/>
      <c r="S849" s="583">
        <f>VLOOKUP(Table13[[#This Row],[Column1]],[1]Sheet1!$A:$AO,19,FALSE)</f>
        <v>45464</v>
      </c>
      <c r="T849" s="583">
        <f>VLOOKUP(Table13[[#This Row],[Column1]],[1]Sheet1!$A:$AO,20,FALSE)</f>
        <v>45471</v>
      </c>
      <c r="U849" s="583"/>
      <c r="V849" s="376"/>
      <c r="W849" s="376"/>
      <c r="X849" s="402"/>
      <c r="Y849" s="402"/>
      <c r="Z849" s="610" t="s">
        <v>1478</v>
      </c>
      <c r="AA849" s="532">
        <f>IF(Table13[[#This Row],[Column2]]="","",SUM(Table13[[#This Row],[Column28]]+Table13[[#This Row],[Column29]]))</f>
        <v>794859</v>
      </c>
      <c r="AB849" s="537"/>
      <c r="AC849" s="502">
        <v>794859</v>
      </c>
      <c r="AD849" s="532">
        <f>IF(Table13[[#This Row],[Column2]]="","",SUM(Table13[[#This Row],[Column31]]+Table13[[#This Row],[Column32]]))</f>
        <v>750000</v>
      </c>
      <c r="AE849" s="501"/>
      <c r="AF849" s="540">
        <v>750000</v>
      </c>
      <c r="AG849" s="405"/>
      <c r="AH849" s="380" t="s">
        <v>1205</v>
      </c>
      <c r="AI849" s="576">
        <f>VLOOKUP(Table13[[#This Row],[Column1]],[1]Sheet1!$A:$AO,35,FALSE)</f>
        <v>45419</v>
      </c>
      <c r="AJ849" s="576">
        <f>VLOOKUP(Table13[[#This Row],[Column1]],[1]Sheet1!$A:$AO,36,FALSE)</f>
        <v>45439</v>
      </c>
      <c r="AK849" s="576">
        <f>VLOOKUP(Table13[[#This Row],[Column1]],[1]Sheet1!$A:$AO,37,FALSE)</f>
        <v>45439</v>
      </c>
      <c r="AL849" s="576">
        <f>VLOOKUP(Table13[[#This Row],[Column1]],[1]Sheet1!$A:$AO,38,FALSE)</f>
        <v>45439</v>
      </c>
      <c r="AM849" s="576" t="str">
        <f>VLOOKUP(Table13[[#This Row],[Column1]],[1]Sheet1!$A:$AO,39,FALSE)</f>
        <v>N/A</v>
      </c>
      <c r="AN849" s="576" t="s">
        <v>713</v>
      </c>
      <c r="AO849" s="303" t="s">
        <v>1172</v>
      </c>
      <c r="AP849" s="378"/>
      <c r="AQ849" s="237"/>
    </row>
    <row r="850" spans="1:43" s="238" customFormat="1" ht="75" customHeight="1" x14ac:dyDescent="0.25">
      <c r="A850" s="297" t="s">
        <v>1072</v>
      </c>
      <c r="B850" s="627" t="str">
        <f>VLOOKUP(Table13[[#This Row],[Column1]],[1]Sheet1!$A:$AO,2,FALSE)</f>
        <v>SUPPLY AND DELIVERY OF LAPTOP (MIDRANGE)</v>
      </c>
      <c r="C850" s="298" t="str">
        <f>VLOOKUP(Table13[[#This Row],[Column1]],[1]Sheet1!$A:$AO,3,FALSE)</f>
        <v>SEF</v>
      </c>
      <c r="D850" s="298" t="s">
        <v>712</v>
      </c>
      <c r="E850" s="450" t="str">
        <f>VLOOKUP(Table13[[#This Row],[Column1]],[1]Sheet1!$A:$AO,5,FALSE)</f>
        <v>Competitive Bidding</v>
      </c>
      <c r="F850" s="446">
        <f>VLOOKUP(Table13[[#This Row],[Column1]],[1]Sheet1!$A:$AO,6,FALSE)</f>
        <v>45421</v>
      </c>
      <c r="G850" s="402">
        <f>VLOOKUP(Table13[[#This Row],[Column1]],[1]Sheet1!$A:$AO,7,FALSE)</f>
        <v>45425</v>
      </c>
      <c r="H850" s="374"/>
      <c r="I850" s="402" t="str">
        <f>VLOOKUP(Table13[[#This Row],[Column1]],[1]Sheet1!$A:$AO,9,FALSE)</f>
        <v>N/A</v>
      </c>
      <c r="J850" s="402">
        <f>VLOOKUP(Table13[[#This Row],[Column1]],[1]Sheet1!$A:$AO,10,FALSE)</f>
        <v>45440</v>
      </c>
      <c r="K850" s="402">
        <f>VLOOKUP(Table13[[#This Row],[Column1]],[1]Sheet1!$A:$AO,11,FALSE)</f>
        <v>45440</v>
      </c>
      <c r="L850" s="404"/>
      <c r="M850" s="402">
        <f>VLOOKUP(Table13[[#This Row],[Column1]],[1]Sheet1!$A:$AO,13,FALSE)</f>
        <v>45440</v>
      </c>
      <c r="N850" s="402">
        <f>VLOOKUP(Table13[[#This Row],[Column1]],[1]Sheet1!$A:$AO,14,FALSE)</f>
        <v>45457</v>
      </c>
      <c r="O850" s="402">
        <f>VLOOKUP(Table13[[#This Row],[Column1]],[1]Sheet1!$A:$AO,15,FALSE)</f>
        <v>45463</v>
      </c>
      <c r="P850" s="375"/>
      <c r="Q850" s="375"/>
      <c r="R850" s="376"/>
      <c r="S850" s="583">
        <f>VLOOKUP(Table13[[#This Row],[Column1]],[1]Sheet1!$A:$AO,19,FALSE)</f>
        <v>45464</v>
      </c>
      <c r="T850" s="583">
        <f>VLOOKUP(Table13[[#This Row],[Column1]],[1]Sheet1!$A:$AO,20,FALSE)</f>
        <v>45471</v>
      </c>
      <c r="U850" s="583"/>
      <c r="V850" s="376"/>
      <c r="W850" s="376"/>
      <c r="X850" s="402"/>
      <c r="Y850" s="402"/>
      <c r="Z850" s="610" t="s">
        <v>1478</v>
      </c>
      <c r="AA850" s="532">
        <f>Table13[[#This Row],[Column28]]+Table13[[#This Row],[Column29]]</f>
        <v>165000</v>
      </c>
      <c r="AB850" s="537"/>
      <c r="AC850" s="502">
        <v>165000</v>
      </c>
      <c r="AD850" s="532">
        <f>Table13[[#This Row],[Column31]]+Table13[[#This Row],[Column32]]</f>
        <v>157200</v>
      </c>
      <c r="AE850" s="501"/>
      <c r="AF850" s="541">
        <v>157200</v>
      </c>
      <c r="AG850" s="405"/>
      <c r="AH850" s="380" t="s">
        <v>1205</v>
      </c>
      <c r="AI850" s="576" t="str">
        <f>VLOOKUP(Table13[[#This Row],[Column1]],[1]Sheet1!$A:$AO,35,FALSE)</f>
        <v>N/A</v>
      </c>
      <c r="AJ850" s="576">
        <v>45439</v>
      </c>
      <c r="AK850" s="576">
        <v>45439</v>
      </c>
      <c r="AL850" s="576">
        <v>45439</v>
      </c>
      <c r="AM850" s="576" t="str">
        <f>VLOOKUP(Table13[[#This Row],[Column1]],[1]Sheet1!$A:$AO,39,FALSE)</f>
        <v>N/A</v>
      </c>
      <c r="AN850" s="576" t="s">
        <v>713</v>
      </c>
      <c r="AO850" s="303" t="s">
        <v>1172</v>
      </c>
      <c r="AP850" s="378"/>
      <c r="AQ850" s="237"/>
    </row>
    <row r="851" spans="1:43" s="238" customFormat="1" ht="75" customHeight="1" x14ac:dyDescent="0.25">
      <c r="A851" s="297" t="s">
        <v>1073</v>
      </c>
      <c r="B851" s="627" t="str">
        <f>VLOOKUP(Table13[[#This Row],[Column1]],[1]Sheet1!$A:$AO,2,FALSE)</f>
        <v>TONER</v>
      </c>
      <c r="C851" s="298" t="str">
        <f>VLOOKUP(Table13[[#This Row],[Column1]],[1]Sheet1!$A:$AO,3,FALSE)</f>
        <v>PBO</v>
      </c>
      <c r="D851" s="298" t="s">
        <v>712</v>
      </c>
      <c r="E851" s="450" t="str">
        <f>VLOOKUP(Table13[[#This Row],[Column1]],[1]Sheet1!$A:$AO,5,FALSE)</f>
        <v>Direct Contracting</v>
      </c>
      <c r="F851" s="446" t="str">
        <f>VLOOKUP(Table13[[#This Row],[Column1]],[1]Sheet1!$A:$AO,6,FALSE)</f>
        <v>N/A</v>
      </c>
      <c r="G851" s="402">
        <f>VLOOKUP(Table13[[#This Row],[Column1]],[1]Sheet1!$A:$AO,7,FALSE)</f>
        <v>45448</v>
      </c>
      <c r="H851" s="374"/>
      <c r="I851" s="402" t="str">
        <f>VLOOKUP(Table13[[#This Row],[Column1]],[1]Sheet1!$A:$AO,9,FALSE)</f>
        <v>N/A</v>
      </c>
      <c r="J851" s="402">
        <f>VLOOKUP(Table13[[#This Row],[Column1]],[1]Sheet1!$A:$AO,10,FALSE)</f>
        <v>45461</v>
      </c>
      <c r="K851" s="402">
        <f>VLOOKUP(Table13[[#This Row],[Column1]],[1]Sheet1!$A:$AO,11,FALSE)</f>
        <v>45461</v>
      </c>
      <c r="L851" s="404"/>
      <c r="M851" s="402" t="str">
        <f>VLOOKUP(Table13[[#This Row],[Column1]],[1]Sheet1!$A:$AO,13,FALSE)</f>
        <v>N/A</v>
      </c>
      <c r="N851" s="402" t="str">
        <f>VLOOKUP(Table13[[#This Row],[Column1]],[1]Sheet1!$A:$AO,14,FALSE)</f>
        <v>N/A</v>
      </c>
      <c r="O851" s="402">
        <f>VLOOKUP(Table13[[#This Row],[Column1]],[1]Sheet1!$A:$AO,15,FALSE)</f>
        <v>45463</v>
      </c>
      <c r="P851" s="375"/>
      <c r="Q851" s="375"/>
      <c r="R851" s="376"/>
      <c r="S851" s="583" t="str">
        <f>VLOOKUP(Table13[[#This Row],[Column1]],[1]Sheet1!$A:$AO,19,FALSE)</f>
        <v>N/A</v>
      </c>
      <c r="T851" s="583">
        <f>VLOOKUP(Table13[[#This Row],[Column1]],[1]Sheet1!$A:$AO,20,FALSE)</f>
        <v>45475</v>
      </c>
      <c r="U851" s="583"/>
      <c r="V851" s="376"/>
      <c r="W851" s="376"/>
      <c r="X851" s="402"/>
      <c r="Y851" s="402"/>
      <c r="Z851" s="610" t="s">
        <v>1478</v>
      </c>
      <c r="AA851" s="532">
        <f>IF(Table13[[#This Row],[Column2]]="","",SUM(Table13[[#This Row],[Column28]]+Table13[[#This Row],[Column29]]))</f>
        <v>6023</v>
      </c>
      <c r="AB851" s="537">
        <v>6023</v>
      </c>
      <c r="AC851" s="502"/>
      <c r="AD851" s="532">
        <f>IF(Table13[[#This Row],[Column2]]="","",SUM(Table13[[#This Row],[Column31]]+Table13[[#This Row],[Column32]]))</f>
        <v>6023</v>
      </c>
      <c r="AE851" s="501">
        <v>6023</v>
      </c>
      <c r="AF851" s="541"/>
      <c r="AG851" s="405"/>
      <c r="AH851" s="380" t="s">
        <v>1205</v>
      </c>
      <c r="AI851" s="576" t="str">
        <f>VLOOKUP(Table13[[#This Row],[Column1]],[1]Sheet1!$A:$AO,35,FALSE)</f>
        <v>N/A</v>
      </c>
      <c r="AJ851" s="576" t="str">
        <f>VLOOKUP(Table13[[#This Row],[Column1]],[1]Sheet1!$A:$AO,36,FALSE)</f>
        <v>N/A</v>
      </c>
      <c r="AK851" s="576" t="str">
        <f>VLOOKUP(Table13[[#This Row],[Column1]],[1]Sheet1!$A:$AO,37,FALSE)</f>
        <v>N/A</v>
      </c>
      <c r="AL851" s="576" t="str">
        <f>VLOOKUP(Table13[[#This Row],[Column1]],[1]Sheet1!$A:$AO,38,FALSE)</f>
        <v>N/A</v>
      </c>
      <c r="AM851" s="576" t="str">
        <f>VLOOKUP(Table13[[#This Row],[Column1]],[1]Sheet1!$A:$AO,39,FALSE)</f>
        <v>N/A</v>
      </c>
      <c r="AN851" s="576" t="s">
        <v>713</v>
      </c>
      <c r="AO851" s="303" t="s">
        <v>1172</v>
      </c>
      <c r="AP851" s="378"/>
      <c r="AQ851" s="237"/>
    </row>
    <row r="852" spans="1:43" s="238" customFormat="1" ht="75" customHeight="1" x14ac:dyDescent="0.25">
      <c r="A852" s="556" t="s">
        <v>1074</v>
      </c>
      <c r="B852" s="627" t="str">
        <f>VLOOKUP(Table13[[#This Row],[Column1]],[1]Sheet1!$A:$AO,2,FALSE)</f>
        <v>SPAREPARTS (LIGHT
VEHICLES)</v>
      </c>
      <c r="C852" s="298" t="str">
        <f>VLOOKUP(Table13[[#This Row],[Column1]],[1]Sheet1!$A:$AO,3,FALSE)</f>
        <v>PDRRMO</v>
      </c>
      <c r="D852" s="298" t="s">
        <v>712</v>
      </c>
      <c r="E852" s="450" t="str">
        <f>VLOOKUP(Table13[[#This Row],[Column1]],[1]Sheet1!$A:$AO,5,FALSE)</f>
        <v>Shopping 52.1(a) - Unforeseen Contingency</v>
      </c>
      <c r="F852" s="446" t="str">
        <f>VLOOKUP(Table13[[#This Row],[Column1]],[1]Sheet1!$A:$AO,6,FALSE)</f>
        <v>N/A</v>
      </c>
      <c r="G852" s="402">
        <f>VLOOKUP(Table13[[#This Row],[Column1]],[1]Sheet1!$A:$AO,7,FALSE)</f>
        <v>45457</v>
      </c>
      <c r="H852" s="374"/>
      <c r="I852" s="402" t="str">
        <f>VLOOKUP(Table13[[#This Row],[Column1]],[1]Sheet1!$A:$AO,9,FALSE)</f>
        <v>N/A</v>
      </c>
      <c r="J852" s="402">
        <f>VLOOKUP(Table13[[#This Row],[Column1]],[1]Sheet1!$A:$AO,10,FALSE)</f>
        <v>45461</v>
      </c>
      <c r="K852" s="402">
        <f>VLOOKUP(Table13[[#This Row],[Column1]],[1]Sheet1!$A:$AO,11,FALSE)</f>
        <v>45461</v>
      </c>
      <c r="L852" s="404"/>
      <c r="M852" s="402" t="str">
        <f>VLOOKUP(Table13[[#This Row],[Column1]],[1]Sheet1!$A:$AO,13,FALSE)</f>
        <v>N/A</v>
      </c>
      <c r="N852" s="402" t="str">
        <f>VLOOKUP(Table13[[#This Row],[Column1]],[1]Sheet1!$A:$AO,14,FALSE)</f>
        <v>N/A</v>
      </c>
      <c r="O852" s="402">
        <f>VLOOKUP(Table13[[#This Row],[Column1]],[1]Sheet1!$A:$AO,15,FALSE)</f>
        <v>45463</v>
      </c>
      <c r="P852" s="375"/>
      <c r="Q852" s="375"/>
      <c r="R852" s="376"/>
      <c r="S852" s="583" t="str">
        <f>VLOOKUP(Table13[[#This Row],[Column1]],[1]Sheet1!$A:$AO,19,FALSE)</f>
        <v>N/A</v>
      </c>
      <c r="T852" s="583">
        <f>VLOOKUP(Table13[[#This Row],[Column1]],[1]Sheet1!$A:$AO,20,FALSE)</f>
        <v>45469</v>
      </c>
      <c r="U852" s="583"/>
      <c r="V852" s="376"/>
      <c r="W852" s="376"/>
      <c r="X852" s="402"/>
      <c r="Y852" s="402"/>
      <c r="Z852" s="610" t="s">
        <v>1478</v>
      </c>
      <c r="AA852" s="532">
        <f>IF(Table13[[#This Row],[Column2]]="","",SUM(Table13[[#This Row],[Column28]]+Table13[[#This Row],[Column29]]))</f>
        <v>85000</v>
      </c>
      <c r="AB852" s="537">
        <v>85000</v>
      </c>
      <c r="AC852" s="502"/>
      <c r="AD852" s="532">
        <f>IF(Table13[[#This Row],[Column2]]="","",SUM(Table13[[#This Row],[Column31]]+Table13[[#This Row],[Column32]]))</f>
        <v>85000</v>
      </c>
      <c r="AE852" s="501">
        <v>85000</v>
      </c>
      <c r="AF852" s="541"/>
      <c r="AG852" s="405"/>
      <c r="AH852" s="380" t="s">
        <v>1205</v>
      </c>
      <c r="AI852" s="576" t="str">
        <f>VLOOKUP(Table13[[#This Row],[Column1]],[1]Sheet1!$A:$AO,35,FALSE)</f>
        <v>N/A</v>
      </c>
      <c r="AJ852" s="576" t="str">
        <f>VLOOKUP(Table13[[#This Row],[Column1]],[1]Sheet1!$A:$AO,36,FALSE)</f>
        <v>N/A</v>
      </c>
      <c r="AK852" s="576" t="str">
        <f>VLOOKUP(Table13[[#This Row],[Column1]],[1]Sheet1!$A:$AO,37,FALSE)</f>
        <v>N/A</v>
      </c>
      <c r="AL852" s="576" t="str">
        <f>VLOOKUP(Table13[[#This Row],[Column1]],[1]Sheet1!$A:$AO,38,FALSE)</f>
        <v>N/A</v>
      </c>
      <c r="AM852" s="576" t="str">
        <f>VLOOKUP(Table13[[#This Row],[Column1]],[1]Sheet1!$A:$AO,39,FALSE)</f>
        <v>N/A</v>
      </c>
      <c r="AN852" s="576" t="s">
        <v>713</v>
      </c>
      <c r="AO852" s="303" t="s">
        <v>1172</v>
      </c>
      <c r="AP852" s="378"/>
      <c r="AQ852" s="237"/>
    </row>
    <row r="853" spans="1:43" s="238" customFormat="1" ht="75" customHeight="1" x14ac:dyDescent="0.25">
      <c r="A853" s="556" t="s">
        <v>1075</v>
      </c>
      <c r="B853" s="627" t="str">
        <f>VLOOKUP(Table13[[#This Row],[Column1]],[1]Sheet1!$A:$AO,2,FALSE)</f>
        <v>JOB ORDER(LABOR &amp;
MATERIALS)</v>
      </c>
      <c r="C853" s="298" t="str">
        <f>VLOOKUP(Table13[[#This Row],[Column1]],[1]Sheet1!$A:$AO,3,FALSE)</f>
        <v>VGO</v>
      </c>
      <c r="D853" s="298" t="s">
        <v>712</v>
      </c>
      <c r="E853" s="450" t="str">
        <f>VLOOKUP(Table13[[#This Row],[Column1]],[1]Sheet1!$A:$AO,5,FALSE)</f>
        <v>Shopping 52.1(a) - Unforeseen Contingency</v>
      </c>
      <c r="F853" s="446" t="str">
        <f>VLOOKUP(Table13[[#This Row],[Column1]],[1]Sheet1!$A:$AO,6,FALSE)</f>
        <v>N/A</v>
      </c>
      <c r="G853" s="402">
        <f>VLOOKUP(Table13[[#This Row],[Column1]],[1]Sheet1!$A:$AO,7,FALSE)</f>
        <v>45457</v>
      </c>
      <c r="H853" s="374"/>
      <c r="I853" s="402" t="str">
        <f>VLOOKUP(Table13[[#This Row],[Column1]],[1]Sheet1!$A:$AO,9,FALSE)</f>
        <v>N/A</v>
      </c>
      <c r="J853" s="402">
        <f>VLOOKUP(Table13[[#This Row],[Column1]],[1]Sheet1!$A:$AO,10,FALSE)</f>
        <v>45461</v>
      </c>
      <c r="K853" s="402">
        <f>VLOOKUP(Table13[[#This Row],[Column1]],[1]Sheet1!$A:$AO,11,FALSE)</f>
        <v>45461</v>
      </c>
      <c r="L853" s="404"/>
      <c r="M853" s="402" t="str">
        <f>VLOOKUP(Table13[[#This Row],[Column1]],[1]Sheet1!$A:$AO,13,FALSE)</f>
        <v>N/A</v>
      </c>
      <c r="N853" s="402" t="str">
        <f>VLOOKUP(Table13[[#This Row],[Column1]],[1]Sheet1!$A:$AO,14,FALSE)</f>
        <v>N/A</v>
      </c>
      <c r="O853" s="402">
        <f>VLOOKUP(Table13[[#This Row],[Column1]],[1]Sheet1!$A:$AO,15,FALSE)</f>
        <v>45463</v>
      </c>
      <c r="P853" s="375"/>
      <c r="Q853" s="375"/>
      <c r="R853" s="376"/>
      <c r="S853" s="583" t="str">
        <f>VLOOKUP(Table13[[#This Row],[Column1]],[1]Sheet1!$A:$AO,19,FALSE)</f>
        <v>N/A</v>
      </c>
      <c r="T853" s="583">
        <f>VLOOKUP(Table13[[#This Row],[Column1]],[1]Sheet1!$A:$AO,20,FALSE)</f>
        <v>45474</v>
      </c>
      <c r="U853" s="583"/>
      <c r="V853" s="376"/>
      <c r="W853" s="376"/>
      <c r="X853" s="402"/>
      <c r="Y853" s="402"/>
      <c r="Z853" s="610" t="s">
        <v>1478</v>
      </c>
      <c r="AA853" s="532">
        <f>IF(Table13[[#This Row],[Column2]]="","",SUM(Table13[[#This Row],[Column28]]+Table13[[#This Row],[Column29]]))</f>
        <v>3500</v>
      </c>
      <c r="AB853" s="537">
        <v>3500</v>
      </c>
      <c r="AC853" s="502"/>
      <c r="AD853" s="532">
        <f>IF(Table13[[#This Row],[Column2]]="","",SUM(Table13[[#This Row],[Column31]]+Table13[[#This Row],[Column32]]))</f>
        <v>3500</v>
      </c>
      <c r="AE853" s="501">
        <v>3500</v>
      </c>
      <c r="AF853" s="541"/>
      <c r="AG853" s="405"/>
      <c r="AH853" s="380" t="s">
        <v>1205</v>
      </c>
      <c r="AI853" s="576" t="str">
        <f>VLOOKUP(Table13[[#This Row],[Column1]],[1]Sheet1!$A:$AO,35,FALSE)</f>
        <v>N/A</v>
      </c>
      <c r="AJ853" s="576" t="str">
        <f>VLOOKUP(Table13[[#This Row],[Column1]],[1]Sheet1!$A:$AO,36,FALSE)</f>
        <v>N/A</v>
      </c>
      <c r="AK853" s="576" t="str">
        <f>VLOOKUP(Table13[[#This Row],[Column1]],[1]Sheet1!$A:$AO,37,FALSE)</f>
        <v>N/A</v>
      </c>
      <c r="AL853" s="576" t="str">
        <f>VLOOKUP(Table13[[#This Row],[Column1]],[1]Sheet1!$A:$AO,38,FALSE)</f>
        <v>N/A</v>
      </c>
      <c r="AM853" s="576" t="str">
        <f>VLOOKUP(Table13[[#This Row],[Column1]],[1]Sheet1!$A:$AO,39,FALSE)</f>
        <v>N/A</v>
      </c>
      <c r="AN853" s="576" t="s">
        <v>713</v>
      </c>
      <c r="AO853" s="303" t="s">
        <v>1172</v>
      </c>
      <c r="AP853" s="378"/>
      <c r="AQ853" s="237"/>
    </row>
    <row r="854" spans="1:43" s="238" customFormat="1" ht="75" customHeight="1" x14ac:dyDescent="0.25">
      <c r="A854" s="556" t="s">
        <v>1076</v>
      </c>
      <c r="B854" s="627" t="str">
        <f>VLOOKUP(Table13[[#This Row],[Column1]],[1]Sheet1!$A:$AO,2,FALSE)</f>
        <v>SPAREPARTS (LIGHT
VEHICLES)</v>
      </c>
      <c r="C854" s="298" t="str">
        <f>VLOOKUP(Table13[[#This Row],[Column1]],[1]Sheet1!$A:$AO,3,FALSE)</f>
        <v>PGSO</v>
      </c>
      <c r="D854" s="298" t="s">
        <v>712</v>
      </c>
      <c r="E854" s="450" t="str">
        <f>VLOOKUP(Table13[[#This Row],[Column1]],[1]Sheet1!$A:$AO,5,FALSE)</f>
        <v>Shopping 52.1(a) - Unforeseen Contingency</v>
      </c>
      <c r="F854" s="446">
        <f>VLOOKUP(Table13[[#This Row],[Column1]],[1]Sheet1!$A:$AO,6,FALSE)</f>
        <v>45440</v>
      </c>
      <c r="G854" s="402">
        <f>VLOOKUP(Table13[[#This Row],[Column1]],[1]Sheet1!$A:$AO,7,FALSE)</f>
        <v>45442</v>
      </c>
      <c r="H854" s="374"/>
      <c r="I854" s="402" t="str">
        <f>VLOOKUP(Table13[[#This Row],[Column1]],[1]Sheet1!$A:$AO,9,FALSE)</f>
        <v>N/A</v>
      </c>
      <c r="J854" s="402">
        <f>VLOOKUP(Table13[[#This Row],[Column1]],[1]Sheet1!$A:$AO,10,FALSE)</f>
        <v>45461</v>
      </c>
      <c r="K854" s="402">
        <f>VLOOKUP(Table13[[#This Row],[Column1]],[1]Sheet1!$A:$AO,11,FALSE)</f>
        <v>45461</v>
      </c>
      <c r="L854" s="404"/>
      <c r="M854" s="402" t="str">
        <f>VLOOKUP(Table13[[#This Row],[Column1]],[1]Sheet1!$A:$AO,13,FALSE)</f>
        <v>N/A</v>
      </c>
      <c r="N854" s="402" t="str">
        <f>VLOOKUP(Table13[[#This Row],[Column1]],[1]Sheet1!$A:$AO,14,FALSE)</f>
        <v>N/A</v>
      </c>
      <c r="O854" s="402">
        <f>VLOOKUP(Table13[[#This Row],[Column1]],[1]Sheet1!$A:$AO,15,FALSE)</f>
        <v>45463</v>
      </c>
      <c r="P854" s="375"/>
      <c r="Q854" s="375"/>
      <c r="R854" s="376"/>
      <c r="S854" s="583" t="str">
        <f>VLOOKUP(Table13[[#This Row],[Column1]],[1]Sheet1!$A:$AO,19,FALSE)</f>
        <v>N/A</v>
      </c>
      <c r="T854" s="583">
        <f>VLOOKUP(Table13[[#This Row],[Column1]],[1]Sheet1!$A:$AO,20,FALSE)</f>
        <v>45474</v>
      </c>
      <c r="U854" s="583"/>
      <c r="V854" s="376"/>
      <c r="W854" s="376"/>
      <c r="X854" s="402"/>
      <c r="Y854" s="402"/>
      <c r="Z854" s="610" t="s">
        <v>1478</v>
      </c>
      <c r="AA854" s="532">
        <f>IF(Table13[[#This Row],[Column2]]="","",SUM(Table13[[#This Row],[Column28]]+Table13[[#This Row],[Column29]]))</f>
        <v>63050</v>
      </c>
      <c r="AB854" s="537">
        <v>63050</v>
      </c>
      <c r="AC854" s="502"/>
      <c r="AD854" s="532">
        <f>IF(Table13[[#This Row],[Column2]]="","",SUM(Table13[[#This Row],[Column31]]+Table13[[#This Row],[Column32]]))</f>
        <v>43150</v>
      </c>
      <c r="AE854" s="501">
        <v>43150</v>
      </c>
      <c r="AF854" s="541"/>
      <c r="AG854" s="405"/>
      <c r="AH854" s="380" t="s">
        <v>1205</v>
      </c>
      <c r="AI854" s="576" t="str">
        <f>VLOOKUP(Table13[[#This Row],[Column1]],[1]Sheet1!$A:$AO,35,FALSE)</f>
        <v>N/A</v>
      </c>
      <c r="AJ854" s="576" t="str">
        <f>VLOOKUP(Table13[[#This Row],[Column1]],[1]Sheet1!$A:$AO,36,FALSE)</f>
        <v>N/A</v>
      </c>
      <c r="AK854" s="576" t="str">
        <f>VLOOKUP(Table13[[#This Row],[Column1]],[1]Sheet1!$A:$AO,37,FALSE)</f>
        <v>N/A</v>
      </c>
      <c r="AL854" s="576" t="str">
        <f>VLOOKUP(Table13[[#This Row],[Column1]],[1]Sheet1!$A:$AO,38,FALSE)</f>
        <v>N/A</v>
      </c>
      <c r="AM854" s="576" t="str">
        <f>VLOOKUP(Table13[[#This Row],[Column1]],[1]Sheet1!$A:$AO,39,FALSE)</f>
        <v>N/A</v>
      </c>
      <c r="AN854" s="576" t="s">
        <v>713</v>
      </c>
      <c r="AO854" s="303" t="s">
        <v>1172</v>
      </c>
      <c r="AP854" s="378"/>
      <c r="AQ854" s="237"/>
    </row>
    <row r="855" spans="1:43" s="238" customFormat="1" ht="75" customHeight="1" x14ac:dyDescent="0.25">
      <c r="A855" s="556" t="s">
        <v>1077</v>
      </c>
      <c r="B855" s="627" t="str">
        <f>VLOOKUP(Table13[[#This Row],[Column1]],[1]Sheet1!$A:$AO,2,FALSE)</f>
        <v>SPAREPARTS (LIGHT
VEHICLES)</v>
      </c>
      <c r="C855" s="298" t="str">
        <f>VLOOKUP(Table13[[#This Row],[Column1]],[1]Sheet1!$A:$AO,3,FALSE)</f>
        <v>PGSO</v>
      </c>
      <c r="D855" s="298" t="s">
        <v>712</v>
      </c>
      <c r="E855" s="450" t="str">
        <f>VLOOKUP(Table13[[#This Row],[Column1]],[1]Sheet1!$A:$AO,5,FALSE)</f>
        <v>Shopping 52.1(a) - Unforeseen Contingency</v>
      </c>
      <c r="F855" s="446" t="str">
        <f>VLOOKUP(Table13[[#This Row],[Column1]],[1]Sheet1!$A:$AO,6,FALSE)</f>
        <v>N/A</v>
      </c>
      <c r="G855" s="402">
        <f>VLOOKUP(Table13[[#This Row],[Column1]],[1]Sheet1!$A:$AO,7,FALSE)</f>
        <v>45442</v>
      </c>
      <c r="H855" s="374"/>
      <c r="I855" s="402" t="str">
        <f>VLOOKUP(Table13[[#This Row],[Column1]],[1]Sheet1!$A:$AO,9,FALSE)</f>
        <v>N/A</v>
      </c>
      <c r="J855" s="402">
        <f>VLOOKUP(Table13[[#This Row],[Column1]],[1]Sheet1!$A:$AO,10,FALSE)</f>
        <v>45461</v>
      </c>
      <c r="K855" s="402">
        <f>VLOOKUP(Table13[[#This Row],[Column1]],[1]Sheet1!$A:$AO,11,FALSE)</f>
        <v>45461</v>
      </c>
      <c r="L855" s="404"/>
      <c r="M855" s="402" t="str">
        <f>VLOOKUP(Table13[[#This Row],[Column1]],[1]Sheet1!$A:$AO,13,FALSE)</f>
        <v>N/A</v>
      </c>
      <c r="N855" s="402" t="str">
        <f>VLOOKUP(Table13[[#This Row],[Column1]],[1]Sheet1!$A:$AO,14,FALSE)</f>
        <v>N/A</v>
      </c>
      <c r="O855" s="402">
        <f>VLOOKUP(Table13[[#This Row],[Column1]],[1]Sheet1!$A:$AO,15,FALSE)</f>
        <v>45463</v>
      </c>
      <c r="P855" s="375"/>
      <c r="Q855" s="375"/>
      <c r="R855" s="376"/>
      <c r="S855" s="583" t="str">
        <f>VLOOKUP(Table13[[#This Row],[Column1]],[1]Sheet1!$A:$AO,19,FALSE)</f>
        <v>N/A</v>
      </c>
      <c r="T855" s="583">
        <f>VLOOKUP(Table13[[#This Row],[Column1]],[1]Sheet1!$A:$AO,20,FALSE)</f>
        <v>45469</v>
      </c>
      <c r="U855" s="583"/>
      <c r="V855" s="376"/>
      <c r="W855" s="376"/>
      <c r="X855" s="402"/>
      <c r="Y855" s="402"/>
      <c r="Z855" s="610" t="s">
        <v>1478</v>
      </c>
      <c r="AA855" s="532">
        <f>IF(Table13[[#This Row],[Column2]]="","",SUM(Table13[[#This Row],[Column28]]+Table13[[#This Row],[Column29]]))</f>
        <v>56580</v>
      </c>
      <c r="AB855" s="537">
        <v>56580</v>
      </c>
      <c r="AC855" s="502"/>
      <c r="AD855" s="532">
        <f>IF(Table13[[#This Row],[Column2]]="","",SUM(Table13[[#This Row],[Column31]]+Table13[[#This Row],[Column32]]))</f>
        <v>51130</v>
      </c>
      <c r="AE855" s="501">
        <v>51130</v>
      </c>
      <c r="AF855" s="541"/>
      <c r="AG855" s="405"/>
      <c r="AH855" s="380" t="s">
        <v>1205</v>
      </c>
      <c r="AI855" s="576" t="str">
        <f>VLOOKUP(Table13[[#This Row],[Column1]],[1]Sheet1!$A:$AO,35,FALSE)</f>
        <v>N/A</v>
      </c>
      <c r="AJ855" s="576" t="str">
        <f>VLOOKUP(Table13[[#This Row],[Column1]],[1]Sheet1!$A:$AO,36,FALSE)</f>
        <v>N/A</v>
      </c>
      <c r="AK855" s="576" t="str">
        <f>VLOOKUP(Table13[[#This Row],[Column1]],[1]Sheet1!$A:$AO,37,FALSE)</f>
        <v>N/A</v>
      </c>
      <c r="AL855" s="576" t="str">
        <f>VLOOKUP(Table13[[#This Row],[Column1]],[1]Sheet1!$A:$AO,38,FALSE)</f>
        <v>N/A</v>
      </c>
      <c r="AM855" s="576" t="str">
        <f>VLOOKUP(Table13[[#This Row],[Column1]],[1]Sheet1!$A:$AO,39,FALSE)</f>
        <v>N/A</v>
      </c>
      <c r="AN855" s="576" t="s">
        <v>713</v>
      </c>
      <c r="AO855" s="303" t="s">
        <v>1172</v>
      </c>
      <c r="AP855" s="378"/>
      <c r="AQ855" s="237"/>
    </row>
    <row r="856" spans="1:43" s="238" customFormat="1" ht="75" customHeight="1" x14ac:dyDescent="0.25">
      <c r="A856" s="556" t="s">
        <v>1078</v>
      </c>
      <c r="B856" s="627" t="str">
        <f>VLOOKUP(Table13[[#This Row],[Column1]],[1]Sheet1!$A:$AO,2,FALSE)</f>
        <v>SPAREPARTS (LIGHT
VEHICLES)</v>
      </c>
      <c r="C856" s="298" t="str">
        <f>VLOOKUP(Table13[[#This Row],[Column1]],[1]Sheet1!$A:$AO,3,FALSE)</f>
        <v>PGSO</v>
      </c>
      <c r="D856" s="298" t="s">
        <v>712</v>
      </c>
      <c r="E856" s="450" t="str">
        <f>VLOOKUP(Table13[[#This Row],[Column1]],[1]Sheet1!$A:$AO,5,FALSE)</f>
        <v>Shopping 52.1(a) - Unforeseen Contingency</v>
      </c>
      <c r="F856" s="446">
        <f>VLOOKUP(Table13[[#This Row],[Column1]],[1]Sheet1!$A:$AO,6,FALSE)</f>
        <v>45440</v>
      </c>
      <c r="G856" s="402">
        <f>VLOOKUP(Table13[[#This Row],[Column1]],[1]Sheet1!$A:$AO,7,FALSE)</f>
        <v>45442</v>
      </c>
      <c r="H856" s="374"/>
      <c r="I856" s="402" t="str">
        <f>VLOOKUP(Table13[[#This Row],[Column1]],[1]Sheet1!$A:$AO,9,FALSE)</f>
        <v>N/A</v>
      </c>
      <c r="J856" s="402">
        <f>VLOOKUP(Table13[[#This Row],[Column1]],[1]Sheet1!$A:$AO,10,FALSE)</f>
        <v>45461</v>
      </c>
      <c r="K856" s="402">
        <f>VLOOKUP(Table13[[#This Row],[Column1]],[1]Sheet1!$A:$AO,11,FALSE)</f>
        <v>45461</v>
      </c>
      <c r="L856" s="404"/>
      <c r="M856" s="402" t="str">
        <f>VLOOKUP(Table13[[#This Row],[Column1]],[1]Sheet1!$A:$AO,13,FALSE)</f>
        <v>N/A</v>
      </c>
      <c r="N856" s="402" t="str">
        <f>VLOOKUP(Table13[[#This Row],[Column1]],[1]Sheet1!$A:$AO,14,FALSE)</f>
        <v>N/A</v>
      </c>
      <c r="O856" s="402">
        <f>VLOOKUP(Table13[[#This Row],[Column1]],[1]Sheet1!$A:$AO,15,FALSE)</f>
        <v>45463</v>
      </c>
      <c r="P856" s="375"/>
      <c r="Q856" s="375"/>
      <c r="R856" s="376"/>
      <c r="S856" s="583" t="str">
        <f>VLOOKUP(Table13[[#This Row],[Column1]],[1]Sheet1!$A:$AO,19,FALSE)</f>
        <v>N/A</v>
      </c>
      <c r="T856" s="583">
        <f>VLOOKUP(Table13[[#This Row],[Column1]],[1]Sheet1!$A:$AO,20,FALSE)</f>
        <v>45469</v>
      </c>
      <c r="U856" s="583"/>
      <c r="V856" s="376"/>
      <c r="W856" s="376"/>
      <c r="X856" s="402"/>
      <c r="Y856" s="402"/>
      <c r="Z856" s="610" t="s">
        <v>1478</v>
      </c>
      <c r="AA856" s="532">
        <f>IF(Table13[[#This Row],[Column2]]="","",SUM(Table13[[#This Row],[Column28]]+Table13[[#This Row],[Column29]]))</f>
        <v>5500</v>
      </c>
      <c r="AB856" s="537">
        <v>5500</v>
      </c>
      <c r="AC856" s="502"/>
      <c r="AD856" s="532">
        <f>IF(Table13[[#This Row],[Column2]]="","",SUM(Table13[[#This Row],[Column31]]+Table13[[#This Row],[Column32]]))</f>
        <v>4800</v>
      </c>
      <c r="AE856" s="501">
        <v>4800</v>
      </c>
      <c r="AF856" s="541"/>
      <c r="AG856" s="405"/>
      <c r="AH856" s="380" t="s">
        <v>1205</v>
      </c>
      <c r="AI856" s="576" t="str">
        <f>VLOOKUP(Table13[[#This Row],[Column1]],[1]Sheet1!$A:$AO,35,FALSE)</f>
        <v>N/A</v>
      </c>
      <c r="AJ856" s="576" t="str">
        <f>VLOOKUP(Table13[[#This Row],[Column1]],[1]Sheet1!$A:$AO,36,FALSE)</f>
        <v>N/A</v>
      </c>
      <c r="AK856" s="576" t="str">
        <f>VLOOKUP(Table13[[#This Row],[Column1]],[1]Sheet1!$A:$AO,37,FALSE)</f>
        <v>N/A</v>
      </c>
      <c r="AL856" s="576" t="str">
        <f>VLOOKUP(Table13[[#This Row],[Column1]],[1]Sheet1!$A:$AO,38,FALSE)</f>
        <v>N/A</v>
      </c>
      <c r="AM856" s="576" t="str">
        <f>VLOOKUP(Table13[[#This Row],[Column1]],[1]Sheet1!$A:$AO,39,FALSE)</f>
        <v>N/A</v>
      </c>
      <c r="AN856" s="576" t="s">
        <v>713</v>
      </c>
      <c r="AO856" s="303" t="s">
        <v>1172</v>
      </c>
      <c r="AP856" s="378"/>
      <c r="AQ856" s="237"/>
    </row>
    <row r="857" spans="1:43" s="238" customFormat="1" ht="75" customHeight="1" x14ac:dyDescent="0.25">
      <c r="A857" s="297" t="s">
        <v>1079</v>
      </c>
      <c r="B857" s="627" t="str">
        <f>VLOOKUP(Table13[[#This Row],[Column1]],[1]Sheet1!$A:$AO,2,FALSE)</f>
        <v>SPAREPARTS (LIGHT
VEHICLES)</v>
      </c>
      <c r="C857" s="298" t="str">
        <f>VLOOKUP(Table13[[#This Row],[Column1]],[1]Sheet1!$A:$AO,3,FALSE)</f>
        <v>PGSO</v>
      </c>
      <c r="D857" s="298" t="s">
        <v>712</v>
      </c>
      <c r="E857" s="450" t="str">
        <f>VLOOKUP(Table13[[#This Row],[Column1]],[1]Sheet1!$A:$AO,5,FALSE)</f>
        <v>Shopping 52.1(a) - Unforeseen Contingency</v>
      </c>
      <c r="F857" s="446">
        <f>VLOOKUP(Table13[[#This Row],[Column1]],[1]Sheet1!$A:$AO,6,FALSE)</f>
        <v>45440</v>
      </c>
      <c r="G857" s="402">
        <f>VLOOKUP(Table13[[#This Row],[Column1]],[1]Sheet1!$A:$AO,7,FALSE)</f>
        <v>45442</v>
      </c>
      <c r="H857" s="374"/>
      <c r="I857" s="402" t="str">
        <f>VLOOKUP(Table13[[#This Row],[Column1]],[1]Sheet1!$A:$AO,9,FALSE)</f>
        <v>N/A</v>
      </c>
      <c r="J857" s="402">
        <f>VLOOKUP(Table13[[#This Row],[Column1]],[1]Sheet1!$A:$AO,10,FALSE)</f>
        <v>45461</v>
      </c>
      <c r="K857" s="402">
        <f>VLOOKUP(Table13[[#This Row],[Column1]],[1]Sheet1!$A:$AO,11,FALSE)</f>
        <v>45461</v>
      </c>
      <c r="L857" s="404"/>
      <c r="M857" s="402" t="str">
        <f>VLOOKUP(Table13[[#This Row],[Column1]],[1]Sheet1!$A:$AO,13,FALSE)</f>
        <v>N/A</v>
      </c>
      <c r="N857" s="402" t="str">
        <f>VLOOKUP(Table13[[#This Row],[Column1]],[1]Sheet1!$A:$AO,14,FALSE)</f>
        <v>N/A</v>
      </c>
      <c r="O857" s="402">
        <f>VLOOKUP(Table13[[#This Row],[Column1]],[1]Sheet1!$A:$AO,15,FALSE)</f>
        <v>45463</v>
      </c>
      <c r="P857" s="375"/>
      <c r="Q857" s="375"/>
      <c r="R857" s="376"/>
      <c r="S857" s="583" t="str">
        <f>VLOOKUP(Table13[[#This Row],[Column1]],[1]Sheet1!$A:$AO,19,FALSE)</f>
        <v>N/A</v>
      </c>
      <c r="T857" s="583">
        <f>VLOOKUP(Table13[[#This Row],[Column1]],[1]Sheet1!$A:$AO,20,FALSE)</f>
        <v>45469</v>
      </c>
      <c r="U857" s="583"/>
      <c r="V857" s="376"/>
      <c r="W857" s="376"/>
      <c r="X857" s="402"/>
      <c r="Y857" s="402"/>
      <c r="Z857" s="610" t="s">
        <v>1478</v>
      </c>
      <c r="AA857" s="532">
        <f>IF(Table13[[#This Row],[Column2]]="","",SUM(Table13[[#This Row],[Column28]]+Table13[[#This Row],[Column29]]))</f>
        <v>31650</v>
      </c>
      <c r="AB857" s="537">
        <v>31650</v>
      </c>
      <c r="AC857" s="502"/>
      <c r="AD857" s="532">
        <f>IF(Table13[[#This Row],[Column2]]="","",SUM(Table13[[#This Row],[Column31]]+Table13[[#This Row],[Column32]]))</f>
        <v>29630</v>
      </c>
      <c r="AE857" s="501">
        <v>29630</v>
      </c>
      <c r="AF857" s="541"/>
      <c r="AG857" s="405"/>
      <c r="AH857" s="380" t="s">
        <v>1205</v>
      </c>
      <c r="AI857" s="576" t="str">
        <f>VLOOKUP(Table13[[#This Row],[Column1]],[1]Sheet1!$A:$AO,35,FALSE)</f>
        <v>N/A</v>
      </c>
      <c r="AJ857" s="576" t="str">
        <f>VLOOKUP(Table13[[#This Row],[Column1]],[1]Sheet1!$A:$AO,36,FALSE)</f>
        <v>N/A</v>
      </c>
      <c r="AK857" s="576" t="str">
        <f>VLOOKUP(Table13[[#This Row],[Column1]],[1]Sheet1!$A:$AO,37,FALSE)</f>
        <v>N/A</v>
      </c>
      <c r="AL857" s="576" t="str">
        <f>VLOOKUP(Table13[[#This Row],[Column1]],[1]Sheet1!$A:$AO,38,FALSE)</f>
        <v>N/A</v>
      </c>
      <c r="AM857" s="576" t="str">
        <f>VLOOKUP(Table13[[#This Row],[Column1]],[1]Sheet1!$A:$AO,39,FALSE)</f>
        <v>N/A</v>
      </c>
      <c r="AN857" s="576" t="s">
        <v>713</v>
      </c>
      <c r="AO857" s="303" t="s">
        <v>1172</v>
      </c>
      <c r="AP857" s="378"/>
      <c r="AQ857" s="237"/>
    </row>
    <row r="858" spans="1:43" s="238" customFormat="1" ht="75" customHeight="1" x14ac:dyDescent="0.25">
      <c r="A858" s="297" t="s">
        <v>1080</v>
      </c>
      <c r="B858" s="627" t="str">
        <f>VLOOKUP(Table13[[#This Row],[Column1]],[1]Sheet1!$A:$AO,2,FALSE)</f>
        <v>SPAREPARTS (LIGHT
VEHICLES)</v>
      </c>
      <c r="C858" s="298" t="str">
        <f>VLOOKUP(Table13[[#This Row],[Column1]],[1]Sheet1!$A:$AO,3,FALSE)</f>
        <v>PGSO</v>
      </c>
      <c r="D858" s="298" t="s">
        <v>712</v>
      </c>
      <c r="E858" s="450" t="str">
        <f>VLOOKUP(Table13[[#This Row],[Column1]],[1]Sheet1!$A:$AO,5,FALSE)</f>
        <v>Shopping 52.1(a) - Unforeseen Contingency</v>
      </c>
      <c r="F858" s="446">
        <f>VLOOKUP(Table13[[#This Row],[Column1]],[1]Sheet1!$A:$AO,6,FALSE)</f>
        <v>45440</v>
      </c>
      <c r="G858" s="402">
        <f>VLOOKUP(Table13[[#This Row],[Column1]],[1]Sheet1!$A:$AO,7,FALSE)</f>
        <v>45442</v>
      </c>
      <c r="H858" s="374"/>
      <c r="I858" s="402" t="str">
        <f>VLOOKUP(Table13[[#This Row],[Column1]],[1]Sheet1!$A:$AO,9,FALSE)</f>
        <v>N/A</v>
      </c>
      <c r="J858" s="402">
        <f>VLOOKUP(Table13[[#This Row],[Column1]],[1]Sheet1!$A:$AO,10,FALSE)</f>
        <v>45461</v>
      </c>
      <c r="K858" s="402">
        <f>VLOOKUP(Table13[[#This Row],[Column1]],[1]Sheet1!$A:$AO,11,FALSE)</f>
        <v>45461</v>
      </c>
      <c r="L858" s="404"/>
      <c r="M858" s="402" t="str">
        <f>VLOOKUP(Table13[[#This Row],[Column1]],[1]Sheet1!$A:$AO,13,FALSE)</f>
        <v>N/A</v>
      </c>
      <c r="N858" s="402" t="str">
        <f>VLOOKUP(Table13[[#This Row],[Column1]],[1]Sheet1!$A:$AO,14,FALSE)</f>
        <v>N/A</v>
      </c>
      <c r="O858" s="402">
        <f>VLOOKUP(Table13[[#This Row],[Column1]],[1]Sheet1!$A:$AO,15,FALSE)</f>
        <v>45463</v>
      </c>
      <c r="P858" s="375"/>
      <c r="Q858" s="375"/>
      <c r="R858" s="376"/>
      <c r="S858" s="583" t="str">
        <f>VLOOKUP(Table13[[#This Row],[Column1]],[1]Sheet1!$A:$AO,19,FALSE)</f>
        <v>N/A</v>
      </c>
      <c r="T858" s="583">
        <f>VLOOKUP(Table13[[#This Row],[Column1]],[1]Sheet1!$A:$AO,20,FALSE)</f>
        <v>45474</v>
      </c>
      <c r="U858" s="583"/>
      <c r="V858" s="376"/>
      <c r="W858" s="376"/>
      <c r="X858" s="402"/>
      <c r="Y858" s="402"/>
      <c r="Z858" s="610" t="s">
        <v>1478</v>
      </c>
      <c r="AA858" s="532">
        <f>IF(Table13[[#This Row],[Column2]]="","",SUM(Table13[[#This Row],[Column28]]+Table13[[#This Row],[Column29]]))</f>
        <v>5500</v>
      </c>
      <c r="AB858" s="537">
        <v>5500</v>
      </c>
      <c r="AC858" s="502"/>
      <c r="AD858" s="532">
        <f>IF(Table13[[#This Row],[Column2]]="","",SUM(Table13[[#This Row],[Column31]]+Table13[[#This Row],[Column32]]))</f>
        <v>4800</v>
      </c>
      <c r="AE858" s="501">
        <v>4800</v>
      </c>
      <c r="AF858" s="541"/>
      <c r="AG858" s="405"/>
      <c r="AH858" s="380" t="s">
        <v>1205</v>
      </c>
      <c r="AI858" s="576" t="str">
        <f>VLOOKUP(Table13[[#This Row],[Column1]],[1]Sheet1!$A:$AO,35,FALSE)</f>
        <v>N/A</v>
      </c>
      <c r="AJ858" s="576" t="str">
        <f>VLOOKUP(Table13[[#This Row],[Column1]],[1]Sheet1!$A:$AO,36,FALSE)</f>
        <v>N/A</v>
      </c>
      <c r="AK858" s="576" t="str">
        <f>VLOOKUP(Table13[[#This Row],[Column1]],[1]Sheet1!$A:$AO,37,FALSE)</f>
        <v>N/A</v>
      </c>
      <c r="AL858" s="576" t="str">
        <f>VLOOKUP(Table13[[#This Row],[Column1]],[1]Sheet1!$A:$AO,38,FALSE)</f>
        <v>N/A</v>
      </c>
      <c r="AM858" s="576" t="str">
        <f>VLOOKUP(Table13[[#This Row],[Column1]],[1]Sheet1!$A:$AO,39,FALSE)</f>
        <v>N/A</v>
      </c>
      <c r="AN858" s="576" t="s">
        <v>713</v>
      </c>
      <c r="AO858" s="303" t="s">
        <v>1172</v>
      </c>
      <c r="AP858" s="378"/>
      <c r="AQ858" s="237"/>
    </row>
    <row r="859" spans="1:43" s="238" customFormat="1" ht="75" customHeight="1" x14ac:dyDescent="0.25">
      <c r="A859" s="556" t="s">
        <v>1081</v>
      </c>
      <c r="B859" s="627" t="str">
        <f>VLOOKUP(Table13[[#This Row],[Column1]],[1]Sheet1!$A:$AO,2,FALSE)</f>
        <v>SPAREPARTS (LIGHT
VEHICLES)</v>
      </c>
      <c r="C859" s="298" t="str">
        <f>VLOOKUP(Table13[[#This Row],[Column1]],[1]Sheet1!$A:$AO,3,FALSE)</f>
        <v>PGSO</v>
      </c>
      <c r="D859" s="298" t="s">
        <v>712</v>
      </c>
      <c r="E859" s="450" t="str">
        <f>VLOOKUP(Table13[[#This Row],[Column1]],[1]Sheet1!$A:$AO,5,FALSE)</f>
        <v>Shopping 52.1(a) - Unforeseen Contingency</v>
      </c>
      <c r="F859" s="446">
        <f>VLOOKUP(Table13[[#This Row],[Column1]],[1]Sheet1!$A:$AO,6,FALSE)</f>
        <v>45440</v>
      </c>
      <c r="G859" s="402">
        <f>VLOOKUP(Table13[[#This Row],[Column1]],[1]Sheet1!$A:$AO,7,FALSE)</f>
        <v>45442</v>
      </c>
      <c r="H859" s="374"/>
      <c r="I859" s="402" t="str">
        <f>VLOOKUP(Table13[[#This Row],[Column1]],[1]Sheet1!$A:$AO,9,FALSE)</f>
        <v>N/A</v>
      </c>
      <c r="J859" s="402">
        <f>VLOOKUP(Table13[[#This Row],[Column1]],[1]Sheet1!$A:$AO,10,FALSE)</f>
        <v>45461</v>
      </c>
      <c r="K859" s="402">
        <f>VLOOKUP(Table13[[#This Row],[Column1]],[1]Sheet1!$A:$AO,11,FALSE)</f>
        <v>45461</v>
      </c>
      <c r="L859" s="404"/>
      <c r="M859" s="402" t="str">
        <f>VLOOKUP(Table13[[#This Row],[Column1]],[1]Sheet1!$A:$AO,13,FALSE)</f>
        <v>N/A</v>
      </c>
      <c r="N859" s="402" t="str">
        <f>VLOOKUP(Table13[[#This Row],[Column1]],[1]Sheet1!$A:$AO,14,FALSE)</f>
        <v>N/A</v>
      </c>
      <c r="O859" s="402">
        <f>VLOOKUP(Table13[[#This Row],[Column1]],[1]Sheet1!$A:$AO,15,FALSE)</f>
        <v>45463</v>
      </c>
      <c r="P859" s="375"/>
      <c r="Q859" s="375"/>
      <c r="R859" s="376"/>
      <c r="S859" s="583" t="str">
        <f>VLOOKUP(Table13[[#This Row],[Column1]],[1]Sheet1!$A:$AO,19,FALSE)</f>
        <v>N/A</v>
      </c>
      <c r="T859" s="583">
        <f>VLOOKUP(Table13[[#This Row],[Column1]],[1]Sheet1!$A:$AO,20,FALSE)</f>
        <v>45469</v>
      </c>
      <c r="U859" s="583"/>
      <c r="V859" s="376"/>
      <c r="W859" s="376"/>
      <c r="X859" s="402"/>
      <c r="Y859" s="402"/>
      <c r="Z859" s="610" t="s">
        <v>1478</v>
      </c>
      <c r="AA859" s="532">
        <f>IF(Table13[[#This Row],[Column2]]="","",SUM(Table13[[#This Row],[Column28]]+Table13[[#This Row],[Column29]]))</f>
        <v>15700</v>
      </c>
      <c r="AB859" s="537">
        <v>15700</v>
      </c>
      <c r="AC859" s="502"/>
      <c r="AD859" s="532">
        <f>IF(Table13[[#This Row],[Column2]]="","",SUM(Table13[[#This Row],[Column31]]+Table13[[#This Row],[Column32]]))</f>
        <v>15300</v>
      </c>
      <c r="AE859" s="501">
        <v>15300</v>
      </c>
      <c r="AF859" s="541"/>
      <c r="AG859" s="405"/>
      <c r="AH859" s="380" t="s">
        <v>1205</v>
      </c>
      <c r="AI859" s="576" t="str">
        <f>VLOOKUP(Table13[[#This Row],[Column1]],[1]Sheet1!$A:$AO,35,FALSE)</f>
        <v>N/A</v>
      </c>
      <c r="AJ859" s="576" t="str">
        <f>VLOOKUP(Table13[[#This Row],[Column1]],[1]Sheet1!$A:$AO,36,FALSE)</f>
        <v>N/A</v>
      </c>
      <c r="AK859" s="576" t="str">
        <f>VLOOKUP(Table13[[#This Row],[Column1]],[1]Sheet1!$A:$AO,37,FALSE)</f>
        <v>N/A</v>
      </c>
      <c r="AL859" s="576" t="str">
        <f>VLOOKUP(Table13[[#This Row],[Column1]],[1]Sheet1!$A:$AO,38,FALSE)</f>
        <v>N/A</v>
      </c>
      <c r="AM859" s="576" t="str">
        <f>VLOOKUP(Table13[[#This Row],[Column1]],[1]Sheet1!$A:$AO,39,FALSE)</f>
        <v>N/A</v>
      </c>
      <c r="AN859" s="576" t="s">
        <v>713</v>
      </c>
      <c r="AO859" s="303" t="s">
        <v>1172</v>
      </c>
      <c r="AP859" s="378"/>
      <c r="AQ859" s="237"/>
    </row>
    <row r="860" spans="1:43" s="238" customFormat="1" ht="75" customHeight="1" x14ac:dyDescent="0.25">
      <c r="A860" s="556" t="s">
        <v>1082</v>
      </c>
      <c r="B860" s="627" t="str">
        <f>VLOOKUP(Table13[[#This Row],[Column1]],[1]Sheet1!$A:$AO,2,FALSE)</f>
        <v>SPAREPARTS (LIGHT
VEHICLES)</v>
      </c>
      <c r="C860" s="298" t="str">
        <f>VLOOKUP(Table13[[#This Row],[Column1]],[1]Sheet1!$A:$AO,3,FALSE)</f>
        <v>PGSO</v>
      </c>
      <c r="D860" s="298" t="s">
        <v>712</v>
      </c>
      <c r="E860" s="450" t="str">
        <f>VLOOKUP(Table13[[#This Row],[Column1]],[1]Sheet1!$A:$AO,5,FALSE)</f>
        <v>Shopping 52.1(a) - Unforeseen Contingency</v>
      </c>
      <c r="F860" s="446" t="str">
        <f>VLOOKUP(Table13[[#This Row],[Column1]],[1]Sheet1!$A:$AO,6,FALSE)</f>
        <v>N/A</v>
      </c>
      <c r="G860" s="402">
        <f>VLOOKUP(Table13[[#This Row],[Column1]],[1]Sheet1!$A:$AO,7,FALSE)</f>
        <v>45442</v>
      </c>
      <c r="H860" s="374"/>
      <c r="I860" s="402" t="str">
        <f>VLOOKUP(Table13[[#This Row],[Column1]],[1]Sheet1!$A:$AO,9,FALSE)</f>
        <v>N/A</v>
      </c>
      <c r="J860" s="402">
        <f>VLOOKUP(Table13[[#This Row],[Column1]],[1]Sheet1!$A:$AO,10,FALSE)</f>
        <v>45461</v>
      </c>
      <c r="K860" s="402">
        <f>VLOOKUP(Table13[[#This Row],[Column1]],[1]Sheet1!$A:$AO,11,FALSE)</f>
        <v>45461</v>
      </c>
      <c r="L860" s="404"/>
      <c r="M860" s="402" t="str">
        <f>VLOOKUP(Table13[[#This Row],[Column1]],[1]Sheet1!$A:$AO,13,FALSE)</f>
        <v>N/A</v>
      </c>
      <c r="N860" s="402" t="str">
        <f>VLOOKUP(Table13[[#This Row],[Column1]],[1]Sheet1!$A:$AO,14,FALSE)</f>
        <v>N/A</v>
      </c>
      <c r="O860" s="402">
        <f>VLOOKUP(Table13[[#This Row],[Column1]],[1]Sheet1!$A:$AO,15,FALSE)</f>
        <v>45463</v>
      </c>
      <c r="P860" s="375"/>
      <c r="Q860" s="375"/>
      <c r="R860" s="376"/>
      <c r="S860" s="583" t="str">
        <f>VLOOKUP(Table13[[#This Row],[Column1]],[1]Sheet1!$A:$AO,19,FALSE)</f>
        <v>N/A</v>
      </c>
      <c r="T860" s="583">
        <f>VLOOKUP(Table13[[#This Row],[Column1]],[1]Sheet1!$A:$AO,20,FALSE)</f>
        <v>45469</v>
      </c>
      <c r="U860" s="583"/>
      <c r="V860" s="376"/>
      <c r="W860" s="376"/>
      <c r="X860" s="402"/>
      <c r="Y860" s="402"/>
      <c r="Z860" s="610" t="s">
        <v>1478</v>
      </c>
      <c r="AA860" s="532">
        <f>IF(Table13[[#This Row],[Column2]]="","",SUM(Table13[[#This Row],[Column28]]+Table13[[#This Row],[Column29]]))</f>
        <v>20500</v>
      </c>
      <c r="AB860" s="537">
        <v>20500</v>
      </c>
      <c r="AC860" s="502"/>
      <c r="AD860" s="532">
        <f>IF(Table13[[#This Row],[Column2]]="","",SUM(Table13[[#This Row],[Column31]]+Table13[[#This Row],[Column32]]))</f>
        <v>19500</v>
      </c>
      <c r="AE860" s="501">
        <v>19500</v>
      </c>
      <c r="AF860" s="541"/>
      <c r="AG860" s="405"/>
      <c r="AH860" s="380" t="s">
        <v>1205</v>
      </c>
      <c r="AI860" s="576" t="str">
        <f>VLOOKUP(Table13[[#This Row],[Column1]],[1]Sheet1!$A:$AO,35,FALSE)</f>
        <v>N/A</v>
      </c>
      <c r="AJ860" s="576" t="str">
        <f>VLOOKUP(Table13[[#This Row],[Column1]],[1]Sheet1!$A:$AO,36,FALSE)</f>
        <v>N/A</v>
      </c>
      <c r="AK860" s="576" t="str">
        <f>VLOOKUP(Table13[[#This Row],[Column1]],[1]Sheet1!$A:$AO,37,FALSE)</f>
        <v>N/A</v>
      </c>
      <c r="AL860" s="576" t="str">
        <f>VLOOKUP(Table13[[#This Row],[Column1]],[1]Sheet1!$A:$AO,38,FALSE)</f>
        <v>N/A</v>
      </c>
      <c r="AM860" s="576" t="str">
        <f>VLOOKUP(Table13[[#This Row],[Column1]],[1]Sheet1!$A:$AO,39,FALSE)</f>
        <v>N/A</v>
      </c>
      <c r="AN860" s="576" t="s">
        <v>713</v>
      </c>
      <c r="AO860" s="303" t="s">
        <v>1172</v>
      </c>
      <c r="AP860" s="378"/>
      <c r="AQ860" s="237"/>
    </row>
    <row r="861" spans="1:43" s="238" customFormat="1" ht="75" customHeight="1" x14ac:dyDescent="0.25">
      <c r="A861" s="556" t="s">
        <v>1083</v>
      </c>
      <c r="B861" s="627" t="str">
        <f>VLOOKUP(Table13[[#This Row],[Column1]],[1]Sheet1!$A:$AO,2,FALSE)</f>
        <v>SPAREPARTS (MOTOR</v>
      </c>
      <c r="C861" s="298" t="str">
        <f>VLOOKUP(Table13[[#This Row],[Column1]],[1]Sheet1!$A:$AO,3,FALSE)</f>
        <v>PGSO</v>
      </c>
      <c r="D861" s="298" t="s">
        <v>712</v>
      </c>
      <c r="E861" s="450" t="str">
        <f>VLOOKUP(Table13[[#This Row],[Column1]],[1]Sheet1!$A:$AO,5,FALSE)</f>
        <v>Shopping 52.1(a) - Unforeseen Contingency</v>
      </c>
      <c r="F861" s="446">
        <f>VLOOKUP(Table13[[#This Row],[Column1]],[1]Sheet1!$A:$AO,6,FALSE)</f>
        <v>45440</v>
      </c>
      <c r="G861" s="402">
        <f>VLOOKUP(Table13[[#This Row],[Column1]],[1]Sheet1!$A:$AO,7,FALSE)</f>
        <v>45442</v>
      </c>
      <c r="H861" s="374"/>
      <c r="I861" s="402" t="str">
        <f>VLOOKUP(Table13[[#This Row],[Column1]],[1]Sheet1!$A:$AO,9,FALSE)</f>
        <v>N/A</v>
      </c>
      <c r="J861" s="402">
        <f>VLOOKUP(Table13[[#This Row],[Column1]],[1]Sheet1!$A:$AO,10,FALSE)</f>
        <v>45461</v>
      </c>
      <c r="K861" s="402">
        <f>VLOOKUP(Table13[[#This Row],[Column1]],[1]Sheet1!$A:$AO,11,FALSE)</f>
        <v>45461</v>
      </c>
      <c r="L861" s="404"/>
      <c r="M861" s="402" t="str">
        <f>VLOOKUP(Table13[[#This Row],[Column1]],[1]Sheet1!$A:$AO,13,FALSE)</f>
        <v>N/A</v>
      </c>
      <c r="N861" s="402" t="str">
        <f>VLOOKUP(Table13[[#This Row],[Column1]],[1]Sheet1!$A:$AO,14,FALSE)</f>
        <v>N/A</v>
      </c>
      <c r="O861" s="402">
        <f>VLOOKUP(Table13[[#This Row],[Column1]],[1]Sheet1!$A:$AO,15,FALSE)</f>
        <v>45463</v>
      </c>
      <c r="P861" s="375"/>
      <c r="Q861" s="375"/>
      <c r="R861" s="376"/>
      <c r="S861" s="583" t="str">
        <f>VLOOKUP(Table13[[#This Row],[Column1]],[1]Sheet1!$A:$AO,19,FALSE)</f>
        <v>N/A</v>
      </c>
      <c r="T861" s="583">
        <f>VLOOKUP(Table13[[#This Row],[Column1]],[1]Sheet1!$A:$AO,20,FALSE)</f>
        <v>45469</v>
      </c>
      <c r="U861" s="583"/>
      <c r="V861" s="376"/>
      <c r="W861" s="376"/>
      <c r="X861" s="402"/>
      <c r="Y861" s="402"/>
      <c r="Z861" s="610" t="s">
        <v>1478</v>
      </c>
      <c r="AA861" s="532">
        <f>IF(Table13[[#This Row],[Column2]]="","",SUM(Table13[[#This Row],[Column28]]+Table13[[#This Row],[Column29]]))</f>
        <v>12740</v>
      </c>
      <c r="AB861" s="537">
        <v>12740</v>
      </c>
      <c r="AC861" s="502"/>
      <c r="AD861" s="532">
        <f>IF(Table13[[#This Row],[Column2]]="","",SUM(Table13[[#This Row],[Column31]]+Table13[[#This Row],[Column32]]))</f>
        <v>12671</v>
      </c>
      <c r="AE861" s="501">
        <v>12671</v>
      </c>
      <c r="AF861" s="541"/>
      <c r="AG861" s="405"/>
      <c r="AH861" s="380" t="s">
        <v>1205</v>
      </c>
      <c r="AI861" s="576" t="str">
        <f>VLOOKUP(Table13[[#This Row],[Column1]],[1]Sheet1!$A:$AO,35,FALSE)</f>
        <v>N/A</v>
      </c>
      <c r="AJ861" s="576" t="str">
        <f>VLOOKUP(Table13[[#This Row],[Column1]],[1]Sheet1!$A:$AO,36,FALSE)</f>
        <v>N/A</v>
      </c>
      <c r="AK861" s="576" t="str">
        <f>VLOOKUP(Table13[[#This Row],[Column1]],[1]Sheet1!$A:$AO,37,FALSE)</f>
        <v>N/A</v>
      </c>
      <c r="AL861" s="576" t="str">
        <f>VLOOKUP(Table13[[#This Row],[Column1]],[1]Sheet1!$A:$AO,38,FALSE)</f>
        <v>N/A</v>
      </c>
      <c r="AM861" s="576" t="str">
        <f>VLOOKUP(Table13[[#This Row],[Column1]],[1]Sheet1!$A:$AO,39,FALSE)</f>
        <v>N/A</v>
      </c>
      <c r="AN861" s="576" t="s">
        <v>713</v>
      </c>
      <c r="AO861" s="303" t="s">
        <v>1172</v>
      </c>
      <c r="AP861" s="378"/>
      <c r="AQ861" s="237"/>
    </row>
    <row r="862" spans="1:43" s="238" customFormat="1" ht="75" customHeight="1" x14ac:dyDescent="0.25">
      <c r="A862" s="297" t="s">
        <v>1171</v>
      </c>
      <c r="B862" s="627" t="str">
        <f>VLOOKUP(Table13[[#This Row],[Column1]],[1]Sheet1!$A:$AO,2,FALSE)</f>
        <v>CONSTRUCTION SUPPLIES</v>
      </c>
      <c r="C862" s="298" t="str">
        <f>VLOOKUP(Table13[[#This Row],[Column1]],[1]Sheet1!$A:$AO,3,FALSE)</f>
        <v>PEO</v>
      </c>
      <c r="D862" s="298" t="s">
        <v>712</v>
      </c>
      <c r="E862" s="450" t="str">
        <f>VLOOKUP(Table13[[#This Row],[Column1]],[1]Sheet1!$A:$AO,5,FALSE)</f>
        <v>Competitive Bidding</v>
      </c>
      <c r="F862" s="446">
        <f>VLOOKUP(Table13[[#This Row],[Column1]],[1]Sheet1!$A:$AO,6,FALSE)</f>
        <v>45440</v>
      </c>
      <c r="G862" s="402">
        <f>VLOOKUP(Table13[[#This Row],[Column1]],[1]Sheet1!$A:$AO,7,FALSE)</f>
        <v>45446</v>
      </c>
      <c r="H862" s="374"/>
      <c r="I862" s="402" t="str">
        <f>VLOOKUP(Table13[[#This Row],[Column1]],[1]Sheet1!$A:$AO,9,FALSE)</f>
        <v>N/A</v>
      </c>
      <c r="J862" s="402">
        <f>VLOOKUP(Table13[[#This Row],[Column1]],[1]Sheet1!$A:$AO,10,FALSE)</f>
        <v>45454</v>
      </c>
      <c r="K862" s="402">
        <f>VLOOKUP(Table13[[#This Row],[Column1]],[1]Sheet1!$A:$AO,11,FALSE)</f>
        <v>45454</v>
      </c>
      <c r="L862" s="404"/>
      <c r="M862" s="402">
        <f>VLOOKUP(Table13[[#This Row],[Column1]],[1]Sheet1!$A:$AO,13,FALSE)</f>
        <v>45454</v>
      </c>
      <c r="N862" s="402">
        <f>VLOOKUP(Table13[[#This Row],[Column1]],[1]Sheet1!$A:$AO,14,FALSE)</f>
        <v>45457</v>
      </c>
      <c r="O862" s="402">
        <f>VLOOKUP(Table13[[#This Row],[Column1]],[1]Sheet1!$A:$AO,15,FALSE)</f>
        <v>45469</v>
      </c>
      <c r="P862" s="375"/>
      <c r="Q862" s="375"/>
      <c r="R862" s="376"/>
      <c r="S862" s="583">
        <f>VLOOKUP(Table13[[#This Row],[Column1]],[1]Sheet1!$A:$AO,19,FALSE)</f>
        <v>45470</v>
      </c>
      <c r="T862" s="583"/>
      <c r="U862" s="583"/>
      <c r="V862" s="376"/>
      <c r="W862" s="376"/>
      <c r="X862" s="402"/>
      <c r="Y862" s="402"/>
      <c r="Z862" s="610" t="s">
        <v>1478</v>
      </c>
      <c r="AA862" s="532">
        <f>IF(Table13[[#This Row],[Column2]]="","",SUM(Table13[[#This Row],[Column28]]+Table13[[#This Row],[Column29]]))</f>
        <v>675042</v>
      </c>
      <c r="AB862" s="537"/>
      <c r="AC862" s="502">
        <v>675042</v>
      </c>
      <c r="AD862" s="532">
        <f>IF(Table13[[#This Row],[Column2]]="","",SUM(Table13[[#This Row],[Column31]]+Table13[[#This Row],[Column32]]))</f>
        <v>574974</v>
      </c>
      <c r="AE862" s="501"/>
      <c r="AF862" s="541">
        <v>574974</v>
      </c>
      <c r="AG862" s="405"/>
      <c r="AH862" s="380" t="s">
        <v>1205</v>
      </c>
      <c r="AI862" s="576" t="str">
        <f>VLOOKUP(Table13[[#This Row],[Column1]],[1]Sheet1!$A:$AO,35,FALSE)</f>
        <v>N/A</v>
      </c>
      <c r="AJ862" s="576">
        <f>VLOOKUP(Table13[[#This Row],[Column1]],[1]Sheet1!$A:$AO,36,FALSE)</f>
        <v>45450</v>
      </c>
      <c r="AK862" s="576">
        <f>VLOOKUP(Table13[[#This Row],[Column1]],[1]Sheet1!$A:$AO,37,FALSE)</f>
        <v>45450</v>
      </c>
      <c r="AL862" s="576">
        <f>VLOOKUP(Table13[[#This Row],[Column1]],[1]Sheet1!$A:$AO,38,FALSE)</f>
        <v>45450</v>
      </c>
      <c r="AM862" s="576" t="str">
        <f>VLOOKUP(Table13[[#This Row],[Column1]],[1]Sheet1!$A:$AO,39,FALSE)</f>
        <v>N/A</v>
      </c>
      <c r="AN862" s="576" t="s">
        <v>713</v>
      </c>
      <c r="AO862" s="303" t="s">
        <v>1044</v>
      </c>
      <c r="AP862" s="378"/>
      <c r="AQ862" s="237"/>
    </row>
    <row r="863" spans="1:43" s="238" customFormat="1" ht="75" customHeight="1" x14ac:dyDescent="0.25">
      <c r="A863" s="297" t="s">
        <v>1084</v>
      </c>
      <c r="B863" s="627" t="str">
        <f>VLOOKUP(Table13[[#This Row],[Column1]],[1]Sheet1!$A:$AO,2,FALSE)</f>
        <v>SPAREPARTS (MOTORCYCLE)</v>
      </c>
      <c r="C863" s="298" t="str">
        <f>VLOOKUP(Table13[[#This Row],[Column1]],[1]Sheet1!$A:$AO,3,FALSE)</f>
        <v>PGSO</v>
      </c>
      <c r="D863" s="298" t="s">
        <v>712</v>
      </c>
      <c r="E863" s="450" t="str">
        <f>VLOOKUP(Table13[[#This Row],[Column1]],[1]Sheet1!$A:$AO,5,FALSE)</f>
        <v>NP-53.9 - Small Value Procurement</v>
      </c>
      <c r="F863" s="446">
        <f>VLOOKUP(Table13[[#This Row],[Column1]],[1]Sheet1!$A:$AO,6,FALSE)</f>
        <v>45407</v>
      </c>
      <c r="G863" s="402">
        <f>VLOOKUP(Table13[[#This Row],[Column1]],[1]Sheet1!$A:$AO,7,FALSE)</f>
        <v>45412</v>
      </c>
      <c r="H863" s="374"/>
      <c r="I863" s="402" t="str">
        <f>VLOOKUP(Table13[[#This Row],[Column1]],[1]Sheet1!$A:$AO,9,FALSE)</f>
        <v>N/A</v>
      </c>
      <c r="J863" s="402">
        <f>VLOOKUP(Table13[[#This Row],[Column1]],[1]Sheet1!$A:$AO,10,FALSE)</f>
        <v>45421</v>
      </c>
      <c r="K863" s="402">
        <f>VLOOKUP(Table13[[#This Row],[Column1]],[1]Sheet1!$A:$AO,11,FALSE)</f>
        <v>45421</v>
      </c>
      <c r="L863" s="404"/>
      <c r="M863" s="402" t="str">
        <f>VLOOKUP(Table13[[#This Row],[Column1]],[1]Sheet1!$A:$AO,13,FALSE)</f>
        <v>N/A</v>
      </c>
      <c r="N863" s="402" t="str">
        <f>VLOOKUP(Table13[[#This Row],[Column1]],[1]Sheet1!$A:$AO,14,FALSE)</f>
        <v>N/A</v>
      </c>
      <c r="O863" s="402">
        <f>VLOOKUP(Table13[[#This Row],[Column1]],[1]Sheet1!$A:$AO,15,FALSE)</f>
        <v>45425</v>
      </c>
      <c r="P863" s="375"/>
      <c r="Q863" s="375"/>
      <c r="R863" s="376"/>
      <c r="S863" s="583" t="str">
        <f>VLOOKUP(Table13[[#This Row],[Column1]],[1]Sheet1!$A:$AO,19,FALSE)</f>
        <v>N/A</v>
      </c>
      <c r="T863" s="583"/>
      <c r="U863" s="583"/>
      <c r="V863" s="376"/>
      <c r="W863" s="376"/>
      <c r="X863" s="402"/>
      <c r="Y863" s="402"/>
      <c r="Z863" s="610" t="s">
        <v>1478</v>
      </c>
      <c r="AA863" s="532">
        <f>IF(Table13[[#This Row],[Column2]]="","",SUM(Table13[[#This Row],[Column28]]+Table13[[#This Row],[Column29]]))</f>
        <v>900</v>
      </c>
      <c r="AB863" s="537">
        <v>900</v>
      </c>
      <c r="AC863" s="502"/>
      <c r="AD863" s="532">
        <f>IF(Table13[[#This Row],[Column2]]="","",SUM(Table13[[#This Row],[Column31]]+Table13[[#This Row],[Column32]]))</f>
        <v>900</v>
      </c>
      <c r="AE863" s="501">
        <v>900</v>
      </c>
      <c r="AF863" s="540"/>
      <c r="AG863" s="405"/>
      <c r="AH863" s="380" t="s">
        <v>1205</v>
      </c>
      <c r="AI863" s="576" t="str">
        <f>VLOOKUP(Table13[[#This Row],[Column1]],[1]Sheet1!$A:$AO,35,FALSE)</f>
        <v>N/A</v>
      </c>
      <c r="AJ863" s="576" t="str">
        <f>VLOOKUP(Table13[[#This Row],[Column1]],[1]Sheet1!$A:$AO,36,FALSE)</f>
        <v>N/A</v>
      </c>
      <c r="AK863" s="576" t="str">
        <f>VLOOKUP(Table13[[#This Row],[Column1]],[1]Sheet1!$A:$AO,37,FALSE)</f>
        <v>N/A</v>
      </c>
      <c r="AL863" s="576" t="str">
        <f>VLOOKUP(Table13[[#This Row],[Column1]],[1]Sheet1!$A:$AO,38,FALSE)</f>
        <v>N/A</v>
      </c>
      <c r="AM863" s="576" t="str">
        <f>VLOOKUP(Table13[[#This Row],[Column1]],[1]Sheet1!$A:$AO,39,FALSE)</f>
        <v>N/A</v>
      </c>
      <c r="AN863" s="576" t="s">
        <v>713</v>
      </c>
      <c r="AO863" s="303" t="s">
        <v>1044</v>
      </c>
      <c r="AP863" s="378"/>
      <c r="AQ863" s="237"/>
    </row>
    <row r="864" spans="1:43" s="238" customFormat="1" ht="75" customHeight="1" x14ac:dyDescent="0.25">
      <c r="A864" s="297" t="s">
        <v>1085</v>
      </c>
      <c r="B864" s="627" t="str">
        <f>VLOOKUP(Table13[[#This Row],[Column1]],[1]Sheet1!$A:$AO,2,FALSE)</f>
        <v>WATER DISPENSER</v>
      </c>
      <c r="C864" s="298" t="str">
        <f>VLOOKUP(Table13[[#This Row],[Column1]],[1]Sheet1!$A:$AO,3,FALSE)</f>
        <v>PENRO</v>
      </c>
      <c r="D864" s="298" t="s">
        <v>712</v>
      </c>
      <c r="E864" s="450" t="str">
        <f>VLOOKUP(Table13[[#This Row],[Column1]],[1]Sheet1!$A:$AO,5,FALSE)</f>
        <v>NP-53.9 - Small Value Procurement</v>
      </c>
      <c r="F864" s="446" t="str">
        <f>VLOOKUP(Table13[[#This Row],[Column1]],[1]Sheet1!$A:$AO,6,FALSE)</f>
        <v>N/A</v>
      </c>
      <c r="G864" s="402">
        <f>VLOOKUP(Table13[[#This Row],[Column1]],[1]Sheet1!$A:$AO,7,FALSE)</f>
        <v>45418</v>
      </c>
      <c r="H864" s="374"/>
      <c r="I864" s="402" t="str">
        <f>VLOOKUP(Table13[[#This Row],[Column1]],[1]Sheet1!$A:$AO,9,FALSE)</f>
        <v>N/A</v>
      </c>
      <c r="J864" s="402">
        <f>VLOOKUP(Table13[[#This Row],[Column1]],[1]Sheet1!$A:$AO,10,FALSE)</f>
        <v>45426</v>
      </c>
      <c r="K864" s="402">
        <f>VLOOKUP(Table13[[#This Row],[Column1]],[1]Sheet1!$A:$AO,11,FALSE)</f>
        <v>45426</v>
      </c>
      <c r="L864" s="404"/>
      <c r="M864" s="402" t="str">
        <f>VLOOKUP(Table13[[#This Row],[Column1]],[1]Sheet1!$A:$AO,13,FALSE)</f>
        <v>N/A</v>
      </c>
      <c r="N864" s="402" t="str">
        <f>VLOOKUP(Table13[[#This Row],[Column1]],[1]Sheet1!$A:$AO,14,FALSE)</f>
        <v>N/A</v>
      </c>
      <c r="O864" s="402">
        <f>VLOOKUP(Table13[[#This Row],[Column1]],[1]Sheet1!$A:$AO,15,FALSE)</f>
        <v>45428</v>
      </c>
      <c r="P864" s="375"/>
      <c r="Q864" s="375"/>
      <c r="R864" s="376"/>
      <c r="S864" s="583" t="str">
        <f>VLOOKUP(Table13[[#This Row],[Column1]],[1]Sheet1!$A:$AO,19,FALSE)</f>
        <v>N/A</v>
      </c>
      <c r="T864" s="583"/>
      <c r="U864" s="583"/>
      <c r="V864" s="376"/>
      <c r="W864" s="376"/>
      <c r="X864" s="402"/>
      <c r="Y864" s="402"/>
      <c r="Z864" s="610" t="s">
        <v>1478</v>
      </c>
      <c r="AA864" s="532">
        <f>IF(Table13[[#This Row],[Column2]]="","",SUM(Table13[[#This Row],[Column28]]+Table13[[#This Row],[Column29]]))</f>
        <v>13200</v>
      </c>
      <c r="AB864" s="537">
        <v>13200</v>
      </c>
      <c r="AC864" s="502"/>
      <c r="AD864" s="532">
        <f>IF(Table13[[#This Row],[Column2]]="","",SUM(Table13[[#This Row],[Column31]]+Table13[[#This Row],[Column32]]))</f>
        <v>13150</v>
      </c>
      <c r="AE864" s="501">
        <v>13150</v>
      </c>
      <c r="AF864" s="540"/>
      <c r="AG864" s="405"/>
      <c r="AH864" s="380" t="s">
        <v>1205</v>
      </c>
      <c r="AI864" s="576" t="str">
        <f>VLOOKUP(Table13[[#This Row],[Column1]],[1]Sheet1!$A:$AO,35,FALSE)</f>
        <v>N/A</v>
      </c>
      <c r="AJ864" s="576" t="str">
        <f>VLOOKUP(Table13[[#This Row],[Column1]],[1]Sheet1!$A:$AO,36,FALSE)</f>
        <v>N/A</v>
      </c>
      <c r="AK864" s="576" t="str">
        <f>VLOOKUP(Table13[[#This Row],[Column1]],[1]Sheet1!$A:$AO,37,FALSE)</f>
        <v>N/A</v>
      </c>
      <c r="AL864" s="576" t="str">
        <f>VLOOKUP(Table13[[#This Row],[Column1]],[1]Sheet1!$A:$AO,38,FALSE)</f>
        <v>N/A</v>
      </c>
      <c r="AM864" s="576" t="str">
        <f>VLOOKUP(Table13[[#This Row],[Column1]],[1]Sheet1!$A:$AO,39,FALSE)</f>
        <v>N/A</v>
      </c>
      <c r="AN864" s="576" t="s">
        <v>713</v>
      </c>
      <c r="AO864" s="303" t="s">
        <v>1044</v>
      </c>
      <c r="AP864" s="378"/>
      <c r="AQ864" s="237"/>
    </row>
    <row r="865" spans="1:43" s="238" customFormat="1" ht="75" customHeight="1" x14ac:dyDescent="0.25">
      <c r="A865" s="297" t="s">
        <v>1086</v>
      </c>
      <c r="B865" s="627" t="str">
        <f>VLOOKUP(Table13[[#This Row],[Column1]],[1]Sheet1!$A:$AO,2,FALSE)</f>
        <v>PICTURE FRAME</v>
      </c>
      <c r="C865" s="298" t="str">
        <f>VLOOKUP(Table13[[#This Row],[Column1]],[1]Sheet1!$A:$AO,3,FALSE)</f>
        <v>SPO</v>
      </c>
      <c r="D865" s="298" t="s">
        <v>712</v>
      </c>
      <c r="E865" s="450" t="str">
        <f>VLOOKUP(Table13[[#This Row],[Column1]],[1]Sheet1!$A:$AO,5,FALSE)</f>
        <v>NP-53.9 - Small Value Procurement</v>
      </c>
      <c r="F865" s="446" t="str">
        <f>VLOOKUP(Table13[[#This Row],[Column1]],[1]Sheet1!$A:$AO,6,FALSE)</f>
        <v>N/A</v>
      </c>
      <c r="G865" s="402">
        <f>VLOOKUP(Table13[[#This Row],[Column1]],[1]Sheet1!$A:$AO,7,FALSE)</f>
        <v>45418</v>
      </c>
      <c r="H865" s="374"/>
      <c r="I865" s="402" t="str">
        <f>VLOOKUP(Table13[[#This Row],[Column1]],[1]Sheet1!$A:$AO,9,FALSE)</f>
        <v>N/A</v>
      </c>
      <c r="J865" s="402">
        <f>VLOOKUP(Table13[[#This Row],[Column1]],[1]Sheet1!$A:$AO,10,FALSE)</f>
        <v>45426</v>
      </c>
      <c r="K865" s="402">
        <f>VLOOKUP(Table13[[#This Row],[Column1]],[1]Sheet1!$A:$AO,11,FALSE)</f>
        <v>45426</v>
      </c>
      <c r="L865" s="404"/>
      <c r="M865" s="402" t="str">
        <f>VLOOKUP(Table13[[#This Row],[Column1]],[1]Sheet1!$A:$AO,13,FALSE)</f>
        <v>N/A</v>
      </c>
      <c r="N865" s="402" t="str">
        <f>VLOOKUP(Table13[[#This Row],[Column1]],[1]Sheet1!$A:$AO,14,FALSE)</f>
        <v>N/A</v>
      </c>
      <c r="O865" s="402">
        <f>VLOOKUP(Table13[[#This Row],[Column1]],[1]Sheet1!$A:$AO,15,FALSE)</f>
        <v>45428</v>
      </c>
      <c r="P865" s="375"/>
      <c r="Q865" s="375"/>
      <c r="R865" s="376"/>
      <c r="S865" s="583" t="str">
        <f>VLOOKUP(Table13[[#This Row],[Column1]],[1]Sheet1!$A:$AO,19,FALSE)</f>
        <v>N/A</v>
      </c>
      <c r="T865" s="583"/>
      <c r="U865" s="583"/>
      <c r="V865" s="376"/>
      <c r="W865" s="376"/>
      <c r="X865" s="402"/>
      <c r="Y865" s="402"/>
      <c r="Z865" s="610" t="s">
        <v>1478</v>
      </c>
      <c r="AA865" s="532">
        <f>IF(Table13[[#This Row],[Column2]]="","",SUM(Table13[[#This Row],[Column28]]+Table13[[#This Row],[Column29]]))</f>
        <v>6600</v>
      </c>
      <c r="AB865" s="537">
        <v>6600</v>
      </c>
      <c r="AC865" s="502"/>
      <c r="AD865" s="532">
        <f>IF(Table13[[#This Row],[Column2]]="","",SUM(Table13[[#This Row],[Column31]]+Table13[[#This Row],[Column32]]))</f>
        <v>6580</v>
      </c>
      <c r="AE865" s="501">
        <v>6580</v>
      </c>
      <c r="AF865" s="540"/>
      <c r="AG865" s="405"/>
      <c r="AH865" s="380" t="s">
        <v>1205</v>
      </c>
      <c r="AI865" s="576" t="str">
        <f>VLOOKUP(Table13[[#This Row],[Column1]],[1]Sheet1!$A:$AO,35,FALSE)</f>
        <v>N/A</v>
      </c>
      <c r="AJ865" s="576" t="str">
        <f>VLOOKUP(Table13[[#This Row],[Column1]],[1]Sheet1!$A:$AO,36,FALSE)</f>
        <v>N/A</v>
      </c>
      <c r="AK865" s="576" t="str">
        <f>VLOOKUP(Table13[[#This Row],[Column1]],[1]Sheet1!$A:$AO,37,FALSE)</f>
        <v>N/A</v>
      </c>
      <c r="AL865" s="576" t="str">
        <f>VLOOKUP(Table13[[#This Row],[Column1]],[1]Sheet1!$A:$AO,38,FALSE)</f>
        <v>N/A</v>
      </c>
      <c r="AM865" s="576" t="str">
        <f>VLOOKUP(Table13[[#This Row],[Column1]],[1]Sheet1!$A:$AO,39,FALSE)</f>
        <v>N/A</v>
      </c>
      <c r="AN865" s="576" t="s">
        <v>713</v>
      </c>
      <c r="AO865" s="303" t="s">
        <v>1044</v>
      </c>
      <c r="AP865" s="378"/>
      <c r="AQ865" s="237"/>
    </row>
    <row r="866" spans="1:43" s="238" customFormat="1" ht="75" customHeight="1" x14ac:dyDescent="0.25">
      <c r="A866" s="297" t="s">
        <v>1087</v>
      </c>
      <c r="B866" s="627" t="str">
        <f>VLOOKUP(Table13[[#This Row],[Column1]],[1]Sheet1!$A:$AO,2,FALSE)</f>
        <v>SPAREPARTS (LIGHT
VEHICLES)</v>
      </c>
      <c r="C866" s="298" t="str">
        <f>VLOOKUP(Table13[[#This Row],[Column1]],[1]Sheet1!$A:$AO,3,FALSE)</f>
        <v>SPO</v>
      </c>
      <c r="D866" s="298" t="s">
        <v>712</v>
      </c>
      <c r="E866" s="450" t="str">
        <f>VLOOKUP(Table13[[#This Row],[Column1]],[1]Sheet1!$A:$AO,5,FALSE)</f>
        <v>Shopping 52.1(a) - Unforeseen Contingency</v>
      </c>
      <c r="F866" s="446" t="str">
        <f>VLOOKUP(Table13[[#This Row],[Column1]],[1]Sheet1!$A:$AO,6,FALSE)</f>
        <v>N/A</v>
      </c>
      <c r="G866" s="402">
        <f>VLOOKUP(Table13[[#This Row],[Column1]],[1]Sheet1!$A:$AO,7,FALSE)</f>
        <v>45436</v>
      </c>
      <c r="H866" s="374"/>
      <c r="I866" s="402" t="str">
        <f>VLOOKUP(Table13[[#This Row],[Column1]],[1]Sheet1!$A:$AO,9,FALSE)</f>
        <v>N/A</v>
      </c>
      <c r="J866" s="402">
        <f>VLOOKUP(Table13[[#This Row],[Column1]],[1]Sheet1!$A:$AO,10,FALSE)</f>
        <v>45440</v>
      </c>
      <c r="K866" s="402">
        <f>VLOOKUP(Table13[[#This Row],[Column1]],[1]Sheet1!$A:$AO,11,FALSE)</f>
        <v>45440</v>
      </c>
      <c r="L866" s="404"/>
      <c r="M866" s="402" t="str">
        <f>VLOOKUP(Table13[[#This Row],[Column1]],[1]Sheet1!$A:$AO,13,FALSE)</f>
        <v>N/A</v>
      </c>
      <c r="N866" s="402" t="str">
        <f>VLOOKUP(Table13[[#This Row],[Column1]],[1]Sheet1!$A:$AO,14,FALSE)</f>
        <v>N/A</v>
      </c>
      <c r="O866" s="402">
        <f>VLOOKUP(Table13[[#This Row],[Column1]],[1]Sheet1!$A:$AO,15,FALSE)</f>
        <v>45441</v>
      </c>
      <c r="P866" s="375"/>
      <c r="Q866" s="375"/>
      <c r="R866" s="376"/>
      <c r="S866" s="583" t="str">
        <f>VLOOKUP(Table13[[#This Row],[Column1]],[1]Sheet1!$A:$AO,19,FALSE)</f>
        <v>N/A</v>
      </c>
      <c r="T866" s="583"/>
      <c r="U866" s="583"/>
      <c r="V866" s="376"/>
      <c r="W866" s="376"/>
      <c r="X866" s="402"/>
      <c r="Y866" s="402"/>
      <c r="Z866" s="610" t="s">
        <v>1478</v>
      </c>
      <c r="AA866" s="532">
        <f>IF(Table13[[#This Row],[Column2]]="","",SUM(Table13[[#This Row],[Column28]]+Table13[[#This Row],[Column29]]))</f>
        <v>9075</v>
      </c>
      <c r="AB866" s="537">
        <v>9075</v>
      </c>
      <c r="AC866" s="502"/>
      <c r="AD866" s="532">
        <f>IF(Table13[[#This Row],[Column2]]="","",SUM(Table13[[#This Row],[Column31]]+Table13[[#This Row],[Column32]]))</f>
        <v>9075</v>
      </c>
      <c r="AE866" s="501">
        <v>9075</v>
      </c>
      <c r="AF866" s="540"/>
      <c r="AG866" s="405"/>
      <c r="AH866" s="380" t="s">
        <v>1205</v>
      </c>
      <c r="AI866" s="576" t="str">
        <f>VLOOKUP(Table13[[#This Row],[Column1]],[1]Sheet1!$A:$AO,35,FALSE)</f>
        <v>N/A</v>
      </c>
      <c r="AJ866" s="576" t="str">
        <f>VLOOKUP(Table13[[#This Row],[Column1]],[1]Sheet1!$A:$AO,36,FALSE)</f>
        <v>N/A</v>
      </c>
      <c r="AK866" s="576" t="str">
        <f>VLOOKUP(Table13[[#This Row],[Column1]],[1]Sheet1!$A:$AO,37,FALSE)</f>
        <v>N/A</v>
      </c>
      <c r="AL866" s="576" t="str">
        <f>VLOOKUP(Table13[[#This Row],[Column1]],[1]Sheet1!$A:$AO,38,FALSE)</f>
        <v>N/A</v>
      </c>
      <c r="AM866" s="576" t="str">
        <f>VLOOKUP(Table13[[#This Row],[Column1]],[1]Sheet1!$A:$AO,39,FALSE)</f>
        <v>N/A</v>
      </c>
      <c r="AN866" s="576" t="s">
        <v>713</v>
      </c>
      <c r="AO866" s="303" t="s">
        <v>1044</v>
      </c>
      <c r="AP866" s="378"/>
      <c r="AQ866" s="237"/>
    </row>
    <row r="867" spans="1:43" s="238" customFormat="1" ht="75" customHeight="1" x14ac:dyDescent="0.25">
      <c r="A867" s="556" t="s">
        <v>1088</v>
      </c>
      <c r="B867" s="627" t="str">
        <f>VLOOKUP(Table13[[#This Row],[Column1]],[1]Sheet1!$A:$AO,2,FALSE)</f>
        <v>DOORSIGN &amp; TABLESIGN</v>
      </c>
      <c r="C867" s="298" t="str">
        <f>VLOOKUP(Table13[[#This Row],[Column1]],[1]Sheet1!$A:$AO,3,FALSE)</f>
        <v>SPO</v>
      </c>
      <c r="D867" s="298" t="s">
        <v>712</v>
      </c>
      <c r="E867" s="450" t="str">
        <f>VLOOKUP(Table13[[#This Row],[Column1]],[1]Sheet1!$A:$AO,5,FALSE)</f>
        <v>NP-53.9 - Small Value Procurement</v>
      </c>
      <c r="F867" s="446" t="str">
        <f>VLOOKUP(Table13[[#This Row],[Column1]],[1]Sheet1!$A:$AO,6,FALSE)</f>
        <v>N/A</v>
      </c>
      <c r="G867" s="402">
        <f>VLOOKUP(Table13[[#This Row],[Column1]],[1]Sheet1!$A:$AO,7,FALSE)</f>
        <v>45418</v>
      </c>
      <c r="H867" s="374"/>
      <c r="I867" s="402" t="str">
        <f>VLOOKUP(Table13[[#This Row],[Column1]],[1]Sheet1!$A:$AO,9,FALSE)</f>
        <v>N/A</v>
      </c>
      <c r="J867" s="402">
        <f>VLOOKUP(Table13[[#This Row],[Column1]],[1]Sheet1!$A:$AO,10,FALSE)</f>
        <v>45440</v>
      </c>
      <c r="K867" s="402">
        <f>VLOOKUP(Table13[[#This Row],[Column1]],[1]Sheet1!$A:$AO,11,FALSE)</f>
        <v>45440</v>
      </c>
      <c r="L867" s="404"/>
      <c r="M867" s="402" t="str">
        <f>VLOOKUP(Table13[[#This Row],[Column1]],[1]Sheet1!$A:$AO,13,FALSE)</f>
        <v>N/A</v>
      </c>
      <c r="N867" s="402" t="str">
        <f>VLOOKUP(Table13[[#This Row],[Column1]],[1]Sheet1!$A:$AO,14,FALSE)</f>
        <v>N/A</v>
      </c>
      <c r="O867" s="402">
        <f>VLOOKUP(Table13[[#This Row],[Column1]],[1]Sheet1!$A:$AO,15,FALSE)</f>
        <v>45441</v>
      </c>
      <c r="P867" s="375"/>
      <c r="Q867" s="375"/>
      <c r="R867" s="376"/>
      <c r="S867" s="583" t="str">
        <f>VLOOKUP(Table13[[#This Row],[Column1]],[1]Sheet1!$A:$AO,19,FALSE)</f>
        <v>N/A</v>
      </c>
      <c r="T867" s="583"/>
      <c r="U867" s="583"/>
      <c r="V867" s="376"/>
      <c r="W867" s="376"/>
      <c r="X867" s="402"/>
      <c r="Y867" s="402"/>
      <c r="Z867" s="610" t="s">
        <v>1478</v>
      </c>
      <c r="AA867" s="532">
        <f>IF(Table13[[#This Row],[Column2]]="","",SUM(Table13[[#This Row],[Column28]]+Table13[[#This Row],[Column29]]))</f>
        <v>16000</v>
      </c>
      <c r="AB867" s="537">
        <v>16000</v>
      </c>
      <c r="AC867" s="502"/>
      <c r="AD867" s="532">
        <f>IF(Table13[[#This Row],[Column2]]="","",SUM(Table13[[#This Row],[Column31]]+Table13[[#This Row],[Column32]]))</f>
        <v>16000</v>
      </c>
      <c r="AE867" s="501">
        <v>16000</v>
      </c>
      <c r="AF867" s="540"/>
      <c r="AG867" s="405"/>
      <c r="AH867" s="380" t="s">
        <v>1205</v>
      </c>
      <c r="AI867" s="576" t="str">
        <f>VLOOKUP(Table13[[#This Row],[Column1]],[1]Sheet1!$A:$AO,35,FALSE)</f>
        <v>N/A</v>
      </c>
      <c r="AJ867" s="576" t="str">
        <f>VLOOKUP(Table13[[#This Row],[Column1]],[1]Sheet1!$A:$AO,36,FALSE)</f>
        <v>N/A</v>
      </c>
      <c r="AK867" s="576" t="str">
        <f>VLOOKUP(Table13[[#This Row],[Column1]],[1]Sheet1!$A:$AO,37,FALSE)</f>
        <v>N/A</v>
      </c>
      <c r="AL867" s="576" t="str">
        <f>VLOOKUP(Table13[[#This Row],[Column1]],[1]Sheet1!$A:$AO,38,FALSE)</f>
        <v>N/A</v>
      </c>
      <c r="AM867" s="576" t="str">
        <f>VLOOKUP(Table13[[#This Row],[Column1]],[1]Sheet1!$A:$AO,39,FALSE)</f>
        <v>N/A</v>
      </c>
      <c r="AN867" s="576" t="s">
        <v>713</v>
      </c>
      <c r="AO867" s="303" t="s">
        <v>1044</v>
      </c>
      <c r="AP867" s="378"/>
      <c r="AQ867" s="237"/>
    </row>
    <row r="868" spans="1:43" s="238" customFormat="1" ht="75" customHeight="1" x14ac:dyDescent="0.25">
      <c r="A868" s="556" t="s">
        <v>1089</v>
      </c>
      <c r="B868" s="627" t="str">
        <f>VLOOKUP(Table13[[#This Row],[Column1]],[1]Sheet1!$A:$AO,2,FALSE)</f>
        <v>MONTHLY INTERNET
SUBSCRIPTION</v>
      </c>
      <c r="C868" s="298" t="str">
        <f>VLOOKUP(Table13[[#This Row],[Column1]],[1]Sheet1!$A:$AO,3,FALSE)</f>
        <v>SPO</v>
      </c>
      <c r="D868" s="298" t="s">
        <v>712</v>
      </c>
      <c r="E868" s="450" t="str">
        <f>VLOOKUP(Table13[[#This Row],[Column1]],[1]Sheet1!$A:$AO,5,FALSE)</f>
        <v>NP-53.1 Two Failed Biddings</v>
      </c>
      <c r="F868" s="446" t="str">
        <f>VLOOKUP(Table13[[#This Row],[Column1]],[1]Sheet1!$A:$AO,6,FALSE)</f>
        <v>N/A</v>
      </c>
      <c r="G868" s="402">
        <f>VLOOKUP(Table13[[#This Row],[Column1]],[1]Sheet1!$A:$AO,7,FALSE)</f>
        <v>45422</v>
      </c>
      <c r="H868" s="374"/>
      <c r="I868" s="402" t="str">
        <f>VLOOKUP(Table13[[#This Row],[Column1]],[1]Sheet1!$A:$AO,9,FALSE)</f>
        <v>N/A</v>
      </c>
      <c r="J868" s="402">
        <f>VLOOKUP(Table13[[#This Row],[Column1]],[1]Sheet1!$A:$AO,10,FALSE)</f>
        <v>45440</v>
      </c>
      <c r="K868" s="402">
        <f>VLOOKUP(Table13[[#This Row],[Column1]],[1]Sheet1!$A:$AO,11,FALSE)</f>
        <v>45440</v>
      </c>
      <c r="L868" s="404"/>
      <c r="M868" s="402" t="str">
        <f>VLOOKUP(Table13[[#This Row],[Column1]],[1]Sheet1!$A:$AO,13,FALSE)</f>
        <v>N/A</v>
      </c>
      <c r="N868" s="402" t="str">
        <f>VLOOKUP(Table13[[#This Row],[Column1]],[1]Sheet1!$A:$AO,14,FALSE)</f>
        <v>N/A</v>
      </c>
      <c r="O868" s="402">
        <f>VLOOKUP(Table13[[#This Row],[Column1]],[1]Sheet1!$A:$AO,15,FALSE)</f>
        <v>45441</v>
      </c>
      <c r="P868" s="375"/>
      <c r="Q868" s="375"/>
      <c r="R868" s="376"/>
      <c r="S868" s="583">
        <f>VLOOKUP(Table13[[#This Row],[Column1]],[1]Sheet1!$A:$AO,19,FALSE)</f>
        <v>45442</v>
      </c>
      <c r="T868" s="583"/>
      <c r="U868" s="583"/>
      <c r="V868" s="376"/>
      <c r="W868" s="376"/>
      <c r="X868" s="402"/>
      <c r="Y868" s="402"/>
      <c r="Z868" s="610" t="s">
        <v>1478</v>
      </c>
      <c r="AA868" s="532">
        <f>IF(Table13[[#This Row],[Column2]]="","",SUM(Table13[[#This Row],[Column28]]+Table13[[#This Row],[Column29]]))</f>
        <v>403200</v>
      </c>
      <c r="AB868" s="537">
        <v>403200</v>
      </c>
      <c r="AC868" s="502"/>
      <c r="AD868" s="532">
        <f>IF(Table13[[#This Row],[Column2]]="","",SUM(Table13[[#This Row],[Column31]]+Table13[[#This Row],[Column32]]))</f>
        <v>403200</v>
      </c>
      <c r="AE868" s="501">
        <v>403200</v>
      </c>
      <c r="AF868" s="540"/>
      <c r="AG868" s="405"/>
      <c r="AH868" s="380" t="s">
        <v>1205</v>
      </c>
      <c r="AI868" s="576" t="str">
        <f>VLOOKUP(Table13[[#This Row],[Column1]],[1]Sheet1!$A:$AO,35,FALSE)</f>
        <v>N/A</v>
      </c>
      <c r="AJ868" s="576" t="str">
        <f>VLOOKUP(Table13[[#This Row],[Column1]],[1]Sheet1!$A:$AO,36,FALSE)</f>
        <v>N/A</v>
      </c>
      <c r="AK868" s="576" t="str">
        <f>VLOOKUP(Table13[[#This Row],[Column1]],[1]Sheet1!$A:$AO,37,FALSE)</f>
        <v>N/A</v>
      </c>
      <c r="AL868" s="576" t="str">
        <f>VLOOKUP(Table13[[#This Row],[Column1]],[1]Sheet1!$A:$AO,38,FALSE)</f>
        <v>N/A</v>
      </c>
      <c r="AM868" s="576" t="str">
        <f>VLOOKUP(Table13[[#This Row],[Column1]],[1]Sheet1!$A:$AO,39,FALSE)</f>
        <v>N/A</v>
      </c>
      <c r="AN868" s="576" t="s">
        <v>713</v>
      </c>
      <c r="AO868" s="303" t="s">
        <v>1044</v>
      </c>
      <c r="AP868" s="378"/>
      <c r="AQ868" s="237"/>
    </row>
    <row r="869" spans="1:43" s="238" customFormat="1" ht="75" customHeight="1" x14ac:dyDescent="0.25">
      <c r="A869" s="556" t="s">
        <v>1090</v>
      </c>
      <c r="B869" s="627" t="str">
        <f>VLOOKUP(Table13[[#This Row],[Column1]],[1]Sheet1!$A:$AO,2,FALSE)</f>
        <v>SPAREPARTS (LIGHT
VEHICLES)</v>
      </c>
      <c r="C869" s="298" t="str">
        <f>VLOOKUP(Table13[[#This Row],[Column1]],[1]Sheet1!$A:$AO,3,FALSE)</f>
        <v>SPO</v>
      </c>
      <c r="D869" s="298" t="s">
        <v>712</v>
      </c>
      <c r="E869" s="450" t="str">
        <f>VLOOKUP(Table13[[#This Row],[Column1]],[1]Sheet1!$A:$AO,5,FALSE)</f>
        <v>Shopping 52.1(a) - Unforeseen Contingency</v>
      </c>
      <c r="F869" s="446" t="str">
        <f>VLOOKUP(Table13[[#This Row],[Column1]],[1]Sheet1!$A:$AO,6,FALSE)</f>
        <v>N/A</v>
      </c>
      <c r="G869" s="402">
        <f>VLOOKUP(Table13[[#This Row],[Column1]],[1]Sheet1!$A:$AO,7,FALSE)</f>
        <v>45425</v>
      </c>
      <c r="H869" s="374"/>
      <c r="I869" s="402" t="str">
        <f>VLOOKUP(Table13[[#This Row],[Column1]],[1]Sheet1!$A:$AO,9,FALSE)</f>
        <v>N/A</v>
      </c>
      <c r="J869" s="402">
        <f>VLOOKUP(Table13[[#This Row],[Column1]],[1]Sheet1!$A:$AO,10,FALSE)</f>
        <v>45446</v>
      </c>
      <c r="K869" s="402">
        <f>VLOOKUP(Table13[[#This Row],[Column1]],[1]Sheet1!$A:$AO,11,FALSE)</f>
        <v>45446</v>
      </c>
      <c r="L869" s="404"/>
      <c r="M869" s="402" t="str">
        <f>VLOOKUP(Table13[[#This Row],[Column1]],[1]Sheet1!$A:$AO,13,FALSE)</f>
        <v>N/A</v>
      </c>
      <c r="N869" s="402" t="str">
        <f>VLOOKUP(Table13[[#This Row],[Column1]],[1]Sheet1!$A:$AO,14,FALSE)</f>
        <v>N/A</v>
      </c>
      <c r="O869" s="402">
        <f>VLOOKUP(Table13[[#This Row],[Column1]],[1]Sheet1!$A:$AO,15,FALSE)</f>
        <v>45450</v>
      </c>
      <c r="P869" s="375"/>
      <c r="Q869" s="375"/>
      <c r="R869" s="376"/>
      <c r="S869" s="583" t="str">
        <f>VLOOKUP(Table13[[#This Row],[Column1]],[1]Sheet1!$A:$AO,19,FALSE)</f>
        <v>N/A</v>
      </c>
      <c r="T869" s="583"/>
      <c r="U869" s="583"/>
      <c r="V869" s="376"/>
      <c r="W869" s="376"/>
      <c r="X869" s="402"/>
      <c r="Y869" s="402"/>
      <c r="Z869" s="610" t="s">
        <v>1478</v>
      </c>
      <c r="AA869" s="532">
        <f>IF(Table13[[#This Row],[Column2]]="","",SUM(Table13[[#This Row],[Column28]]+Table13[[#This Row],[Column29]]))</f>
        <v>7000</v>
      </c>
      <c r="AB869" s="537">
        <v>7000</v>
      </c>
      <c r="AC869" s="502"/>
      <c r="AD869" s="532">
        <f>IF(Table13[[#This Row],[Column2]]="","",SUM(Table13[[#This Row],[Column31]]+Table13[[#This Row],[Column32]]))</f>
        <v>7000</v>
      </c>
      <c r="AE869" s="501">
        <v>7000</v>
      </c>
      <c r="AF869" s="540"/>
      <c r="AG869" s="405"/>
      <c r="AH869" s="380" t="s">
        <v>1205</v>
      </c>
      <c r="AI869" s="576" t="str">
        <f>VLOOKUP(Table13[[#This Row],[Column1]],[1]Sheet1!$A:$AO,35,FALSE)</f>
        <v>N/A</v>
      </c>
      <c r="AJ869" s="576" t="str">
        <f>VLOOKUP(Table13[[#This Row],[Column1]],[1]Sheet1!$A:$AO,36,FALSE)</f>
        <v>N/A</v>
      </c>
      <c r="AK869" s="576" t="str">
        <f>VLOOKUP(Table13[[#This Row],[Column1]],[1]Sheet1!$A:$AO,37,FALSE)</f>
        <v>N/A</v>
      </c>
      <c r="AL869" s="576" t="str">
        <f>VLOOKUP(Table13[[#This Row],[Column1]],[1]Sheet1!$A:$AO,38,FALSE)</f>
        <v>N/A</v>
      </c>
      <c r="AM869" s="576" t="str">
        <f>VLOOKUP(Table13[[#This Row],[Column1]],[1]Sheet1!$A:$AO,39,FALSE)</f>
        <v>N/A</v>
      </c>
      <c r="AN869" s="576" t="s">
        <v>713</v>
      </c>
      <c r="AO869" s="303" t="s">
        <v>1044</v>
      </c>
      <c r="AP869" s="378"/>
      <c r="AQ869" s="237"/>
    </row>
    <row r="870" spans="1:43" s="238" customFormat="1" ht="75" customHeight="1" x14ac:dyDescent="0.25">
      <c r="A870" s="556" t="s">
        <v>1091</v>
      </c>
      <c r="B870" s="627" t="str">
        <f>VLOOKUP(Table13[[#This Row],[Column1]],[1]Sheet1!$A:$AO,2,FALSE)</f>
        <v>SPAREPARTS (LIGHT
VEHICLES)</v>
      </c>
      <c r="C870" s="298" t="str">
        <f>VLOOKUP(Table13[[#This Row],[Column1]],[1]Sheet1!$A:$AO,3,FALSE)</f>
        <v>SPO</v>
      </c>
      <c r="D870" s="298" t="s">
        <v>712</v>
      </c>
      <c r="E870" s="450" t="str">
        <f>VLOOKUP(Table13[[#This Row],[Column1]],[1]Sheet1!$A:$AO,5,FALSE)</f>
        <v>Shopping 52.1(a) - Unforeseen Contingency</v>
      </c>
      <c r="F870" s="446" t="str">
        <f>VLOOKUP(Table13[[#This Row],[Column1]],[1]Sheet1!$A:$AO,6,FALSE)</f>
        <v>N/A</v>
      </c>
      <c r="G870" s="402">
        <f>VLOOKUP(Table13[[#This Row],[Column1]],[1]Sheet1!$A:$AO,7,FALSE)</f>
        <v>45425</v>
      </c>
      <c r="H870" s="374"/>
      <c r="I870" s="402" t="str">
        <f>VLOOKUP(Table13[[#This Row],[Column1]],[1]Sheet1!$A:$AO,9,FALSE)</f>
        <v>N/A</v>
      </c>
      <c r="J870" s="402">
        <f>VLOOKUP(Table13[[#This Row],[Column1]],[1]Sheet1!$A:$AO,10,FALSE)</f>
        <v>45446</v>
      </c>
      <c r="K870" s="402">
        <f>VLOOKUP(Table13[[#This Row],[Column1]],[1]Sheet1!$A:$AO,11,FALSE)</f>
        <v>45446</v>
      </c>
      <c r="L870" s="404"/>
      <c r="M870" s="402" t="str">
        <f>VLOOKUP(Table13[[#This Row],[Column1]],[1]Sheet1!$A:$AO,13,FALSE)</f>
        <v>N/A</v>
      </c>
      <c r="N870" s="402" t="str">
        <f>VLOOKUP(Table13[[#This Row],[Column1]],[1]Sheet1!$A:$AO,14,FALSE)</f>
        <v>N/A</v>
      </c>
      <c r="O870" s="402">
        <f>VLOOKUP(Table13[[#This Row],[Column1]],[1]Sheet1!$A:$AO,15,FALSE)</f>
        <v>45450</v>
      </c>
      <c r="P870" s="375"/>
      <c r="Q870" s="375"/>
      <c r="R870" s="376"/>
      <c r="S870" s="583" t="str">
        <f>VLOOKUP(Table13[[#This Row],[Column1]],[1]Sheet1!$A:$AO,19,FALSE)</f>
        <v>N/A</v>
      </c>
      <c r="T870" s="583"/>
      <c r="U870" s="583"/>
      <c r="V870" s="376"/>
      <c r="W870" s="376"/>
      <c r="X870" s="402"/>
      <c r="Y870" s="402"/>
      <c r="Z870" s="610" t="s">
        <v>1478</v>
      </c>
      <c r="AA870" s="532">
        <f>IF(Table13[[#This Row],[Column2]]="","",SUM(Table13[[#This Row],[Column28]]+Table13[[#This Row],[Column29]]))</f>
        <v>24150</v>
      </c>
      <c r="AB870" s="537">
        <v>24150</v>
      </c>
      <c r="AC870" s="502"/>
      <c r="AD870" s="532">
        <f>IF(Table13[[#This Row],[Column2]]="","",SUM(Table13[[#This Row],[Column31]]+Table13[[#This Row],[Column32]]))</f>
        <v>24150</v>
      </c>
      <c r="AE870" s="501">
        <v>24150</v>
      </c>
      <c r="AF870" s="540"/>
      <c r="AG870" s="405"/>
      <c r="AH870" s="380" t="s">
        <v>1205</v>
      </c>
      <c r="AI870" s="576" t="str">
        <f>VLOOKUP(Table13[[#This Row],[Column1]],[1]Sheet1!$A:$AO,35,FALSE)</f>
        <v>N/A</v>
      </c>
      <c r="AJ870" s="576" t="str">
        <f>VLOOKUP(Table13[[#This Row],[Column1]],[1]Sheet1!$A:$AO,36,FALSE)</f>
        <v>N/A</v>
      </c>
      <c r="AK870" s="576" t="str">
        <f>VLOOKUP(Table13[[#This Row],[Column1]],[1]Sheet1!$A:$AO,37,FALSE)</f>
        <v>N/A</v>
      </c>
      <c r="AL870" s="576" t="str">
        <f>VLOOKUP(Table13[[#This Row],[Column1]],[1]Sheet1!$A:$AO,38,FALSE)</f>
        <v>N/A</v>
      </c>
      <c r="AM870" s="576" t="str">
        <f>VLOOKUP(Table13[[#This Row],[Column1]],[1]Sheet1!$A:$AO,39,FALSE)</f>
        <v>N/A</v>
      </c>
      <c r="AN870" s="576" t="s">
        <v>713</v>
      </c>
      <c r="AO870" s="303" t="s">
        <v>1044</v>
      </c>
      <c r="AP870" s="378"/>
      <c r="AQ870" s="237"/>
    </row>
    <row r="871" spans="1:43" s="238" customFormat="1" ht="75" customHeight="1" x14ac:dyDescent="0.25">
      <c r="A871" s="556" t="s">
        <v>1092</v>
      </c>
      <c r="B871" s="627" t="str">
        <f>VLOOKUP(Table13[[#This Row],[Column1]],[1]Sheet1!$A:$AO,2,FALSE)</f>
        <v>ACETYLENE REFILL</v>
      </c>
      <c r="C871" s="298" t="str">
        <f>VLOOKUP(Table13[[#This Row],[Column1]],[1]Sheet1!$A:$AO,3,FALSE)</f>
        <v>PAGRO</v>
      </c>
      <c r="D871" s="298" t="s">
        <v>712</v>
      </c>
      <c r="E871" s="450" t="str">
        <f>VLOOKUP(Table13[[#This Row],[Column1]],[1]Sheet1!$A:$AO,5,FALSE)</f>
        <v>Direct Contracting</v>
      </c>
      <c r="F871" s="446">
        <f>VLOOKUP(Table13[[#This Row],[Column1]],[1]Sheet1!$A:$AO,6,FALSE)</f>
        <v>45398</v>
      </c>
      <c r="G871" s="402">
        <f>VLOOKUP(Table13[[#This Row],[Column1]],[1]Sheet1!$A:$AO,7,FALSE)</f>
        <v>45404</v>
      </c>
      <c r="H871" s="374"/>
      <c r="I871" s="402" t="str">
        <f>VLOOKUP(Table13[[#This Row],[Column1]],[1]Sheet1!$A:$AO,9,FALSE)</f>
        <v>N/A</v>
      </c>
      <c r="J871" s="402">
        <f>VLOOKUP(Table13[[#This Row],[Column1]],[1]Sheet1!$A:$AO,10,FALSE)</f>
        <v>45454</v>
      </c>
      <c r="K871" s="402">
        <f>VLOOKUP(Table13[[#This Row],[Column1]],[1]Sheet1!$A:$AO,11,FALSE)</f>
        <v>45454</v>
      </c>
      <c r="L871" s="404"/>
      <c r="M871" s="402" t="str">
        <f>VLOOKUP(Table13[[#This Row],[Column1]],[1]Sheet1!$A:$AO,13,FALSE)</f>
        <v>N/A</v>
      </c>
      <c r="N871" s="402" t="str">
        <f>VLOOKUP(Table13[[#This Row],[Column1]],[1]Sheet1!$A:$AO,14,FALSE)</f>
        <v>N/A</v>
      </c>
      <c r="O871" s="402">
        <f>VLOOKUP(Table13[[#This Row],[Column1]],[1]Sheet1!$A:$AO,15,FALSE)</f>
        <v>45464</v>
      </c>
      <c r="P871" s="375"/>
      <c r="Q871" s="375"/>
      <c r="R871" s="376"/>
      <c r="S871" s="583" t="str">
        <f>VLOOKUP(Table13[[#This Row],[Column1]],[1]Sheet1!$A:$AO,19,FALSE)</f>
        <v>N/A</v>
      </c>
      <c r="T871" s="583"/>
      <c r="U871" s="583"/>
      <c r="V871" s="376"/>
      <c r="W871" s="376"/>
      <c r="X871" s="402"/>
      <c r="Y871" s="402"/>
      <c r="Z871" s="610" t="s">
        <v>1478</v>
      </c>
      <c r="AA871" s="532">
        <f>IF(Table13[[#This Row],[Column2]]="","",SUM(Table13[[#This Row],[Column28]]+Table13[[#This Row],[Column29]]))</f>
        <v>48620</v>
      </c>
      <c r="AB871" s="537">
        <v>48620</v>
      </c>
      <c r="AC871" s="502"/>
      <c r="AD871" s="532">
        <f>IF(Table13[[#This Row],[Column2]]="","",SUM(Table13[[#This Row],[Column31]]+Table13[[#This Row],[Column32]]))</f>
        <v>24540</v>
      </c>
      <c r="AE871" s="501">
        <v>24540</v>
      </c>
      <c r="AF871" s="540"/>
      <c r="AG871" s="405"/>
      <c r="AH871" s="380" t="s">
        <v>1205</v>
      </c>
      <c r="AI871" s="576" t="str">
        <f>VLOOKUP(Table13[[#This Row],[Column1]],[1]Sheet1!$A:$AO,35,FALSE)</f>
        <v>N/A</v>
      </c>
      <c r="AJ871" s="576" t="str">
        <f>VLOOKUP(Table13[[#This Row],[Column1]],[1]Sheet1!$A:$AO,36,FALSE)</f>
        <v>N/A</v>
      </c>
      <c r="AK871" s="576" t="str">
        <f>VLOOKUP(Table13[[#This Row],[Column1]],[1]Sheet1!$A:$AO,37,FALSE)</f>
        <v>N/A</v>
      </c>
      <c r="AL871" s="576" t="str">
        <f>VLOOKUP(Table13[[#This Row],[Column1]],[1]Sheet1!$A:$AO,38,FALSE)</f>
        <v>N/A</v>
      </c>
      <c r="AM871" s="576" t="str">
        <f>VLOOKUP(Table13[[#This Row],[Column1]],[1]Sheet1!$A:$AO,39,FALSE)</f>
        <v>N/A</v>
      </c>
      <c r="AN871" s="576" t="s">
        <v>713</v>
      </c>
      <c r="AO871" s="303" t="s">
        <v>1044</v>
      </c>
      <c r="AP871" s="378"/>
      <c r="AQ871" s="237"/>
    </row>
    <row r="872" spans="1:43" s="238" customFormat="1" ht="75" customHeight="1" x14ac:dyDescent="0.25">
      <c r="A872" s="556" t="s">
        <v>1093</v>
      </c>
      <c r="B872" s="627" t="str">
        <f>VLOOKUP(Table13[[#This Row],[Column1]],[1]Sheet1!$A:$AO,2,FALSE)</f>
        <v>TONER FOR MP 2555SP-
GESTETNER</v>
      </c>
      <c r="C872" s="298" t="str">
        <f>VLOOKUP(Table13[[#This Row],[Column1]],[1]Sheet1!$A:$AO,3,FALSE)</f>
        <v>SEF</v>
      </c>
      <c r="D872" s="298" t="s">
        <v>712</v>
      </c>
      <c r="E872" s="450" t="str">
        <f>VLOOKUP(Table13[[#This Row],[Column1]],[1]Sheet1!$A:$AO,5,FALSE)</f>
        <v>Direct Contracting</v>
      </c>
      <c r="F872" s="446">
        <f>VLOOKUP(Table13[[#This Row],[Column1]],[1]Sheet1!$A:$AO,6,FALSE)</f>
        <v>45440</v>
      </c>
      <c r="G872" s="402">
        <f>VLOOKUP(Table13[[#This Row],[Column1]],[1]Sheet1!$A:$AO,7,FALSE)</f>
        <v>45442</v>
      </c>
      <c r="H872" s="374"/>
      <c r="I872" s="402" t="str">
        <f>VLOOKUP(Table13[[#This Row],[Column1]],[1]Sheet1!$A:$AO,9,FALSE)</f>
        <v>N/A</v>
      </c>
      <c r="J872" s="402">
        <f>VLOOKUP(Table13[[#This Row],[Column1]],[1]Sheet1!$A:$AO,10,FALSE)</f>
        <v>45454</v>
      </c>
      <c r="K872" s="402">
        <f>VLOOKUP(Table13[[#This Row],[Column1]],[1]Sheet1!$A:$AO,11,FALSE)</f>
        <v>45454</v>
      </c>
      <c r="L872" s="404"/>
      <c r="M872" s="402" t="str">
        <f>VLOOKUP(Table13[[#This Row],[Column1]],[1]Sheet1!$A:$AO,13,FALSE)</f>
        <v>N/A</v>
      </c>
      <c r="N872" s="402" t="str">
        <f>VLOOKUP(Table13[[#This Row],[Column1]],[1]Sheet1!$A:$AO,14,FALSE)</f>
        <v>N/A</v>
      </c>
      <c r="O872" s="402">
        <f>VLOOKUP(Table13[[#This Row],[Column1]],[1]Sheet1!$A:$AO,15,FALSE)</f>
        <v>45464</v>
      </c>
      <c r="P872" s="375"/>
      <c r="Q872" s="375"/>
      <c r="R872" s="376"/>
      <c r="S872" s="583" t="str">
        <f>VLOOKUP(Table13[[#This Row],[Column1]],[1]Sheet1!$A:$AO,19,FALSE)</f>
        <v>N/A</v>
      </c>
      <c r="T872" s="583"/>
      <c r="U872" s="583"/>
      <c r="V872" s="376"/>
      <c r="W872" s="376"/>
      <c r="X872" s="402"/>
      <c r="Y872" s="402"/>
      <c r="Z872" s="610" t="s">
        <v>1478</v>
      </c>
      <c r="AA872" s="532">
        <f>IF(Table13[[#This Row],[Column2]]="","",SUM(Table13[[#This Row],[Column28]]+Table13[[#This Row],[Column29]]))</f>
        <v>6023</v>
      </c>
      <c r="AB872" s="537">
        <v>6023</v>
      </c>
      <c r="AC872" s="502"/>
      <c r="AD872" s="532">
        <f>IF(Table13[[#This Row],[Column2]]="","",SUM(Table13[[#This Row],[Column31]]+Table13[[#This Row],[Column32]]))</f>
        <v>6023</v>
      </c>
      <c r="AE872" s="501">
        <v>6023</v>
      </c>
      <c r="AF872" s="540"/>
      <c r="AG872" s="405"/>
      <c r="AH872" s="380" t="s">
        <v>1205</v>
      </c>
      <c r="AI872" s="576" t="str">
        <f>VLOOKUP(Table13[[#This Row],[Column1]],[1]Sheet1!$A:$AO,35,FALSE)</f>
        <v>N/A</v>
      </c>
      <c r="AJ872" s="576" t="str">
        <f>VLOOKUP(Table13[[#This Row],[Column1]],[1]Sheet1!$A:$AO,36,FALSE)</f>
        <v>N/A</v>
      </c>
      <c r="AK872" s="576" t="str">
        <f>VLOOKUP(Table13[[#This Row],[Column1]],[1]Sheet1!$A:$AO,37,FALSE)</f>
        <v>N/A</v>
      </c>
      <c r="AL872" s="576" t="str">
        <f>VLOOKUP(Table13[[#This Row],[Column1]],[1]Sheet1!$A:$AO,38,FALSE)</f>
        <v>N/A</v>
      </c>
      <c r="AM872" s="576" t="str">
        <f>VLOOKUP(Table13[[#This Row],[Column1]],[1]Sheet1!$A:$AO,39,FALSE)</f>
        <v>N/A</v>
      </c>
      <c r="AN872" s="576" t="s">
        <v>713</v>
      </c>
      <c r="AO872" s="303" t="s">
        <v>1044</v>
      </c>
      <c r="AP872" s="378"/>
      <c r="AQ872" s="237"/>
    </row>
    <row r="873" spans="1:43" s="238" customFormat="1" ht="75" customHeight="1" x14ac:dyDescent="0.25">
      <c r="A873" s="556" t="s">
        <v>1094</v>
      </c>
      <c r="B873" s="627" t="str">
        <f>VLOOKUP(Table13[[#This Row],[Column1]],[1]Sheet1!$A:$AO,2,FALSE)</f>
        <v>SPAREPARTS (LIGHT
VEHICLES)</v>
      </c>
      <c r="C873" s="298" t="str">
        <f>VLOOKUP(Table13[[#This Row],[Column1]],[1]Sheet1!$A:$AO,3,FALSE)</f>
        <v>PGSO</v>
      </c>
      <c r="D873" s="298" t="s">
        <v>712</v>
      </c>
      <c r="E873" s="450" t="str">
        <f>VLOOKUP(Table13[[#This Row],[Column1]],[1]Sheet1!$A:$AO,5,FALSE)</f>
        <v>Shopping 52.1(a) - Unforeseen Contingency</v>
      </c>
      <c r="F873" s="446" t="str">
        <f>VLOOKUP(Table13[[#This Row],[Column1]],[1]Sheet1!$A:$AO,6,FALSE)</f>
        <v>N/A</v>
      </c>
      <c r="G873" s="402">
        <f>VLOOKUP(Table13[[#This Row],[Column1]],[1]Sheet1!$A:$AO,7,FALSE)</f>
        <v>45442</v>
      </c>
      <c r="H873" s="374"/>
      <c r="I873" s="402" t="str">
        <f>VLOOKUP(Table13[[#This Row],[Column1]],[1]Sheet1!$A:$AO,9,FALSE)</f>
        <v>N/A</v>
      </c>
      <c r="J873" s="402">
        <f>VLOOKUP(Table13[[#This Row],[Column1]],[1]Sheet1!$A:$AO,10,FALSE)</f>
        <v>45454</v>
      </c>
      <c r="K873" s="402">
        <f>VLOOKUP(Table13[[#This Row],[Column1]],[1]Sheet1!$A:$AO,11,FALSE)</f>
        <v>45454</v>
      </c>
      <c r="L873" s="404"/>
      <c r="M873" s="402" t="str">
        <f>VLOOKUP(Table13[[#This Row],[Column1]],[1]Sheet1!$A:$AO,13,FALSE)</f>
        <v>N/A</v>
      </c>
      <c r="N873" s="402" t="str">
        <f>VLOOKUP(Table13[[#This Row],[Column1]],[1]Sheet1!$A:$AO,14,FALSE)</f>
        <v>N/A</v>
      </c>
      <c r="O873" s="402">
        <f>VLOOKUP(Table13[[#This Row],[Column1]],[1]Sheet1!$A:$AO,15,FALSE)</f>
        <v>45464</v>
      </c>
      <c r="P873" s="375"/>
      <c r="Q873" s="375"/>
      <c r="R873" s="376"/>
      <c r="S873" s="583" t="str">
        <f>VLOOKUP(Table13[[#This Row],[Column1]],[1]Sheet1!$A:$AO,19,FALSE)</f>
        <v>N/A</v>
      </c>
      <c r="T873" s="583"/>
      <c r="U873" s="583"/>
      <c r="V873" s="376"/>
      <c r="W873" s="376"/>
      <c r="X873" s="402"/>
      <c r="Y873" s="402"/>
      <c r="Z873" s="610" t="s">
        <v>1478</v>
      </c>
      <c r="AA873" s="532">
        <f>IF(Table13[[#This Row],[Column2]]="","",SUM(Table13[[#This Row],[Column28]]+Table13[[#This Row],[Column29]]))</f>
        <v>69300</v>
      </c>
      <c r="AB873" s="537">
        <v>69300</v>
      </c>
      <c r="AC873" s="502"/>
      <c r="AD873" s="532">
        <f>IF(Table13[[#This Row],[Column2]]="","",SUM(Table13[[#This Row],[Column31]]+Table13[[#This Row],[Column32]]))</f>
        <v>69300</v>
      </c>
      <c r="AE873" s="501">
        <v>69300</v>
      </c>
      <c r="AF873" s="540"/>
      <c r="AG873" s="405"/>
      <c r="AH873" s="380" t="s">
        <v>1205</v>
      </c>
      <c r="AI873" s="576" t="str">
        <f>VLOOKUP(Table13[[#This Row],[Column1]],[1]Sheet1!$A:$AO,35,FALSE)</f>
        <v>N/A</v>
      </c>
      <c r="AJ873" s="576" t="str">
        <f>VLOOKUP(Table13[[#This Row],[Column1]],[1]Sheet1!$A:$AO,36,FALSE)</f>
        <v>N/A</v>
      </c>
      <c r="AK873" s="576" t="str">
        <f>VLOOKUP(Table13[[#This Row],[Column1]],[1]Sheet1!$A:$AO,37,FALSE)</f>
        <v>N/A</v>
      </c>
      <c r="AL873" s="576" t="str">
        <f>VLOOKUP(Table13[[#This Row],[Column1]],[1]Sheet1!$A:$AO,38,FALSE)</f>
        <v>N/A</v>
      </c>
      <c r="AM873" s="576" t="str">
        <f>VLOOKUP(Table13[[#This Row],[Column1]],[1]Sheet1!$A:$AO,39,FALSE)</f>
        <v>N/A</v>
      </c>
      <c r="AN873" s="576" t="s">
        <v>713</v>
      </c>
      <c r="AO873" s="303" t="s">
        <v>1044</v>
      </c>
      <c r="AP873" s="378"/>
      <c r="AQ873" s="237"/>
    </row>
    <row r="874" spans="1:43" s="238" customFormat="1" ht="75" customHeight="1" x14ac:dyDescent="0.25">
      <c r="A874" s="556" t="s">
        <v>1095</v>
      </c>
      <c r="B874" s="627" t="str">
        <f>VLOOKUP(Table13[[#This Row],[Column1]],[1]Sheet1!$A:$AO,2,FALSE)</f>
        <v>SPAREPARTS (LIGHT
VEHICLES)</v>
      </c>
      <c r="C874" s="298" t="str">
        <f>VLOOKUP(Table13[[#This Row],[Column1]],[1]Sheet1!$A:$AO,3,FALSE)</f>
        <v>PGSO</v>
      </c>
      <c r="D874" s="298" t="s">
        <v>712</v>
      </c>
      <c r="E874" s="450" t="str">
        <f>VLOOKUP(Table13[[#This Row],[Column1]],[1]Sheet1!$A:$AO,5,FALSE)</f>
        <v>Shopping 52.1(a) - Unforeseen Contingency</v>
      </c>
      <c r="F874" s="446" t="str">
        <f>VLOOKUP(Table13[[#This Row],[Column1]],[1]Sheet1!$A:$AO,6,FALSE)</f>
        <v>N/A</v>
      </c>
      <c r="G874" s="402">
        <f>VLOOKUP(Table13[[#This Row],[Column1]],[1]Sheet1!$A:$AO,7,FALSE)</f>
        <v>45442</v>
      </c>
      <c r="H874" s="374"/>
      <c r="I874" s="402" t="str">
        <f>VLOOKUP(Table13[[#This Row],[Column1]],[1]Sheet1!$A:$AO,9,FALSE)</f>
        <v>N/A</v>
      </c>
      <c r="J874" s="402">
        <f>VLOOKUP(Table13[[#This Row],[Column1]],[1]Sheet1!$A:$AO,10,FALSE)</f>
        <v>45454</v>
      </c>
      <c r="K874" s="402">
        <f>VLOOKUP(Table13[[#This Row],[Column1]],[1]Sheet1!$A:$AO,11,FALSE)</f>
        <v>45454</v>
      </c>
      <c r="L874" s="404"/>
      <c r="M874" s="402" t="str">
        <f>VLOOKUP(Table13[[#This Row],[Column1]],[1]Sheet1!$A:$AO,13,FALSE)</f>
        <v>N/A</v>
      </c>
      <c r="N874" s="402" t="str">
        <f>VLOOKUP(Table13[[#This Row],[Column1]],[1]Sheet1!$A:$AO,14,FALSE)</f>
        <v>N/A</v>
      </c>
      <c r="O874" s="402">
        <f>VLOOKUP(Table13[[#This Row],[Column1]],[1]Sheet1!$A:$AO,15,FALSE)</f>
        <v>45464</v>
      </c>
      <c r="P874" s="375"/>
      <c r="Q874" s="375"/>
      <c r="R874" s="376"/>
      <c r="S874" s="583" t="str">
        <f>VLOOKUP(Table13[[#This Row],[Column1]],[1]Sheet1!$A:$AO,19,FALSE)</f>
        <v>N/A</v>
      </c>
      <c r="T874" s="583"/>
      <c r="U874" s="583"/>
      <c r="V874" s="376"/>
      <c r="W874" s="376"/>
      <c r="X874" s="402"/>
      <c r="Y874" s="402"/>
      <c r="Z874" s="610" t="s">
        <v>1478</v>
      </c>
      <c r="AA874" s="532">
        <f>IF(Table13[[#This Row],[Column2]]="","",SUM(Table13[[#This Row],[Column28]]+Table13[[#This Row],[Column29]]))</f>
        <v>36200</v>
      </c>
      <c r="AB874" s="537">
        <v>36200</v>
      </c>
      <c r="AC874" s="502"/>
      <c r="AD874" s="532">
        <f>IF(Table13[[#This Row],[Column2]]="","",SUM(Table13[[#This Row],[Column31]]+Table13[[#This Row],[Column32]]))</f>
        <v>36200</v>
      </c>
      <c r="AE874" s="501">
        <v>36200</v>
      </c>
      <c r="AF874" s="540"/>
      <c r="AG874" s="405"/>
      <c r="AH874" s="380" t="s">
        <v>1205</v>
      </c>
      <c r="AI874" s="576" t="str">
        <f>VLOOKUP(Table13[[#This Row],[Column1]],[1]Sheet1!$A:$AO,35,FALSE)</f>
        <v>N/A</v>
      </c>
      <c r="AJ874" s="576" t="str">
        <f>VLOOKUP(Table13[[#This Row],[Column1]],[1]Sheet1!$A:$AO,36,FALSE)</f>
        <v>N/A</v>
      </c>
      <c r="AK874" s="576" t="str">
        <f>VLOOKUP(Table13[[#This Row],[Column1]],[1]Sheet1!$A:$AO,37,FALSE)</f>
        <v>N/A</v>
      </c>
      <c r="AL874" s="576" t="str">
        <f>VLOOKUP(Table13[[#This Row],[Column1]],[1]Sheet1!$A:$AO,38,FALSE)</f>
        <v>N/A</v>
      </c>
      <c r="AM874" s="576" t="str">
        <f>VLOOKUP(Table13[[#This Row],[Column1]],[1]Sheet1!$A:$AO,39,FALSE)</f>
        <v>N/A</v>
      </c>
      <c r="AN874" s="576" t="s">
        <v>713</v>
      </c>
      <c r="AO874" s="303" t="s">
        <v>1044</v>
      </c>
      <c r="AP874" s="378"/>
      <c r="AQ874" s="237"/>
    </row>
    <row r="875" spans="1:43" s="238" customFormat="1" ht="75" customHeight="1" x14ac:dyDescent="0.25">
      <c r="A875" s="556" t="s">
        <v>1096</v>
      </c>
      <c r="B875" s="627" t="str">
        <f>VLOOKUP(Table13[[#This Row],[Column1]],[1]Sheet1!$A:$AO,2,FALSE)</f>
        <v>SPAREPARTS (MOTOR
CYCLE)</v>
      </c>
      <c r="C875" s="298" t="str">
        <f>VLOOKUP(Table13[[#This Row],[Column1]],[1]Sheet1!$A:$AO,3,FALSE)</f>
        <v>PGSO</v>
      </c>
      <c r="D875" s="298" t="s">
        <v>712</v>
      </c>
      <c r="E875" s="450" t="str">
        <f>VLOOKUP(Table13[[#This Row],[Column1]],[1]Sheet1!$A:$AO,5,FALSE)</f>
        <v>Shopping 52.1(a) - Unforeseen Contingency</v>
      </c>
      <c r="F875" s="446" t="str">
        <f>VLOOKUP(Table13[[#This Row],[Column1]],[1]Sheet1!$A:$AO,6,FALSE)</f>
        <v>N/A</v>
      </c>
      <c r="G875" s="402">
        <f>VLOOKUP(Table13[[#This Row],[Column1]],[1]Sheet1!$A:$AO,7,FALSE)</f>
        <v>45448</v>
      </c>
      <c r="H875" s="374"/>
      <c r="I875" s="402" t="str">
        <f>VLOOKUP(Table13[[#This Row],[Column1]],[1]Sheet1!$A:$AO,9,FALSE)</f>
        <v>N/A</v>
      </c>
      <c r="J875" s="402">
        <f>VLOOKUP(Table13[[#This Row],[Column1]],[1]Sheet1!$A:$AO,10,FALSE)</f>
        <v>45454</v>
      </c>
      <c r="K875" s="402">
        <f>VLOOKUP(Table13[[#This Row],[Column1]],[1]Sheet1!$A:$AO,11,FALSE)</f>
        <v>45454</v>
      </c>
      <c r="L875" s="404"/>
      <c r="M875" s="402" t="str">
        <f>VLOOKUP(Table13[[#This Row],[Column1]],[1]Sheet1!$A:$AO,13,FALSE)</f>
        <v>N/A</v>
      </c>
      <c r="N875" s="402" t="str">
        <f>VLOOKUP(Table13[[#This Row],[Column1]],[1]Sheet1!$A:$AO,14,FALSE)</f>
        <v>N/A</v>
      </c>
      <c r="O875" s="402">
        <f>VLOOKUP(Table13[[#This Row],[Column1]],[1]Sheet1!$A:$AO,15,FALSE)</f>
        <v>45464</v>
      </c>
      <c r="P875" s="375"/>
      <c r="Q875" s="375"/>
      <c r="R875" s="376"/>
      <c r="S875" s="583" t="str">
        <f>VLOOKUP(Table13[[#This Row],[Column1]],[1]Sheet1!$A:$AO,19,FALSE)</f>
        <v>N/A</v>
      </c>
      <c r="T875" s="583"/>
      <c r="U875" s="583"/>
      <c r="V875" s="376"/>
      <c r="W875" s="376"/>
      <c r="X875" s="402"/>
      <c r="Y875" s="402"/>
      <c r="Z875" s="610" t="s">
        <v>1478</v>
      </c>
      <c r="AA875" s="532">
        <f>IF(Table13[[#This Row],[Column2]]="","",SUM(Table13[[#This Row],[Column28]]+Table13[[#This Row],[Column29]]))</f>
        <v>3150</v>
      </c>
      <c r="AB875" s="537">
        <v>3150</v>
      </c>
      <c r="AC875" s="502"/>
      <c r="AD875" s="532">
        <f>IF(Table13[[#This Row],[Column2]]="","",SUM(Table13[[#This Row],[Column31]]+Table13[[#This Row],[Column32]]))</f>
        <v>3150</v>
      </c>
      <c r="AE875" s="501">
        <v>3150</v>
      </c>
      <c r="AF875" s="540"/>
      <c r="AG875" s="405"/>
      <c r="AH875" s="380" t="s">
        <v>1205</v>
      </c>
      <c r="AI875" s="576" t="str">
        <f>VLOOKUP(Table13[[#This Row],[Column1]],[1]Sheet1!$A:$AO,35,FALSE)</f>
        <v>N/A</v>
      </c>
      <c r="AJ875" s="576" t="str">
        <f>VLOOKUP(Table13[[#This Row],[Column1]],[1]Sheet1!$A:$AO,36,FALSE)</f>
        <v>N/A</v>
      </c>
      <c r="AK875" s="576" t="str">
        <f>VLOOKUP(Table13[[#This Row],[Column1]],[1]Sheet1!$A:$AO,37,FALSE)</f>
        <v>N/A</v>
      </c>
      <c r="AL875" s="576" t="str">
        <f>VLOOKUP(Table13[[#This Row],[Column1]],[1]Sheet1!$A:$AO,38,FALSE)</f>
        <v>N/A</v>
      </c>
      <c r="AM875" s="576" t="str">
        <f>VLOOKUP(Table13[[#This Row],[Column1]],[1]Sheet1!$A:$AO,39,FALSE)</f>
        <v>N/A</v>
      </c>
      <c r="AN875" s="576" t="s">
        <v>713</v>
      </c>
      <c r="AO875" s="303" t="s">
        <v>1044</v>
      </c>
      <c r="AP875" s="378"/>
      <c r="AQ875" s="237"/>
    </row>
    <row r="876" spans="1:43" s="238" customFormat="1" ht="75" customHeight="1" x14ac:dyDescent="0.25">
      <c r="A876" s="556" t="s">
        <v>1097</v>
      </c>
      <c r="B876" s="627" t="str">
        <f>VLOOKUP(Table13[[#This Row],[Column1]],[1]Sheet1!$A:$AO,2,FALSE)</f>
        <v>SPAREPARTS (LIGHT
VEHICLES)</v>
      </c>
      <c r="C876" s="298" t="str">
        <f>VLOOKUP(Table13[[#This Row],[Column1]],[1]Sheet1!$A:$AO,3,FALSE)</f>
        <v>PGSO</v>
      </c>
      <c r="D876" s="298" t="s">
        <v>712</v>
      </c>
      <c r="E876" s="450" t="str">
        <f>VLOOKUP(Table13[[#This Row],[Column1]],[1]Sheet1!$A:$AO,5,FALSE)</f>
        <v>Shopping 52.1(a) - Unforeseen Contingency</v>
      </c>
      <c r="F876" s="446" t="str">
        <f>VLOOKUP(Table13[[#This Row],[Column1]],[1]Sheet1!$A:$AO,6,FALSE)</f>
        <v>N/A</v>
      </c>
      <c r="G876" s="402">
        <f>VLOOKUP(Table13[[#This Row],[Column1]],[1]Sheet1!$A:$AO,7,FALSE)</f>
        <v>45448</v>
      </c>
      <c r="H876" s="374"/>
      <c r="I876" s="402" t="str">
        <f>VLOOKUP(Table13[[#This Row],[Column1]],[1]Sheet1!$A:$AO,9,FALSE)</f>
        <v>N/A</v>
      </c>
      <c r="J876" s="402">
        <f>VLOOKUP(Table13[[#This Row],[Column1]],[1]Sheet1!$A:$AO,10,FALSE)</f>
        <v>45454</v>
      </c>
      <c r="K876" s="402">
        <f>VLOOKUP(Table13[[#This Row],[Column1]],[1]Sheet1!$A:$AO,11,FALSE)</f>
        <v>45454</v>
      </c>
      <c r="L876" s="404"/>
      <c r="M876" s="402" t="str">
        <f>VLOOKUP(Table13[[#This Row],[Column1]],[1]Sheet1!$A:$AO,13,FALSE)</f>
        <v>N/A</v>
      </c>
      <c r="N876" s="402" t="str">
        <f>VLOOKUP(Table13[[#This Row],[Column1]],[1]Sheet1!$A:$AO,14,FALSE)</f>
        <v>N/A</v>
      </c>
      <c r="O876" s="402">
        <f>VLOOKUP(Table13[[#This Row],[Column1]],[1]Sheet1!$A:$AO,15,FALSE)</f>
        <v>45464</v>
      </c>
      <c r="P876" s="375"/>
      <c r="Q876" s="375"/>
      <c r="R876" s="376"/>
      <c r="S876" s="583" t="str">
        <f>VLOOKUP(Table13[[#This Row],[Column1]],[1]Sheet1!$A:$AO,19,FALSE)</f>
        <v>N/A</v>
      </c>
      <c r="T876" s="583"/>
      <c r="U876" s="583"/>
      <c r="V876" s="376"/>
      <c r="W876" s="376"/>
      <c r="X876" s="402"/>
      <c r="Y876" s="402"/>
      <c r="Z876" s="610" t="s">
        <v>1478</v>
      </c>
      <c r="AA876" s="532">
        <f>IF(Table13[[#This Row],[Column2]]="","",SUM(Table13[[#This Row],[Column28]]+Table13[[#This Row],[Column29]]))</f>
        <v>101250</v>
      </c>
      <c r="AB876" s="537">
        <v>101250</v>
      </c>
      <c r="AC876" s="502"/>
      <c r="AD876" s="532">
        <f>IF(Table13[[#This Row],[Column2]]="","",SUM(Table13[[#This Row],[Column31]]+Table13[[#This Row],[Column32]]))</f>
        <v>101250</v>
      </c>
      <c r="AE876" s="501">
        <v>101250</v>
      </c>
      <c r="AF876" s="540"/>
      <c r="AG876" s="405"/>
      <c r="AH876" s="380" t="s">
        <v>1205</v>
      </c>
      <c r="AI876" s="576" t="str">
        <f>VLOOKUP(Table13[[#This Row],[Column1]],[1]Sheet1!$A:$AO,35,FALSE)</f>
        <v>N/A</v>
      </c>
      <c r="AJ876" s="576" t="str">
        <f>VLOOKUP(Table13[[#This Row],[Column1]],[1]Sheet1!$A:$AO,36,FALSE)</f>
        <v>N/A</v>
      </c>
      <c r="AK876" s="576" t="str">
        <f>VLOOKUP(Table13[[#This Row],[Column1]],[1]Sheet1!$A:$AO,37,FALSE)</f>
        <v>N/A</v>
      </c>
      <c r="AL876" s="576" t="str">
        <f>VLOOKUP(Table13[[#This Row],[Column1]],[1]Sheet1!$A:$AO,38,FALSE)</f>
        <v>N/A</v>
      </c>
      <c r="AM876" s="576" t="str">
        <f>VLOOKUP(Table13[[#This Row],[Column1]],[1]Sheet1!$A:$AO,39,FALSE)</f>
        <v>N/A</v>
      </c>
      <c r="AN876" s="576" t="s">
        <v>713</v>
      </c>
      <c r="AO876" s="303" t="s">
        <v>1044</v>
      </c>
      <c r="AP876" s="378"/>
      <c r="AQ876" s="237"/>
    </row>
    <row r="877" spans="1:43" s="238" customFormat="1" ht="75" customHeight="1" x14ac:dyDescent="0.25">
      <c r="A877" s="556" t="s">
        <v>1098</v>
      </c>
      <c r="B877" s="627" t="str">
        <f>VLOOKUP(Table13[[#This Row],[Column1]],[1]Sheet1!$A:$AO,2,FALSE)</f>
        <v>SPAREPARTS (MOTOR
CYCLE)</v>
      </c>
      <c r="C877" s="298" t="str">
        <f>VLOOKUP(Table13[[#This Row],[Column1]],[1]Sheet1!$A:$AO,3,FALSE)</f>
        <v>PGSO</v>
      </c>
      <c r="D877" s="298" t="s">
        <v>712</v>
      </c>
      <c r="E877" s="450" t="str">
        <f>VLOOKUP(Table13[[#This Row],[Column1]],[1]Sheet1!$A:$AO,5,FALSE)</f>
        <v>Shopping 52.1(a) - Unforeseen Contingency</v>
      </c>
      <c r="F877" s="446" t="str">
        <f>VLOOKUP(Table13[[#This Row],[Column1]],[1]Sheet1!$A:$AO,6,FALSE)</f>
        <v>N/A</v>
      </c>
      <c r="G877" s="402">
        <f>VLOOKUP(Table13[[#This Row],[Column1]],[1]Sheet1!$A:$AO,7,FALSE)</f>
        <v>45448</v>
      </c>
      <c r="H877" s="374"/>
      <c r="I877" s="402" t="str">
        <f>VLOOKUP(Table13[[#This Row],[Column1]],[1]Sheet1!$A:$AO,9,FALSE)</f>
        <v>N/A</v>
      </c>
      <c r="J877" s="402">
        <f>VLOOKUP(Table13[[#This Row],[Column1]],[1]Sheet1!$A:$AO,10,FALSE)</f>
        <v>45454</v>
      </c>
      <c r="K877" s="402">
        <f>VLOOKUP(Table13[[#This Row],[Column1]],[1]Sheet1!$A:$AO,11,FALSE)</f>
        <v>45454</v>
      </c>
      <c r="L877" s="404"/>
      <c r="M877" s="402" t="str">
        <f>VLOOKUP(Table13[[#This Row],[Column1]],[1]Sheet1!$A:$AO,13,FALSE)</f>
        <v>N/A</v>
      </c>
      <c r="N877" s="402" t="str">
        <f>VLOOKUP(Table13[[#This Row],[Column1]],[1]Sheet1!$A:$AO,14,FALSE)</f>
        <v>N/A</v>
      </c>
      <c r="O877" s="402">
        <f>VLOOKUP(Table13[[#This Row],[Column1]],[1]Sheet1!$A:$AO,15,FALSE)</f>
        <v>45464</v>
      </c>
      <c r="P877" s="375"/>
      <c r="Q877" s="375"/>
      <c r="R877" s="376"/>
      <c r="S877" s="583" t="str">
        <f>VLOOKUP(Table13[[#This Row],[Column1]],[1]Sheet1!$A:$AO,19,FALSE)</f>
        <v>N/A</v>
      </c>
      <c r="T877" s="583"/>
      <c r="U877" s="583"/>
      <c r="V877" s="376"/>
      <c r="W877" s="376"/>
      <c r="X877" s="402"/>
      <c r="Y877" s="402"/>
      <c r="Z877" s="610" t="s">
        <v>1478</v>
      </c>
      <c r="AA877" s="532">
        <f>IF(Table13[[#This Row],[Column2]]="","",SUM(Table13[[#This Row],[Column28]]+Table13[[#This Row],[Column29]]))</f>
        <v>5850</v>
      </c>
      <c r="AB877" s="537">
        <v>5850</v>
      </c>
      <c r="AC877" s="502"/>
      <c r="AD877" s="532">
        <f>IF(Table13[[#This Row],[Column2]]="","",SUM(Table13[[#This Row],[Column31]]+Table13[[#This Row],[Column32]]))</f>
        <v>5850</v>
      </c>
      <c r="AE877" s="501">
        <v>5850</v>
      </c>
      <c r="AF877" s="540"/>
      <c r="AG877" s="405"/>
      <c r="AH877" s="380" t="s">
        <v>1205</v>
      </c>
      <c r="AI877" s="576" t="str">
        <f>VLOOKUP(Table13[[#This Row],[Column1]],[1]Sheet1!$A:$AO,35,FALSE)</f>
        <v>N/A</v>
      </c>
      <c r="AJ877" s="576" t="str">
        <f>VLOOKUP(Table13[[#This Row],[Column1]],[1]Sheet1!$A:$AO,36,FALSE)</f>
        <v>N/A</v>
      </c>
      <c r="AK877" s="576" t="str">
        <f>VLOOKUP(Table13[[#This Row],[Column1]],[1]Sheet1!$A:$AO,37,FALSE)</f>
        <v>N/A</v>
      </c>
      <c r="AL877" s="576" t="str">
        <f>VLOOKUP(Table13[[#This Row],[Column1]],[1]Sheet1!$A:$AO,38,FALSE)</f>
        <v>N/A</v>
      </c>
      <c r="AM877" s="576" t="str">
        <f>VLOOKUP(Table13[[#This Row],[Column1]],[1]Sheet1!$A:$AO,39,FALSE)</f>
        <v>N/A</v>
      </c>
      <c r="AN877" s="576" t="s">
        <v>713</v>
      </c>
      <c r="AO877" s="303" t="s">
        <v>1044</v>
      </c>
      <c r="AP877" s="378"/>
      <c r="AQ877" s="237"/>
    </row>
    <row r="878" spans="1:43" s="238" customFormat="1" ht="75" customHeight="1" x14ac:dyDescent="0.25">
      <c r="A878" s="556" t="s">
        <v>1099</v>
      </c>
      <c r="B878" s="627" t="str">
        <f>VLOOKUP(Table13[[#This Row],[Column1]],[1]Sheet1!$A:$AO,2,FALSE)</f>
        <v>SPAREPARTS (LIGHT
VEHICLES)</v>
      </c>
      <c r="C878" s="298" t="str">
        <f>VLOOKUP(Table13[[#This Row],[Column1]],[1]Sheet1!$A:$AO,3,FALSE)</f>
        <v>PGSO</v>
      </c>
      <c r="D878" s="298" t="s">
        <v>712</v>
      </c>
      <c r="E878" s="450" t="str">
        <f>VLOOKUP(Table13[[#This Row],[Column1]],[1]Sheet1!$A:$AO,5,FALSE)</f>
        <v>NP-53.9 - Small Value Procurement</v>
      </c>
      <c r="F878" s="446">
        <f>VLOOKUP(Table13[[#This Row],[Column1]],[1]Sheet1!$A:$AO,6,FALSE)</f>
        <v>45407</v>
      </c>
      <c r="G878" s="402">
        <f>VLOOKUP(Table13[[#This Row],[Column1]],[1]Sheet1!$A:$AO,7,FALSE)</f>
        <v>45412</v>
      </c>
      <c r="H878" s="374"/>
      <c r="I878" s="402" t="str">
        <f>VLOOKUP(Table13[[#This Row],[Column1]],[1]Sheet1!$A:$AO,9,FALSE)</f>
        <v>N/A</v>
      </c>
      <c r="J878" s="402">
        <f>VLOOKUP(Table13[[#This Row],[Column1]],[1]Sheet1!$A:$AO,10,FALSE)</f>
        <v>45454</v>
      </c>
      <c r="K878" s="402">
        <f>VLOOKUP(Table13[[#This Row],[Column1]],[1]Sheet1!$A:$AO,11,FALSE)</f>
        <v>45454</v>
      </c>
      <c r="L878" s="404"/>
      <c r="M878" s="402" t="str">
        <f>VLOOKUP(Table13[[#This Row],[Column1]],[1]Sheet1!$A:$AO,13,FALSE)</f>
        <v>N/A</v>
      </c>
      <c r="N878" s="402" t="str">
        <f>VLOOKUP(Table13[[#This Row],[Column1]],[1]Sheet1!$A:$AO,14,FALSE)</f>
        <v>N/A</v>
      </c>
      <c r="O878" s="402">
        <f>VLOOKUP(Table13[[#This Row],[Column1]],[1]Sheet1!$A:$AO,15,FALSE)</f>
        <v>45464</v>
      </c>
      <c r="P878" s="375"/>
      <c r="Q878" s="375"/>
      <c r="R878" s="376"/>
      <c r="S878" s="583" t="str">
        <f>VLOOKUP(Table13[[#This Row],[Column1]],[1]Sheet1!$A:$AO,19,FALSE)</f>
        <v>N/A</v>
      </c>
      <c r="T878" s="583"/>
      <c r="U878" s="583"/>
      <c r="V878" s="376"/>
      <c r="W878" s="376"/>
      <c r="X878" s="402"/>
      <c r="Y878" s="402"/>
      <c r="Z878" s="610" t="s">
        <v>1478</v>
      </c>
      <c r="AA878" s="532">
        <f>IF(Table13[[#This Row],[Column2]]="","",SUM(Table13[[#This Row],[Column28]]+Table13[[#This Row],[Column29]]))</f>
        <v>1100</v>
      </c>
      <c r="AB878" s="537">
        <v>1100</v>
      </c>
      <c r="AC878" s="502"/>
      <c r="AD878" s="532">
        <f>IF(Table13[[#This Row],[Column2]]="","",SUM(Table13[[#This Row],[Column31]]+Table13[[#This Row],[Column32]]))</f>
        <v>1100</v>
      </c>
      <c r="AE878" s="501">
        <v>1100</v>
      </c>
      <c r="AF878" s="540"/>
      <c r="AG878" s="405"/>
      <c r="AH878" s="380" t="s">
        <v>1205</v>
      </c>
      <c r="AI878" s="576" t="str">
        <f>VLOOKUP(Table13[[#This Row],[Column1]],[1]Sheet1!$A:$AO,35,FALSE)</f>
        <v>N/A</v>
      </c>
      <c r="AJ878" s="576" t="str">
        <f>VLOOKUP(Table13[[#This Row],[Column1]],[1]Sheet1!$A:$AO,36,FALSE)</f>
        <v>N/A</v>
      </c>
      <c r="AK878" s="576" t="str">
        <f>VLOOKUP(Table13[[#This Row],[Column1]],[1]Sheet1!$A:$AO,37,FALSE)</f>
        <v>N/A</v>
      </c>
      <c r="AL878" s="576" t="str">
        <f>VLOOKUP(Table13[[#This Row],[Column1]],[1]Sheet1!$A:$AO,38,FALSE)</f>
        <v>N/A</v>
      </c>
      <c r="AM878" s="576" t="str">
        <f>VLOOKUP(Table13[[#This Row],[Column1]],[1]Sheet1!$A:$AO,39,FALSE)</f>
        <v>N/A</v>
      </c>
      <c r="AN878" s="576" t="s">
        <v>713</v>
      </c>
      <c r="AO878" s="303" t="s">
        <v>1044</v>
      </c>
      <c r="AP878" s="378"/>
      <c r="AQ878" s="237"/>
    </row>
    <row r="879" spans="1:43" s="238" customFormat="1" ht="75" customHeight="1" x14ac:dyDescent="0.25">
      <c r="A879" s="556" t="s">
        <v>1100</v>
      </c>
      <c r="B879" s="627" t="str">
        <f>VLOOKUP(Table13[[#This Row],[Column1]],[1]Sheet1!$A:$AO,2,FALSE)</f>
        <v>CONSTRUCTION MATERIALS</v>
      </c>
      <c r="C879" s="298" t="str">
        <f>VLOOKUP(Table13[[#This Row],[Column1]],[1]Sheet1!$A:$AO,3,FALSE)</f>
        <v>PEO</v>
      </c>
      <c r="D879" s="298" t="s">
        <v>712</v>
      </c>
      <c r="E879" s="450" t="str">
        <f>VLOOKUP(Table13[[#This Row],[Column1]],[1]Sheet1!$A:$AO,5,FALSE)</f>
        <v>NP-53.9 - Small Value Procurement</v>
      </c>
      <c r="F879" s="446" t="str">
        <f>VLOOKUP(Table13[[#This Row],[Column1]],[1]Sheet1!$A:$AO,6,FALSE)</f>
        <v>N/A</v>
      </c>
      <c r="G879" s="402">
        <f>VLOOKUP(Table13[[#This Row],[Column1]],[1]Sheet1!$A:$AO,7,FALSE)</f>
        <v>45429</v>
      </c>
      <c r="H879" s="374"/>
      <c r="I879" s="402" t="str">
        <f>VLOOKUP(Table13[[#This Row],[Column1]],[1]Sheet1!$A:$AO,9,FALSE)</f>
        <v>N/A</v>
      </c>
      <c r="J879" s="402">
        <f>VLOOKUP(Table13[[#This Row],[Column1]],[1]Sheet1!$A:$AO,10,FALSE)</f>
        <v>45454</v>
      </c>
      <c r="K879" s="402">
        <f>VLOOKUP(Table13[[#This Row],[Column1]],[1]Sheet1!$A:$AO,11,FALSE)</f>
        <v>45454</v>
      </c>
      <c r="L879" s="404"/>
      <c r="M879" s="402" t="str">
        <f>VLOOKUP(Table13[[#This Row],[Column1]],[1]Sheet1!$A:$AO,13,FALSE)</f>
        <v>N/A</v>
      </c>
      <c r="N879" s="402" t="str">
        <f>VLOOKUP(Table13[[#This Row],[Column1]],[1]Sheet1!$A:$AO,14,FALSE)</f>
        <v>N/A</v>
      </c>
      <c r="O879" s="402">
        <f>VLOOKUP(Table13[[#This Row],[Column1]],[1]Sheet1!$A:$AO,15,FALSE)</f>
        <v>45464</v>
      </c>
      <c r="P879" s="375"/>
      <c r="Q879" s="375"/>
      <c r="R879" s="376"/>
      <c r="S879" s="583">
        <f>VLOOKUP(Table13[[#This Row],[Column1]],[1]Sheet1!$A:$AO,19,FALSE)</f>
        <v>45467</v>
      </c>
      <c r="T879" s="583"/>
      <c r="U879" s="583"/>
      <c r="V879" s="376"/>
      <c r="W879" s="376"/>
      <c r="X879" s="402"/>
      <c r="Y879" s="402"/>
      <c r="Z879" s="610" t="s">
        <v>1478</v>
      </c>
      <c r="AA879" s="532">
        <f>IF(Table13[[#This Row],[Column2]]="","",SUM(Table13[[#This Row],[Column28]]+Table13[[#This Row],[Column29]]))</f>
        <v>434704.27</v>
      </c>
      <c r="AB879" s="537"/>
      <c r="AC879" s="502">
        <v>434704.27</v>
      </c>
      <c r="AD879" s="532">
        <f>IF(Table13[[#This Row],[Column2]]="","",SUM(Table13[[#This Row],[Column31]]+Table13[[#This Row],[Column32]]))</f>
        <v>432438</v>
      </c>
      <c r="AE879" s="501"/>
      <c r="AF879" s="540">
        <v>432438</v>
      </c>
      <c r="AG879" s="405"/>
      <c r="AH879" s="380" t="s">
        <v>1205</v>
      </c>
      <c r="AI879" s="576" t="str">
        <f>VLOOKUP(Table13[[#This Row],[Column1]],[1]Sheet1!$A:$AO,35,FALSE)</f>
        <v>N/A</v>
      </c>
      <c r="AJ879" s="576" t="str">
        <f>VLOOKUP(Table13[[#This Row],[Column1]],[1]Sheet1!$A:$AO,36,FALSE)</f>
        <v>N/A</v>
      </c>
      <c r="AK879" s="576" t="str">
        <f>VLOOKUP(Table13[[#This Row],[Column1]],[1]Sheet1!$A:$AO,37,FALSE)</f>
        <v>N/A</v>
      </c>
      <c r="AL879" s="576" t="str">
        <f>VLOOKUP(Table13[[#This Row],[Column1]],[1]Sheet1!$A:$AO,38,FALSE)</f>
        <v>N/A</v>
      </c>
      <c r="AM879" s="576" t="str">
        <f>VLOOKUP(Table13[[#This Row],[Column1]],[1]Sheet1!$A:$AO,39,FALSE)</f>
        <v>N/A</v>
      </c>
      <c r="AN879" s="576" t="s">
        <v>713</v>
      </c>
      <c r="AO879" s="303" t="s">
        <v>1044</v>
      </c>
      <c r="AP879" s="378"/>
      <c r="AQ879" s="237"/>
    </row>
    <row r="880" spans="1:43" s="238" customFormat="1" ht="75" customHeight="1" x14ac:dyDescent="0.25">
      <c r="A880" s="556" t="s">
        <v>1101</v>
      </c>
      <c r="B880" s="627" t="str">
        <f>VLOOKUP(Table13[[#This Row],[Column1]],[1]Sheet1!$A:$AO,2,FALSE)</f>
        <v>CONSTRUCTION MATERIALS</v>
      </c>
      <c r="C880" s="298" t="str">
        <f>VLOOKUP(Table13[[#This Row],[Column1]],[1]Sheet1!$A:$AO,3,FALSE)</f>
        <v>PEO</v>
      </c>
      <c r="D880" s="298" t="s">
        <v>712</v>
      </c>
      <c r="E880" s="450" t="str">
        <f>VLOOKUP(Table13[[#This Row],[Column1]],[1]Sheet1!$A:$AO,5,FALSE)</f>
        <v>NP-53.9 - Small Value Procurement</v>
      </c>
      <c r="F880" s="446" t="str">
        <f>VLOOKUP(Table13[[#This Row],[Column1]],[1]Sheet1!$A:$AO,6,FALSE)</f>
        <v>N/A</v>
      </c>
      <c r="G880" s="402">
        <f>VLOOKUP(Table13[[#This Row],[Column1]],[1]Sheet1!$A:$AO,7,FALSE)</f>
        <v>45434</v>
      </c>
      <c r="H880" s="374"/>
      <c r="I880" s="402" t="str">
        <f>VLOOKUP(Table13[[#This Row],[Column1]],[1]Sheet1!$A:$AO,9,FALSE)</f>
        <v>N/A</v>
      </c>
      <c r="J880" s="402">
        <f>VLOOKUP(Table13[[#This Row],[Column1]],[1]Sheet1!$A:$AO,10,FALSE)</f>
        <v>45454</v>
      </c>
      <c r="K880" s="402">
        <f>VLOOKUP(Table13[[#This Row],[Column1]],[1]Sheet1!$A:$AO,11,FALSE)</f>
        <v>45454</v>
      </c>
      <c r="L880" s="404"/>
      <c r="M880" s="402" t="str">
        <f>VLOOKUP(Table13[[#This Row],[Column1]],[1]Sheet1!$A:$AO,13,FALSE)</f>
        <v>N/A</v>
      </c>
      <c r="N880" s="402" t="str">
        <f>VLOOKUP(Table13[[#This Row],[Column1]],[1]Sheet1!$A:$AO,14,FALSE)</f>
        <v>N/A</v>
      </c>
      <c r="O880" s="402">
        <f>VLOOKUP(Table13[[#This Row],[Column1]],[1]Sheet1!$A:$AO,15,FALSE)</f>
        <v>45464</v>
      </c>
      <c r="P880" s="375"/>
      <c r="Q880" s="375"/>
      <c r="R880" s="376"/>
      <c r="S880" s="583">
        <f>VLOOKUP(Table13[[#This Row],[Column1]],[1]Sheet1!$A:$AO,19,FALSE)</f>
        <v>45464</v>
      </c>
      <c r="T880" s="583"/>
      <c r="U880" s="583"/>
      <c r="V880" s="376"/>
      <c r="W880" s="376"/>
      <c r="X880" s="402"/>
      <c r="Y880" s="402"/>
      <c r="Z880" s="610" t="s">
        <v>1478</v>
      </c>
      <c r="AA880" s="532">
        <f>IF(Table13[[#This Row],[Column2]]="","",SUM(Table13[[#This Row],[Column28]]+Table13[[#This Row],[Column29]]))</f>
        <v>716536.59</v>
      </c>
      <c r="AB880" s="537"/>
      <c r="AC880" s="502">
        <v>716536.59</v>
      </c>
      <c r="AD880" s="532">
        <f>IF(Table13[[#This Row],[Column2]]="","",SUM(Table13[[#This Row],[Column31]]+Table13[[#This Row],[Column32]]))</f>
        <v>714454</v>
      </c>
      <c r="AE880" s="501"/>
      <c r="AF880" s="540">
        <v>714454</v>
      </c>
      <c r="AG880" s="405"/>
      <c r="AH880" s="380" t="s">
        <v>1205</v>
      </c>
      <c r="AI880" s="576" t="str">
        <f>VLOOKUP(Table13[[#This Row],[Column1]],[1]Sheet1!$A:$AO,35,FALSE)</f>
        <v>N/A</v>
      </c>
      <c r="AJ880" s="576" t="str">
        <f>VLOOKUP(Table13[[#This Row],[Column1]],[1]Sheet1!$A:$AO,36,FALSE)</f>
        <v>N/A</v>
      </c>
      <c r="AK880" s="576" t="str">
        <f>VLOOKUP(Table13[[#This Row],[Column1]],[1]Sheet1!$A:$AO,37,FALSE)</f>
        <v>N/A</v>
      </c>
      <c r="AL880" s="576" t="str">
        <f>VLOOKUP(Table13[[#This Row],[Column1]],[1]Sheet1!$A:$AO,38,FALSE)</f>
        <v>N/A</v>
      </c>
      <c r="AM880" s="576" t="str">
        <f>VLOOKUP(Table13[[#This Row],[Column1]],[1]Sheet1!$A:$AO,39,FALSE)</f>
        <v>N/A</v>
      </c>
      <c r="AN880" s="576" t="s">
        <v>713</v>
      </c>
      <c r="AO880" s="303" t="s">
        <v>1044</v>
      </c>
      <c r="AP880" s="378"/>
      <c r="AQ880" s="237"/>
    </row>
    <row r="881" spans="1:43" s="238" customFormat="1" ht="75" customHeight="1" x14ac:dyDescent="0.25">
      <c r="A881" s="556" t="s">
        <v>1102</v>
      </c>
      <c r="B881" s="627" t="str">
        <f>VLOOKUP(Table13[[#This Row],[Column1]],[1]Sheet1!$A:$AO,2,FALSE)</f>
        <v>CONSTRUCTION MATERIALS</v>
      </c>
      <c r="C881" s="298" t="str">
        <f>VLOOKUP(Table13[[#This Row],[Column1]],[1]Sheet1!$A:$AO,3,FALSE)</f>
        <v>PEO</v>
      </c>
      <c r="D881" s="298" t="s">
        <v>712</v>
      </c>
      <c r="E881" s="450" t="str">
        <f>VLOOKUP(Table13[[#This Row],[Column1]],[1]Sheet1!$A:$AO,5,FALSE)</f>
        <v>NP-53.9 - Small Value Procurement</v>
      </c>
      <c r="F881" s="446" t="str">
        <f>VLOOKUP(Table13[[#This Row],[Column1]],[1]Sheet1!$A:$AO,6,FALSE)</f>
        <v>N/A</v>
      </c>
      <c r="G881" s="402">
        <f>VLOOKUP(Table13[[#This Row],[Column1]],[1]Sheet1!$A:$AO,7,FALSE)</f>
        <v>45434</v>
      </c>
      <c r="H881" s="374"/>
      <c r="I881" s="402" t="str">
        <f>VLOOKUP(Table13[[#This Row],[Column1]],[1]Sheet1!$A:$AO,9,FALSE)</f>
        <v>N/A</v>
      </c>
      <c r="J881" s="402">
        <f>VLOOKUP(Table13[[#This Row],[Column1]],[1]Sheet1!$A:$AO,10,FALSE)</f>
        <v>45454</v>
      </c>
      <c r="K881" s="402">
        <f>VLOOKUP(Table13[[#This Row],[Column1]],[1]Sheet1!$A:$AO,11,FALSE)</f>
        <v>45454</v>
      </c>
      <c r="L881" s="404"/>
      <c r="M881" s="402" t="str">
        <f>VLOOKUP(Table13[[#This Row],[Column1]],[1]Sheet1!$A:$AO,13,FALSE)</f>
        <v>N/A</v>
      </c>
      <c r="N881" s="402" t="str">
        <f>VLOOKUP(Table13[[#This Row],[Column1]],[1]Sheet1!$A:$AO,14,FALSE)</f>
        <v>N/A</v>
      </c>
      <c r="O881" s="402">
        <f>VLOOKUP(Table13[[#This Row],[Column1]],[1]Sheet1!$A:$AO,15,FALSE)</f>
        <v>45464</v>
      </c>
      <c r="P881" s="375"/>
      <c r="Q881" s="375"/>
      <c r="R881" s="376"/>
      <c r="S881" s="583">
        <f>VLOOKUP(Table13[[#This Row],[Column1]],[1]Sheet1!$A:$AO,19,FALSE)</f>
        <v>45464</v>
      </c>
      <c r="T881" s="583"/>
      <c r="U881" s="583"/>
      <c r="V881" s="376"/>
      <c r="W881" s="376"/>
      <c r="X881" s="402"/>
      <c r="Y881" s="402"/>
      <c r="Z881" s="610" t="s">
        <v>1478</v>
      </c>
      <c r="AA881" s="532">
        <f>IF(Table13[[#This Row],[Column2]]="","",SUM(Table13[[#This Row],[Column28]]+Table13[[#This Row],[Column29]]))</f>
        <v>399962</v>
      </c>
      <c r="AB881" s="537"/>
      <c r="AC881" s="502">
        <v>399962</v>
      </c>
      <c r="AD881" s="532">
        <f>IF(Table13[[#This Row],[Column2]]="","",SUM(Table13[[#This Row],[Column31]]+Table13[[#This Row],[Column32]]))</f>
        <v>391957</v>
      </c>
      <c r="AE881" s="501"/>
      <c r="AF881" s="540">
        <v>391957</v>
      </c>
      <c r="AG881" s="405"/>
      <c r="AH881" s="380" t="s">
        <v>1205</v>
      </c>
      <c r="AI881" s="576" t="str">
        <f>VLOOKUP(Table13[[#This Row],[Column1]],[1]Sheet1!$A:$AO,35,FALSE)</f>
        <v>N/A</v>
      </c>
      <c r="AJ881" s="576" t="str">
        <f>VLOOKUP(Table13[[#This Row],[Column1]],[1]Sheet1!$A:$AO,36,FALSE)</f>
        <v>N/A</v>
      </c>
      <c r="AK881" s="576" t="str">
        <f>VLOOKUP(Table13[[#This Row],[Column1]],[1]Sheet1!$A:$AO,37,FALSE)</f>
        <v>N/A</v>
      </c>
      <c r="AL881" s="576" t="str">
        <f>VLOOKUP(Table13[[#This Row],[Column1]],[1]Sheet1!$A:$AO,38,FALSE)</f>
        <v>N/A</v>
      </c>
      <c r="AM881" s="576" t="str">
        <f>VLOOKUP(Table13[[#This Row],[Column1]],[1]Sheet1!$A:$AO,39,FALSE)</f>
        <v>N/A</v>
      </c>
      <c r="AN881" s="576" t="s">
        <v>713</v>
      </c>
      <c r="AO881" s="303" t="s">
        <v>1044</v>
      </c>
      <c r="AP881" s="378"/>
      <c r="AQ881" s="237"/>
    </row>
    <row r="882" spans="1:43" s="238" customFormat="1" ht="75" customHeight="1" x14ac:dyDescent="0.25">
      <c r="A882" s="556" t="s">
        <v>1103</v>
      </c>
      <c r="B882" s="627" t="str">
        <f>VLOOKUP(Table13[[#This Row],[Column1]],[1]Sheet1!$A:$AO,2,FALSE)</f>
        <v>CONSTRUCTION MATERIALS</v>
      </c>
      <c r="C882" s="298" t="str">
        <f>VLOOKUP(Table13[[#This Row],[Column1]],[1]Sheet1!$A:$AO,3,FALSE)</f>
        <v>PEO</v>
      </c>
      <c r="D882" s="298" t="s">
        <v>712</v>
      </c>
      <c r="E882" s="450" t="str">
        <f>VLOOKUP(Table13[[#This Row],[Column1]],[1]Sheet1!$A:$AO,5,FALSE)</f>
        <v>NP-53.9 - Small Value Procurement</v>
      </c>
      <c r="F882" s="446" t="str">
        <f>VLOOKUP(Table13[[#This Row],[Column1]],[1]Sheet1!$A:$AO,6,FALSE)</f>
        <v>N/A</v>
      </c>
      <c r="G882" s="402">
        <f>VLOOKUP(Table13[[#This Row],[Column1]],[1]Sheet1!$A:$AO,7,FALSE)</f>
        <v>45434</v>
      </c>
      <c r="H882" s="374"/>
      <c r="I882" s="402" t="str">
        <f>VLOOKUP(Table13[[#This Row],[Column1]],[1]Sheet1!$A:$AO,9,FALSE)</f>
        <v>N/A</v>
      </c>
      <c r="J882" s="402">
        <f>VLOOKUP(Table13[[#This Row],[Column1]],[1]Sheet1!$A:$AO,10,FALSE)</f>
        <v>45454</v>
      </c>
      <c r="K882" s="402">
        <f>VLOOKUP(Table13[[#This Row],[Column1]],[1]Sheet1!$A:$AO,11,FALSE)</f>
        <v>45454</v>
      </c>
      <c r="L882" s="404"/>
      <c r="M882" s="402" t="str">
        <f>VLOOKUP(Table13[[#This Row],[Column1]],[1]Sheet1!$A:$AO,13,FALSE)</f>
        <v>N/A</v>
      </c>
      <c r="N882" s="402" t="str">
        <f>VLOOKUP(Table13[[#This Row],[Column1]],[1]Sheet1!$A:$AO,14,FALSE)</f>
        <v>N/A</v>
      </c>
      <c r="O882" s="402">
        <f>VLOOKUP(Table13[[#This Row],[Column1]],[1]Sheet1!$A:$AO,15,FALSE)</f>
        <v>45464</v>
      </c>
      <c r="P882" s="375"/>
      <c r="Q882" s="375"/>
      <c r="R882" s="376"/>
      <c r="S882" s="583">
        <f>VLOOKUP(Table13[[#This Row],[Column1]],[1]Sheet1!$A:$AO,19,FALSE)</f>
        <v>45464</v>
      </c>
      <c r="T882" s="583"/>
      <c r="U882" s="583"/>
      <c r="V882" s="376"/>
      <c r="W882" s="376"/>
      <c r="X882" s="402"/>
      <c r="Y882" s="402"/>
      <c r="Z882" s="610" t="s">
        <v>1478</v>
      </c>
      <c r="AA882" s="532">
        <f>IF(Table13[[#This Row],[Column2]]="","",SUM(Table13[[#This Row],[Column28]]+Table13[[#This Row],[Column29]]))</f>
        <v>496028.3</v>
      </c>
      <c r="AB882" s="537"/>
      <c r="AC882" s="502">
        <v>496028.3</v>
      </c>
      <c r="AD882" s="532">
        <f>IF(Table13[[#This Row],[Column2]]="","",SUM(Table13[[#This Row],[Column31]]+Table13[[#This Row],[Column32]]))</f>
        <v>493840</v>
      </c>
      <c r="AE882" s="501"/>
      <c r="AF882" s="540">
        <v>493840</v>
      </c>
      <c r="AG882" s="405"/>
      <c r="AH882" s="380" t="s">
        <v>1205</v>
      </c>
      <c r="AI882" s="576" t="str">
        <f>VLOOKUP(Table13[[#This Row],[Column1]],[1]Sheet1!$A:$AO,35,FALSE)</f>
        <v>N/A</v>
      </c>
      <c r="AJ882" s="576" t="str">
        <f>VLOOKUP(Table13[[#This Row],[Column1]],[1]Sheet1!$A:$AO,36,FALSE)</f>
        <v>N/A</v>
      </c>
      <c r="AK882" s="576" t="str">
        <f>VLOOKUP(Table13[[#This Row],[Column1]],[1]Sheet1!$A:$AO,37,FALSE)</f>
        <v>N/A</v>
      </c>
      <c r="AL882" s="576" t="str">
        <f>VLOOKUP(Table13[[#This Row],[Column1]],[1]Sheet1!$A:$AO,38,FALSE)</f>
        <v>N/A</v>
      </c>
      <c r="AM882" s="576" t="str">
        <f>VLOOKUP(Table13[[#This Row],[Column1]],[1]Sheet1!$A:$AO,39,FALSE)</f>
        <v>N/A</v>
      </c>
      <c r="AN882" s="576" t="s">
        <v>713</v>
      </c>
      <c r="AO882" s="303" t="s">
        <v>1044</v>
      </c>
      <c r="AP882" s="378"/>
      <c r="AQ882" s="237"/>
    </row>
    <row r="883" spans="1:43" s="238" customFormat="1" ht="75" customHeight="1" x14ac:dyDescent="0.25">
      <c r="A883" s="556" t="s">
        <v>1104</v>
      </c>
      <c r="B883" s="627" t="str">
        <f>VLOOKUP(Table13[[#This Row],[Column1]],[1]Sheet1!$A:$AO,2,FALSE)</f>
        <v>CONSTRUCTION MATERIALS</v>
      </c>
      <c r="C883" s="298" t="str">
        <f>VLOOKUP(Table13[[#This Row],[Column1]],[1]Sheet1!$A:$AO,3,FALSE)</f>
        <v>PEO</v>
      </c>
      <c r="D883" s="298" t="s">
        <v>712</v>
      </c>
      <c r="E883" s="450" t="str">
        <f>VLOOKUP(Table13[[#This Row],[Column1]],[1]Sheet1!$A:$AO,5,FALSE)</f>
        <v>NP-53.9 - Small Value Procurement</v>
      </c>
      <c r="F883" s="446" t="str">
        <f>VLOOKUP(Table13[[#This Row],[Column1]],[1]Sheet1!$A:$AO,6,FALSE)</f>
        <v>N/A</v>
      </c>
      <c r="G883" s="402">
        <f>VLOOKUP(Table13[[#This Row],[Column1]],[1]Sheet1!$A:$AO,7,FALSE)</f>
        <v>45434</v>
      </c>
      <c r="H883" s="374"/>
      <c r="I883" s="402" t="str">
        <f>VLOOKUP(Table13[[#This Row],[Column1]],[1]Sheet1!$A:$AO,9,FALSE)</f>
        <v>N/A</v>
      </c>
      <c r="J883" s="402">
        <f>VLOOKUP(Table13[[#This Row],[Column1]],[1]Sheet1!$A:$AO,10,FALSE)</f>
        <v>45454</v>
      </c>
      <c r="K883" s="402">
        <f>VLOOKUP(Table13[[#This Row],[Column1]],[1]Sheet1!$A:$AO,11,FALSE)</f>
        <v>45454</v>
      </c>
      <c r="L883" s="404"/>
      <c r="M883" s="402" t="str">
        <f>VLOOKUP(Table13[[#This Row],[Column1]],[1]Sheet1!$A:$AO,13,FALSE)</f>
        <v>N/A</v>
      </c>
      <c r="N883" s="402" t="str">
        <f>VLOOKUP(Table13[[#This Row],[Column1]],[1]Sheet1!$A:$AO,14,FALSE)</f>
        <v>N/A</v>
      </c>
      <c r="O883" s="402">
        <f>VLOOKUP(Table13[[#This Row],[Column1]],[1]Sheet1!$A:$AO,15,FALSE)</f>
        <v>45464</v>
      </c>
      <c r="P883" s="375"/>
      <c r="Q883" s="375"/>
      <c r="R883" s="376"/>
      <c r="S883" s="583">
        <f>VLOOKUP(Table13[[#This Row],[Column1]],[1]Sheet1!$A:$AO,19,FALSE)</f>
        <v>45467</v>
      </c>
      <c r="T883" s="583"/>
      <c r="U883" s="583"/>
      <c r="V883" s="376"/>
      <c r="W883" s="376"/>
      <c r="X883" s="402"/>
      <c r="Y883" s="402"/>
      <c r="Z883" s="610" t="s">
        <v>1478</v>
      </c>
      <c r="AA883" s="532">
        <f>IF(Table13[[#This Row],[Column2]]="","",SUM(Table13[[#This Row],[Column28]]+Table13[[#This Row],[Column29]]))</f>
        <v>399962</v>
      </c>
      <c r="AB883" s="537"/>
      <c r="AC883" s="502">
        <v>399962</v>
      </c>
      <c r="AD883" s="532">
        <f>IF(Table13[[#This Row],[Column2]]="","",SUM(Table13[[#This Row],[Column31]]+Table13[[#This Row],[Column32]]))</f>
        <v>397277</v>
      </c>
      <c r="AE883" s="501"/>
      <c r="AF883" s="540">
        <v>397277</v>
      </c>
      <c r="AG883" s="405"/>
      <c r="AH883" s="380" t="s">
        <v>1205</v>
      </c>
      <c r="AI883" s="576" t="str">
        <f>VLOOKUP(Table13[[#This Row],[Column1]],[1]Sheet1!$A:$AO,35,FALSE)</f>
        <v>N/A</v>
      </c>
      <c r="AJ883" s="576" t="str">
        <f>VLOOKUP(Table13[[#This Row],[Column1]],[1]Sheet1!$A:$AO,36,FALSE)</f>
        <v>N/A</v>
      </c>
      <c r="AK883" s="576" t="str">
        <f>VLOOKUP(Table13[[#This Row],[Column1]],[1]Sheet1!$A:$AO,37,FALSE)</f>
        <v>N/A</v>
      </c>
      <c r="AL883" s="576" t="str">
        <f>VLOOKUP(Table13[[#This Row],[Column1]],[1]Sheet1!$A:$AO,38,FALSE)</f>
        <v>N/A</v>
      </c>
      <c r="AM883" s="576" t="str">
        <f>VLOOKUP(Table13[[#This Row],[Column1]],[1]Sheet1!$A:$AO,39,FALSE)</f>
        <v>N/A</v>
      </c>
      <c r="AN883" s="576" t="s">
        <v>713</v>
      </c>
      <c r="AO883" s="303" t="s">
        <v>1044</v>
      </c>
      <c r="AP883" s="378"/>
      <c r="AQ883" s="237"/>
    </row>
    <row r="884" spans="1:43" s="238" customFormat="1" ht="75" customHeight="1" x14ac:dyDescent="0.25">
      <c r="A884" s="556" t="s">
        <v>1105</v>
      </c>
      <c r="B884" s="627" t="str">
        <f>VLOOKUP(Table13[[#This Row],[Column1]],[1]Sheet1!$A:$AO,2,FALSE)</f>
        <v>TARPAULIN</v>
      </c>
      <c r="C884" s="298" t="str">
        <f>VLOOKUP(Table13[[#This Row],[Column1]],[1]Sheet1!$A:$AO,3,FALSE)</f>
        <v>PEO</v>
      </c>
      <c r="D884" s="298" t="s">
        <v>712</v>
      </c>
      <c r="E884" s="450" t="str">
        <f>VLOOKUP(Table13[[#This Row],[Column1]],[1]Sheet1!$A:$AO,5,FALSE)</f>
        <v>NP-53.9 - Small Value Procurement</v>
      </c>
      <c r="F884" s="446">
        <f>VLOOKUP(Table13[[#This Row],[Column1]],[1]Sheet1!$A:$AO,6,FALSE)</f>
        <v>45440</v>
      </c>
      <c r="G884" s="402">
        <f>VLOOKUP(Table13[[#This Row],[Column1]],[1]Sheet1!$A:$AO,7,FALSE)</f>
        <v>45442</v>
      </c>
      <c r="H884" s="374"/>
      <c r="I884" s="402" t="str">
        <f>VLOOKUP(Table13[[#This Row],[Column1]],[1]Sheet1!$A:$AO,9,FALSE)</f>
        <v>N/A</v>
      </c>
      <c r="J884" s="402">
        <f>VLOOKUP(Table13[[#This Row],[Column1]],[1]Sheet1!$A:$AO,10,FALSE)</f>
        <v>45454</v>
      </c>
      <c r="K884" s="402">
        <f>VLOOKUP(Table13[[#This Row],[Column1]],[1]Sheet1!$A:$AO,11,FALSE)</f>
        <v>45454</v>
      </c>
      <c r="L884" s="404"/>
      <c r="M884" s="402" t="str">
        <f>VLOOKUP(Table13[[#This Row],[Column1]],[1]Sheet1!$A:$AO,13,FALSE)</f>
        <v>N/A</v>
      </c>
      <c r="N884" s="402" t="str">
        <f>VLOOKUP(Table13[[#This Row],[Column1]],[1]Sheet1!$A:$AO,14,FALSE)</f>
        <v>N/A</v>
      </c>
      <c r="O884" s="402">
        <f>VLOOKUP(Table13[[#This Row],[Column1]],[1]Sheet1!$A:$AO,15,FALSE)</f>
        <v>45463</v>
      </c>
      <c r="P884" s="375"/>
      <c r="Q884" s="375"/>
      <c r="R884" s="376"/>
      <c r="S884" s="583" t="str">
        <f>VLOOKUP(Table13[[#This Row],[Column1]],[1]Sheet1!$A:$AO,19,FALSE)</f>
        <v>N/A</v>
      </c>
      <c r="T884" s="583"/>
      <c r="U884" s="583"/>
      <c r="V884" s="376"/>
      <c r="W884" s="376"/>
      <c r="X884" s="402"/>
      <c r="Y884" s="402"/>
      <c r="Z884" s="610" t="s">
        <v>1478</v>
      </c>
      <c r="AA884" s="532">
        <f>IF(Table13[[#This Row],[Column2]]="","",SUM(Table13[[#This Row],[Column28]]+Table13[[#This Row],[Column29]]))</f>
        <v>1792</v>
      </c>
      <c r="AB884" s="537"/>
      <c r="AC884" s="502">
        <v>1792</v>
      </c>
      <c r="AD884" s="532">
        <f>IF(Table13[[#This Row],[Column2]]="","",SUM(Table13[[#This Row],[Column31]]+Table13[[#This Row],[Column32]]))</f>
        <v>1792</v>
      </c>
      <c r="AE884" s="501"/>
      <c r="AF884" s="540">
        <v>1792</v>
      </c>
      <c r="AG884" s="405"/>
      <c r="AH884" s="380" t="s">
        <v>1205</v>
      </c>
      <c r="AI884" s="576" t="str">
        <f>VLOOKUP(Table13[[#This Row],[Column1]],[1]Sheet1!$A:$AO,35,FALSE)</f>
        <v>N/A</v>
      </c>
      <c r="AJ884" s="576" t="str">
        <f>VLOOKUP(Table13[[#This Row],[Column1]],[1]Sheet1!$A:$AO,36,FALSE)</f>
        <v>N/A</v>
      </c>
      <c r="AK884" s="576" t="str">
        <f>VLOOKUP(Table13[[#This Row],[Column1]],[1]Sheet1!$A:$AO,37,FALSE)</f>
        <v>N/A</v>
      </c>
      <c r="AL884" s="576" t="str">
        <f>VLOOKUP(Table13[[#This Row],[Column1]],[1]Sheet1!$A:$AO,38,FALSE)</f>
        <v>N/A</v>
      </c>
      <c r="AM884" s="576" t="str">
        <f>VLOOKUP(Table13[[#This Row],[Column1]],[1]Sheet1!$A:$AO,39,FALSE)</f>
        <v>N/A</v>
      </c>
      <c r="AN884" s="576" t="s">
        <v>713</v>
      </c>
      <c r="AO884" s="303" t="s">
        <v>1044</v>
      </c>
      <c r="AP884" s="378"/>
      <c r="AQ884" s="237"/>
    </row>
    <row r="885" spans="1:43" s="238" customFormat="1" ht="75" customHeight="1" x14ac:dyDescent="0.25">
      <c r="A885" s="556" t="s">
        <v>1106</v>
      </c>
      <c r="B885" s="627" t="str">
        <f>VLOOKUP(Table13[[#This Row],[Column1]],[1]Sheet1!$A:$AO,2,FALSE)</f>
        <v>TARPAULIN</v>
      </c>
      <c r="C885" s="298" t="str">
        <f>VLOOKUP(Table13[[#This Row],[Column1]],[1]Sheet1!$A:$AO,3,FALSE)</f>
        <v>PEO</v>
      </c>
      <c r="D885" s="298" t="s">
        <v>712</v>
      </c>
      <c r="E885" s="450" t="str">
        <f>VLOOKUP(Table13[[#This Row],[Column1]],[1]Sheet1!$A:$AO,5,FALSE)</f>
        <v>NP-53.9 - Small Value Procurement</v>
      </c>
      <c r="F885" s="446">
        <f>VLOOKUP(Table13[[#This Row],[Column1]],[1]Sheet1!$A:$AO,6,FALSE)</f>
        <v>45440</v>
      </c>
      <c r="G885" s="402">
        <f>VLOOKUP(Table13[[#This Row],[Column1]],[1]Sheet1!$A:$AO,7,FALSE)</f>
        <v>45442</v>
      </c>
      <c r="H885" s="374"/>
      <c r="I885" s="402" t="str">
        <f>VLOOKUP(Table13[[#This Row],[Column1]],[1]Sheet1!$A:$AO,9,FALSE)</f>
        <v>N/A</v>
      </c>
      <c r="J885" s="402">
        <f>VLOOKUP(Table13[[#This Row],[Column1]],[1]Sheet1!$A:$AO,10,FALSE)</f>
        <v>45454</v>
      </c>
      <c r="K885" s="402">
        <f>VLOOKUP(Table13[[#This Row],[Column1]],[1]Sheet1!$A:$AO,11,FALSE)</f>
        <v>45454</v>
      </c>
      <c r="L885" s="404"/>
      <c r="M885" s="402" t="str">
        <f>VLOOKUP(Table13[[#This Row],[Column1]],[1]Sheet1!$A:$AO,13,FALSE)</f>
        <v>N/A</v>
      </c>
      <c r="N885" s="402" t="str">
        <f>VLOOKUP(Table13[[#This Row],[Column1]],[1]Sheet1!$A:$AO,14,FALSE)</f>
        <v>N/A</v>
      </c>
      <c r="O885" s="402">
        <f>VLOOKUP(Table13[[#This Row],[Column1]],[1]Sheet1!$A:$AO,15,FALSE)</f>
        <v>45463</v>
      </c>
      <c r="P885" s="375"/>
      <c r="Q885" s="375"/>
      <c r="R885" s="376"/>
      <c r="S885" s="583" t="str">
        <f>VLOOKUP(Table13[[#This Row],[Column1]],[1]Sheet1!$A:$AO,19,FALSE)</f>
        <v>N/A</v>
      </c>
      <c r="T885" s="583"/>
      <c r="U885" s="583"/>
      <c r="V885" s="376"/>
      <c r="W885" s="376"/>
      <c r="X885" s="402"/>
      <c r="Y885" s="402"/>
      <c r="Z885" s="610" t="s">
        <v>1478</v>
      </c>
      <c r="AA885" s="532">
        <f>IF(Table13[[#This Row],[Column2]]="","",SUM(Table13[[#This Row],[Column28]]+Table13[[#This Row],[Column29]]))</f>
        <v>1792</v>
      </c>
      <c r="AB885" s="537"/>
      <c r="AC885" s="502">
        <v>1792</v>
      </c>
      <c r="AD885" s="532">
        <f>IF(Table13[[#This Row],[Column2]]="","",SUM(Table13[[#This Row],[Column31]]+Table13[[#This Row],[Column32]]))</f>
        <v>1792</v>
      </c>
      <c r="AE885" s="501"/>
      <c r="AF885" s="540">
        <v>1792</v>
      </c>
      <c r="AG885" s="405"/>
      <c r="AH885" s="380" t="s">
        <v>1205</v>
      </c>
      <c r="AI885" s="576" t="str">
        <f>VLOOKUP(Table13[[#This Row],[Column1]],[1]Sheet1!$A:$AO,35,FALSE)</f>
        <v>N/A</v>
      </c>
      <c r="AJ885" s="576" t="str">
        <f>VLOOKUP(Table13[[#This Row],[Column1]],[1]Sheet1!$A:$AO,36,FALSE)</f>
        <v>N/A</v>
      </c>
      <c r="AK885" s="576" t="str">
        <f>VLOOKUP(Table13[[#This Row],[Column1]],[1]Sheet1!$A:$AO,37,FALSE)</f>
        <v>N/A</v>
      </c>
      <c r="AL885" s="576" t="str">
        <f>VLOOKUP(Table13[[#This Row],[Column1]],[1]Sheet1!$A:$AO,38,FALSE)</f>
        <v>N/A</v>
      </c>
      <c r="AM885" s="576" t="str">
        <f>VLOOKUP(Table13[[#This Row],[Column1]],[1]Sheet1!$A:$AO,39,FALSE)</f>
        <v>N/A</v>
      </c>
      <c r="AN885" s="576" t="s">
        <v>713</v>
      </c>
      <c r="AO885" s="303" t="s">
        <v>1044</v>
      </c>
      <c r="AP885" s="378"/>
      <c r="AQ885" s="237"/>
    </row>
    <row r="886" spans="1:43" s="238" customFormat="1" ht="75" customHeight="1" x14ac:dyDescent="0.25">
      <c r="A886" s="556" t="s">
        <v>1107</v>
      </c>
      <c r="B886" s="627" t="str">
        <f>VLOOKUP(Table13[[#This Row],[Column1]],[1]Sheet1!$A:$AO,2,FALSE)</f>
        <v>TARPAULIN</v>
      </c>
      <c r="C886" s="298" t="str">
        <f>VLOOKUP(Table13[[#This Row],[Column1]],[1]Sheet1!$A:$AO,3,FALSE)</f>
        <v>PEO</v>
      </c>
      <c r="D886" s="298" t="s">
        <v>712</v>
      </c>
      <c r="E886" s="450" t="str">
        <f>VLOOKUP(Table13[[#This Row],[Column1]],[1]Sheet1!$A:$AO,5,FALSE)</f>
        <v>NP-53.9 - Small Value Procurement</v>
      </c>
      <c r="F886" s="446">
        <f>VLOOKUP(Table13[[#This Row],[Column1]],[1]Sheet1!$A:$AO,6,FALSE)</f>
        <v>45440</v>
      </c>
      <c r="G886" s="402">
        <f>VLOOKUP(Table13[[#This Row],[Column1]],[1]Sheet1!$A:$AO,7,FALSE)</f>
        <v>45442</v>
      </c>
      <c r="H886" s="374"/>
      <c r="I886" s="402" t="str">
        <f>VLOOKUP(Table13[[#This Row],[Column1]],[1]Sheet1!$A:$AO,9,FALSE)</f>
        <v>N/A</v>
      </c>
      <c r="J886" s="402">
        <f>VLOOKUP(Table13[[#This Row],[Column1]],[1]Sheet1!$A:$AO,10,FALSE)</f>
        <v>45454</v>
      </c>
      <c r="K886" s="402">
        <f>VLOOKUP(Table13[[#This Row],[Column1]],[1]Sheet1!$A:$AO,11,FALSE)</f>
        <v>45454</v>
      </c>
      <c r="L886" s="404"/>
      <c r="M886" s="402" t="str">
        <f>VLOOKUP(Table13[[#This Row],[Column1]],[1]Sheet1!$A:$AO,13,FALSE)</f>
        <v>N/A</v>
      </c>
      <c r="N886" s="402" t="str">
        <f>VLOOKUP(Table13[[#This Row],[Column1]],[1]Sheet1!$A:$AO,14,FALSE)</f>
        <v>N/A</v>
      </c>
      <c r="O886" s="402">
        <f>VLOOKUP(Table13[[#This Row],[Column1]],[1]Sheet1!$A:$AO,15,FALSE)</f>
        <v>45463</v>
      </c>
      <c r="P886" s="375"/>
      <c r="Q886" s="375"/>
      <c r="R886" s="376"/>
      <c r="S886" s="583" t="str">
        <f>VLOOKUP(Table13[[#This Row],[Column1]],[1]Sheet1!$A:$AO,19,FALSE)</f>
        <v>N/A</v>
      </c>
      <c r="T886" s="583"/>
      <c r="U886" s="583"/>
      <c r="V886" s="376"/>
      <c r="W886" s="376"/>
      <c r="X886" s="402"/>
      <c r="Y886" s="402"/>
      <c r="Z886" s="610" t="s">
        <v>1478</v>
      </c>
      <c r="AA886" s="532">
        <f>IF(Table13[[#This Row],[Column2]]="","",SUM(Table13[[#This Row],[Column28]]+Table13[[#This Row],[Column29]]))</f>
        <v>1792</v>
      </c>
      <c r="AB886" s="537"/>
      <c r="AC886" s="502">
        <v>1792</v>
      </c>
      <c r="AD886" s="532">
        <f>IF(Table13[[#This Row],[Column2]]="","",SUM(Table13[[#This Row],[Column31]]+Table13[[#This Row],[Column32]]))</f>
        <v>1792</v>
      </c>
      <c r="AE886" s="501"/>
      <c r="AF886" s="540">
        <v>1792</v>
      </c>
      <c r="AG886" s="405"/>
      <c r="AH886" s="380" t="s">
        <v>1205</v>
      </c>
      <c r="AI886" s="576" t="str">
        <f>VLOOKUP(Table13[[#This Row],[Column1]],[1]Sheet1!$A:$AO,35,FALSE)</f>
        <v>N/A</v>
      </c>
      <c r="AJ886" s="576" t="str">
        <f>VLOOKUP(Table13[[#This Row],[Column1]],[1]Sheet1!$A:$AO,36,FALSE)</f>
        <v>N/A</v>
      </c>
      <c r="AK886" s="576" t="str">
        <f>VLOOKUP(Table13[[#This Row],[Column1]],[1]Sheet1!$A:$AO,37,FALSE)</f>
        <v>N/A</v>
      </c>
      <c r="AL886" s="576" t="str">
        <f>VLOOKUP(Table13[[#This Row],[Column1]],[1]Sheet1!$A:$AO,38,FALSE)</f>
        <v>N/A</v>
      </c>
      <c r="AM886" s="576" t="str">
        <f>VLOOKUP(Table13[[#This Row],[Column1]],[1]Sheet1!$A:$AO,39,FALSE)</f>
        <v>N/A</v>
      </c>
      <c r="AN886" s="576" t="s">
        <v>713</v>
      </c>
      <c r="AO886" s="303" t="s">
        <v>1044</v>
      </c>
      <c r="AP886" s="378"/>
      <c r="AQ886" s="237"/>
    </row>
    <row r="887" spans="1:43" s="238" customFormat="1" ht="75" customHeight="1" x14ac:dyDescent="0.25">
      <c r="A887" s="556" t="s">
        <v>1108</v>
      </c>
      <c r="B887" s="627" t="str">
        <f>VLOOKUP(Table13[[#This Row],[Column1]],[1]Sheet1!$A:$AO,2,FALSE)</f>
        <v>TARPAULIN</v>
      </c>
      <c r="C887" s="298" t="str">
        <f>VLOOKUP(Table13[[#This Row],[Column1]],[1]Sheet1!$A:$AO,3,FALSE)</f>
        <v>SPO</v>
      </c>
      <c r="D887" s="298" t="s">
        <v>712</v>
      </c>
      <c r="E887" s="450" t="str">
        <f>VLOOKUP(Table13[[#This Row],[Column1]],[1]Sheet1!$A:$AO,5,FALSE)</f>
        <v>NP-53.9 - Small Value Procurement</v>
      </c>
      <c r="F887" s="446">
        <f>VLOOKUP(Table13[[#This Row],[Column1]],[1]Sheet1!$A:$AO,6,FALSE)</f>
        <v>45440</v>
      </c>
      <c r="G887" s="402">
        <f>VLOOKUP(Table13[[#This Row],[Column1]],[1]Sheet1!$A:$AO,7,FALSE)</f>
        <v>45442</v>
      </c>
      <c r="H887" s="374"/>
      <c r="I887" s="402" t="str">
        <f>VLOOKUP(Table13[[#This Row],[Column1]],[1]Sheet1!$A:$AO,9,FALSE)</f>
        <v>N/A</v>
      </c>
      <c r="J887" s="402">
        <f>VLOOKUP(Table13[[#This Row],[Column1]],[1]Sheet1!$A:$AO,10,FALSE)</f>
        <v>45454</v>
      </c>
      <c r="K887" s="402">
        <f>VLOOKUP(Table13[[#This Row],[Column1]],[1]Sheet1!$A:$AO,11,FALSE)</f>
        <v>45454</v>
      </c>
      <c r="L887" s="404"/>
      <c r="M887" s="402" t="str">
        <f>VLOOKUP(Table13[[#This Row],[Column1]],[1]Sheet1!$A:$AO,13,FALSE)</f>
        <v>N/A</v>
      </c>
      <c r="N887" s="402" t="str">
        <f>VLOOKUP(Table13[[#This Row],[Column1]],[1]Sheet1!$A:$AO,14,FALSE)</f>
        <v>N/A</v>
      </c>
      <c r="O887" s="402">
        <f>VLOOKUP(Table13[[#This Row],[Column1]],[1]Sheet1!$A:$AO,15,FALSE)</f>
        <v>45463</v>
      </c>
      <c r="P887" s="375"/>
      <c r="Q887" s="375"/>
      <c r="R887" s="376"/>
      <c r="S887" s="583" t="str">
        <f>VLOOKUP(Table13[[#This Row],[Column1]],[1]Sheet1!$A:$AO,19,FALSE)</f>
        <v>N/A</v>
      </c>
      <c r="T887" s="583"/>
      <c r="U887" s="583"/>
      <c r="V887" s="376"/>
      <c r="W887" s="376"/>
      <c r="X887" s="402"/>
      <c r="Y887" s="402"/>
      <c r="Z887" s="610" t="s">
        <v>1478</v>
      </c>
      <c r="AA887" s="532">
        <f>IF(Table13[[#This Row],[Column2]]="","",SUM(Table13[[#This Row],[Column28]]+Table13[[#This Row],[Column29]]))</f>
        <v>14000</v>
      </c>
      <c r="AB887" s="537">
        <v>14000</v>
      </c>
      <c r="AC887" s="502"/>
      <c r="AD887" s="532">
        <f>IF(Table13[[#This Row],[Column2]]="","",SUM(Table13[[#This Row],[Column31]]+Table13[[#This Row],[Column32]]))</f>
        <v>14000</v>
      </c>
      <c r="AE887" s="501">
        <v>14000</v>
      </c>
      <c r="AF887" s="540"/>
      <c r="AG887" s="405"/>
      <c r="AH887" s="380" t="s">
        <v>1205</v>
      </c>
      <c r="AI887" s="576" t="str">
        <f>VLOOKUP(Table13[[#This Row],[Column1]],[1]Sheet1!$A:$AO,35,FALSE)</f>
        <v>N/A</v>
      </c>
      <c r="AJ887" s="576" t="str">
        <f>VLOOKUP(Table13[[#This Row],[Column1]],[1]Sheet1!$A:$AO,36,FALSE)</f>
        <v>N/A</v>
      </c>
      <c r="AK887" s="576" t="str">
        <f>VLOOKUP(Table13[[#This Row],[Column1]],[1]Sheet1!$A:$AO,37,FALSE)</f>
        <v>N/A</v>
      </c>
      <c r="AL887" s="576" t="str">
        <f>VLOOKUP(Table13[[#This Row],[Column1]],[1]Sheet1!$A:$AO,38,FALSE)</f>
        <v>N/A</v>
      </c>
      <c r="AM887" s="576" t="str">
        <f>VLOOKUP(Table13[[#This Row],[Column1]],[1]Sheet1!$A:$AO,39,FALSE)</f>
        <v>N/A</v>
      </c>
      <c r="AN887" s="576" t="s">
        <v>713</v>
      </c>
      <c r="AO887" s="303" t="s">
        <v>1044</v>
      </c>
      <c r="AP887" s="378"/>
      <c r="AQ887" s="237"/>
    </row>
    <row r="888" spans="1:43" s="238" customFormat="1" ht="75" customHeight="1" x14ac:dyDescent="0.25">
      <c r="A888" s="556" t="s">
        <v>1109</v>
      </c>
      <c r="B888" s="627" t="str">
        <f>VLOOKUP(Table13[[#This Row],[Column1]],[1]Sheet1!$A:$AO,2,FALSE)</f>
        <v>COLORED PRINTER &amp;
POWER SUPPLY</v>
      </c>
      <c r="C888" s="298" t="str">
        <f>VLOOKUP(Table13[[#This Row],[Column1]],[1]Sheet1!$A:$AO,3,FALSE)</f>
        <v>SPO</v>
      </c>
      <c r="D888" s="298" t="s">
        <v>712</v>
      </c>
      <c r="E888" s="450" t="str">
        <f>VLOOKUP(Table13[[#This Row],[Column1]],[1]Sheet1!$A:$AO,5,FALSE)</f>
        <v>NP-53.9 - Small Value Procurement</v>
      </c>
      <c r="F888" s="446" t="str">
        <f>VLOOKUP(Table13[[#This Row],[Column1]],[1]Sheet1!$A:$AO,6,FALSE)</f>
        <v>N/A</v>
      </c>
      <c r="G888" s="402">
        <f>VLOOKUP(Table13[[#This Row],[Column1]],[1]Sheet1!$A:$AO,7,FALSE)</f>
        <v>45436</v>
      </c>
      <c r="H888" s="374"/>
      <c r="I888" s="402" t="str">
        <f>VLOOKUP(Table13[[#This Row],[Column1]],[1]Sheet1!$A:$AO,9,FALSE)</f>
        <v>N/A</v>
      </c>
      <c r="J888" s="402">
        <f>VLOOKUP(Table13[[#This Row],[Column1]],[1]Sheet1!$A:$AO,10,FALSE)</f>
        <v>45454</v>
      </c>
      <c r="K888" s="402">
        <f>VLOOKUP(Table13[[#This Row],[Column1]],[1]Sheet1!$A:$AO,11,FALSE)</f>
        <v>45454</v>
      </c>
      <c r="L888" s="404"/>
      <c r="M888" s="402" t="str">
        <f>VLOOKUP(Table13[[#This Row],[Column1]],[1]Sheet1!$A:$AO,13,FALSE)</f>
        <v>N/A</v>
      </c>
      <c r="N888" s="402" t="str">
        <f>VLOOKUP(Table13[[#This Row],[Column1]],[1]Sheet1!$A:$AO,14,FALSE)</f>
        <v>N/A</v>
      </c>
      <c r="O888" s="402">
        <f>VLOOKUP(Table13[[#This Row],[Column1]],[1]Sheet1!$A:$AO,15,FALSE)</f>
        <v>45463</v>
      </c>
      <c r="P888" s="375"/>
      <c r="Q888" s="375"/>
      <c r="R888" s="376"/>
      <c r="S888" s="434">
        <f>VLOOKUP(Table13[[#This Row],[Column1]],[1]Sheet1!$A:$AO,19,FALSE)</f>
        <v>45464</v>
      </c>
      <c r="T888" s="583"/>
      <c r="U888" s="583"/>
      <c r="V888" s="376"/>
      <c r="W888" s="376"/>
      <c r="X888" s="402"/>
      <c r="Y888" s="402"/>
      <c r="Z888" s="610" t="s">
        <v>1478</v>
      </c>
      <c r="AA888" s="532">
        <f>IF(Table13[[#This Row],[Column2]]="","",SUM(Table13[[#This Row],[Column28]]+Table13[[#This Row],[Column29]]))</f>
        <v>55280</v>
      </c>
      <c r="AB888" s="537">
        <v>55280</v>
      </c>
      <c r="AC888" s="502"/>
      <c r="AD888" s="532">
        <f>IF(Table13[[#This Row],[Column2]]="","",SUM(Table13[[#This Row],[Column31]]+Table13[[#This Row],[Column32]]))</f>
        <v>55000</v>
      </c>
      <c r="AE888" s="501">
        <v>55000</v>
      </c>
      <c r="AF888" s="540"/>
      <c r="AG888" s="405"/>
      <c r="AH888" s="380" t="s">
        <v>1205</v>
      </c>
      <c r="AI888" s="576" t="str">
        <f>VLOOKUP(Table13[[#This Row],[Column1]],[1]Sheet1!$A:$AO,35,FALSE)</f>
        <v>N/A</v>
      </c>
      <c r="AJ888" s="576" t="str">
        <f>VLOOKUP(Table13[[#This Row],[Column1]],[1]Sheet1!$A:$AO,36,FALSE)</f>
        <v>N/A</v>
      </c>
      <c r="AK888" s="576" t="str">
        <f>VLOOKUP(Table13[[#This Row],[Column1]],[1]Sheet1!$A:$AO,37,FALSE)</f>
        <v>N/A</v>
      </c>
      <c r="AL888" s="576" t="str">
        <f>VLOOKUP(Table13[[#This Row],[Column1]],[1]Sheet1!$A:$AO,38,FALSE)</f>
        <v>N/A</v>
      </c>
      <c r="AM888" s="576" t="str">
        <f>VLOOKUP(Table13[[#This Row],[Column1]],[1]Sheet1!$A:$AO,39,FALSE)</f>
        <v>N/A</v>
      </c>
      <c r="AN888" s="576" t="s">
        <v>713</v>
      </c>
      <c r="AO888" s="303" t="s">
        <v>1044</v>
      </c>
      <c r="AP888" s="378"/>
      <c r="AQ888" s="237"/>
    </row>
    <row r="889" spans="1:43" s="238" customFormat="1" ht="75" customHeight="1" x14ac:dyDescent="0.25">
      <c r="A889" s="556" t="s">
        <v>1110</v>
      </c>
      <c r="B889" s="627" t="str">
        <f>VLOOKUP(Table13[[#This Row],[Column1]],[1]Sheet1!$A:$AO,2,FALSE)</f>
        <v>ACCOUNTABLE FORMS</v>
      </c>
      <c r="C889" s="298" t="str">
        <f>VLOOKUP(Table13[[#This Row],[Column1]],[1]Sheet1!$A:$AO,3,FALSE)</f>
        <v>PTO</v>
      </c>
      <c r="D889" s="298" t="s">
        <v>712</v>
      </c>
      <c r="E889" s="450" t="str">
        <f>VLOOKUP(Table13[[#This Row],[Column1]],[1]Sheet1!$A:$AO,5,FALSE)</f>
        <v>NP-53.5 Agency-to-Agency</v>
      </c>
      <c r="F889" s="446">
        <f>VLOOKUP(Table13[[#This Row],[Column1]],[1]Sheet1!$A:$AO,6,FALSE)</f>
        <v>45398</v>
      </c>
      <c r="G889" s="402">
        <f>VLOOKUP(Table13[[#This Row],[Column1]],[1]Sheet1!$A:$AO,7,FALSE)</f>
        <v>45404</v>
      </c>
      <c r="H889" s="374"/>
      <c r="I889" s="402" t="str">
        <f>VLOOKUP(Table13[[#This Row],[Column1]],[1]Sheet1!$A:$AO,9,FALSE)</f>
        <v>N/A</v>
      </c>
      <c r="J889" s="402">
        <f>VLOOKUP(Table13[[#This Row],[Column1]],[1]Sheet1!$A:$AO,10,FALSE)</f>
        <v>45461</v>
      </c>
      <c r="K889" s="402">
        <f>VLOOKUP(Table13[[#This Row],[Column1]],[1]Sheet1!$A:$AO,11,FALSE)</f>
        <v>45461</v>
      </c>
      <c r="L889" s="404"/>
      <c r="M889" s="402" t="str">
        <f>VLOOKUP(Table13[[#This Row],[Column1]],[1]Sheet1!$A:$AO,13,FALSE)</f>
        <v>N/A</v>
      </c>
      <c r="N889" s="402" t="str">
        <f>VLOOKUP(Table13[[#This Row],[Column1]],[1]Sheet1!$A:$AO,14,FALSE)</f>
        <v>N/A</v>
      </c>
      <c r="O889" s="402">
        <f>VLOOKUP(Table13[[#This Row],[Column1]],[1]Sheet1!$A:$AO,15,FALSE)</f>
        <v>45463</v>
      </c>
      <c r="P889" s="375"/>
      <c r="Q889" s="375"/>
      <c r="R889" s="376"/>
      <c r="S889" s="434">
        <v>45464</v>
      </c>
      <c r="T889" s="583"/>
      <c r="U889" s="583"/>
      <c r="V889" s="376"/>
      <c r="W889" s="376"/>
      <c r="X889" s="402"/>
      <c r="Y889" s="402"/>
      <c r="Z889" s="610" t="s">
        <v>1478</v>
      </c>
      <c r="AA889" s="532">
        <f>IF(Table13[[#This Row],[Column2]]="","",SUM(Table13[[#This Row],[Column28]]+Table13[[#This Row],[Column29]]))</f>
        <v>1899865</v>
      </c>
      <c r="AB889" s="537">
        <v>1899865</v>
      </c>
      <c r="AC889" s="502"/>
      <c r="AD889" s="532">
        <f>IF(Table13[[#This Row],[Column2]]="","",SUM(Table13[[#This Row],[Column31]]+Table13[[#This Row],[Column32]]))</f>
        <v>1545568.25</v>
      </c>
      <c r="AE889" s="501">
        <v>1545568.25</v>
      </c>
      <c r="AF889" s="540"/>
      <c r="AG889" s="405"/>
      <c r="AH889" s="380" t="s">
        <v>1205</v>
      </c>
      <c r="AI889" s="576" t="str">
        <f>VLOOKUP(Table13[[#This Row],[Column1]],[1]Sheet1!$A:$AO,35,FALSE)</f>
        <v>N/A</v>
      </c>
      <c r="AJ889" s="576" t="str">
        <f>VLOOKUP(Table13[[#This Row],[Column1]],[1]Sheet1!$A:$AO,36,FALSE)</f>
        <v>N/A</v>
      </c>
      <c r="AK889" s="576" t="str">
        <f>VLOOKUP(Table13[[#This Row],[Column1]],[1]Sheet1!$A:$AO,37,FALSE)</f>
        <v>N/A</v>
      </c>
      <c r="AL889" s="576" t="str">
        <f>VLOOKUP(Table13[[#This Row],[Column1]],[1]Sheet1!$A:$AO,38,FALSE)</f>
        <v>N/A</v>
      </c>
      <c r="AM889" s="576" t="str">
        <f>VLOOKUP(Table13[[#This Row],[Column1]],[1]Sheet1!$A:$AO,39,FALSE)</f>
        <v>N/A</v>
      </c>
      <c r="AN889" s="576" t="s">
        <v>713</v>
      </c>
      <c r="AO889" s="303" t="s">
        <v>1044</v>
      </c>
      <c r="AP889" s="378"/>
      <c r="AQ889" s="237"/>
    </row>
    <row r="890" spans="1:43" s="238" customFormat="1" ht="75" customHeight="1" x14ac:dyDescent="0.25">
      <c r="A890" s="556" t="s">
        <v>1111</v>
      </c>
      <c r="B890" s="627" t="str">
        <f>VLOOKUP(Table13[[#This Row],[Column1]],[1]Sheet1!$A:$AO,2,FALSE)</f>
        <v>SPAREPARTS (MOTOR
CYCLE)</v>
      </c>
      <c r="C890" s="298" t="str">
        <f>VLOOKUP(Table13[[#This Row],[Column1]],[1]Sheet1!$A:$AO,3,FALSE)</f>
        <v>PGSO</v>
      </c>
      <c r="D890" s="298" t="s">
        <v>712</v>
      </c>
      <c r="E890" s="450" t="str">
        <f>VLOOKUP(Table13[[#This Row],[Column1]],[1]Sheet1!$A:$AO,5,FALSE)</f>
        <v>Shopping 52.1(a) - Unforeseen Contingency</v>
      </c>
      <c r="F890" s="446">
        <f>VLOOKUP(Table13[[#This Row],[Column1]],[1]Sheet1!$A:$AO,6,FALSE)</f>
        <v>45440</v>
      </c>
      <c r="G890" s="402">
        <f>VLOOKUP(Table13[[#This Row],[Column1]],[1]Sheet1!$A:$AO,7,FALSE)</f>
        <v>45442</v>
      </c>
      <c r="H890" s="374"/>
      <c r="I890" s="402" t="str">
        <f>VLOOKUP(Table13[[#This Row],[Column1]],[1]Sheet1!$A:$AO,9,FALSE)</f>
        <v>N/A</v>
      </c>
      <c r="J890" s="402">
        <f>VLOOKUP(Table13[[#This Row],[Column1]],[1]Sheet1!$A:$AO,10,FALSE)</f>
        <v>45461</v>
      </c>
      <c r="K890" s="402">
        <f>VLOOKUP(Table13[[#This Row],[Column1]],[1]Sheet1!$A:$AO,11,FALSE)</f>
        <v>45461</v>
      </c>
      <c r="L890" s="404"/>
      <c r="M890" s="402" t="str">
        <f>VLOOKUP(Table13[[#This Row],[Column1]],[1]Sheet1!$A:$AO,13,FALSE)</f>
        <v>N/A</v>
      </c>
      <c r="N890" s="402" t="str">
        <f>VLOOKUP(Table13[[#This Row],[Column1]],[1]Sheet1!$A:$AO,14,FALSE)</f>
        <v>N/A</v>
      </c>
      <c r="O890" s="402">
        <f>VLOOKUP(Table13[[#This Row],[Column1]],[1]Sheet1!$A:$AO,15,FALSE)</f>
        <v>45463</v>
      </c>
      <c r="P890" s="375"/>
      <c r="Q890" s="375"/>
      <c r="R890" s="376"/>
      <c r="S890" s="583" t="str">
        <f>VLOOKUP(Table13[[#This Row],[Column1]],[1]Sheet1!$A:$AO,19,FALSE)</f>
        <v>N/A</v>
      </c>
      <c r="T890" s="583"/>
      <c r="U890" s="583"/>
      <c r="V890" s="376"/>
      <c r="W890" s="376"/>
      <c r="X890" s="402"/>
      <c r="Y890" s="402"/>
      <c r="Z890" s="610" t="s">
        <v>1478</v>
      </c>
      <c r="AA890" s="532">
        <f>IF(Table13[[#This Row],[Column2]]="","",SUM(Table13[[#This Row],[Column28]]+Table13[[#This Row],[Column29]]))</f>
        <v>1700</v>
      </c>
      <c r="AB890" s="537">
        <v>1700</v>
      </c>
      <c r="AC890" s="502"/>
      <c r="AD890" s="532">
        <f>IF(Table13[[#This Row],[Column2]]="","",SUM(Table13[[#This Row],[Column31]]+Table13[[#This Row],[Column32]]))</f>
        <v>1675</v>
      </c>
      <c r="AE890" s="501">
        <v>1675</v>
      </c>
      <c r="AF890" s="540"/>
      <c r="AG890" s="405"/>
      <c r="AH890" s="380" t="s">
        <v>1205</v>
      </c>
      <c r="AI890" s="576" t="str">
        <f>VLOOKUP(Table13[[#This Row],[Column1]],[1]Sheet1!$A:$AO,35,FALSE)</f>
        <v>N/A</v>
      </c>
      <c r="AJ890" s="576" t="str">
        <f>VLOOKUP(Table13[[#This Row],[Column1]],[1]Sheet1!$A:$AO,36,FALSE)</f>
        <v>N/A</v>
      </c>
      <c r="AK890" s="576" t="str">
        <f>VLOOKUP(Table13[[#This Row],[Column1]],[1]Sheet1!$A:$AO,37,FALSE)</f>
        <v>N/A</v>
      </c>
      <c r="AL890" s="576" t="str">
        <f>VLOOKUP(Table13[[#This Row],[Column1]],[1]Sheet1!$A:$AO,38,FALSE)</f>
        <v>N/A</v>
      </c>
      <c r="AM890" s="576" t="str">
        <f>VLOOKUP(Table13[[#This Row],[Column1]],[1]Sheet1!$A:$AO,39,FALSE)</f>
        <v>N/A</v>
      </c>
      <c r="AN890" s="576" t="s">
        <v>713</v>
      </c>
      <c r="AO890" s="303" t="s">
        <v>1044</v>
      </c>
      <c r="AP890" s="378"/>
      <c r="AQ890" s="237"/>
    </row>
    <row r="891" spans="1:43" s="238" customFormat="1" ht="75" customHeight="1" x14ac:dyDescent="0.25">
      <c r="A891" s="556" t="s">
        <v>1112</v>
      </c>
      <c r="B891" s="627" t="str">
        <f>VLOOKUP(Table13[[#This Row],[Column1]],[1]Sheet1!$A:$AO,2,FALSE)</f>
        <v>SPAREPARTS (MOTOR
CYCLE)</v>
      </c>
      <c r="C891" s="298" t="str">
        <f>VLOOKUP(Table13[[#This Row],[Column1]],[1]Sheet1!$A:$AO,3,FALSE)</f>
        <v>PGSO</v>
      </c>
      <c r="D891" s="298" t="s">
        <v>712</v>
      </c>
      <c r="E891" s="450" t="str">
        <f>VLOOKUP(Table13[[#This Row],[Column1]],[1]Sheet1!$A:$AO,5,FALSE)</f>
        <v>Shopping 52.1(a) - Unforeseen Contingency</v>
      </c>
      <c r="F891" s="446">
        <f>VLOOKUP(Table13[[#This Row],[Column1]],[1]Sheet1!$A:$AO,6,FALSE)</f>
        <v>45440</v>
      </c>
      <c r="G891" s="402">
        <f>VLOOKUP(Table13[[#This Row],[Column1]],[1]Sheet1!$A:$AO,7,FALSE)</f>
        <v>45442</v>
      </c>
      <c r="H891" s="374"/>
      <c r="I891" s="402" t="str">
        <f>VLOOKUP(Table13[[#This Row],[Column1]],[1]Sheet1!$A:$AO,9,FALSE)</f>
        <v>N/A</v>
      </c>
      <c r="J891" s="402">
        <f>VLOOKUP(Table13[[#This Row],[Column1]],[1]Sheet1!$A:$AO,10,FALSE)</f>
        <v>45461</v>
      </c>
      <c r="K891" s="402">
        <f>VLOOKUP(Table13[[#This Row],[Column1]],[1]Sheet1!$A:$AO,11,FALSE)</f>
        <v>45461</v>
      </c>
      <c r="L891" s="404"/>
      <c r="M891" s="402" t="str">
        <f>VLOOKUP(Table13[[#This Row],[Column1]],[1]Sheet1!$A:$AO,13,FALSE)</f>
        <v>N/A</v>
      </c>
      <c r="N891" s="402" t="str">
        <f>VLOOKUP(Table13[[#This Row],[Column1]],[1]Sheet1!$A:$AO,14,FALSE)</f>
        <v>N/A</v>
      </c>
      <c r="O891" s="402">
        <f>VLOOKUP(Table13[[#This Row],[Column1]],[1]Sheet1!$A:$AO,15,FALSE)</f>
        <v>45463</v>
      </c>
      <c r="P891" s="375"/>
      <c r="Q891" s="375"/>
      <c r="R891" s="376"/>
      <c r="S891" s="583" t="str">
        <f>VLOOKUP(Table13[[#This Row],[Column1]],[1]Sheet1!$A:$AO,19,FALSE)</f>
        <v>N/A</v>
      </c>
      <c r="T891" s="583"/>
      <c r="U891" s="583"/>
      <c r="V891" s="376"/>
      <c r="W891" s="376"/>
      <c r="X891" s="402"/>
      <c r="Y891" s="402"/>
      <c r="Z891" s="610" t="s">
        <v>1478</v>
      </c>
      <c r="AA891" s="532">
        <f>IF(Table13[[#This Row],[Column2]]="","",SUM(Table13[[#This Row],[Column28]]+Table13[[#This Row],[Column29]]))</f>
        <v>5850</v>
      </c>
      <c r="AB891" s="537">
        <v>5850</v>
      </c>
      <c r="AC891" s="502"/>
      <c r="AD891" s="532">
        <f>IF(Table13[[#This Row],[Column2]]="","",SUM(Table13[[#This Row],[Column31]]+Table13[[#This Row],[Column32]]))</f>
        <v>5845</v>
      </c>
      <c r="AE891" s="501">
        <v>5845</v>
      </c>
      <c r="AF891" s="540"/>
      <c r="AG891" s="405"/>
      <c r="AH891" s="380" t="s">
        <v>1205</v>
      </c>
      <c r="AI891" s="576" t="str">
        <f>VLOOKUP(Table13[[#This Row],[Column1]],[1]Sheet1!$A:$AO,35,FALSE)</f>
        <v>N/A</v>
      </c>
      <c r="AJ891" s="576" t="str">
        <f>VLOOKUP(Table13[[#This Row],[Column1]],[1]Sheet1!$A:$AO,36,FALSE)</f>
        <v>N/A</v>
      </c>
      <c r="AK891" s="576" t="str">
        <f>VLOOKUP(Table13[[#This Row],[Column1]],[1]Sheet1!$A:$AO,37,FALSE)</f>
        <v>N/A</v>
      </c>
      <c r="AL891" s="576" t="str">
        <f>VLOOKUP(Table13[[#This Row],[Column1]],[1]Sheet1!$A:$AO,38,FALSE)</f>
        <v>N/A</v>
      </c>
      <c r="AM891" s="576" t="str">
        <f>VLOOKUP(Table13[[#This Row],[Column1]],[1]Sheet1!$A:$AO,39,FALSE)</f>
        <v>N/A</v>
      </c>
      <c r="AN891" s="576" t="s">
        <v>713</v>
      </c>
      <c r="AO891" s="303" t="s">
        <v>1044</v>
      </c>
      <c r="AP891" s="378"/>
      <c r="AQ891" s="237"/>
    </row>
    <row r="892" spans="1:43" s="238" customFormat="1" ht="75" customHeight="1" x14ac:dyDescent="0.25">
      <c r="A892" s="556" t="s">
        <v>1113</v>
      </c>
      <c r="B892" s="627" t="str">
        <f>VLOOKUP(Table13[[#This Row],[Column1]],[1]Sheet1!$A:$AO,2,FALSE)</f>
        <v>SPAREPARTS (LIGHT
VEHICLES)</v>
      </c>
      <c r="C892" s="298" t="str">
        <f>VLOOKUP(Table13[[#This Row],[Column1]],[1]Sheet1!$A:$AO,3,FALSE)</f>
        <v>PGSO</v>
      </c>
      <c r="D892" s="298" t="s">
        <v>712</v>
      </c>
      <c r="E892" s="450" t="str">
        <f>VLOOKUP(Table13[[#This Row],[Column1]],[1]Sheet1!$A:$AO,5,FALSE)</f>
        <v>Shopping 52.1(a) - Unforeseen Contingency</v>
      </c>
      <c r="F892" s="446" t="str">
        <f>VLOOKUP(Table13[[#This Row],[Column1]],[1]Sheet1!$A:$AO,6,FALSE)</f>
        <v>N/A</v>
      </c>
      <c r="G892" s="402">
        <f>VLOOKUP(Table13[[#This Row],[Column1]],[1]Sheet1!$A:$AO,7,FALSE)</f>
        <v>45442</v>
      </c>
      <c r="H892" s="374"/>
      <c r="I892" s="402" t="str">
        <f>VLOOKUP(Table13[[#This Row],[Column1]],[1]Sheet1!$A:$AO,9,FALSE)</f>
        <v>N/A</v>
      </c>
      <c r="J892" s="402">
        <f>VLOOKUP(Table13[[#This Row],[Column1]],[1]Sheet1!$A:$AO,10,FALSE)</f>
        <v>45461</v>
      </c>
      <c r="K892" s="402">
        <f>VLOOKUP(Table13[[#This Row],[Column1]],[1]Sheet1!$A:$AO,11,FALSE)</f>
        <v>45461</v>
      </c>
      <c r="L892" s="404"/>
      <c r="M892" s="402" t="str">
        <f>VLOOKUP(Table13[[#This Row],[Column1]],[1]Sheet1!$A:$AO,13,FALSE)</f>
        <v>N/A</v>
      </c>
      <c r="N892" s="402" t="str">
        <f>VLOOKUP(Table13[[#This Row],[Column1]],[1]Sheet1!$A:$AO,14,FALSE)</f>
        <v>N/A</v>
      </c>
      <c r="O892" s="402">
        <f>VLOOKUP(Table13[[#This Row],[Column1]],[1]Sheet1!$A:$AO,15,FALSE)</f>
        <v>45463</v>
      </c>
      <c r="P892" s="375"/>
      <c r="Q892" s="375"/>
      <c r="R892" s="376"/>
      <c r="S892" s="583" t="str">
        <f>VLOOKUP(Table13[[#This Row],[Column1]],[1]Sheet1!$A:$AO,19,FALSE)</f>
        <v>N/A</v>
      </c>
      <c r="T892" s="583"/>
      <c r="U892" s="583"/>
      <c r="V892" s="376"/>
      <c r="W892" s="376"/>
      <c r="X892" s="402"/>
      <c r="Y892" s="402"/>
      <c r="Z892" s="610" t="s">
        <v>1478</v>
      </c>
      <c r="AA892" s="532">
        <f>IF(Table13[[#This Row],[Column2]]="","",SUM(Table13[[#This Row],[Column28]]+Table13[[#This Row],[Column29]]))</f>
        <v>9450</v>
      </c>
      <c r="AB892" s="537">
        <v>9450</v>
      </c>
      <c r="AC892" s="502"/>
      <c r="AD892" s="532">
        <f>IF(Table13[[#This Row],[Column2]]="","",SUM(Table13[[#This Row],[Column31]]+Table13[[#This Row],[Column32]]))</f>
        <v>8500</v>
      </c>
      <c r="AE892" s="501">
        <v>8500</v>
      </c>
      <c r="AF892" s="540"/>
      <c r="AG892" s="405"/>
      <c r="AH892" s="380" t="s">
        <v>1205</v>
      </c>
      <c r="AI892" s="576" t="str">
        <f>VLOOKUP(Table13[[#This Row],[Column1]],[1]Sheet1!$A:$AO,35,FALSE)</f>
        <v>N/A</v>
      </c>
      <c r="AJ892" s="576" t="str">
        <f>VLOOKUP(Table13[[#This Row],[Column1]],[1]Sheet1!$A:$AO,36,FALSE)</f>
        <v>N/A</v>
      </c>
      <c r="AK892" s="576" t="str">
        <f>VLOOKUP(Table13[[#This Row],[Column1]],[1]Sheet1!$A:$AO,37,FALSE)</f>
        <v>N/A</v>
      </c>
      <c r="AL892" s="576" t="str">
        <f>VLOOKUP(Table13[[#This Row],[Column1]],[1]Sheet1!$A:$AO,38,FALSE)</f>
        <v>N/A</v>
      </c>
      <c r="AM892" s="576" t="str">
        <f>VLOOKUP(Table13[[#This Row],[Column1]],[1]Sheet1!$A:$AO,39,FALSE)</f>
        <v>N/A</v>
      </c>
      <c r="AN892" s="576" t="s">
        <v>713</v>
      </c>
      <c r="AO892" s="303" t="s">
        <v>1044</v>
      </c>
      <c r="AP892" s="378"/>
      <c r="AQ892" s="237"/>
    </row>
    <row r="893" spans="1:43" s="238" customFormat="1" ht="75" customHeight="1" x14ac:dyDescent="0.25">
      <c r="A893" s="556" t="s">
        <v>1114</v>
      </c>
      <c r="B893" s="627" t="str">
        <f>VLOOKUP(Table13[[#This Row],[Column1]],[1]Sheet1!$A:$AO,2,FALSE)</f>
        <v>SPAREPARTS (MOTOR
CYCLE)</v>
      </c>
      <c r="C893" s="298" t="str">
        <f>VLOOKUP(Table13[[#This Row],[Column1]],[1]Sheet1!$A:$AO,3,FALSE)</f>
        <v>PGSO</v>
      </c>
      <c r="D893" s="298" t="s">
        <v>712</v>
      </c>
      <c r="E893" s="450" t="str">
        <f>VLOOKUP(Table13[[#This Row],[Column1]],[1]Sheet1!$A:$AO,5,FALSE)</f>
        <v>Shopping 52.1(a) - Unforeseen Contingency</v>
      </c>
      <c r="F893" s="446">
        <f>VLOOKUP(Table13[[#This Row],[Column1]],[1]Sheet1!$A:$AO,6,FALSE)</f>
        <v>45440</v>
      </c>
      <c r="G893" s="402">
        <f>VLOOKUP(Table13[[#This Row],[Column1]],[1]Sheet1!$A:$AO,7,FALSE)</f>
        <v>45442</v>
      </c>
      <c r="H893" s="374"/>
      <c r="I893" s="402" t="str">
        <f>VLOOKUP(Table13[[#This Row],[Column1]],[1]Sheet1!$A:$AO,9,FALSE)</f>
        <v>N/A</v>
      </c>
      <c r="J893" s="402">
        <f>VLOOKUP(Table13[[#This Row],[Column1]],[1]Sheet1!$A:$AO,10,FALSE)</f>
        <v>45461</v>
      </c>
      <c r="K893" s="402">
        <f>VLOOKUP(Table13[[#This Row],[Column1]],[1]Sheet1!$A:$AO,11,FALSE)</f>
        <v>45461</v>
      </c>
      <c r="L893" s="404"/>
      <c r="M893" s="402" t="str">
        <f>VLOOKUP(Table13[[#This Row],[Column1]],[1]Sheet1!$A:$AO,13,FALSE)</f>
        <v>N/A</v>
      </c>
      <c r="N893" s="402" t="str">
        <f>VLOOKUP(Table13[[#This Row],[Column1]],[1]Sheet1!$A:$AO,14,FALSE)</f>
        <v>N/A</v>
      </c>
      <c r="O893" s="402">
        <f>VLOOKUP(Table13[[#This Row],[Column1]],[1]Sheet1!$A:$AO,15,FALSE)</f>
        <v>45463</v>
      </c>
      <c r="P893" s="375"/>
      <c r="Q893" s="375"/>
      <c r="R893" s="376"/>
      <c r="S893" s="583" t="str">
        <f>VLOOKUP(Table13[[#This Row],[Column1]],[1]Sheet1!$A:$AO,19,FALSE)</f>
        <v>N/A</v>
      </c>
      <c r="T893" s="583"/>
      <c r="U893" s="583"/>
      <c r="V893" s="376"/>
      <c r="W893" s="376"/>
      <c r="X893" s="402"/>
      <c r="Y893" s="402"/>
      <c r="Z893" s="610" t="s">
        <v>1478</v>
      </c>
      <c r="AA893" s="532">
        <f>IF(Table13[[#This Row],[Column2]]="","",SUM(Table13[[#This Row],[Column28]]+Table13[[#This Row],[Column29]]))</f>
        <v>10150</v>
      </c>
      <c r="AB893" s="537">
        <v>10150</v>
      </c>
      <c r="AC893" s="502"/>
      <c r="AD893" s="532">
        <f>IF(Table13[[#This Row],[Column2]]="","",SUM(Table13[[#This Row],[Column31]]+Table13[[#This Row],[Column32]]))</f>
        <v>10120</v>
      </c>
      <c r="AE893" s="501">
        <v>10120</v>
      </c>
      <c r="AF893" s="540"/>
      <c r="AG893" s="405"/>
      <c r="AH893" s="380" t="s">
        <v>1205</v>
      </c>
      <c r="AI893" s="576" t="str">
        <f>VLOOKUP(Table13[[#This Row],[Column1]],[1]Sheet1!$A:$AO,35,FALSE)</f>
        <v>N/A</v>
      </c>
      <c r="AJ893" s="576" t="str">
        <f>VLOOKUP(Table13[[#This Row],[Column1]],[1]Sheet1!$A:$AO,36,FALSE)</f>
        <v>N/A</v>
      </c>
      <c r="AK893" s="576" t="str">
        <f>VLOOKUP(Table13[[#This Row],[Column1]],[1]Sheet1!$A:$AO,37,FALSE)</f>
        <v>N/A</v>
      </c>
      <c r="AL893" s="576" t="str">
        <f>VLOOKUP(Table13[[#This Row],[Column1]],[1]Sheet1!$A:$AO,38,FALSE)</f>
        <v>N/A</v>
      </c>
      <c r="AM893" s="576" t="str">
        <f>VLOOKUP(Table13[[#This Row],[Column1]],[1]Sheet1!$A:$AO,39,FALSE)</f>
        <v>N/A</v>
      </c>
      <c r="AN893" s="576" t="s">
        <v>713</v>
      </c>
      <c r="AO893" s="303" t="s">
        <v>1044</v>
      </c>
      <c r="AP893" s="378"/>
      <c r="AQ893" s="237"/>
    </row>
    <row r="894" spans="1:43" s="238" customFormat="1" ht="75" customHeight="1" x14ac:dyDescent="0.25">
      <c r="A894" s="556" t="s">
        <v>1115</v>
      </c>
      <c r="B894" s="627" t="str">
        <f>VLOOKUP(Table13[[#This Row],[Column1]],[1]Sheet1!$A:$AO,2,FALSE)</f>
        <v>SPAREPARTS (MOTOR
CYCLE)</v>
      </c>
      <c r="C894" s="298" t="str">
        <f>VLOOKUP(Table13[[#This Row],[Column1]],[1]Sheet1!$A:$AO,3,FALSE)</f>
        <v>PGSO</v>
      </c>
      <c r="D894" s="298" t="s">
        <v>712</v>
      </c>
      <c r="E894" s="450" t="str">
        <f>VLOOKUP(Table13[[#This Row],[Column1]],[1]Sheet1!$A:$AO,5,FALSE)</f>
        <v>Shopping 52.1(a) - Unforeseen Contingency</v>
      </c>
      <c r="F894" s="446">
        <f>VLOOKUP(Table13[[#This Row],[Column1]],[1]Sheet1!$A:$AO,6,FALSE)</f>
        <v>45440</v>
      </c>
      <c r="G894" s="402">
        <f>VLOOKUP(Table13[[#This Row],[Column1]],[1]Sheet1!$A:$AO,7,FALSE)</f>
        <v>45442</v>
      </c>
      <c r="H894" s="374"/>
      <c r="I894" s="402" t="str">
        <f>VLOOKUP(Table13[[#This Row],[Column1]],[1]Sheet1!$A:$AO,9,FALSE)</f>
        <v>N/A</v>
      </c>
      <c r="J894" s="402">
        <f>VLOOKUP(Table13[[#This Row],[Column1]],[1]Sheet1!$A:$AO,10,FALSE)</f>
        <v>45461</v>
      </c>
      <c r="K894" s="402">
        <f>VLOOKUP(Table13[[#This Row],[Column1]],[1]Sheet1!$A:$AO,11,FALSE)</f>
        <v>45461</v>
      </c>
      <c r="L894" s="404"/>
      <c r="M894" s="402" t="str">
        <f>VLOOKUP(Table13[[#This Row],[Column1]],[1]Sheet1!$A:$AO,13,FALSE)</f>
        <v>N/A</v>
      </c>
      <c r="N894" s="402" t="str">
        <f>VLOOKUP(Table13[[#This Row],[Column1]],[1]Sheet1!$A:$AO,14,FALSE)</f>
        <v>N/A</v>
      </c>
      <c r="O894" s="402">
        <f>VLOOKUP(Table13[[#This Row],[Column1]],[1]Sheet1!$A:$AO,15,FALSE)</f>
        <v>45463</v>
      </c>
      <c r="P894" s="375"/>
      <c r="Q894" s="375"/>
      <c r="R894" s="376"/>
      <c r="S894" s="583" t="str">
        <f>VLOOKUP(Table13[[#This Row],[Column1]],[1]Sheet1!$A:$AO,19,FALSE)</f>
        <v>N/A</v>
      </c>
      <c r="T894" s="583"/>
      <c r="U894" s="583"/>
      <c r="V894" s="376"/>
      <c r="W894" s="376"/>
      <c r="X894" s="402"/>
      <c r="Y894" s="402"/>
      <c r="Z894" s="610" t="s">
        <v>1478</v>
      </c>
      <c r="AA894" s="532">
        <f>IF(Table13[[#This Row],[Column2]]="","",SUM(Table13[[#This Row],[Column28]]+Table13[[#This Row],[Column29]]))</f>
        <v>15750</v>
      </c>
      <c r="AB894" s="537">
        <v>15750</v>
      </c>
      <c r="AC894" s="502"/>
      <c r="AD894" s="532">
        <f>IF(Table13[[#This Row],[Column2]]="","",SUM(Table13[[#This Row],[Column31]]+Table13[[#This Row],[Column32]]))</f>
        <v>15695</v>
      </c>
      <c r="AE894" s="501">
        <v>15695</v>
      </c>
      <c r="AF894" s="540"/>
      <c r="AG894" s="405"/>
      <c r="AH894" s="380" t="s">
        <v>1205</v>
      </c>
      <c r="AI894" s="576" t="str">
        <f>VLOOKUP(Table13[[#This Row],[Column1]],[1]Sheet1!$A:$AO,35,FALSE)</f>
        <v>N/A</v>
      </c>
      <c r="AJ894" s="576" t="str">
        <f>VLOOKUP(Table13[[#This Row],[Column1]],[1]Sheet1!$A:$AO,36,FALSE)</f>
        <v>N/A</v>
      </c>
      <c r="AK894" s="576" t="str">
        <f>VLOOKUP(Table13[[#This Row],[Column1]],[1]Sheet1!$A:$AO,37,FALSE)</f>
        <v>N/A</v>
      </c>
      <c r="AL894" s="576" t="str">
        <f>VLOOKUP(Table13[[#This Row],[Column1]],[1]Sheet1!$A:$AO,38,FALSE)</f>
        <v>N/A</v>
      </c>
      <c r="AM894" s="576" t="str">
        <f>VLOOKUP(Table13[[#This Row],[Column1]],[1]Sheet1!$A:$AO,39,FALSE)</f>
        <v>N/A</v>
      </c>
      <c r="AN894" s="576" t="s">
        <v>713</v>
      </c>
      <c r="AO894" s="303" t="s">
        <v>1044</v>
      </c>
      <c r="AP894" s="378"/>
      <c r="AQ894" s="237"/>
    </row>
    <row r="895" spans="1:43" s="238" customFormat="1" ht="75" customHeight="1" x14ac:dyDescent="0.25">
      <c r="A895" s="556" t="s">
        <v>1116</v>
      </c>
      <c r="B895" s="627" t="str">
        <f>VLOOKUP(Table13[[#This Row],[Column1]],[1]Sheet1!$A:$AO,2,FALSE)</f>
        <v>SPAREPARTS (LIGHT</v>
      </c>
      <c r="C895" s="298" t="str">
        <f>VLOOKUP(Table13[[#This Row],[Column1]],[1]Sheet1!$A:$AO,3,FALSE)</f>
        <v>PGSO</v>
      </c>
      <c r="D895" s="298" t="s">
        <v>712</v>
      </c>
      <c r="E895" s="450" t="str">
        <f>VLOOKUP(Table13[[#This Row],[Column1]],[1]Sheet1!$A:$AO,5,FALSE)</f>
        <v>Shopping 52.1(a) - Unforeseen Contingency</v>
      </c>
      <c r="F895" s="446">
        <f>VLOOKUP(Table13[[#This Row],[Column1]],[1]Sheet1!$A:$AO,6,FALSE)</f>
        <v>45440</v>
      </c>
      <c r="G895" s="402">
        <f>VLOOKUP(Table13[[#This Row],[Column1]],[1]Sheet1!$A:$AO,7,FALSE)</f>
        <v>45442</v>
      </c>
      <c r="H895" s="374"/>
      <c r="I895" s="402" t="str">
        <f>VLOOKUP(Table13[[#This Row],[Column1]],[1]Sheet1!$A:$AO,9,FALSE)</f>
        <v>N/A</v>
      </c>
      <c r="J895" s="402">
        <f>VLOOKUP(Table13[[#This Row],[Column1]],[1]Sheet1!$A:$AO,10,FALSE)</f>
        <v>45461</v>
      </c>
      <c r="K895" s="402">
        <f>VLOOKUP(Table13[[#This Row],[Column1]],[1]Sheet1!$A:$AO,11,FALSE)</f>
        <v>45461</v>
      </c>
      <c r="L895" s="404"/>
      <c r="M895" s="402" t="str">
        <f>VLOOKUP(Table13[[#This Row],[Column1]],[1]Sheet1!$A:$AO,13,FALSE)</f>
        <v>N/A</v>
      </c>
      <c r="N895" s="402" t="str">
        <f>VLOOKUP(Table13[[#This Row],[Column1]],[1]Sheet1!$A:$AO,14,FALSE)</f>
        <v>N/A</v>
      </c>
      <c r="O895" s="402">
        <f>VLOOKUP(Table13[[#This Row],[Column1]],[1]Sheet1!$A:$AO,15,FALSE)</f>
        <v>45463</v>
      </c>
      <c r="P895" s="375"/>
      <c r="Q895" s="375"/>
      <c r="R895" s="376"/>
      <c r="S895" s="583" t="str">
        <f>VLOOKUP(Table13[[#This Row],[Column1]],[1]Sheet1!$A:$AO,19,FALSE)</f>
        <v>N/A</v>
      </c>
      <c r="T895" s="583"/>
      <c r="U895" s="583"/>
      <c r="V895" s="376"/>
      <c r="W895" s="376"/>
      <c r="X895" s="402"/>
      <c r="Y895" s="402"/>
      <c r="Z895" s="610" t="s">
        <v>1478</v>
      </c>
      <c r="AA895" s="532">
        <f>IF(Table13[[#This Row],[Column2]]="","",SUM(Table13[[#This Row],[Column28]]+Table13[[#This Row],[Column29]]))</f>
        <v>1300</v>
      </c>
      <c r="AB895" s="537">
        <v>1300</v>
      </c>
      <c r="AC895" s="502"/>
      <c r="AD895" s="532">
        <f>IF(Table13[[#This Row],[Column2]]="","",SUM(Table13[[#This Row],[Column31]]+Table13[[#This Row],[Column32]]))</f>
        <v>1200</v>
      </c>
      <c r="AE895" s="501">
        <v>1200</v>
      </c>
      <c r="AF895" s="540"/>
      <c r="AG895" s="405"/>
      <c r="AH895" s="380" t="s">
        <v>1205</v>
      </c>
      <c r="AI895" s="576" t="str">
        <f>VLOOKUP(Table13[[#This Row],[Column1]],[1]Sheet1!$A:$AO,35,FALSE)</f>
        <v>N/A</v>
      </c>
      <c r="AJ895" s="576" t="str">
        <f>VLOOKUP(Table13[[#This Row],[Column1]],[1]Sheet1!$A:$AO,36,FALSE)</f>
        <v>N/A</v>
      </c>
      <c r="AK895" s="576" t="str">
        <f>VLOOKUP(Table13[[#This Row],[Column1]],[1]Sheet1!$A:$AO,37,FALSE)</f>
        <v>N/A</v>
      </c>
      <c r="AL895" s="576" t="str">
        <f>VLOOKUP(Table13[[#This Row],[Column1]],[1]Sheet1!$A:$AO,38,FALSE)</f>
        <v>N/A</v>
      </c>
      <c r="AM895" s="576" t="str">
        <f>VLOOKUP(Table13[[#This Row],[Column1]],[1]Sheet1!$A:$AO,39,FALSE)</f>
        <v>N/A</v>
      </c>
      <c r="AN895" s="576" t="s">
        <v>713</v>
      </c>
      <c r="AO895" s="303" t="s">
        <v>1044</v>
      </c>
      <c r="AP895" s="378"/>
      <c r="AQ895" s="237"/>
    </row>
    <row r="896" spans="1:43" s="238" customFormat="1" ht="75" customHeight="1" x14ac:dyDescent="0.25">
      <c r="A896" s="556" t="s">
        <v>1117</v>
      </c>
      <c r="B896" s="627" t="str">
        <f>VLOOKUP(Table13[[#This Row],[Column1]],[1]Sheet1!$A:$AO,2,FALSE)</f>
        <v>SPAREPARTS (LIGHT
VEHICLES)</v>
      </c>
      <c r="C896" s="298" t="str">
        <f>VLOOKUP(Table13[[#This Row],[Column1]],[1]Sheet1!$A:$AO,3,FALSE)</f>
        <v>PGSO</v>
      </c>
      <c r="D896" s="298" t="s">
        <v>712</v>
      </c>
      <c r="E896" s="450" t="str">
        <f>VLOOKUP(Table13[[#This Row],[Column1]],[1]Sheet1!$A:$AO,5,FALSE)</f>
        <v>Shopping 52.1(a) - Unforeseen Contingency</v>
      </c>
      <c r="F896" s="446">
        <f>VLOOKUP(Table13[[#This Row],[Column1]],[1]Sheet1!$A:$AO,6,FALSE)</f>
        <v>45440</v>
      </c>
      <c r="G896" s="402">
        <f>VLOOKUP(Table13[[#This Row],[Column1]],[1]Sheet1!$A:$AO,7,FALSE)</f>
        <v>45442</v>
      </c>
      <c r="H896" s="374"/>
      <c r="I896" s="402" t="str">
        <f>VLOOKUP(Table13[[#This Row],[Column1]],[1]Sheet1!$A:$AO,9,FALSE)</f>
        <v>N/A</v>
      </c>
      <c r="J896" s="402">
        <f>VLOOKUP(Table13[[#This Row],[Column1]],[1]Sheet1!$A:$AO,10,FALSE)</f>
        <v>45461</v>
      </c>
      <c r="K896" s="402">
        <f>VLOOKUP(Table13[[#This Row],[Column1]],[1]Sheet1!$A:$AO,11,FALSE)</f>
        <v>45461</v>
      </c>
      <c r="L896" s="404"/>
      <c r="M896" s="402" t="str">
        <f>VLOOKUP(Table13[[#This Row],[Column1]],[1]Sheet1!$A:$AO,13,FALSE)</f>
        <v>N/A</v>
      </c>
      <c r="N896" s="402" t="str">
        <f>VLOOKUP(Table13[[#This Row],[Column1]],[1]Sheet1!$A:$AO,14,FALSE)</f>
        <v>N/A</v>
      </c>
      <c r="O896" s="402">
        <f>VLOOKUP(Table13[[#This Row],[Column1]],[1]Sheet1!$A:$AO,15,FALSE)</f>
        <v>45463</v>
      </c>
      <c r="P896" s="375"/>
      <c r="Q896" s="375"/>
      <c r="R896" s="376"/>
      <c r="S896" s="583" t="str">
        <f>VLOOKUP(Table13[[#This Row],[Column1]],[1]Sheet1!$A:$AO,19,FALSE)</f>
        <v>N/A</v>
      </c>
      <c r="T896" s="583"/>
      <c r="U896" s="583"/>
      <c r="V896" s="376"/>
      <c r="W896" s="376"/>
      <c r="X896" s="402"/>
      <c r="Y896" s="402"/>
      <c r="Z896" s="610" t="s">
        <v>1478</v>
      </c>
      <c r="AA896" s="532">
        <f>IF(Table13[[#This Row],[Column2]]="","",SUM(Table13[[#This Row],[Column28]]+Table13[[#This Row],[Column29]]))</f>
        <v>8250</v>
      </c>
      <c r="AB896" s="537">
        <v>8250</v>
      </c>
      <c r="AC896" s="502"/>
      <c r="AD896" s="532">
        <f>IF(Table13[[#This Row],[Column2]]="","",SUM(Table13[[#This Row],[Column31]]+Table13[[#This Row],[Column32]]))</f>
        <v>7300</v>
      </c>
      <c r="AE896" s="501">
        <v>7300</v>
      </c>
      <c r="AF896" s="540"/>
      <c r="AG896" s="405"/>
      <c r="AH896" s="380" t="s">
        <v>1205</v>
      </c>
      <c r="AI896" s="576" t="str">
        <f>VLOOKUP(Table13[[#This Row],[Column1]],[1]Sheet1!$A:$AO,35,FALSE)</f>
        <v>N/A</v>
      </c>
      <c r="AJ896" s="576" t="str">
        <f>VLOOKUP(Table13[[#This Row],[Column1]],[1]Sheet1!$A:$AO,36,FALSE)</f>
        <v>N/A</v>
      </c>
      <c r="AK896" s="576" t="str">
        <f>VLOOKUP(Table13[[#This Row],[Column1]],[1]Sheet1!$A:$AO,37,FALSE)</f>
        <v>N/A</v>
      </c>
      <c r="AL896" s="576" t="str">
        <f>VLOOKUP(Table13[[#This Row],[Column1]],[1]Sheet1!$A:$AO,38,FALSE)</f>
        <v>N/A</v>
      </c>
      <c r="AM896" s="576" t="str">
        <f>VLOOKUP(Table13[[#This Row],[Column1]],[1]Sheet1!$A:$AO,39,FALSE)</f>
        <v>N/A</v>
      </c>
      <c r="AN896" s="576" t="s">
        <v>713</v>
      </c>
      <c r="AO896" s="303" t="s">
        <v>1044</v>
      </c>
      <c r="AP896" s="378"/>
      <c r="AQ896" s="237"/>
    </row>
    <row r="897" spans="1:43" s="238" customFormat="1" ht="75" customHeight="1" x14ac:dyDescent="0.25">
      <c r="A897" s="297" t="s">
        <v>1118</v>
      </c>
      <c r="B897" s="627" t="str">
        <f>VLOOKUP(Table13[[#This Row],[Column1]],[1]Sheet1!$A:$AO,2,FALSE)</f>
        <v xml:space="preserve">LUMBER </v>
      </c>
      <c r="C897" s="298" t="str">
        <f>VLOOKUP(Table13[[#This Row],[Column1]],[1]Sheet1!$A:$AO,3,FALSE)</f>
        <v>SEF</v>
      </c>
      <c r="D897" s="298" t="s">
        <v>712</v>
      </c>
      <c r="E897" s="450" t="str">
        <f>VLOOKUP(Table13[[#This Row],[Column1]],[1]Sheet1!$A:$AO,5,FALSE)</f>
        <v>NP-53.9 - Small Value Procurement</v>
      </c>
      <c r="F897" s="446">
        <f>VLOOKUP(Table13[[#This Row],[Column1]],[1]Sheet1!$A:$AO,6,FALSE)</f>
        <v>45370</v>
      </c>
      <c r="G897" s="402">
        <f>VLOOKUP(Table13[[#This Row],[Column1]],[1]Sheet1!$A:$AO,7,FALSE)</f>
        <v>45376</v>
      </c>
      <c r="H897" s="374"/>
      <c r="I897" s="402" t="str">
        <f>VLOOKUP(Table13[[#This Row],[Column1]],[1]Sheet1!$A:$AO,9,FALSE)</f>
        <v>N/A</v>
      </c>
      <c r="J897" s="402">
        <f>VLOOKUP(Table13[[#This Row],[Column1]],[1]Sheet1!$A:$AO,10,FALSE)</f>
        <v>45461</v>
      </c>
      <c r="K897" s="402">
        <f>VLOOKUP(Table13[[#This Row],[Column1]],[1]Sheet1!$A:$AO,11,FALSE)</f>
        <v>45461</v>
      </c>
      <c r="L897" s="404"/>
      <c r="M897" s="402" t="str">
        <f>VLOOKUP(Table13[[#This Row],[Column1]],[1]Sheet1!$A:$AO,13,FALSE)</f>
        <v>N/A</v>
      </c>
      <c r="N897" s="402" t="str">
        <f>VLOOKUP(Table13[[#This Row],[Column1]],[1]Sheet1!$A:$AO,14,FALSE)</f>
        <v>N/A</v>
      </c>
      <c r="O897" s="402">
        <f>VLOOKUP(Table13[[#This Row],[Column1]],[1]Sheet1!$A:$AO,15,FALSE)</f>
        <v>45463</v>
      </c>
      <c r="P897" s="375"/>
      <c r="Q897" s="375"/>
      <c r="R897" s="376"/>
      <c r="S897" s="583" t="str">
        <f>VLOOKUP(Table13[[#This Row],[Column1]],[1]Sheet1!$A:$AO,19,FALSE)</f>
        <v>N/A</v>
      </c>
      <c r="T897" s="583"/>
      <c r="U897" s="583"/>
      <c r="V897" s="376"/>
      <c r="W897" s="376"/>
      <c r="X897" s="402"/>
      <c r="Y897" s="402"/>
      <c r="Z897" s="610" t="s">
        <v>1478</v>
      </c>
      <c r="AA897" s="532">
        <f>IF(Table13[[#This Row],[Column2]]="","",SUM(Table13[[#This Row],[Column28]]+Table13[[#This Row],[Column29]]))</f>
        <v>7347.51</v>
      </c>
      <c r="AB897" s="537"/>
      <c r="AC897" s="502">
        <v>7347.51</v>
      </c>
      <c r="AD897" s="532">
        <f>IF(Table13[[#This Row],[Column2]]="","",SUM(Table13[[#This Row],[Column31]]+Table13[[#This Row],[Column32]]))</f>
        <v>7269.34</v>
      </c>
      <c r="AE897" s="501"/>
      <c r="AF897" s="540">
        <v>7269.34</v>
      </c>
      <c r="AG897" s="405"/>
      <c r="AH897" s="380" t="s">
        <v>1205</v>
      </c>
      <c r="AI897" s="576" t="str">
        <f>VLOOKUP(Table13[[#This Row],[Column1]],[1]Sheet1!$A:$AO,35,FALSE)</f>
        <v>N/A</v>
      </c>
      <c r="AJ897" s="576" t="str">
        <f>VLOOKUP(Table13[[#This Row],[Column1]],[1]Sheet1!$A:$AO,36,FALSE)</f>
        <v>N/A</v>
      </c>
      <c r="AK897" s="576" t="str">
        <f>VLOOKUP(Table13[[#This Row],[Column1]],[1]Sheet1!$A:$AO,37,FALSE)</f>
        <v>N/A</v>
      </c>
      <c r="AL897" s="576" t="str">
        <f>VLOOKUP(Table13[[#This Row],[Column1]],[1]Sheet1!$A:$AO,38,FALSE)</f>
        <v>N/A</v>
      </c>
      <c r="AM897" s="576" t="str">
        <f>VLOOKUP(Table13[[#This Row],[Column1]],[1]Sheet1!$A:$AO,39,FALSE)</f>
        <v>N/A</v>
      </c>
      <c r="AN897" s="576" t="s">
        <v>713</v>
      </c>
      <c r="AO897" s="303" t="s">
        <v>1044</v>
      </c>
      <c r="AP897" s="378"/>
      <c r="AQ897" s="237"/>
    </row>
    <row r="898" spans="1:43" s="238" customFormat="1" ht="75" customHeight="1" x14ac:dyDescent="0.25">
      <c r="A898" s="297" t="s">
        <v>1119</v>
      </c>
      <c r="B898" s="627" t="str">
        <f>VLOOKUP(Table13[[#This Row],[Column1]],[1]Sheet1!$A:$AO,2,FALSE)</f>
        <v xml:space="preserve">LUMBER
</v>
      </c>
      <c r="C898" s="298" t="str">
        <f>VLOOKUP(Table13[[#This Row],[Column1]],[1]Sheet1!$A:$AO,3,FALSE)</f>
        <v>PEO</v>
      </c>
      <c r="D898" s="298" t="s">
        <v>712</v>
      </c>
      <c r="E898" s="450" t="str">
        <f>VLOOKUP(Table13[[#This Row],[Column1]],[1]Sheet1!$A:$AO,5,FALSE)</f>
        <v>NP-53.9 - Small Value Procurement</v>
      </c>
      <c r="F898" s="446">
        <f>VLOOKUP(Table13[[#This Row],[Column1]],[1]Sheet1!$A:$AO,6,FALSE)</f>
        <v>45370</v>
      </c>
      <c r="G898" s="402">
        <f>VLOOKUP(Table13[[#This Row],[Column1]],[1]Sheet1!$A:$AO,7,FALSE)</f>
        <v>45376</v>
      </c>
      <c r="H898" s="374"/>
      <c r="I898" s="402" t="str">
        <f>VLOOKUP(Table13[[#This Row],[Column1]],[1]Sheet1!$A:$AO,9,FALSE)</f>
        <v>N/A</v>
      </c>
      <c r="J898" s="402">
        <f>VLOOKUP(Table13[[#This Row],[Column1]],[1]Sheet1!$A:$AO,10,FALSE)</f>
        <v>45461</v>
      </c>
      <c r="K898" s="402">
        <f>VLOOKUP(Table13[[#This Row],[Column1]],[1]Sheet1!$A:$AO,11,FALSE)</f>
        <v>45461</v>
      </c>
      <c r="L898" s="404"/>
      <c r="M898" s="402" t="str">
        <f>VLOOKUP(Table13[[#This Row],[Column1]],[1]Sheet1!$A:$AO,13,FALSE)</f>
        <v>N/A</v>
      </c>
      <c r="N898" s="402" t="str">
        <f>VLOOKUP(Table13[[#This Row],[Column1]],[1]Sheet1!$A:$AO,14,FALSE)</f>
        <v>N/A</v>
      </c>
      <c r="O898" s="402">
        <f>VLOOKUP(Table13[[#This Row],[Column1]],[1]Sheet1!$A:$AO,15,FALSE)</f>
        <v>45463</v>
      </c>
      <c r="P898" s="375"/>
      <c r="Q898" s="375"/>
      <c r="R898" s="376"/>
      <c r="S898" s="583" t="str">
        <f>VLOOKUP(Table13[[#This Row],[Column1]],[1]Sheet1!$A:$AO,19,FALSE)</f>
        <v>N/A</v>
      </c>
      <c r="T898" s="583"/>
      <c r="U898" s="583"/>
      <c r="V898" s="376"/>
      <c r="W898" s="376"/>
      <c r="X898" s="402"/>
      <c r="Y898" s="402"/>
      <c r="Z898" s="610" t="s">
        <v>1478</v>
      </c>
      <c r="AA898" s="532">
        <f>IF(Table13[[#This Row],[Column2]]="","",SUM(Table13[[#This Row],[Column28]]+Table13[[#This Row],[Column29]]))</f>
        <v>43616</v>
      </c>
      <c r="AB898" s="537"/>
      <c r="AC898" s="502">
        <v>43616</v>
      </c>
      <c r="AD898" s="532">
        <f>IF(Table13[[#This Row],[Column2]]="","",SUM(Table13[[#This Row],[Column31]]+Table13[[#This Row],[Column32]]))</f>
        <v>43152</v>
      </c>
      <c r="AE898" s="501"/>
      <c r="AF898" s="540">
        <v>43152</v>
      </c>
      <c r="AG898" s="405"/>
      <c r="AH898" s="380" t="s">
        <v>1205</v>
      </c>
      <c r="AI898" s="576" t="str">
        <f>VLOOKUP(Table13[[#This Row],[Column1]],[1]Sheet1!$A:$AO,35,FALSE)</f>
        <v>N/A</v>
      </c>
      <c r="AJ898" s="576" t="str">
        <f>VLOOKUP(Table13[[#This Row],[Column1]],[1]Sheet1!$A:$AO,36,FALSE)</f>
        <v>N/A</v>
      </c>
      <c r="AK898" s="576" t="str">
        <f>VLOOKUP(Table13[[#This Row],[Column1]],[1]Sheet1!$A:$AO,37,FALSE)</f>
        <v>N/A</v>
      </c>
      <c r="AL898" s="576" t="str">
        <f>VLOOKUP(Table13[[#This Row],[Column1]],[1]Sheet1!$A:$AO,38,FALSE)</f>
        <v>N/A</v>
      </c>
      <c r="AM898" s="576" t="str">
        <f>VLOOKUP(Table13[[#This Row],[Column1]],[1]Sheet1!$A:$AO,39,FALSE)</f>
        <v>N/A</v>
      </c>
      <c r="AN898" s="576" t="s">
        <v>713</v>
      </c>
      <c r="AO898" s="303" t="s">
        <v>1044</v>
      </c>
      <c r="AP898" s="378"/>
      <c r="AQ898" s="237"/>
    </row>
    <row r="899" spans="1:43" s="238" customFormat="1" ht="75" customHeight="1" x14ac:dyDescent="0.25">
      <c r="A899" s="297" t="s">
        <v>1120</v>
      </c>
      <c r="B899" s="627" t="str">
        <f>VLOOKUP(Table13[[#This Row],[Column1]],[1]Sheet1!$A:$AO,2,FALSE)</f>
        <v xml:space="preserve">LUMBER </v>
      </c>
      <c r="C899" s="298" t="str">
        <f>VLOOKUP(Table13[[#This Row],[Column1]],[1]Sheet1!$A:$AO,3,FALSE)</f>
        <v>PEO</v>
      </c>
      <c r="D899" s="298" t="s">
        <v>712</v>
      </c>
      <c r="E899" s="450" t="str">
        <f>VLOOKUP(Table13[[#This Row],[Column1]],[1]Sheet1!$A:$AO,5,FALSE)</f>
        <v>NP-53.9 - Small Value Procurement</v>
      </c>
      <c r="F899" s="446">
        <f>VLOOKUP(Table13[[#This Row],[Column1]],[1]Sheet1!$A:$AO,6,FALSE)</f>
        <v>45370</v>
      </c>
      <c r="G899" s="402">
        <f>VLOOKUP(Table13[[#This Row],[Column1]],[1]Sheet1!$A:$AO,7,FALSE)</f>
        <v>45376</v>
      </c>
      <c r="H899" s="374"/>
      <c r="I899" s="402" t="str">
        <f>VLOOKUP(Table13[[#This Row],[Column1]],[1]Sheet1!$A:$AO,9,FALSE)</f>
        <v>N/A</v>
      </c>
      <c r="J899" s="402">
        <f>VLOOKUP(Table13[[#This Row],[Column1]],[1]Sheet1!$A:$AO,10,FALSE)</f>
        <v>45461</v>
      </c>
      <c r="K899" s="402">
        <f>VLOOKUP(Table13[[#This Row],[Column1]],[1]Sheet1!$A:$AO,11,FALSE)</f>
        <v>45461</v>
      </c>
      <c r="L899" s="404"/>
      <c r="M899" s="402" t="str">
        <f>VLOOKUP(Table13[[#This Row],[Column1]],[1]Sheet1!$A:$AO,13,FALSE)</f>
        <v>N/A</v>
      </c>
      <c r="N899" s="402" t="str">
        <f>VLOOKUP(Table13[[#This Row],[Column1]],[1]Sheet1!$A:$AO,14,FALSE)</f>
        <v>N/A</v>
      </c>
      <c r="O899" s="402">
        <f>VLOOKUP(Table13[[#This Row],[Column1]],[1]Sheet1!$A:$AO,15,FALSE)</f>
        <v>45463</v>
      </c>
      <c r="P899" s="375"/>
      <c r="Q899" s="375"/>
      <c r="R899" s="376"/>
      <c r="S899" s="583" t="str">
        <f>VLOOKUP(Table13[[#This Row],[Column1]],[1]Sheet1!$A:$AO,19,FALSE)</f>
        <v>N/A</v>
      </c>
      <c r="T899" s="583"/>
      <c r="U899" s="583"/>
      <c r="V899" s="376"/>
      <c r="W899" s="376"/>
      <c r="X899" s="402"/>
      <c r="Y899" s="402"/>
      <c r="Z899" s="610" t="s">
        <v>1478</v>
      </c>
      <c r="AA899" s="532">
        <f>IF(Table13[[#This Row],[Column2]]="","",SUM(Table13[[#This Row],[Column28]]+Table13[[#This Row],[Column29]]))</f>
        <v>20601.509999999998</v>
      </c>
      <c r="AB899" s="537"/>
      <c r="AC899" s="502">
        <v>20601.509999999998</v>
      </c>
      <c r="AD899" s="532">
        <f>IF(Table13[[#This Row],[Column2]]="","",SUM(Table13[[#This Row],[Column31]]+Table13[[#This Row],[Column32]]))</f>
        <v>20382.34</v>
      </c>
      <c r="AE899" s="501"/>
      <c r="AF899" s="540">
        <v>20382.34</v>
      </c>
      <c r="AG899" s="405"/>
      <c r="AH899" s="380" t="s">
        <v>1205</v>
      </c>
      <c r="AI899" s="576" t="str">
        <f>VLOOKUP(Table13[[#This Row],[Column1]],[1]Sheet1!$A:$AO,35,FALSE)</f>
        <v>N/A</v>
      </c>
      <c r="AJ899" s="576" t="str">
        <f>VLOOKUP(Table13[[#This Row],[Column1]],[1]Sheet1!$A:$AO,36,FALSE)</f>
        <v>N/A</v>
      </c>
      <c r="AK899" s="576" t="str">
        <f>VLOOKUP(Table13[[#This Row],[Column1]],[1]Sheet1!$A:$AO,37,FALSE)</f>
        <v>N/A</v>
      </c>
      <c r="AL899" s="576" t="str">
        <f>VLOOKUP(Table13[[#This Row],[Column1]],[1]Sheet1!$A:$AO,38,FALSE)</f>
        <v>N/A</v>
      </c>
      <c r="AM899" s="576" t="str">
        <f>VLOOKUP(Table13[[#This Row],[Column1]],[1]Sheet1!$A:$AO,39,FALSE)</f>
        <v>N/A</v>
      </c>
      <c r="AN899" s="576" t="s">
        <v>713</v>
      </c>
      <c r="AO899" s="303" t="s">
        <v>1044</v>
      </c>
      <c r="AP899" s="378"/>
      <c r="AQ899" s="237"/>
    </row>
    <row r="900" spans="1:43" s="238" customFormat="1" ht="75" customHeight="1" x14ac:dyDescent="0.25">
      <c r="A900" s="297" t="s">
        <v>1121</v>
      </c>
      <c r="B900" s="627" t="str">
        <f>VLOOKUP(Table13[[#This Row],[Column1]],[1]Sheet1!$A:$AO,2,FALSE)</f>
        <v xml:space="preserve">LUMBER
</v>
      </c>
      <c r="C900" s="298" t="str">
        <f>VLOOKUP(Table13[[#This Row],[Column1]],[1]Sheet1!$A:$AO,3,FALSE)</f>
        <v>PEO</v>
      </c>
      <c r="D900" s="298" t="s">
        <v>712</v>
      </c>
      <c r="E900" s="450" t="str">
        <f>VLOOKUP(Table13[[#This Row],[Column1]],[1]Sheet1!$A:$AO,5,FALSE)</f>
        <v>NP-53.9 - Small Value Procurement</v>
      </c>
      <c r="F900" s="446">
        <f>VLOOKUP(Table13[[#This Row],[Column1]],[1]Sheet1!$A:$AO,6,FALSE)</f>
        <v>45384</v>
      </c>
      <c r="G900" s="402">
        <f>VLOOKUP(Table13[[#This Row],[Column1]],[1]Sheet1!$A:$AO,7,FALSE)</f>
        <v>45390</v>
      </c>
      <c r="H900" s="374"/>
      <c r="I900" s="402" t="str">
        <f>VLOOKUP(Table13[[#This Row],[Column1]],[1]Sheet1!$A:$AO,9,FALSE)</f>
        <v>N/A</v>
      </c>
      <c r="J900" s="402">
        <f>VLOOKUP(Table13[[#This Row],[Column1]],[1]Sheet1!$A:$AO,10,FALSE)</f>
        <v>45461</v>
      </c>
      <c r="K900" s="402">
        <f>VLOOKUP(Table13[[#This Row],[Column1]],[1]Sheet1!$A:$AO,11,FALSE)</f>
        <v>45461</v>
      </c>
      <c r="L900" s="404"/>
      <c r="M900" s="402" t="str">
        <f>VLOOKUP(Table13[[#This Row],[Column1]],[1]Sheet1!$A:$AO,13,FALSE)</f>
        <v>N/A</v>
      </c>
      <c r="N900" s="402" t="str">
        <f>VLOOKUP(Table13[[#This Row],[Column1]],[1]Sheet1!$A:$AO,14,FALSE)</f>
        <v>N/A</v>
      </c>
      <c r="O900" s="402">
        <f>VLOOKUP(Table13[[#This Row],[Column1]],[1]Sheet1!$A:$AO,15,FALSE)</f>
        <v>45463</v>
      </c>
      <c r="P900" s="375"/>
      <c r="Q900" s="375"/>
      <c r="R900" s="376"/>
      <c r="S900" s="583" t="str">
        <f>VLOOKUP(Table13[[#This Row],[Column1]],[1]Sheet1!$A:$AO,19,FALSE)</f>
        <v>N/A</v>
      </c>
      <c r="T900" s="583"/>
      <c r="U900" s="583"/>
      <c r="V900" s="376"/>
      <c r="W900" s="376"/>
      <c r="X900" s="402"/>
      <c r="Y900" s="402"/>
      <c r="Z900" s="610" t="s">
        <v>1478</v>
      </c>
      <c r="AA900" s="532">
        <f>IF(Table13[[#This Row],[Column2]]="","",SUM(Table13[[#This Row],[Column28]]+Table13[[#This Row],[Column29]]))</f>
        <v>21071.51</v>
      </c>
      <c r="AB900" s="537"/>
      <c r="AC900" s="502">
        <v>21071.51</v>
      </c>
      <c r="AD900" s="532">
        <f>IF(Table13[[#This Row],[Column2]]="","",SUM(Table13[[#This Row],[Column31]]+Table13[[#This Row],[Column32]]))</f>
        <v>20847.34</v>
      </c>
      <c r="AE900" s="501"/>
      <c r="AF900" s="540">
        <v>20847.34</v>
      </c>
      <c r="AG900" s="405"/>
      <c r="AH900" s="380" t="s">
        <v>1205</v>
      </c>
      <c r="AI900" s="576" t="str">
        <f>VLOOKUP(Table13[[#This Row],[Column1]],[1]Sheet1!$A:$AO,35,FALSE)</f>
        <v>N/A</v>
      </c>
      <c r="AJ900" s="576" t="str">
        <f>VLOOKUP(Table13[[#This Row],[Column1]],[1]Sheet1!$A:$AO,36,FALSE)</f>
        <v>N/A</v>
      </c>
      <c r="AK900" s="576" t="str">
        <f>VLOOKUP(Table13[[#This Row],[Column1]],[1]Sheet1!$A:$AO,37,FALSE)</f>
        <v>N/A</v>
      </c>
      <c r="AL900" s="576" t="str">
        <f>VLOOKUP(Table13[[#This Row],[Column1]],[1]Sheet1!$A:$AO,38,FALSE)</f>
        <v>N/A</v>
      </c>
      <c r="AM900" s="576" t="str">
        <f>VLOOKUP(Table13[[#This Row],[Column1]],[1]Sheet1!$A:$AO,39,FALSE)</f>
        <v>N/A</v>
      </c>
      <c r="AN900" s="576" t="s">
        <v>713</v>
      </c>
      <c r="AO900" s="303" t="s">
        <v>1044</v>
      </c>
      <c r="AP900" s="378"/>
      <c r="AQ900" s="237"/>
    </row>
    <row r="901" spans="1:43" s="238" customFormat="1" ht="75" customHeight="1" x14ac:dyDescent="0.25">
      <c r="A901" s="297" t="s">
        <v>1122</v>
      </c>
      <c r="B901" s="627" t="str">
        <f>VLOOKUP(Table13[[#This Row],[Column1]],[1]Sheet1!$A:$AO,2,FALSE)</f>
        <v xml:space="preserve">LUMBER
</v>
      </c>
      <c r="C901" s="298" t="str">
        <f>VLOOKUP(Table13[[#This Row],[Column1]],[1]Sheet1!$A:$AO,3,FALSE)</f>
        <v>PAGRO</v>
      </c>
      <c r="D901" s="298" t="s">
        <v>712</v>
      </c>
      <c r="E901" s="450" t="str">
        <f>VLOOKUP(Table13[[#This Row],[Column1]],[1]Sheet1!$A:$AO,5,FALSE)</f>
        <v>NP-53.9 - Small Value Procurement</v>
      </c>
      <c r="F901" s="446">
        <f>VLOOKUP(Table13[[#This Row],[Column1]],[1]Sheet1!$A:$AO,6,FALSE)</f>
        <v>45384</v>
      </c>
      <c r="G901" s="402">
        <f>VLOOKUP(Table13[[#This Row],[Column1]],[1]Sheet1!$A:$AO,7,FALSE)</f>
        <v>45390</v>
      </c>
      <c r="H901" s="374"/>
      <c r="I901" s="402" t="str">
        <f>VLOOKUP(Table13[[#This Row],[Column1]],[1]Sheet1!$A:$AO,9,FALSE)</f>
        <v>N/A</v>
      </c>
      <c r="J901" s="402">
        <f>VLOOKUP(Table13[[#This Row],[Column1]],[1]Sheet1!$A:$AO,10,FALSE)</f>
        <v>45461</v>
      </c>
      <c r="K901" s="402">
        <f>VLOOKUP(Table13[[#This Row],[Column1]],[1]Sheet1!$A:$AO,11,FALSE)</f>
        <v>45461</v>
      </c>
      <c r="L901" s="404"/>
      <c r="M901" s="402" t="str">
        <f>VLOOKUP(Table13[[#This Row],[Column1]],[1]Sheet1!$A:$AO,13,FALSE)</f>
        <v>N/A</v>
      </c>
      <c r="N901" s="402" t="str">
        <f>VLOOKUP(Table13[[#This Row],[Column1]],[1]Sheet1!$A:$AO,14,FALSE)</f>
        <v>N/A</v>
      </c>
      <c r="O901" s="402">
        <f>VLOOKUP(Table13[[#This Row],[Column1]],[1]Sheet1!$A:$AO,15,FALSE)</f>
        <v>45463</v>
      </c>
      <c r="P901" s="375"/>
      <c r="Q901" s="375"/>
      <c r="R901" s="376"/>
      <c r="S901" s="583" t="str">
        <f>VLOOKUP(Table13[[#This Row],[Column1]],[1]Sheet1!$A:$AO,19,FALSE)</f>
        <v>N/A</v>
      </c>
      <c r="T901" s="583"/>
      <c r="U901" s="583"/>
      <c r="V901" s="376"/>
      <c r="W901" s="376"/>
      <c r="X901" s="402"/>
      <c r="Y901" s="402"/>
      <c r="Z901" s="610" t="s">
        <v>1478</v>
      </c>
      <c r="AA901" s="532">
        <f>IF(Table13[[#This Row],[Column2]]="","",SUM(Table13[[#This Row],[Column28]]+Table13[[#This Row],[Column29]]))</f>
        <v>2256</v>
      </c>
      <c r="AB901" s="537"/>
      <c r="AC901" s="502">
        <v>2256</v>
      </c>
      <c r="AD901" s="532">
        <f>IF(Table13[[#This Row],[Column2]]="","",SUM(Table13[[#This Row],[Column31]]+Table13[[#This Row],[Column32]]))</f>
        <v>2208</v>
      </c>
      <c r="AE901" s="501"/>
      <c r="AF901" s="540">
        <v>2208</v>
      </c>
      <c r="AG901" s="405"/>
      <c r="AH901" s="380" t="s">
        <v>1205</v>
      </c>
      <c r="AI901" s="576" t="str">
        <f>VLOOKUP(Table13[[#This Row],[Column1]],[1]Sheet1!$A:$AO,35,FALSE)</f>
        <v>N/A</v>
      </c>
      <c r="AJ901" s="576" t="str">
        <f>VLOOKUP(Table13[[#This Row],[Column1]],[1]Sheet1!$A:$AO,36,FALSE)</f>
        <v>N/A</v>
      </c>
      <c r="AK901" s="576" t="str">
        <f>VLOOKUP(Table13[[#This Row],[Column1]],[1]Sheet1!$A:$AO,37,FALSE)</f>
        <v>N/A</v>
      </c>
      <c r="AL901" s="576" t="str">
        <f>VLOOKUP(Table13[[#This Row],[Column1]],[1]Sheet1!$A:$AO,38,FALSE)</f>
        <v>N/A</v>
      </c>
      <c r="AM901" s="576" t="str">
        <f>VLOOKUP(Table13[[#This Row],[Column1]],[1]Sheet1!$A:$AO,39,FALSE)</f>
        <v>N/A</v>
      </c>
      <c r="AN901" s="576" t="s">
        <v>713</v>
      </c>
      <c r="AO901" s="303" t="s">
        <v>1044</v>
      </c>
      <c r="AP901" s="378"/>
      <c r="AQ901" s="237"/>
    </row>
    <row r="902" spans="1:43" s="238" customFormat="1" ht="75" customHeight="1" x14ac:dyDescent="0.25">
      <c r="A902" s="297" t="s">
        <v>1123</v>
      </c>
      <c r="B902" s="627" t="str">
        <f>VLOOKUP(Table13[[#This Row],[Column1]],[1]Sheet1!$A:$AO,2,FALSE)</f>
        <v xml:space="preserve">BINDER AND SELF INKING PAD W/ SAMPLE
</v>
      </c>
      <c r="C902" s="298" t="str">
        <f>VLOOKUP(Table13[[#This Row],[Column1]],[1]Sheet1!$A:$AO,3,FALSE)</f>
        <v>PTO</v>
      </c>
      <c r="D902" s="298" t="s">
        <v>712</v>
      </c>
      <c r="E902" s="450" t="str">
        <f>VLOOKUP(Table13[[#This Row],[Column1]],[1]Sheet1!$A:$AO,5,FALSE)</f>
        <v>NP-53.9 - Small Value Procurement</v>
      </c>
      <c r="F902" s="446" t="str">
        <f>VLOOKUP(Table13[[#This Row],[Column1]],[1]Sheet1!$A:$AO,6,FALSE)</f>
        <v>N/A</v>
      </c>
      <c r="G902" s="402">
        <f>VLOOKUP(Table13[[#This Row],[Column1]],[1]Sheet1!$A:$AO,7,FALSE)</f>
        <v>45404</v>
      </c>
      <c r="H902" s="374"/>
      <c r="I902" s="402" t="str">
        <f>VLOOKUP(Table13[[#This Row],[Column1]],[1]Sheet1!$A:$AO,9,FALSE)</f>
        <v>N/A</v>
      </c>
      <c r="J902" s="402">
        <f>VLOOKUP(Table13[[#This Row],[Column1]],[1]Sheet1!$A:$AO,10,FALSE)</f>
        <v>45461</v>
      </c>
      <c r="K902" s="402">
        <f>VLOOKUP(Table13[[#This Row],[Column1]],[1]Sheet1!$A:$AO,11,FALSE)</f>
        <v>45461</v>
      </c>
      <c r="L902" s="404"/>
      <c r="M902" s="402" t="str">
        <f>VLOOKUP(Table13[[#This Row],[Column1]],[1]Sheet1!$A:$AO,13,FALSE)</f>
        <v>N/A</v>
      </c>
      <c r="N902" s="402" t="str">
        <f>VLOOKUP(Table13[[#This Row],[Column1]],[1]Sheet1!$A:$AO,14,FALSE)</f>
        <v>N/A</v>
      </c>
      <c r="O902" s="402">
        <f>VLOOKUP(Table13[[#This Row],[Column1]],[1]Sheet1!$A:$AO,15,FALSE)</f>
        <v>45463</v>
      </c>
      <c r="P902" s="375"/>
      <c r="Q902" s="375"/>
      <c r="R902" s="376"/>
      <c r="S902" s="583" t="str">
        <f>VLOOKUP(Table13[[#This Row],[Column1]],[1]Sheet1!$A:$AO,19,FALSE)</f>
        <v>N/A</v>
      </c>
      <c r="T902" s="583"/>
      <c r="U902" s="583"/>
      <c r="V902" s="376"/>
      <c r="W902" s="376"/>
      <c r="X902" s="402"/>
      <c r="Y902" s="402"/>
      <c r="Z902" s="610" t="s">
        <v>1478</v>
      </c>
      <c r="AA902" s="532">
        <f>IF(Table13[[#This Row],[Column2]]="","",SUM(Table13[[#This Row],[Column28]]+Table13[[#This Row],[Column29]]))</f>
        <v>6090</v>
      </c>
      <c r="AB902" s="537">
        <v>6090</v>
      </c>
      <c r="AC902" s="502"/>
      <c r="AD902" s="532">
        <f>IF(Table13[[#This Row],[Column2]]="","",SUM(Table13[[#This Row],[Column31]]+Table13[[#This Row],[Column32]]))</f>
        <v>5880</v>
      </c>
      <c r="AE902" s="501">
        <v>5880</v>
      </c>
      <c r="AF902" s="540"/>
      <c r="AG902" s="405"/>
      <c r="AH902" s="380" t="s">
        <v>1205</v>
      </c>
      <c r="AI902" s="576" t="str">
        <f>VLOOKUP(Table13[[#This Row],[Column1]],[1]Sheet1!$A:$AO,35,FALSE)</f>
        <v>N/A</v>
      </c>
      <c r="AJ902" s="576" t="str">
        <f>VLOOKUP(Table13[[#This Row],[Column1]],[1]Sheet1!$A:$AO,36,FALSE)</f>
        <v>N/A</v>
      </c>
      <c r="AK902" s="576" t="str">
        <f>VLOOKUP(Table13[[#This Row],[Column1]],[1]Sheet1!$A:$AO,37,FALSE)</f>
        <v>N/A</v>
      </c>
      <c r="AL902" s="576" t="str">
        <f>VLOOKUP(Table13[[#This Row],[Column1]],[1]Sheet1!$A:$AO,38,FALSE)</f>
        <v>N/A</v>
      </c>
      <c r="AM902" s="576" t="str">
        <f>VLOOKUP(Table13[[#This Row],[Column1]],[1]Sheet1!$A:$AO,39,FALSE)</f>
        <v>N/A</v>
      </c>
      <c r="AN902" s="576" t="s">
        <v>713</v>
      </c>
      <c r="AO902" s="303" t="s">
        <v>1044</v>
      </c>
      <c r="AP902" s="378"/>
      <c r="AQ902" s="237"/>
    </row>
    <row r="903" spans="1:43" s="238" customFormat="1" ht="75" customHeight="1" x14ac:dyDescent="0.25">
      <c r="A903" s="297" t="s">
        <v>1124</v>
      </c>
      <c r="B903" s="627" t="str">
        <f>VLOOKUP(Table13[[#This Row],[Column1]],[1]Sheet1!$A:$AO,2,FALSE)</f>
        <v xml:space="preserve">SPAREPARTS (LIGHT VEHICLES)
</v>
      </c>
      <c r="C903" s="298" t="str">
        <f>VLOOKUP(Table13[[#This Row],[Column1]],[1]Sheet1!$A:$AO,3,FALSE)</f>
        <v>SPO</v>
      </c>
      <c r="D903" s="298" t="s">
        <v>712</v>
      </c>
      <c r="E903" s="450" t="str">
        <f>VLOOKUP(Table13[[#This Row],[Column1]],[1]Sheet1!$A:$AO,5,FALSE)</f>
        <v>NP-53.9 - Small Value Procurement</v>
      </c>
      <c r="F903" s="446">
        <f>VLOOKUP(Table13[[#This Row],[Column1]],[1]Sheet1!$A:$AO,6,FALSE)</f>
        <v>45421</v>
      </c>
      <c r="G903" s="402">
        <f>VLOOKUP(Table13[[#This Row],[Column1]],[1]Sheet1!$A:$AO,7,FALSE)</f>
        <v>45425</v>
      </c>
      <c r="H903" s="374"/>
      <c r="I903" s="402" t="str">
        <f>VLOOKUP(Table13[[#This Row],[Column1]],[1]Sheet1!$A:$AO,9,FALSE)</f>
        <v>N/A</v>
      </c>
      <c r="J903" s="402">
        <f>VLOOKUP(Table13[[#This Row],[Column1]],[1]Sheet1!$A:$AO,10,FALSE)</f>
        <v>45461</v>
      </c>
      <c r="K903" s="402">
        <f>VLOOKUP(Table13[[#This Row],[Column1]],[1]Sheet1!$A:$AO,11,FALSE)</f>
        <v>45461</v>
      </c>
      <c r="L903" s="404"/>
      <c r="M903" s="402" t="str">
        <f>VLOOKUP(Table13[[#This Row],[Column1]],[1]Sheet1!$A:$AO,13,FALSE)</f>
        <v>N/A</v>
      </c>
      <c r="N903" s="402" t="str">
        <f>VLOOKUP(Table13[[#This Row],[Column1]],[1]Sheet1!$A:$AO,14,FALSE)</f>
        <v>N/A</v>
      </c>
      <c r="O903" s="402">
        <f>VLOOKUP(Table13[[#This Row],[Column1]],[1]Sheet1!$A:$AO,15,FALSE)</f>
        <v>45463</v>
      </c>
      <c r="P903" s="375"/>
      <c r="Q903" s="375"/>
      <c r="R903" s="376"/>
      <c r="S903" s="583">
        <f>VLOOKUP(Table13[[#This Row],[Column1]],[1]Sheet1!$A:$AO,19,FALSE)</f>
        <v>45464</v>
      </c>
      <c r="T903" s="583"/>
      <c r="U903" s="583"/>
      <c r="V903" s="376"/>
      <c r="W903" s="376"/>
      <c r="X903" s="402"/>
      <c r="Y903" s="402"/>
      <c r="Z903" s="610" t="s">
        <v>1478</v>
      </c>
      <c r="AA903" s="532">
        <f>IF(Table13[[#This Row],[Column2]]="","",SUM(Table13[[#This Row],[Column28]]+Table13[[#This Row],[Column29]]))</f>
        <v>389756</v>
      </c>
      <c r="AB903" s="537">
        <v>389756</v>
      </c>
      <c r="AC903" s="502"/>
      <c r="AD903" s="532">
        <f>IF(Table13[[#This Row],[Column2]]="","",SUM(Table13[[#This Row],[Column31]]+Table13[[#This Row],[Column32]]))</f>
        <v>377675</v>
      </c>
      <c r="AE903" s="501">
        <v>377675</v>
      </c>
      <c r="AF903" s="540"/>
      <c r="AG903" s="405"/>
      <c r="AH903" s="380" t="s">
        <v>1205</v>
      </c>
      <c r="AI903" s="576" t="str">
        <f>VLOOKUP(Table13[[#This Row],[Column1]],[1]Sheet1!$A:$AO,35,FALSE)</f>
        <v>N/A</v>
      </c>
      <c r="AJ903" s="576" t="str">
        <f>VLOOKUP(Table13[[#This Row],[Column1]],[1]Sheet1!$A:$AO,36,FALSE)</f>
        <v>N/A</v>
      </c>
      <c r="AK903" s="576" t="str">
        <f>VLOOKUP(Table13[[#This Row],[Column1]],[1]Sheet1!$A:$AO,37,FALSE)</f>
        <v>N/A</v>
      </c>
      <c r="AL903" s="576" t="str">
        <f>VLOOKUP(Table13[[#This Row],[Column1]],[1]Sheet1!$A:$AO,38,FALSE)</f>
        <v>N/A</v>
      </c>
      <c r="AM903" s="576" t="str">
        <f>VLOOKUP(Table13[[#This Row],[Column1]],[1]Sheet1!$A:$AO,39,FALSE)</f>
        <v>N/A</v>
      </c>
      <c r="AN903" s="576" t="s">
        <v>713</v>
      </c>
      <c r="AO903" s="303" t="s">
        <v>1044</v>
      </c>
      <c r="AP903" s="378"/>
      <c r="AQ903" s="237"/>
    </row>
    <row r="904" spans="1:43" s="238" customFormat="1" ht="75" customHeight="1" x14ac:dyDescent="0.25">
      <c r="A904" s="297" t="s">
        <v>1125</v>
      </c>
      <c r="B904" s="627" t="str">
        <f>VLOOKUP(Table13[[#This Row],[Column1]],[1]Sheet1!$A:$AO,2,FALSE)</f>
        <v xml:space="preserve">UTILITY BOX
</v>
      </c>
      <c r="C904" s="298" t="str">
        <f>VLOOKUP(Table13[[#This Row],[Column1]],[1]Sheet1!$A:$AO,3,FALSE)</f>
        <v>PBO</v>
      </c>
      <c r="D904" s="298" t="s">
        <v>712</v>
      </c>
      <c r="E904" s="450" t="str">
        <f>VLOOKUP(Table13[[#This Row],[Column1]],[1]Sheet1!$A:$AO,5,FALSE)</f>
        <v>NP-53.9 - Small Value Procurement</v>
      </c>
      <c r="F904" s="446" t="str">
        <f>VLOOKUP(Table13[[#This Row],[Column1]],[1]Sheet1!$A:$AO,6,FALSE)</f>
        <v>N/A</v>
      </c>
      <c r="G904" s="402">
        <f>VLOOKUP(Table13[[#This Row],[Column1]],[1]Sheet1!$A:$AO,7,FALSE)</f>
        <v>45442</v>
      </c>
      <c r="H904" s="374"/>
      <c r="I904" s="402" t="str">
        <f>VLOOKUP(Table13[[#This Row],[Column1]],[1]Sheet1!$A:$AO,9,FALSE)</f>
        <v>N/A</v>
      </c>
      <c r="J904" s="402">
        <f>VLOOKUP(Table13[[#This Row],[Column1]],[1]Sheet1!$A:$AO,10,FALSE)</f>
        <v>45461</v>
      </c>
      <c r="K904" s="402">
        <f>VLOOKUP(Table13[[#This Row],[Column1]],[1]Sheet1!$A:$AO,11,FALSE)</f>
        <v>45461</v>
      </c>
      <c r="L904" s="404"/>
      <c r="M904" s="402" t="str">
        <f>VLOOKUP(Table13[[#This Row],[Column1]],[1]Sheet1!$A:$AO,13,FALSE)</f>
        <v>N/A</v>
      </c>
      <c r="N904" s="402" t="str">
        <f>VLOOKUP(Table13[[#This Row],[Column1]],[1]Sheet1!$A:$AO,14,FALSE)</f>
        <v>N/A</v>
      </c>
      <c r="O904" s="402">
        <f>VLOOKUP(Table13[[#This Row],[Column1]],[1]Sheet1!$A:$AO,15,FALSE)</f>
        <v>45463</v>
      </c>
      <c r="P904" s="375"/>
      <c r="Q904" s="375"/>
      <c r="R904" s="376"/>
      <c r="S904" s="583" t="str">
        <f>VLOOKUP(Table13[[#This Row],[Column1]],[1]Sheet1!$A:$AO,19,FALSE)</f>
        <v>N/A</v>
      </c>
      <c r="T904" s="583"/>
      <c r="U904" s="583"/>
      <c r="V904" s="376"/>
      <c r="W904" s="376"/>
      <c r="X904" s="402"/>
      <c r="Y904" s="402"/>
      <c r="Z904" s="610" t="s">
        <v>1478</v>
      </c>
      <c r="AA904" s="532">
        <f>IF(Table13[[#This Row],[Column2]]="","",SUM(Table13[[#This Row],[Column28]]+Table13[[#This Row],[Column29]]))</f>
        <v>6000</v>
      </c>
      <c r="AB904" s="537">
        <v>6000</v>
      </c>
      <c r="AC904" s="502"/>
      <c r="AD904" s="532">
        <f>IF(Table13[[#This Row],[Column2]]="","",SUM(Table13[[#This Row],[Column31]]+Table13[[#This Row],[Column32]]))</f>
        <v>5916</v>
      </c>
      <c r="AE904" s="501">
        <v>5916</v>
      </c>
      <c r="AF904" s="540"/>
      <c r="AG904" s="405"/>
      <c r="AH904" s="380" t="s">
        <v>1205</v>
      </c>
      <c r="AI904" s="576" t="str">
        <f>VLOOKUP(Table13[[#This Row],[Column1]],[1]Sheet1!$A:$AO,35,FALSE)</f>
        <v>N/A</v>
      </c>
      <c r="AJ904" s="576" t="str">
        <f>VLOOKUP(Table13[[#This Row],[Column1]],[1]Sheet1!$A:$AO,36,FALSE)</f>
        <v>N/A</v>
      </c>
      <c r="AK904" s="576" t="str">
        <f>VLOOKUP(Table13[[#This Row],[Column1]],[1]Sheet1!$A:$AO,37,FALSE)</f>
        <v>N/A</v>
      </c>
      <c r="AL904" s="576" t="str">
        <f>VLOOKUP(Table13[[#This Row],[Column1]],[1]Sheet1!$A:$AO,38,FALSE)</f>
        <v>N/A</v>
      </c>
      <c r="AM904" s="576" t="str">
        <f>VLOOKUP(Table13[[#This Row],[Column1]],[1]Sheet1!$A:$AO,39,FALSE)</f>
        <v>N/A</v>
      </c>
      <c r="AN904" s="576" t="s">
        <v>713</v>
      </c>
      <c r="AO904" s="303" t="s">
        <v>1044</v>
      </c>
      <c r="AP904" s="378"/>
      <c r="AQ904" s="237"/>
    </row>
    <row r="905" spans="1:43" s="238" customFormat="1" ht="75" customHeight="1" x14ac:dyDescent="0.25">
      <c r="A905" s="297" t="s">
        <v>1126</v>
      </c>
      <c r="B905" s="627" t="str">
        <f>VLOOKUP(Table13[[#This Row],[Column1]],[1]Sheet1!$A:$AO,2,FALSE)</f>
        <v xml:space="preserve">LUMBER
</v>
      </c>
      <c r="C905" s="298" t="str">
        <f>VLOOKUP(Table13[[#This Row],[Column1]],[1]Sheet1!$A:$AO,3,FALSE)</f>
        <v>SEF</v>
      </c>
      <c r="D905" s="298" t="s">
        <v>712</v>
      </c>
      <c r="E905" s="450" t="str">
        <f>VLOOKUP(Table13[[#This Row],[Column1]],[1]Sheet1!$A:$AO,5,FALSE)</f>
        <v>NP-53.9 - Small Value Procurement</v>
      </c>
      <c r="F905" s="446">
        <f>VLOOKUP(Table13[[#This Row],[Column1]],[1]Sheet1!$A:$AO,6,FALSE)</f>
        <v>45387</v>
      </c>
      <c r="G905" s="402">
        <f>VLOOKUP(Table13[[#This Row],[Column1]],[1]Sheet1!$A:$AO,7,FALSE)</f>
        <v>45397</v>
      </c>
      <c r="H905" s="374"/>
      <c r="I905" s="402" t="str">
        <f>VLOOKUP(Table13[[#This Row],[Column1]],[1]Sheet1!$A:$AO,9,FALSE)</f>
        <v>N/A</v>
      </c>
      <c r="J905" s="402">
        <f>VLOOKUP(Table13[[#This Row],[Column1]],[1]Sheet1!$A:$AO,10,FALSE)</f>
        <v>45461</v>
      </c>
      <c r="K905" s="402">
        <f>VLOOKUP(Table13[[#This Row],[Column1]],[1]Sheet1!$A:$AO,11,FALSE)</f>
        <v>45461</v>
      </c>
      <c r="L905" s="404"/>
      <c r="M905" s="402" t="str">
        <f>VLOOKUP(Table13[[#This Row],[Column1]],[1]Sheet1!$A:$AO,13,FALSE)</f>
        <v>N/A</v>
      </c>
      <c r="N905" s="402" t="str">
        <f>VLOOKUP(Table13[[#This Row],[Column1]],[1]Sheet1!$A:$AO,14,FALSE)</f>
        <v>N/A</v>
      </c>
      <c r="O905" s="402">
        <f>VLOOKUP(Table13[[#This Row],[Column1]],[1]Sheet1!$A:$AO,15,FALSE)</f>
        <v>45463</v>
      </c>
      <c r="P905" s="375"/>
      <c r="Q905" s="375"/>
      <c r="R905" s="376"/>
      <c r="S905" s="583" t="str">
        <f>VLOOKUP(Table13[[#This Row],[Column1]],[1]Sheet1!$A:$AO,19,FALSE)</f>
        <v>N/A</v>
      </c>
      <c r="T905" s="583"/>
      <c r="U905" s="583"/>
      <c r="V905" s="376"/>
      <c r="W905" s="376"/>
      <c r="X905" s="402"/>
      <c r="Y905" s="402"/>
      <c r="Z905" s="610" t="s">
        <v>1478</v>
      </c>
      <c r="AA905" s="532">
        <f>IF(Table13[[#This Row],[Column2]]="","",SUM(Table13[[#This Row],[Column28]]+Table13[[#This Row],[Column29]]))</f>
        <v>7347.51</v>
      </c>
      <c r="AB905" s="537"/>
      <c r="AC905" s="502">
        <v>7347.51</v>
      </c>
      <c r="AD905" s="532">
        <f>IF(Table13[[#This Row],[Column2]]="","",SUM(Table13[[#This Row],[Column31]]+Table13[[#This Row],[Column32]]))</f>
        <v>7269.34</v>
      </c>
      <c r="AE905" s="501"/>
      <c r="AF905" s="540">
        <v>7269.34</v>
      </c>
      <c r="AG905" s="405"/>
      <c r="AH905" s="380" t="s">
        <v>1205</v>
      </c>
      <c r="AI905" s="576" t="str">
        <f>VLOOKUP(Table13[[#This Row],[Column1]],[1]Sheet1!$A:$AO,35,FALSE)</f>
        <v>N/A</v>
      </c>
      <c r="AJ905" s="576" t="str">
        <f>VLOOKUP(Table13[[#This Row],[Column1]],[1]Sheet1!$A:$AO,36,FALSE)</f>
        <v>N/A</v>
      </c>
      <c r="AK905" s="576" t="str">
        <f>VLOOKUP(Table13[[#This Row],[Column1]],[1]Sheet1!$A:$AO,37,FALSE)</f>
        <v>N/A</v>
      </c>
      <c r="AL905" s="576" t="str">
        <f>VLOOKUP(Table13[[#This Row],[Column1]],[1]Sheet1!$A:$AO,38,FALSE)</f>
        <v>N/A</v>
      </c>
      <c r="AM905" s="576" t="str">
        <f>VLOOKUP(Table13[[#This Row],[Column1]],[1]Sheet1!$A:$AO,39,FALSE)</f>
        <v>N/A</v>
      </c>
      <c r="AN905" s="576" t="s">
        <v>713</v>
      </c>
      <c r="AO905" s="303" t="s">
        <v>1044</v>
      </c>
      <c r="AP905" s="378"/>
      <c r="AQ905" s="237"/>
    </row>
    <row r="906" spans="1:43" s="238" customFormat="1" ht="75" customHeight="1" x14ac:dyDescent="0.25">
      <c r="A906" s="297" t="s">
        <v>1127</v>
      </c>
      <c r="B906" s="627" t="str">
        <f>VLOOKUP(Table13[[#This Row],[Column1]],[1]Sheet1!$A:$AO,2,FALSE)</f>
        <v xml:space="preserve">LUMBER
</v>
      </c>
      <c r="C906" s="298" t="str">
        <f>VLOOKUP(Table13[[#This Row],[Column1]],[1]Sheet1!$A:$AO,3,FALSE)</f>
        <v>PVGO</v>
      </c>
      <c r="D906" s="298" t="s">
        <v>712</v>
      </c>
      <c r="E906" s="450" t="str">
        <f>VLOOKUP(Table13[[#This Row],[Column1]],[1]Sheet1!$A:$AO,5,FALSE)</f>
        <v>NP-53.9 - Small Value Procurement</v>
      </c>
      <c r="F906" s="446" t="str">
        <f>VLOOKUP(Table13[[#This Row],[Column1]],[1]Sheet1!$A:$AO,6,FALSE)</f>
        <v>N/A</v>
      </c>
      <c r="G906" s="402">
        <f>VLOOKUP(Table13[[#This Row],[Column1]],[1]Sheet1!$A:$AO,7,FALSE)</f>
        <v>45412</v>
      </c>
      <c r="H906" s="374"/>
      <c r="I906" s="402" t="str">
        <f>VLOOKUP(Table13[[#This Row],[Column1]],[1]Sheet1!$A:$AO,9,FALSE)</f>
        <v>N/A</v>
      </c>
      <c r="J906" s="402">
        <f>VLOOKUP(Table13[[#This Row],[Column1]],[1]Sheet1!$A:$AO,10,FALSE)</f>
        <v>45461</v>
      </c>
      <c r="K906" s="402">
        <f>VLOOKUP(Table13[[#This Row],[Column1]],[1]Sheet1!$A:$AO,11,FALSE)</f>
        <v>45461</v>
      </c>
      <c r="L906" s="404"/>
      <c r="M906" s="402" t="str">
        <f>VLOOKUP(Table13[[#This Row],[Column1]],[1]Sheet1!$A:$AO,13,FALSE)</f>
        <v>N/A</v>
      </c>
      <c r="N906" s="402" t="str">
        <f>VLOOKUP(Table13[[#This Row],[Column1]],[1]Sheet1!$A:$AO,14,FALSE)</f>
        <v>N/A</v>
      </c>
      <c r="O906" s="402">
        <f>VLOOKUP(Table13[[#This Row],[Column1]],[1]Sheet1!$A:$AO,15,FALSE)</f>
        <v>45463</v>
      </c>
      <c r="P906" s="375"/>
      <c r="Q906" s="375"/>
      <c r="R906" s="376"/>
      <c r="S906" s="583" t="str">
        <f>VLOOKUP(Table13[[#This Row],[Column1]],[1]Sheet1!$A:$AO,19,FALSE)</f>
        <v>N/A</v>
      </c>
      <c r="T906" s="583"/>
      <c r="U906" s="583"/>
      <c r="V906" s="376"/>
      <c r="W906" s="376"/>
      <c r="X906" s="402"/>
      <c r="Y906" s="402"/>
      <c r="Z906" s="610" t="s">
        <v>1478</v>
      </c>
      <c r="AA906" s="532">
        <f>IF(Table13[[#This Row],[Column2]]="","",SUM(Table13[[#This Row],[Column28]]+Table13[[#This Row],[Column29]]))</f>
        <v>4136</v>
      </c>
      <c r="AB906" s="537">
        <v>4136</v>
      </c>
      <c r="AC906" s="502"/>
      <c r="AD906" s="532">
        <f>IF(Table13[[#This Row],[Column2]]="","",SUM(Table13[[#This Row],[Column31]]+Table13[[#This Row],[Column32]]))</f>
        <v>4092</v>
      </c>
      <c r="AE906" s="501">
        <v>4092</v>
      </c>
      <c r="AF906" s="540"/>
      <c r="AG906" s="405"/>
      <c r="AH906" s="380" t="s">
        <v>1205</v>
      </c>
      <c r="AI906" s="576" t="str">
        <f>VLOOKUP(Table13[[#This Row],[Column1]],[1]Sheet1!$A:$AO,35,FALSE)</f>
        <v>N/A</v>
      </c>
      <c r="AJ906" s="576" t="str">
        <f>VLOOKUP(Table13[[#This Row],[Column1]],[1]Sheet1!$A:$AO,36,FALSE)</f>
        <v>N/A</v>
      </c>
      <c r="AK906" s="576" t="str">
        <f>VLOOKUP(Table13[[#This Row],[Column1]],[1]Sheet1!$A:$AO,37,FALSE)</f>
        <v>N/A</v>
      </c>
      <c r="AL906" s="576" t="str">
        <f>VLOOKUP(Table13[[#This Row],[Column1]],[1]Sheet1!$A:$AO,38,FALSE)</f>
        <v>N/A</v>
      </c>
      <c r="AM906" s="576" t="str">
        <f>VLOOKUP(Table13[[#This Row],[Column1]],[1]Sheet1!$A:$AO,39,FALSE)</f>
        <v>N/A</v>
      </c>
      <c r="AN906" s="576" t="s">
        <v>713</v>
      </c>
      <c r="AO906" s="303" t="s">
        <v>1044</v>
      </c>
      <c r="AP906" s="378"/>
      <c r="AQ906" s="237"/>
    </row>
    <row r="907" spans="1:43" s="238" customFormat="1" ht="75" customHeight="1" x14ac:dyDescent="0.25">
      <c r="A907" s="297" t="s">
        <v>1128</v>
      </c>
      <c r="B907" s="627" t="str">
        <f>VLOOKUP(Table13[[#This Row],[Column1]],[1]Sheet1!$A:$AO,2,FALSE)</f>
        <v xml:space="preserve">LUMBER
</v>
      </c>
      <c r="C907" s="298" t="str">
        <f>VLOOKUP(Table13[[#This Row],[Column1]],[1]Sheet1!$A:$AO,3,FALSE)</f>
        <v>PDRRMO</v>
      </c>
      <c r="D907" s="298" t="s">
        <v>712</v>
      </c>
      <c r="E907" s="450" t="str">
        <f>VLOOKUP(Table13[[#This Row],[Column1]],[1]Sheet1!$A:$AO,5,FALSE)</f>
        <v>NP-53.9 - Small Value Procurement</v>
      </c>
      <c r="F907" s="446">
        <f>VLOOKUP(Table13[[#This Row],[Column1]],[1]Sheet1!$A:$AO,6,FALSE)</f>
        <v>45421</v>
      </c>
      <c r="G907" s="402">
        <f>VLOOKUP(Table13[[#This Row],[Column1]],[1]Sheet1!$A:$AO,7,FALSE)</f>
        <v>45425</v>
      </c>
      <c r="H907" s="374"/>
      <c r="I907" s="402" t="str">
        <f>VLOOKUP(Table13[[#This Row],[Column1]],[1]Sheet1!$A:$AO,9,FALSE)</f>
        <v>N/A</v>
      </c>
      <c r="J907" s="402">
        <f>VLOOKUP(Table13[[#This Row],[Column1]],[1]Sheet1!$A:$AO,10,FALSE)</f>
        <v>45461</v>
      </c>
      <c r="K907" s="402">
        <f>VLOOKUP(Table13[[#This Row],[Column1]],[1]Sheet1!$A:$AO,11,FALSE)</f>
        <v>45461</v>
      </c>
      <c r="L907" s="404"/>
      <c r="M907" s="402" t="str">
        <f>VLOOKUP(Table13[[#This Row],[Column1]],[1]Sheet1!$A:$AO,13,FALSE)</f>
        <v>N/A</v>
      </c>
      <c r="N907" s="402" t="str">
        <f>VLOOKUP(Table13[[#This Row],[Column1]],[1]Sheet1!$A:$AO,14,FALSE)</f>
        <v>N/A</v>
      </c>
      <c r="O907" s="402">
        <f>VLOOKUP(Table13[[#This Row],[Column1]],[1]Sheet1!$A:$AO,15,FALSE)</f>
        <v>45463</v>
      </c>
      <c r="P907" s="375"/>
      <c r="Q907" s="375"/>
      <c r="R907" s="376"/>
      <c r="S907" s="583" t="str">
        <f>VLOOKUP(Table13[[#This Row],[Column1]],[1]Sheet1!$A:$AO,19,FALSE)</f>
        <v>N/A</v>
      </c>
      <c r="T907" s="583"/>
      <c r="U907" s="583"/>
      <c r="V907" s="376"/>
      <c r="W907" s="376"/>
      <c r="X907" s="402"/>
      <c r="Y907" s="402"/>
      <c r="Z907" s="610" t="s">
        <v>1478</v>
      </c>
      <c r="AA907" s="532">
        <f>IF(Table13[[#This Row],[Column2]]="","",SUM(Table13[[#This Row],[Column28]]+Table13[[#This Row],[Column29]]))</f>
        <v>21693.08</v>
      </c>
      <c r="AB907" s="537">
        <v>21693.08</v>
      </c>
      <c r="AC907" s="502"/>
      <c r="AD907" s="532">
        <f>IF(Table13[[#This Row],[Column2]]="","",SUM(Table13[[#This Row],[Column31]]+Table13[[#This Row],[Column32]]))</f>
        <v>21515.58</v>
      </c>
      <c r="AE907" s="501">
        <v>21515.58</v>
      </c>
      <c r="AF907" s="540"/>
      <c r="AG907" s="405"/>
      <c r="AH907" s="380" t="s">
        <v>1205</v>
      </c>
      <c r="AI907" s="576" t="str">
        <f>VLOOKUP(Table13[[#This Row],[Column1]],[1]Sheet1!$A:$AO,35,FALSE)</f>
        <v>N/A</v>
      </c>
      <c r="AJ907" s="576" t="str">
        <f>VLOOKUP(Table13[[#This Row],[Column1]],[1]Sheet1!$A:$AO,36,FALSE)</f>
        <v>N/A</v>
      </c>
      <c r="AK907" s="576" t="str">
        <f>VLOOKUP(Table13[[#This Row],[Column1]],[1]Sheet1!$A:$AO,37,FALSE)</f>
        <v>N/A</v>
      </c>
      <c r="AL907" s="576" t="str">
        <f>VLOOKUP(Table13[[#This Row],[Column1]],[1]Sheet1!$A:$AO,38,FALSE)</f>
        <v>N/A</v>
      </c>
      <c r="AM907" s="576" t="str">
        <f>VLOOKUP(Table13[[#This Row],[Column1]],[1]Sheet1!$A:$AO,39,FALSE)</f>
        <v>N/A</v>
      </c>
      <c r="AN907" s="576" t="s">
        <v>713</v>
      </c>
      <c r="AO907" s="303" t="s">
        <v>1044</v>
      </c>
      <c r="AP907" s="378"/>
      <c r="AQ907" s="237"/>
    </row>
    <row r="908" spans="1:43" s="238" customFormat="1" ht="75" customHeight="1" x14ac:dyDescent="0.25">
      <c r="A908" s="297" t="s">
        <v>1129</v>
      </c>
      <c r="B908" s="627" t="str">
        <f>VLOOKUP(Table13[[#This Row],[Column1]],[1]Sheet1!$A:$AO,2,FALSE)</f>
        <v xml:space="preserve">LUMBER
</v>
      </c>
      <c r="C908" s="298" t="str">
        <f>VLOOKUP(Table13[[#This Row],[Column1]],[1]Sheet1!$A:$AO,3,FALSE)</f>
        <v>SEF</v>
      </c>
      <c r="D908" s="298" t="s">
        <v>712</v>
      </c>
      <c r="E908" s="450" t="str">
        <f>VLOOKUP(Table13[[#This Row],[Column1]],[1]Sheet1!$A:$AO,5,FALSE)</f>
        <v>NP-53.9 - Small Value Procurement</v>
      </c>
      <c r="F908" s="446">
        <f>VLOOKUP(Table13[[#This Row],[Column1]],[1]Sheet1!$A:$AO,6,FALSE)</f>
        <v>45421</v>
      </c>
      <c r="G908" s="402">
        <f>VLOOKUP(Table13[[#This Row],[Column1]],[1]Sheet1!$A:$AO,7,FALSE)</f>
        <v>45425</v>
      </c>
      <c r="H908" s="374"/>
      <c r="I908" s="402" t="str">
        <f>VLOOKUP(Table13[[#This Row],[Column1]],[1]Sheet1!$A:$AO,9,FALSE)</f>
        <v>N/A</v>
      </c>
      <c r="J908" s="402">
        <f>VLOOKUP(Table13[[#This Row],[Column1]],[1]Sheet1!$A:$AO,10,FALSE)</f>
        <v>45461</v>
      </c>
      <c r="K908" s="402">
        <f>VLOOKUP(Table13[[#This Row],[Column1]],[1]Sheet1!$A:$AO,11,FALSE)</f>
        <v>45461</v>
      </c>
      <c r="L908" s="404"/>
      <c r="M908" s="402" t="str">
        <f>VLOOKUP(Table13[[#This Row],[Column1]],[1]Sheet1!$A:$AO,13,FALSE)</f>
        <v>N/A</v>
      </c>
      <c r="N908" s="402" t="str">
        <f>VLOOKUP(Table13[[#This Row],[Column1]],[1]Sheet1!$A:$AO,14,FALSE)</f>
        <v>N/A</v>
      </c>
      <c r="O908" s="402">
        <f>VLOOKUP(Table13[[#This Row],[Column1]],[1]Sheet1!$A:$AO,15,FALSE)</f>
        <v>45463</v>
      </c>
      <c r="P908" s="375"/>
      <c r="Q908" s="375"/>
      <c r="R908" s="376"/>
      <c r="S908" s="583" t="str">
        <f>VLOOKUP(Table13[[#This Row],[Column1]],[1]Sheet1!$A:$AO,19,FALSE)</f>
        <v>N/A</v>
      </c>
      <c r="T908" s="583"/>
      <c r="U908" s="583"/>
      <c r="V908" s="376"/>
      <c r="W908" s="376"/>
      <c r="X908" s="402"/>
      <c r="Y908" s="402"/>
      <c r="Z908" s="610" t="s">
        <v>1478</v>
      </c>
      <c r="AA908" s="532">
        <f>IF(Table13[[#This Row],[Column2]]="","",SUM(Table13[[#This Row],[Column28]]+Table13[[#This Row],[Column29]]))</f>
        <v>20082.509999999998</v>
      </c>
      <c r="AB908" s="537"/>
      <c r="AC908" s="502">
        <v>20082.509999999998</v>
      </c>
      <c r="AD908" s="532">
        <f>IF(Table13[[#This Row],[Column2]]="","",SUM(Table13[[#This Row],[Column31]]+Table13[[#This Row],[Column32]]))</f>
        <v>20011.84</v>
      </c>
      <c r="AE908" s="501"/>
      <c r="AF908" s="540">
        <v>20011.84</v>
      </c>
      <c r="AG908" s="405"/>
      <c r="AH908" s="380" t="s">
        <v>1205</v>
      </c>
      <c r="AI908" s="576" t="str">
        <f>VLOOKUP(Table13[[#This Row],[Column1]],[1]Sheet1!$A:$AO,35,FALSE)</f>
        <v>N/A</v>
      </c>
      <c r="AJ908" s="576" t="str">
        <f>VLOOKUP(Table13[[#This Row],[Column1]],[1]Sheet1!$A:$AO,36,FALSE)</f>
        <v>N/A</v>
      </c>
      <c r="AK908" s="576" t="str">
        <f>VLOOKUP(Table13[[#This Row],[Column1]],[1]Sheet1!$A:$AO,37,FALSE)</f>
        <v>N/A</v>
      </c>
      <c r="AL908" s="576" t="str">
        <f>VLOOKUP(Table13[[#This Row],[Column1]],[1]Sheet1!$A:$AO,38,FALSE)</f>
        <v>N/A</v>
      </c>
      <c r="AM908" s="576" t="str">
        <f>VLOOKUP(Table13[[#This Row],[Column1]],[1]Sheet1!$A:$AO,39,FALSE)</f>
        <v>N/A</v>
      </c>
      <c r="AN908" s="576" t="s">
        <v>713</v>
      </c>
      <c r="AO908" s="303" t="s">
        <v>1044</v>
      </c>
      <c r="AP908" s="378"/>
      <c r="AQ908" s="237"/>
    </row>
    <row r="909" spans="1:43" s="238" customFormat="1" ht="75" customHeight="1" x14ac:dyDescent="0.25">
      <c r="A909" s="297" t="s">
        <v>1130</v>
      </c>
      <c r="B909" s="627" t="str">
        <f>VLOOKUP(Table13[[#This Row],[Column1]],[1]Sheet1!$A:$AO,2,FALSE)</f>
        <v xml:space="preserve">LUMBER </v>
      </c>
      <c r="C909" s="298" t="str">
        <f>VLOOKUP(Table13[[#This Row],[Column1]],[1]Sheet1!$A:$AO,3,FALSE)</f>
        <v>PEO</v>
      </c>
      <c r="D909" s="298" t="s">
        <v>712</v>
      </c>
      <c r="E909" s="450" t="str">
        <f>VLOOKUP(Table13[[#This Row],[Column1]],[1]Sheet1!$A:$AO,5,FALSE)</f>
        <v>NP-53.9 - Small Value Procurement</v>
      </c>
      <c r="F909" s="446">
        <f>VLOOKUP(Table13[[#This Row],[Column1]],[1]Sheet1!$A:$AO,6,FALSE)</f>
        <v>45421</v>
      </c>
      <c r="G909" s="402">
        <f>VLOOKUP(Table13[[#This Row],[Column1]],[1]Sheet1!$A:$AO,7,FALSE)</f>
        <v>45425</v>
      </c>
      <c r="H909" s="374"/>
      <c r="I909" s="402" t="str">
        <f>VLOOKUP(Table13[[#This Row],[Column1]],[1]Sheet1!$A:$AO,9,FALSE)</f>
        <v>N/A</v>
      </c>
      <c r="J909" s="402">
        <f>VLOOKUP(Table13[[#This Row],[Column1]],[1]Sheet1!$A:$AO,10,FALSE)</f>
        <v>45461</v>
      </c>
      <c r="K909" s="402">
        <f>VLOOKUP(Table13[[#This Row],[Column1]],[1]Sheet1!$A:$AO,11,FALSE)</f>
        <v>45461</v>
      </c>
      <c r="L909" s="404"/>
      <c r="M909" s="402" t="str">
        <f>VLOOKUP(Table13[[#This Row],[Column1]],[1]Sheet1!$A:$AO,13,FALSE)</f>
        <v>N/A</v>
      </c>
      <c r="N909" s="402" t="str">
        <f>VLOOKUP(Table13[[#This Row],[Column1]],[1]Sheet1!$A:$AO,14,FALSE)</f>
        <v>N/A</v>
      </c>
      <c r="O909" s="402">
        <f>VLOOKUP(Table13[[#This Row],[Column1]],[1]Sheet1!$A:$AO,15,FALSE)</f>
        <v>45463</v>
      </c>
      <c r="P909" s="375"/>
      <c r="Q909" s="375"/>
      <c r="R909" s="376"/>
      <c r="S909" s="583" t="str">
        <f>VLOOKUP(Table13[[#This Row],[Column1]],[1]Sheet1!$A:$AO,19,FALSE)</f>
        <v>N/A</v>
      </c>
      <c r="T909" s="583"/>
      <c r="U909" s="583"/>
      <c r="V909" s="376"/>
      <c r="W909" s="376"/>
      <c r="X909" s="402"/>
      <c r="Y909" s="402"/>
      <c r="Z909" s="610" t="s">
        <v>1478</v>
      </c>
      <c r="AA909" s="532">
        <f>IF(Table13[[#This Row],[Column2]]="","",SUM(Table13[[#This Row],[Column28]]+Table13[[#This Row],[Column29]]))</f>
        <v>2256</v>
      </c>
      <c r="AB909" s="537"/>
      <c r="AC909" s="502">
        <v>2256</v>
      </c>
      <c r="AD909" s="532">
        <f>IF(Table13[[#This Row],[Column2]]="","",SUM(Table13[[#This Row],[Column31]]+Table13[[#This Row],[Column32]]))</f>
        <v>2232</v>
      </c>
      <c r="AE909" s="501"/>
      <c r="AF909" s="540">
        <v>2232</v>
      </c>
      <c r="AG909" s="405"/>
      <c r="AH909" s="380" t="s">
        <v>1205</v>
      </c>
      <c r="AI909" s="576" t="str">
        <f>VLOOKUP(Table13[[#This Row],[Column1]],[1]Sheet1!$A:$AO,35,FALSE)</f>
        <v>N/A</v>
      </c>
      <c r="AJ909" s="576" t="str">
        <f>VLOOKUP(Table13[[#This Row],[Column1]],[1]Sheet1!$A:$AO,36,FALSE)</f>
        <v>N/A</v>
      </c>
      <c r="AK909" s="576" t="str">
        <f>VLOOKUP(Table13[[#This Row],[Column1]],[1]Sheet1!$A:$AO,37,FALSE)</f>
        <v>N/A</v>
      </c>
      <c r="AL909" s="576" t="str">
        <f>VLOOKUP(Table13[[#This Row],[Column1]],[1]Sheet1!$A:$AO,38,FALSE)</f>
        <v>N/A</v>
      </c>
      <c r="AM909" s="576" t="str">
        <f>VLOOKUP(Table13[[#This Row],[Column1]],[1]Sheet1!$A:$AO,39,FALSE)</f>
        <v>N/A</v>
      </c>
      <c r="AN909" s="576" t="s">
        <v>713</v>
      </c>
      <c r="AO909" s="303" t="s">
        <v>1044</v>
      </c>
      <c r="AP909" s="378"/>
      <c r="AQ909" s="237"/>
    </row>
    <row r="910" spans="1:43" s="238" customFormat="1" ht="75" customHeight="1" x14ac:dyDescent="0.25">
      <c r="A910" s="297" t="s">
        <v>1131</v>
      </c>
      <c r="B910" s="627" t="str">
        <f>VLOOKUP(Table13[[#This Row],[Column1]],[1]Sheet1!$A:$AO,2,FALSE)</f>
        <v xml:space="preserve">CLOTH &amp; STREAMERS
</v>
      </c>
      <c r="C910" s="298" t="str">
        <f>VLOOKUP(Table13[[#This Row],[Column1]],[1]Sheet1!$A:$AO,3,FALSE)</f>
        <v>PDRRMO</v>
      </c>
      <c r="D910" s="298" t="s">
        <v>712</v>
      </c>
      <c r="E910" s="450" t="str">
        <f>VLOOKUP(Table13[[#This Row],[Column1]],[1]Sheet1!$A:$AO,5,FALSE)</f>
        <v>NP-53.9 - Small Value Procurement</v>
      </c>
      <c r="F910" s="446">
        <f>VLOOKUP(Table13[[#This Row],[Column1]],[1]Sheet1!$A:$AO,6,FALSE)</f>
        <v>45440</v>
      </c>
      <c r="G910" s="402">
        <f>VLOOKUP(Table13[[#This Row],[Column1]],[1]Sheet1!$A:$AO,7,FALSE)</f>
        <v>45442</v>
      </c>
      <c r="H910" s="374"/>
      <c r="I910" s="402" t="str">
        <f>VLOOKUP(Table13[[#This Row],[Column1]],[1]Sheet1!$A:$AO,9,FALSE)</f>
        <v>N/A</v>
      </c>
      <c r="J910" s="402">
        <f>VLOOKUP(Table13[[#This Row],[Column1]],[1]Sheet1!$A:$AO,10,FALSE)</f>
        <v>45461</v>
      </c>
      <c r="K910" s="402">
        <f>VLOOKUP(Table13[[#This Row],[Column1]],[1]Sheet1!$A:$AO,11,FALSE)</f>
        <v>45461</v>
      </c>
      <c r="L910" s="404"/>
      <c r="M910" s="402" t="str">
        <f>VLOOKUP(Table13[[#This Row],[Column1]],[1]Sheet1!$A:$AO,13,FALSE)</f>
        <v>N/A</v>
      </c>
      <c r="N910" s="402" t="str">
        <f>VLOOKUP(Table13[[#This Row],[Column1]],[1]Sheet1!$A:$AO,14,FALSE)</f>
        <v>N/A</v>
      </c>
      <c r="O910" s="402">
        <f>VLOOKUP(Table13[[#This Row],[Column1]],[1]Sheet1!$A:$AO,15,FALSE)</f>
        <v>45463</v>
      </c>
      <c r="P910" s="375"/>
      <c r="Q910" s="375"/>
      <c r="R910" s="376"/>
      <c r="S910" s="583" t="str">
        <f>VLOOKUP(Table13[[#This Row],[Column1]],[1]Sheet1!$A:$AO,19,FALSE)</f>
        <v>N/A</v>
      </c>
      <c r="T910" s="583"/>
      <c r="U910" s="583"/>
      <c r="V910" s="376"/>
      <c r="W910" s="376"/>
      <c r="X910" s="402"/>
      <c r="Y910" s="402"/>
      <c r="Z910" s="610" t="s">
        <v>1478</v>
      </c>
      <c r="AA910" s="532">
        <f>IF(Table13[[#This Row],[Column2]]="","",SUM(Table13[[#This Row],[Column28]]+Table13[[#This Row],[Column29]]))</f>
        <v>8800</v>
      </c>
      <c r="AB910" s="537"/>
      <c r="AC910" s="502">
        <v>8800</v>
      </c>
      <c r="AD910" s="532">
        <f>IF(Table13[[#This Row],[Column2]]="","",SUM(Table13[[#This Row],[Column31]]+Table13[[#This Row],[Column32]]))</f>
        <v>8800</v>
      </c>
      <c r="AE910" s="501"/>
      <c r="AF910" s="540">
        <v>8800</v>
      </c>
      <c r="AG910" s="405"/>
      <c r="AH910" s="380" t="s">
        <v>1205</v>
      </c>
      <c r="AI910" s="576" t="str">
        <f>VLOOKUP(Table13[[#This Row],[Column1]],[1]Sheet1!$A:$AO,35,FALSE)</f>
        <v>N/A</v>
      </c>
      <c r="AJ910" s="576" t="str">
        <f>VLOOKUP(Table13[[#This Row],[Column1]],[1]Sheet1!$A:$AO,36,FALSE)</f>
        <v>N/A</v>
      </c>
      <c r="AK910" s="576" t="str">
        <f>VLOOKUP(Table13[[#This Row],[Column1]],[1]Sheet1!$A:$AO,37,FALSE)</f>
        <v>N/A</v>
      </c>
      <c r="AL910" s="576" t="str">
        <f>VLOOKUP(Table13[[#This Row],[Column1]],[1]Sheet1!$A:$AO,38,FALSE)</f>
        <v>N/A</v>
      </c>
      <c r="AM910" s="576" t="str">
        <f>VLOOKUP(Table13[[#This Row],[Column1]],[1]Sheet1!$A:$AO,39,FALSE)</f>
        <v>N/A</v>
      </c>
      <c r="AN910" s="576" t="s">
        <v>713</v>
      </c>
      <c r="AO910" s="303" t="s">
        <v>1044</v>
      </c>
      <c r="AP910" s="378"/>
      <c r="AQ910" s="237"/>
    </row>
    <row r="911" spans="1:43" s="238" customFormat="1" ht="75" customHeight="1" x14ac:dyDescent="0.25">
      <c r="A911" s="297" t="s">
        <v>1132</v>
      </c>
      <c r="B911" s="627" t="str">
        <f>VLOOKUP(Table13[[#This Row],[Column1]],[1]Sheet1!$A:$AO,2,FALSE)</f>
        <v xml:space="preserve">MEDICAL KIT </v>
      </c>
      <c r="C911" s="298" t="str">
        <f>VLOOKUP(Table13[[#This Row],[Column1]],[1]Sheet1!$A:$AO,3,FALSE)</f>
        <v>SEF</v>
      </c>
      <c r="D911" s="298" t="s">
        <v>712</v>
      </c>
      <c r="E911" s="450" t="str">
        <f>VLOOKUP(Table13[[#This Row],[Column1]],[1]Sheet1!$A:$AO,5,FALSE)</f>
        <v>NP-53.9 - Small Value Procurement</v>
      </c>
      <c r="F911" s="446">
        <f>VLOOKUP(Table13[[#This Row],[Column1]],[1]Sheet1!$A:$AO,6,FALSE)</f>
        <v>45440</v>
      </c>
      <c r="G911" s="402">
        <f>VLOOKUP(Table13[[#This Row],[Column1]],[1]Sheet1!$A:$AO,7,FALSE)</f>
        <v>45442</v>
      </c>
      <c r="H911" s="374"/>
      <c r="I911" s="402" t="str">
        <f>VLOOKUP(Table13[[#This Row],[Column1]],[1]Sheet1!$A:$AO,9,FALSE)</f>
        <v>N/A</v>
      </c>
      <c r="J911" s="402">
        <f>VLOOKUP(Table13[[#This Row],[Column1]],[1]Sheet1!$A:$AO,10,FALSE)</f>
        <v>45461</v>
      </c>
      <c r="K911" s="402">
        <f>VLOOKUP(Table13[[#This Row],[Column1]],[1]Sheet1!$A:$AO,11,FALSE)</f>
        <v>45461</v>
      </c>
      <c r="L911" s="404"/>
      <c r="M911" s="402" t="str">
        <f>VLOOKUP(Table13[[#This Row],[Column1]],[1]Sheet1!$A:$AO,13,FALSE)</f>
        <v>N/A</v>
      </c>
      <c r="N911" s="402" t="str">
        <f>VLOOKUP(Table13[[#This Row],[Column1]],[1]Sheet1!$A:$AO,14,FALSE)</f>
        <v>N/A</v>
      </c>
      <c r="O911" s="402">
        <f>VLOOKUP(Table13[[#This Row],[Column1]],[1]Sheet1!$A:$AO,15,FALSE)</f>
        <v>45463</v>
      </c>
      <c r="P911" s="375"/>
      <c r="Q911" s="375"/>
      <c r="R911" s="376"/>
      <c r="S911" s="583" t="str">
        <f>VLOOKUP(Table13[[#This Row],[Column1]],[1]Sheet1!$A:$AO,19,FALSE)</f>
        <v>N/A</v>
      </c>
      <c r="T911" s="583"/>
      <c r="U911" s="583"/>
      <c r="V911" s="376"/>
      <c r="W911" s="376"/>
      <c r="X911" s="402"/>
      <c r="Y911" s="402"/>
      <c r="Z911" s="610" t="s">
        <v>1478</v>
      </c>
      <c r="AA911" s="532">
        <f>IF(Table13[[#This Row],[Column2]]="","",SUM(Table13[[#This Row],[Column28]]+Table13[[#This Row],[Column29]]))</f>
        <v>1925</v>
      </c>
      <c r="AB911" s="537"/>
      <c r="AC911" s="502">
        <v>1925</v>
      </c>
      <c r="AD911" s="532">
        <f>IF(Table13[[#This Row],[Column2]]="","",SUM(Table13[[#This Row],[Column31]]+Table13[[#This Row],[Column32]]))</f>
        <v>1920</v>
      </c>
      <c r="AE911" s="501"/>
      <c r="AF911" s="540">
        <v>1920</v>
      </c>
      <c r="AG911" s="405"/>
      <c r="AH911" s="380" t="s">
        <v>1205</v>
      </c>
      <c r="AI911" s="576" t="str">
        <f>VLOOKUP(Table13[[#This Row],[Column1]],[1]Sheet1!$A:$AO,35,FALSE)</f>
        <v>N/A</v>
      </c>
      <c r="AJ911" s="576" t="str">
        <f>VLOOKUP(Table13[[#This Row],[Column1]],[1]Sheet1!$A:$AO,36,FALSE)</f>
        <v>N/A</v>
      </c>
      <c r="AK911" s="576" t="str">
        <f>VLOOKUP(Table13[[#This Row],[Column1]],[1]Sheet1!$A:$AO,37,FALSE)</f>
        <v>N/A</v>
      </c>
      <c r="AL911" s="576" t="str">
        <f>VLOOKUP(Table13[[#This Row],[Column1]],[1]Sheet1!$A:$AO,38,FALSE)</f>
        <v>N/A</v>
      </c>
      <c r="AM911" s="576" t="str">
        <f>VLOOKUP(Table13[[#This Row],[Column1]],[1]Sheet1!$A:$AO,39,FALSE)</f>
        <v>N/A</v>
      </c>
      <c r="AN911" s="576" t="s">
        <v>713</v>
      </c>
      <c r="AO911" s="303" t="s">
        <v>1044</v>
      </c>
      <c r="AP911" s="378"/>
      <c r="AQ911" s="237"/>
    </row>
    <row r="912" spans="1:43" s="238" customFormat="1" ht="75" customHeight="1" x14ac:dyDescent="0.25">
      <c r="A912" s="297" t="s">
        <v>1133</v>
      </c>
      <c r="B912" s="627" t="str">
        <f>VLOOKUP(Table13[[#This Row],[Column1]],[1]Sheet1!$A:$AO,2,FALSE)</f>
        <v xml:space="preserve">OIL, PENETRATING </v>
      </c>
      <c r="C912" s="298" t="str">
        <f>VLOOKUP(Table13[[#This Row],[Column1]],[1]Sheet1!$A:$AO,3,FALSE)</f>
        <v>PDRRMO</v>
      </c>
      <c r="D912" s="298" t="s">
        <v>712</v>
      </c>
      <c r="E912" s="450" t="str">
        <f>VLOOKUP(Table13[[#This Row],[Column1]],[1]Sheet1!$A:$AO,5,FALSE)</f>
        <v>NP-53.9 - Small Value Procurement</v>
      </c>
      <c r="F912" s="446" t="str">
        <f>VLOOKUP(Table13[[#This Row],[Column1]],[1]Sheet1!$A:$AO,6,FALSE)</f>
        <v>N/A</v>
      </c>
      <c r="G912" s="402">
        <f>VLOOKUP(Table13[[#This Row],[Column1]],[1]Sheet1!$A:$AO,7,FALSE)</f>
        <v>45448</v>
      </c>
      <c r="H912" s="374"/>
      <c r="I912" s="402" t="str">
        <f>VLOOKUP(Table13[[#This Row],[Column1]],[1]Sheet1!$A:$AO,9,FALSE)</f>
        <v>N/A</v>
      </c>
      <c r="J912" s="402">
        <f>VLOOKUP(Table13[[#This Row],[Column1]],[1]Sheet1!$A:$AO,10,FALSE)</f>
        <v>45461</v>
      </c>
      <c r="K912" s="402">
        <f>VLOOKUP(Table13[[#This Row],[Column1]],[1]Sheet1!$A:$AO,11,FALSE)</f>
        <v>45461</v>
      </c>
      <c r="L912" s="404"/>
      <c r="M912" s="402" t="str">
        <f>VLOOKUP(Table13[[#This Row],[Column1]],[1]Sheet1!$A:$AO,13,FALSE)</f>
        <v>N/A</v>
      </c>
      <c r="N912" s="402" t="str">
        <f>VLOOKUP(Table13[[#This Row],[Column1]],[1]Sheet1!$A:$AO,14,FALSE)</f>
        <v>N/A</v>
      </c>
      <c r="O912" s="402">
        <f>VLOOKUP(Table13[[#This Row],[Column1]],[1]Sheet1!$A:$AO,15,FALSE)</f>
        <v>45463</v>
      </c>
      <c r="P912" s="375"/>
      <c r="Q912" s="375"/>
      <c r="R912" s="376"/>
      <c r="S912" s="583" t="str">
        <f>VLOOKUP(Table13[[#This Row],[Column1]],[1]Sheet1!$A:$AO,19,FALSE)</f>
        <v>N/A</v>
      </c>
      <c r="T912" s="583"/>
      <c r="U912" s="583"/>
      <c r="V912" s="376"/>
      <c r="W912" s="376"/>
      <c r="X912" s="402"/>
      <c r="Y912" s="402"/>
      <c r="Z912" s="610" t="s">
        <v>1478</v>
      </c>
      <c r="AA912" s="532">
        <f>IF(Table13[[#This Row],[Column2]]="","",SUM(Table13[[#This Row],[Column28]]+Table13[[#This Row],[Column29]]))</f>
        <v>3750</v>
      </c>
      <c r="AB912" s="537"/>
      <c r="AC912" s="502">
        <v>3750</v>
      </c>
      <c r="AD912" s="532">
        <f>IF(Table13[[#This Row],[Column2]]="","",SUM(Table13[[#This Row],[Column31]]+Table13[[#This Row],[Column32]]))</f>
        <v>3720</v>
      </c>
      <c r="AE912" s="501"/>
      <c r="AF912" s="540">
        <v>3720</v>
      </c>
      <c r="AG912" s="405"/>
      <c r="AH912" s="380" t="s">
        <v>1205</v>
      </c>
      <c r="AI912" s="576" t="str">
        <f>VLOOKUP(Table13[[#This Row],[Column1]],[1]Sheet1!$A:$AO,35,FALSE)</f>
        <v>N/A</v>
      </c>
      <c r="AJ912" s="576" t="str">
        <f>VLOOKUP(Table13[[#This Row],[Column1]],[1]Sheet1!$A:$AO,36,FALSE)</f>
        <v>N/A</v>
      </c>
      <c r="AK912" s="576" t="str">
        <f>VLOOKUP(Table13[[#This Row],[Column1]],[1]Sheet1!$A:$AO,37,FALSE)</f>
        <v>N/A</v>
      </c>
      <c r="AL912" s="576" t="str">
        <f>VLOOKUP(Table13[[#This Row],[Column1]],[1]Sheet1!$A:$AO,38,FALSE)</f>
        <v>N/A</v>
      </c>
      <c r="AM912" s="576" t="str">
        <f>VLOOKUP(Table13[[#This Row],[Column1]],[1]Sheet1!$A:$AO,39,FALSE)</f>
        <v>N/A</v>
      </c>
      <c r="AN912" s="576" t="s">
        <v>713</v>
      </c>
      <c r="AO912" s="303" t="s">
        <v>1044</v>
      </c>
      <c r="AP912" s="378"/>
      <c r="AQ912" s="237"/>
    </row>
    <row r="913" spans="1:43" s="238" customFormat="1" ht="75" customHeight="1" x14ac:dyDescent="0.25">
      <c r="A913" s="297" t="s">
        <v>1134</v>
      </c>
      <c r="B913" s="627" t="str">
        <f>VLOOKUP(Table13[[#This Row],[Column1]],[1]Sheet1!$A:$AO,2,FALSE)</f>
        <v xml:space="preserve">FOOD/CATERING SERVICES FOR </v>
      </c>
      <c r="C913" s="298" t="str">
        <f>VLOOKUP(Table13[[#This Row],[Column1]],[1]Sheet1!$A:$AO,3,FALSE)</f>
        <v>PGO</v>
      </c>
      <c r="D913" s="298" t="s">
        <v>712</v>
      </c>
      <c r="E913" s="450" t="str">
        <f>VLOOKUP(Table13[[#This Row],[Column1]],[1]Sheet1!$A:$AO,5,FALSE)</f>
        <v>NP-53.9 - Small Value Procurement</v>
      </c>
      <c r="F913" s="446" t="str">
        <f>VLOOKUP(Table13[[#This Row],[Column1]],[1]Sheet1!$A:$AO,6,FALSE)</f>
        <v>N/A</v>
      </c>
      <c r="G913" s="402">
        <f>VLOOKUP(Table13[[#This Row],[Column1]],[1]Sheet1!$A:$AO,7,FALSE)</f>
        <v>45448</v>
      </c>
      <c r="H913" s="374"/>
      <c r="I913" s="402" t="str">
        <f>VLOOKUP(Table13[[#This Row],[Column1]],[1]Sheet1!$A:$AO,9,FALSE)</f>
        <v>N/A</v>
      </c>
      <c r="J913" s="402">
        <f>VLOOKUP(Table13[[#This Row],[Column1]],[1]Sheet1!$A:$AO,10,FALSE)</f>
        <v>45461</v>
      </c>
      <c r="K913" s="402">
        <f>VLOOKUP(Table13[[#This Row],[Column1]],[1]Sheet1!$A:$AO,11,FALSE)</f>
        <v>45461</v>
      </c>
      <c r="L913" s="404"/>
      <c r="M913" s="402" t="str">
        <f>VLOOKUP(Table13[[#This Row],[Column1]],[1]Sheet1!$A:$AO,13,FALSE)</f>
        <v>N/A</v>
      </c>
      <c r="N913" s="402" t="str">
        <f>VLOOKUP(Table13[[#This Row],[Column1]],[1]Sheet1!$A:$AO,14,FALSE)</f>
        <v>N/A</v>
      </c>
      <c r="O913" s="402">
        <f>VLOOKUP(Table13[[#This Row],[Column1]],[1]Sheet1!$A:$AO,15,FALSE)</f>
        <v>45463</v>
      </c>
      <c r="P913" s="375"/>
      <c r="Q913" s="375"/>
      <c r="R913" s="376"/>
      <c r="S913" s="583">
        <f>VLOOKUP(Table13[[#This Row],[Column1]],[1]Sheet1!$A:$AO,19,FALSE)</f>
        <v>45467</v>
      </c>
      <c r="T913" s="583"/>
      <c r="U913" s="583"/>
      <c r="V913" s="376"/>
      <c r="W913" s="376"/>
      <c r="X913" s="402"/>
      <c r="Y913" s="402"/>
      <c r="Z913" s="610" t="s">
        <v>1478</v>
      </c>
      <c r="AA913" s="532">
        <f>IF(Table13[[#This Row],[Column2]]="","",SUM(Table13[[#This Row],[Column28]]+Table13[[#This Row],[Column29]]))</f>
        <v>80500</v>
      </c>
      <c r="AB913" s="537"/>
      <c r="AC913" s="502">
        <v>80500</v>
      </c>
      <c r="AD913" s="532">
        <f>IF(Table13[[#This Row],[Column2]]="","",SUM(Table13[[#This Row],[Column31]]+Table13[[#This Row],[Column32]]))</f>
        <v>80237.5</v>
      </c>
      <c r="AE913" s="501"/>
      <c r="AF913" s="540">
        <v>80237.5</v>
      </c>
      <c r="AG913" s="405"/>
      <c r="AH913" s="380" t="s">
        <v>1205</v>
      </c>
      <c r="AI913" s="576" t="str">
        <f>VLOOKUP(Table13[[#This Row],[Column1]],[1]Sheet1!$A:$AO,35,FALSE)</f>
        <v>N/A</v>
      </c>
      <c r="AJ913" s="576" t="str">
        <f>VLOOKUP(Table13[[#This Row],[Column1]],[1]Sheet1!$A:$AO,36,FALSE)</f>
        <v>N/A</v>
      </c>
      <c r="AK913" s="576" t="str">
        <f>VLOOKUP(Table13[[#This Row],[Column1]],[1]Sheet1!$A:$AO,37,FALSE)</f>
        <v>N/A</v>
      </c>
      <c r="AL913" s="576" t="str">
        <f>VLOOKUP(Table13[[#This Row],[Column1]],[1]Sheet1!$A:$AO,38,FALSE)</f>
        <v>N/A</v>
      </c>
      <c r="AM913" s="576" t="str">
        <f>VLOOKUP(Table13[[#This Row],[Column1]],[1]Sheet1!$A:$AO,39,FALSE)</f>
        <v>N/A</v>
      </c>
      <c r="AN913" s="576" t="s">
        <v>713</v>
      </c>
      <c r="AO913" s="303" t="s">
        <v>1044</v>
      </c>
      <c r="AP913" s="378"/>
      <c r="AQ913" s="237"/>
    </row>
    <row r="914" spans="1:43" s="238" customFormat="1" ht="75" customHeight="1" x14ac:dyDescent="0.25">
      <c r="A914" s="297" t="s">
        <v>1135</v>
      </c>
      <c r="B914" s="627" t="str">
        <f>VLOOKUP(Table13[[#This Row],[Column1]],[1]Sheet1!$A:$AO,2,FALSE)</f>
        <v>FOOD/CATERING SERVICES</v>
      </c>
      <c r="C914" s="298" t="str">
        <f>VLOOKUP(Table13[[#This Row],[Column1]],[1]Sheet1!$A:$AO,3,FALSE)</f>
        <v>PGO</v>
      </c>
      <c r="D914" s="298" t="s">
        <v>712</v>
      </c>
      <c r="E914" s="450" t="str">
        <f>VLOOKUP(Table13[[#This Row],[Column1]],[1]Sheet1!$A:$AO,5,FALSE)</f>
        <v>NP-53.9 - Small Value Procurement</v>
      </c>
      <c r="F914" s="446" t="str">
        <f>VLOOKUP(Table13[[#This Row],[Column1]],[1]Sheet1!$A:$AO,6,FALSE)</f>
        <v>N/A</v>
      </c>
      <c r="G914" s="402">
        <f>VLOOKUP(Table13[[#This Row],[Column1]],[1]Sheet1!$A:$AO,7,FALSE)</f>
        <v>45448</v>
      </c>
      <c r="H914" s="374"/>
      <c r="I914" s="402" t="str">
        <f>VLOOKUP(Table13[[#This Row],[Column1]],[1]Sheet1!$A:$AO,9,FALSE)</f>
        <v>N/A</v>
      </c>
      <c r="J914" s="402">
        <f>VLOOKUP(Table13[[#This Row],[Column1]],[1]Sheet1!$A:$AO,10,FALSE)</f>
        <v>45461</v>
      </c>
      <c r="K914" s="402">
        <f>VLOOKUP(Table13[[#This Row],[Column1]],[1]Sheet1!$A:$AO,11,FALSE)</f>
        <v>45461</v>
      </c>
      <c r="L914" s="404"/>
      <c r="M914" s="402" t="str">
        <f>VLOOKUP(Table13[[#This Row],[Column1]],[1]Sheet1!$A:$AO,13,FALSE)</f>
        <v>N/A</v>
      </c>
      <c r="N914" s="402" t="str">
        <f>VLOOKUP(Table13[[#This Row],[Column1]],[1]Sheet1!$A:$AO,14,FALSE)</f>
        <v>N/A</v>
      </c>
      <c r="O914" s="402">
        <f>VLOOKUP(Table13[[#This Row],[Column1]],[1]Sheet1!$A:$AO,15,FALSE)</f>
        <v>45463</v>
      </c>
      <c r="P914" s="375"/>
      <c r="Q914" s="375"/>
      <c r="R914" s="376"/>
      <c r="S914" s="583" t="str">
        <f>VLOOKUP(Table13[[#This Row],[Column1]],[1]Sheet1!$A:$AO,19,FALSE)</f>
        <v>N/A</v>
      </c>
      <c r="T914" s="583"/>
      <c r="U914" s="583"/>
      <c r="V914" s="376"/>
      <c r="W914" s="376"/>
      <c r="X914" s="402"/>
      <c r="Y914" s="402"/>
      <c r="Z914" s="610" t="s">
        <v>1478</v>
      </c>
      <c r="AA914" s="532">
        <f>IF(Table13[[#This Row],[Column2]]="","",SUM(Table13[[#This Row],[Column28]]+Table13[[#This Row],[Column29]]))</f>
        <v>4500</v>
      </c>
      <c r="AB914" s="537"/>
      <c r="AC914" s="502">
        <v>4500</v>
      </c>
      <c r="AD914" s="532">
        <f>IF(Table13[[#This Row],[Column2]]="","",SUM(Table13[[#This Row],[Column31]]+Table13[[#This Row],[Column32]]))</f>
        <v>4485</v>
      </c>
      <c r="AE914" s="501"/>
      <c r="AF914" s="540">
        <v>4485</v>
      </c>
      <c r="AG914" s="405"/>
      <c r="AH914" s="380" t="s">
        <v>1205</v>
      </c>
      <c r="AI914" s="576" t="str">
        <f>VLOOKUP(Table13[[#This Row],[Column1]],[1]Sheet1!$A:$AO,35,FALSE)</f>
        <v>N/A</v>
      </c>
      <c r="AJ914" s="576" t="str">
        <f>VLOOKUP(Table13[[#This Row],[Column1]],[1]Sheet1!$A:$AO,36,FALSE)</f>
        <v>N/A</v>
      </c>
      <c r="AK914" s="576" t="str">
        <f>VLOOKUP(Table13[[#This Row],[Column1]],[1]Sheet1!$A:$AO,37,FALSE)</f>
        <v>N/A</v>
      </c>
      <c r="AL914" s="576" t="str">
        <f>VLOOKUP(Table13[[#This Row],[Column1]],[1]Sheet1!$A:$AO,38,FALSE)</f>
        <v>N/A</v>
      </c>
      <c r="AM914" s="576" t="str">
        <f>VLOOKUP(Table13[[#This Row],[Column1]],[1]Sheet1!$A:$AO,39,FALSE)</f>
        <v>N/A</v>
      </c>
      <c r="AN914" s="576" t="s">
        <v>713</v>
      </c>
      <c r="AO914" s="303" t="s">
        <v>1044</v>
      </c>
      <c r="AP914" s="378"/>
      <c r="AQ914" s="237"/>
    </row>
    <row r="915" spans="1:43" s="238" customFormat="1" ht="75" customHeight="1" x14ac:dyDescent="0.25">
      <c r="A915" s="297" t="s">
        <v>1136</v>
      </c>
      <c r="B915" s="627" t="str">
        <f>VLOOKUP(Table13[[#This Row],[Column1]],[1]Sheet1!$A:$AO,2,FALSE)</f>
        <v xml:space="preserve">MEDICAL KIT
</v>
      </c>
      <c r="C915" s="298" t="str">
        <f>VLOOKUP(Table13[[#This Row],[Column1]],[1]Sheet1!$A:$AO,3,FALSE)</f>
        <v>PDRRMO</v>
      </c>
      <c r="D915" s="298" t="s">
        <v>712</v>
      </c>
      <c r="E915" s="450" t="str">
        <f>VLOOKUP(Table13[[#This Row],[Column1]],[1]Sheet1!$A:$AO,5,FALSE)</f>
        <v>NP-53.9 - Small Value Procurement</v>
      </c>
      <c r="F915" s="446">
        <f>VLOOKUP(Table13[[#This Row],[Column1]],[1]Sheet1!$A:$AO,6,FALSE)</f>
        <v>45446</v>
      </c>
      <c r="G915" s="402">
        <f>VLOOKUP(Table13[[#This Row],[Column1]],[1]Sheet1!$A:$AO,7,FALSE)</f>
        <v>45448</v>
      </c>
      <c r="H915" s="374"/>
      <c r="I915" s="402" t="str">
        <f>VLOOKUP(Table13[[#This Row],[Column1]],[1]Sheet1!$A:$AO,9,FALSE)</f>
        <v>N/A</v>
      </c>
      <c r="J915" s="402">
        <f>VLOOKUP(Table13[[#This Row],[Column1]],[1]Sheet1!$A:$AO,10,FALSE)</f>
        <v>45461</v>
      </c>
      <c r="K915" s="402">
        <f>VLOOKUP(Table13[[#This Row],[Column1]],[1]Sheet1!$A:$AO,11,FALSE)</f>
        <v>45461</v>
      </c>
      <c r="L915" s="404"/>
      <c r="M915" s="402" t="str">
        <f>VLOOKUP(Table13[[#This Row],[Column1]],[1]Sheet1!$A:$AO,13,FALSE)</f>
        <v>N/A</v>
      </c>
      <c r="N915" s="402" t="str">
        <f>VLOOKUP(Table13[[#This Row],[Column1]],[1]Sheet1!$A:$AO,14,FALSE)</f>
        <v>N/A</v>
      </c>
      <c r="O915" s="402">
        <f>VLOOKUP(Table13[[#This Row],[Column1]],[1]Sheet1!$A:$AO,15,FALSE)</f>
        <v>45463</v>
      </c>
      <c r="P915" s="375"/>
      <c r="Q915" s="375"/>
      <c r="R915" s="376"/>
      <c r="S915" s="583" t="str">
        <f>VLOOKUP(Table13[[#This Row],[Column1]],[1]Sheet1!$A:$AO,19,FALSE)</f>
        <v>N/A</v>
      </c>
      <c r="T915" s="583"/>
      <c r="U915" s="583"/>
      <c r="V915" s="376"/>
      <c r="W915" s="376"/>
      <c r="X915" s="402"/>
      <c r="Y915" s="402"/>
      <c r="Z915" s="610" t="s">
        <v>1478</v>
      </c>
      <c r="AA915" s="532">
        <f>IF(Table13[[#This Row],[Column2]]="","",SUM(Table13[[#This Row],[Column28]]+Table13[[#This Row],[Column29]]))</f>
        <v>1925</v>
      </c>
      <c r="AB915" s="537"/>
      <c r="AC915" s="502">
        <v>1925</v>
      </c>
      <c r="AD915" s="532">
        <f>IF(Table13[[#This Row],[Column2]]="","",SUM(Table13[[#This Row],[Column31]]+Table13[[#This Row],[Column32]]))</f>
        <v>1920</v>
      </c>
      <c r="AE915" s="501"/>
      <c r="AF915" s="540">
        <v>1920</v>
      </c>
      <c r="AG915" s="405"/>
      <c r="AH915" s="380" t="s">
        <v>1205</v>
      </c>
      <c r="AI915" s="576" t="str">
        <f>VLOOKUP(Table13[[#This Row],[Column1]],[1]Sheet1!$A:$AO,35,FALSE)</f>
        <v>N/A</v>
      </c>
      <c r="AJ915" s="576" t="str">
        <f>VLOOKUP(Table13[[#This Row],[Column1]],[1]Sheet1!$A:$AO,36,FALSE)</f>
        <v>N/A</v>
      </c>
      <c r="AK915" s="576" t="str">
        <f>VLOOKUP(Table13[[#This Row],[Column1]],[1]Sheet1!$A:$AO,37,FALSE)</f>
        <v>N/A</v>
      </c>
      <c r="AL915" s="576" t="str">
        <f>VLOOKUP(Table13[[#This Row],[Column1]],[1]Sheet1!$A:$AO,38,FALSE)</f>
        <v>N/A</v>
      </c>
      <c r="AM915" s="576" t="str">
        <f>VLOOKUP(Table13[[#This Row],[Column1]],[1]Sheet1!$A:$AO,39,FALSE)</f>
        <v>N/A</v>
      </c>
      <c r="AN915" s="576" t="s">
        <v>713</v>
      </c>
      <c r="AO915" s="303" t="s">
        <v>1044</v>
      </c>
      <c r="AP915" s="378"/>
      <c r="AQ915" s="237"/>
    </row>
    <row r="916" spans="1:43" s="238" customFormat="1" ht="75" customHeight="1" x14ac:dyDescent="0.25">
      <c r="A916" s="297" t="s">
        <v>1137</v>
      </c>
      <c r="B916" s="627" t="str">
        <f>VLOOKUP(Table13[[#This Row],[Column1]],[1]Sheet1!$A:$AO,2,FALSE)</f>
        <v xml:space="preserve">CONSTRUCTION MATERIALS </v>
      </c>
      <c r="C916" s="298" t="str">
        <f>VLOOKUP(Table13[[#This Row],[Column1]],[1]Sheet1!$A:$AO,3,FALSE)</f>
        <v>PDRRMO</v>
      </c>
      <c r="D916" s="298" t="s">
        <v>712</v>
      </c>
      <c r="E916" s="450" t="str">
        <f>VLOOKUP(Table13[[#This Row],[Column1]],[1]Sheet1!$A:$AO,5,FALSE)</f>
        <v>NP-53.9 - Small Value Procurement</v>
      </c>
      <c r="F916" s="446">
        <f>VLOOKUP(Table13[[#This Row],[Column1]],[1]Sheet1!$A:$AO,6,FALSE)</f>
        <v>45446</v>
      </c>
      <c r="G916" s="402">
        <f>VLOOKUP(Table13[[#This Row],[Column1]],[1]Sheet1!$A:$AO,7,FALSE)</f>
        <v>45448</v>
      </c>
      <c r="H916" s="374"/>
      <c r="I916" s="402" t="str">
        <f>VLOOKUP(Table13[[#This Row],[Column1]],[1]Sheet1!$A:$AO,9,FALSE)</f>
        <v>N/A</v>
      </c>
      <c r="J916" s="402">
        <f>VLOOKUP(Table13[[#This Row],[Column1]],[1]Sheet1!$A:$AO,10,FALSE)</f>
        <v>45461</v>
      </c>
      <c r="K916" s="402">
        <f>VLOOKUP(Table13[[#This Row],[Column1]],[1]Sheet1!$A:$AO,11,FALSE)</f>
        <v>45461</v>
      </c>
      <c r="L916" s="404"/>
      <c r="M916" s="402" t="str">
        <f>VLOOKUP(Table13[[#This Row],[Column1]],[1]Sheet1!$A:$AO,13,FALSE)</f>
        <v>N/A</v>
      </c>
      <c r="N916" s="402" t="str">
        <f>VLOOKUP(Table13[[#This Row],[Column1]],[1]Sheet1!$A:$AO,14,FALSE)</f>
        <v>N/A</v>
      </c>
      <c r="O916" s="402">
        <f>VLOOKUP(Table13[[#This Row],[Column1]],[1]Sheet1!$A:$AO,15,FALSE)</f>
        <v>45463</v>
      </c>
      <c r="P916" s="375"/>
      <c r="Q916" s="375"/>
      <c r="R916" s="376"/>
      <c r="S916" s="583">
        <f>VLOOKUP(Table13[[#This Row],[Column1]],[1]Sheet1!$A:$AO,19,FALSE)</f>
        <v>45467</v>
      </c>
      <c r="T916" s="583"/>
      <c r="U916" s="583"/>
      <c r="V916" s="376"/>
      <c r="W916" s="376"/>
      <c r="X916" s="402"/>
      <c r="Y916" s="402"/>
      <c r="Z916" s="610" t="s">
        <v>1478</v>
      </c>
      <c r="AA916" s="532">
        <f>IF(Table13[[#This Row],[Column2]]="","",SUM(Table13[[#This Row],[Column28]]+Table13[[#This Row],[Column29]]))</f>
        <v>173317</v>
      </c>
      <c r="AB916" s="537"/>
      <c r="AC916" s="502">
        <v>173317</v>
      </c>
      <c r="AD916" s="532">
        <f>IF(Table13[[#This Row],[Column2]]="","",SUM(Table13[[#This Row],[Column31]]+Table13[[#This Row],[Column32]]))</f>
        <v>173312</v>
      </c>
      <c r="AE916" s="501"/>
      <c r="AF916" s="540">
        <v>173312</v>
      </c>
      <c r="AG916" s="405"/>
      <c r="AH916" s="380" t="s">
        <v>1205</v>
      </c>
      <c r="AI916" s="576" t="str">
        <f>VLOOKUP(Table13[[#This Row],[Column1]],[1]Sheet1!$A:$AO,35,FALSE)</f>
        <v>N/A</v>
      </c>
      <c r="AJ916" s="576" t="str">
        <f>VLOOKUP(Table13[[#This Row],[Column1]],[1]Sheet1!$A:$AO,36,FALSE)</f>
        <v>N/A</v>
      </c>
      <c r="AK916" s="576" t="str">
        <f>VLOOKUP(Table13[[#This Row],[Column1]],[1]Sheet1!$A:$AO,37,FALSE)</f>
        <v>N/A</v>
      </c>
      <c r="AL916" s="576" t="str">
        <f>VLOOKUP(Table13[[#This Row],[Column1]],[1]Sheet1!$A:$AO,38,FALSE)</f>
        <v>N/A</v>
      </c>
      <c r="AM916" s="576" t="str">
        <f>VLOOKUP(Table13[[#This Row],[Column1]],[1]Sheet1!$A:$AO,39,FALSE)</f>
        <v>N/A</v>
      </c>
      <c r="AN916" s="576" t="s">
        <v>713</v>
      </c>
      <c r="AO916" s="303" t="s">
        <v>1044</v>
      </c>
      <c r="AP916" s="378"/>
      <c r="AQ916" s="237"/>
    </row>
    <row r="917" spans="1:43" s="238" customFormat="1" ht="75" customHeight="1" x14ac:dyDescent="0.25">
      <c r="A917" s="297" t="s">
        <v>1138</v>
      </c>
      <c r="B917" s="627" t="str">
        <f>VLOOKUP(Table13[[#This Row],[Column1]],[1]Sheet1!$A:$AO,2,FALSE)</f>
        <v xml:space="preserve">MACHINE MAINTENANCE SUPPLIES
</v>
      </c>
      <c r="C917" s="298" t="str">
        <f>VLOOKUP(Table13[[#This Row],[Column1]],[1]Sheet1!$A:$AO,3,FALSE)</f>
        <v>PDRRMO</v>
      </c>
      <c r="D917" s="298" t="s">
        <v>712</v>
      </c>
      <c r="E917" s="450" t="str">
        <f>VLOOKUP(Table13[[#This Row],[Column1]],[1]Sheet1!$A:$AO,5,FALSE)</f>
        <v>NP-53.9 - Small Value Procurement</v>
      </c>
      <c r="F917" s="446" t="str">
        <f>VLOOKUP(Table13[[#This Row],[Column1]],[1]Sheet1!$A:$AO,6,FALSE)</f>
        <v>N/A</v>
      </c>
      <c r="G917" s="402">
        <f>VLOOKUP(Table13[[#This Row],[Column1]],[1]Sheet1!$A:$AO,7,FALSE)</f>
        <v>45448</v>
      </c>
      <c r="H917" s="374"/>
      <c r="I917" s="402" t="str">
        <f>VLOOKUP(Table13[[#This Row],[Column1]],[1]Sheet1!$A:$AO,9,FALSE)</f>
        <v>N/A</v>
      </c>
      <c r="J917" s="402">
        <f>VLOOKUP(Table13[[#This Row],[Column1]],[1]Sheet1!$A:$AO,10,FALSE)</f>
        <v>45461</v>
      </c>
      <c r="K917" s="402">
        <f>VLOOKUP(Table13[[#This Row],[Column1]],[1]Sheet1!$A:$AO,11,FALSE)</f>
        <v>45461</v>
      </c>
      <c r="L917" s="404"/>
      <c r="M917" s="402" t="str">
        <f>VLOOKUP(Table13[[#This Row],[Column1]],[1]Sheet1!$A:$AO,13,FALSE)</f>
        <v>N/A</v>
      </c>
      <c r="N917" s="402" t="str">
        <f>VLOOKUP(Table13[[#This Row],[Column1]],[1]Sheet1!$A:$AO,14,FALSE)</f>
        <v>N/A</v>
      </c>
      <c r="O917" s="402">
        <f>VLOOKUP(Table13[[#This Row],[Column1]],[1]Sheet1!$A:$AO,15,FALSE)</f>
        <v>45463</v>
      </c>
      <c r="P917" s="375"/>
      <c r="Q917" s="375"/>
      <c r="R917" s="376"/>
      <c r="S917" s="583" t="str">
        <f>VLOOKUP(Table13[[#This Row],[Column1]],[1]Sheet1!$A:$AO,19,FALSE)</f>
        <v>N/A</v>
      </c>
      <c r="T917" s="583"/>
      <c r="U917" s="583"/>
      <c r="V917" s="376"/>
      <c r="W917" s="376"/>
      <c r="X917" s="402"/>
      <c r="Y917" s="402"/>
      <c r="Z917" s="610" t="s">
        <v>1478</v>
      </c>
      <c r="AA917" s="532">
        <f>IF(Table13[[#This Row],[Column2]]="","",SUM(Table13[[#This Row],[Column28]]+Table13[[#This Row],[Column29]]))</f>
        <v>17323.8</v>
      </c>
      <c r="AB917" s="537"/>
      <c r="AC917" s="502">
        <v>17323.8</v>
      </c>
      <c r="AD917" s="532">
        <f>IF(Table13[[#This Row],[Column2]]="","",SUM(Table13[[#This Row],[Column31]]+Table13[[#This Row],[Column32]]))</f>
        <v>17261</v>
      </c>
      <c r="AE917" s="501"/>
      <c r="AF917" s="540">
        <v>17261</v>
      </c>
      <c r="AG917" s="405"/>
      <c r="AH917" s="380" t="s">
        <v>1205</v>
      </c>
      <c r="AI917" s="576" t="str">
        <f>VLOOKUP(Table13[[#This Row],[Column1]],[1]Sheet1!$A:$AO,35,FALSE)</f>
        <v>N/A</v>
      </c>
      <c r="AJ917" s="576" t="str">
        <f>VLOOKUP(Table13[[#This Row],[Column1]],[1]Sheet1!$A:$AO,36,FALSE)</f>
        <v>N/A</v>
      </c>
      <c r="AK917" s="576" t="str">
        <f>VLOOKUP(Table13[[#This Row],[Column1]],[1]Sheet1!$A:$AO,37,FALSE)</f>
        <v>N/A</v>
      </c>
      <c r="AL917" s="576" t="str">
        <f>VLOOKUP(Table13[[#This Row],[Column1]],[1]Sheet1!$A:$AO,38,FALSE)</f>
        <v>N/A</v>
      </c>
      <c r="AM917" s="576" t="str">
        <f>VLOOKUP(Table13[[#This Row],[Column1]],[1]Sheet1!$A:$AO,39,FALSE)</f>
        <v>N/A</v>
      </c>
      <c r="AN917" s="576" t="s">
        <v>713</v>
      </c>
      <c r="AO917" s="303" t="s">
        <v>1044</v>
      </c>
      <c r="AP917" s="378"/>
      <c r="AQ917" s="237"/>
    </row>
    <row r="918" spans="1:43" s="238" customFormat="1" ht="75" customHeight="1" x14ac:dyDescent="0.25">
      <c r="A918" s="297" t="s">
        <v>1139</v>
      </c>
      <c r="B918" s="627" t="str">
        <f>VLOOKUP(Table13[[#This Row],[Column1]],[1]Sheet1!$A:$AO,2,FALSE)</f>
        <v xml:space="preserve">MEDICAL SUPPLIES
</v>
      </c>
      <c r="C918" s="298" t="str">
        <f>VLOOKUP(Table13[[#This Row],[Column1]],[1]Sheet1!$A:$AO,3,FALSE)</f>
        <v>PDRRMO</v>
      </c>
      <c r="D918" s="298" t="s">
        <v>712</v>
      </c>
      <c r="E918" s="450" t="str">
        <f>VLOOKUP(Table13[[#This Row],[Column1]],[1]Sheet1!$A:$AO,5,FALSE)</f>
        <v>NP-53.9 - Small Value Procurement</v>
      </c>
      <c r="F918" s="446">
        <f>VLOOKUP(Table13[[#This Row],[Column1]],[1]Sheet1!$A:$AO,6,FALSE)</f>
        <v>45446</v>
      </c>
      <c r="G918" s="402">
        <f>VLOOKUP(Table13[[#This Row],[Column1]],[1]Sheet1!$A:$AO,7,FALSE)</f>
        <v>45448</v>
      </c>
      <c r="H918" s="374"/>
      <c r="I918" s="402" t="str">
        <f>VLOOKUP(Table13[[#This Row],[Column1]],[1]Sheet1!$A:$AO,9,FALSE)</f>
        <v>N/A</v>
      </c>
      <c r="J918" s="402">
        <f>VLOOKUP(Table13[[#This Row],[Column1]],[1]Sheet1!$A:$AO,10,FALSE)</f>
        <v>45461</v>
      </c>
      <c r="K918" s="402">
        <f>VLOOKUP(Table13[[#This Row],[Column1]],[1]Sheet1!$A:$AO,11,FALSE)</f>
        <v>45461</v>
      </c>
      <c r="L918" s="404"/>
      <c r="M918" s="402" t="str">
        <f>VLOOKUP(Table13[[#This Row],[Column1]],[1]Sheet1!$A:$AO,13,FALSE)</f>
        <v>N/A</v>
      </c>
      <c r="N918" s="402" t="str">
        <f>VLOOKUP(Table13[[#This Row],[Column1]],[1]Sheet1!$A:$AO,14,FALSE)</f>
        <v>N/A</v>
      </c>
      <c r="O918" s="402">
        <f>VLOOKUP(Table13[[#This Row],[Column1]],[1]Sheet1!$A:$AO,15,FALSE)</f>
        <v>45463</v>
      </c>
      <c r="P918" s="375"/>
      <c r="Q918" s="375"/>
      <c r="R918" s="376"/>
      <c r="S918" s="583">
        <f>VLOOKUP(Table13[[#This Row],[Column1]],[1]Sheet1!$A:$AO,19,FALSE)</f>
        <v>45464</v>
      </c>
      <c r="T918" s="583"/>
      <c r="U918" s="583"/>
      <c r="V918" s="376"/>
      <c r="W918" s="376"/>
      <c r="X918" s="402"/>
      <c r="Y918" s="402"/>
      <c r="Z918" s="610" t="s">
        <v>1478</v>
      </c>
      <c r="AA918" s="532">
        <f>IF(Table13[[#This Row],[Column2]]="","",SUM(Table13[[#This Row],[Column28]]+Table13[[#This Row],[Column29]]))</f>
        <v>287715</v>
      </c>
      <c r="AB918" s="537"/>
      <c r="AC918" s="502">
        <v>287715</v>
      </c>
      <c r="AD918" s="532">
        <f>IF(Table13[[#This Row],[Column2]]="","",SUM(Table13[[#This Row],[Column31]]+Table13[[#This Row],[Column32]]))</f>
        <v>118400</v>
      </c>
      <c r="AE918" s="501"/>
      <c r="AF918" s="540">
        <v>118400</v>
      </c>
      <c r="AG918" s="405"/>
      <c r="AH918" s="380" t="s">
        <v>1205</v>
      </c>
      <c r="AI918" s="576" t="str">
        <f>VLOOKUP(Table13[[#This Row],[Column1]],[1]Sheet1!$A:$AO,35,FALSE)</f>
        <v>N/A</v>
      </c>
      <c r="AJ918" s="576" t="str">
        <f>VLOOKUP(Table13[[#This Row],[Column1]],[1]Sheet1!$A:$AO,36,FALSE)</f>
        <v>N/A</v>
      </c>
      <c r="AK918" s="576" t="str">
        <f>VLOOKUP(Table13[[#This Row],[Column1]],[1]Sheet1!$A:$AO,37,FALSE)</f>
        <v>N/A</v>
      </c>
      <c r="AL918" s="576" t="str">
        <f>VLOOKUP(Table13[[#This Row],[Column1]],[1]Sheet1!$A:$AO,38,FALSE)</f>
        <v>N/A</v>
      </c>
      <c r="AM918" s="576" t="str">
        <f>VLOOKUP(Table13[[#This Row],[Column1]],[1]Sheet1!$A:$AO,39,FALSE)</f>
        <v>N/A</v>
      </c>
      <c r="AN918" s="576" t="s">
        <v>713</v>
      </c>
      <c r="AO918" s="303" t="s">
        <v>1044</v>
      </c>
      <c r="AP918" s="378"/>
      <c r="AQ918" s="237"/>
    </row>
    <row r="919" spans="1:43" s="238" customFormat="1" ht="75" customHeight="1" x14ac:dyDescent="0.25">
      <c r="A919" s="297" t="s">
        <v>1140</v>
      </c>
      <c r="B919" s="627" t="str">
        <f>VLOOKUP(Table13[[#This Row],[Column1]],[1]Sheet1!$A:$AO,2,FALSE)</f>
        <v xml:space="preserve">SPAREPARTS (LIGHT VEHICLES)
</v>
      </c>
      <c r="C919" s="298" t="str">
        <f>VLOOKUP(Table13[[#This Row],[Column1]],[1]Sheet1!$A:$AO,3,FALSE)</f>
        <v>PDRRMO</v>
      </c>
      <c r="D919" s="298" t="s">
        <v>712</v>
      </c>
      <c r="E919" s="450" t="str">
        <f>VLOOKUP(Table13[[#This Row],[Column1]],[1]Sheet1!$A:$AO,5,FALSE)</f>
        <v>NP-53.9 - Small Value Procurement</v>
      </c>
      <c r="F919" s="446">
        <f>VLOOKUP(Table13[[#This Row],[Column1]],[1]Sheet1!$A:$AO,6,FALSE)</f>
        <v>45446</v>
      </c>
      <c r="G919" s="402">
        <f>VLOOKUP(Table13[[#This Row],[Column1]],[1]Sheet1!$A:$AO,7,FALSE)</f>
        <v>45448</v>
      </c>
      <c r="H919" s="374"/>
      <c r="I919" s="402" t="str">
        <f>VLOOKUP(Table13[[#This Row],[Column1]],[1]Sheet1!$A:$AO,9,FALSE)</f>
        <v>N/A</v>
      </c>
      <c r="J919" s="402">
        <f>VLOOKUP(Table13[[#This Row],[Column1]],[1]Sheet1!$A:$AO,10,FALSE)</f>
        <v>45461</v>
      </c>
      <c r="K919" s="402">
        <f>VLOOKUP(Table13[[#This Row],[Column1]],[1]Sheet1!$A:$AO,11,FALSE)</f>
        <v>45461</v>
      </c>
      <c r="L919" s="404"/>
      <c r="M919" s="402" t="str">
        <f>VLOOKUP(Table13[[#This Row],[Column1]],[1]Sheet1!$A:$AO,13,FALSE)</f>
        <v>N/A</v>
      </c>
      <c r="N919" s="402" t="str">
        <f>VLOOKUP(Table13[[#This Row],[Column1]],[1]Sheet1!$A:$AO,14,FALSE)</f>
        <v>N/A</v>
      </c>
      <c r="O919" s="402">
        <f>VLOOKUP(Table13[[#This Row],[Column1]],[1]Sheet1!$A:$AO,15,FALSE)</f>
        <v>45463</v>
      </c>
      <c r="P919" s="375"/>
      <c r="Q919" s="375"/>
      <c r="R919" s="376"/>
      <c r="S919" s="583">
        <f>VLOOKUP(Table13[[#This Row],[Column1]],[1]Sheet1!$A:$AO,19,FALSE)</f>
        <v>45465</v>
      </c>
      <c r="T919" s="583"/>
      <c r="U919" s="583"/>
      <c r="V919" s="376"/>
      <c r="W919" s="376"/>
      <c r="X919" s="402"/>
      <c r="Y919" s="402"/>
      <c r="Z919" s="610" t="s">
        <v>1478</v>
      </c>
      <c r="AA919" s="532">
        <f>IF(Table13[[#This Row],[Column2]]="","",SUM(Table13[[#This Row],[Column28]]+Table13[[#This Row],[Column29]]))</f>
        <v>141295</v>
      </c>
      <c r="AB919" s="537">
        <v>141295</v>
      </c>
      <c r="AC919" s="502"/>
      <c r="AD919" s="532">
        <f>IF(Table13[[#This Row],[Column2]]="","",SUM(Table13[[#This Row],[Column31]]+Table13[[#This Row],[Column32]]))</f>
        <v>110500</v>
      </c>
      <c r="AE919" s="501">
        <v>110500</v>
      </c>
      <c r="AF919" s="540"/>
      <c r="AG919" s="405"/>
      <c r="AH919" s="380" t="s">
        <v>1205</v>
      </c>
      <c r="AI919" s="576" t="str">
        <f>VLOOKUP(Table13[[#This Row],[Column1]],[1]Sheet1!$A:$AO,35,FALSE)</f>
        <v>N/A</v>
      </c>
      <c r="AJ919" s="576" t="str">
        <f>VLOOKUP(Table13[[#This Row],[Column1]],[1]Sheet1!$A:$AO,36,FALSE)</f>
        <v>N/A</v>
      </c>
      <c r="AK919" s="576" t="str">
        <f>VLOOKUP(Table13[[#This Row],[Column1]],[1]Sheet1!$A:$AO,37,FALSE)</f>
        <v>N/A</v>
      </c>
      <c r="AL919" s="576" t="str">
        <f>VLOOKUP(Table13[[#This Row],[Column1]],[1]Sheet1!$A:$AO,38,FALSE)</f>
        <v>N/A</v>
      </c>
      <c r="AM919" s="576" t="str">
        <f>VLOOKUP(Table13[[#This Row],[Column1]],[1]Sheet1!$A:$AO,39,FALSE)</f>
        <v>N/A</v>
      </c>
      <c r="AN919" s="576" t="s">
        <v>713</v>
      </c>
      <c r="AO919" s="303" t="s">
        <v>1044</v>
      </c>
      <c r="AP919" s="378"/>
      <c r="AQ919" s="237"/>
    </row>
    <row r="920" spans="1:43" s="238" customFormat="1" ht="75" customHeight="1" x14ac:dyDescent="0.25">
      <c r="A920" s="297" t="s">
        <v>1141</v>
      </c>
      <c r="B920" s="627" t="str">
        <f>VLOOKUP(Table13[[#This Row],[Column1]],[1]Sheet1!$A:$AO,2,FALSE)</f>
        <v xml:space="preserve">SPAREPARTS (LIGHT VEHICLES)
</v>
      </c>
      <c r="C920" s="298" t="str">
        <f>VLOOKUP(Table13[[#This Row],[Column1]],[1]Sheet1!$A:$AO,3,FALSE)</f>
        <v>PGO</v>
      </c>
      <c r="D920" s="298" t="s">
        <v>712</v>
      </c>
      <c r="E920" s="450" t="str">
        <f>VLOOKUP(Table13[[#This Row],[Column1]],[1]Sheet1!$A:$AO,5,FALSE)</f>
        <v>NP-53.9 - Small Value Procurement</v>
      </c>
      <c r="F920" s="446" t="str">
        <f>VLOOKUP(Table13[[#This Row],[Column1]],[1]Sheet1!$A:$AO,6,FALSE)</f>
        <v>N/A</v>
      </c>
      <c r="G920" s="402">
        <f>VLOOKUP(Table13[[#This Row],[Column1]],[1]Sheet1!$A:$AO,7,FALSE)</f>
        <v>45448</v>
      </c>
      <c r="H920" s="374"/>
      <c r="I920" s="402" t="str">
        <f>VLOOKUP(Table13[[#This Row],[Column1]],[1]Sheet1!$A:$AO,9,FALSE)</f>
        <v>N/A</v>
      </c>
      <c r="J920" s="402">
        <f>VLOOKUP(Table13[[#This Row],[Column1]],[1]Sheet1!$A:$AO,10,FALSE)</f>
        <v>45461</v>
      </c>
      <c r="K920" s="402">
        <f>VLOOKUP(Table13[[#This Row],[Column1]],[1]Sheet1!$A:$AO,11,FALSE)</f>
        <v>45461</v>
      </c>
      <c r="L920" s="404"/>
      <c r="M920" s="402" t="str">
        <f>VLOOKUP(Table13[[#This Row],[Column1]],[1]Sheet1!$A:$AO,13,FALSE)</f>
        <v>N/A</v>
      </c>
      <c r="N920" s="402" t="str">
        <f>VLOOKUP(Table13[[#This Row],[Column1]],[1]Sheet1!$A:$AO,14,FALSE)</f>
        <v>N/A</v>
      </c>
      <c r="O920" s="402">
        <f>VLOOKUP(Table13[[#This Row],[Column1]],[1]Sheet1!$A:$AO,15,FALSE)</f>
        <v>45463</v>
      </c>
      <c r="P920" s="375"/>
      <c r="Q920" s="375"/>
      <c r="R920" s="376"/>
      <c r="S920" s="583">
        <f>VLOOKUP(Table13[[#This Row],[Column1]],[1]Sheet1!$A:$AO,19,FALSE)</f>
        <v>45465</v>
      </c>
      <c r="T920" s="583"/>
      <c r="U920" s="583"/>
      <c r="V920" s="376"/>
      <c r="W920" s="376"/>
      <c r="X920" s="402"/>
      <c r="Y920" s="402"/>
      <c r="Z920" s="610" t="s">
        <v>1478</v>
      </c>
      <c r="AA920" s="532">
        <f>IF(Table13[[#This Row],[Column2]]="","",SUM(Table13[[#This Row],[Column28]]+Table13[[#This Row],[Column29]]))</f>
        <v>73776</v>
      </c>
      <c r="AB920" s="537"/>
      <c r="AC920" s="502">
        <v>73776</v>
      </c>
      <c r="AD920" s="532">
        <f>IF(Table13[[#This Row],[Column2]]="","",SUM(Table13[[#This Row],[Column31]]+Table13[[#This Row],[Column32]]))</f>
        <v>66000</v>
      </c>
      <c r="AE920" s="501"/>
      <c r="AF920" s="540">
        <v>66000</v>
      </c>
      <c r="AG920" s="405"/>
      <c r="AH920" s="380" t="s">
        <v>1205</v>
      </c>
      <c r="AI920" s="576" t="str">
        <f>VLOOKUP(Table13[[#This Row],[Column1]],[1]Sheet1!$A:$AO,35,FALSE)</f>
        <v>N/A</v>
      </c>
      <c r="AJ920" s="576" t="str">
        <f>VLOOKUP(Table13[[#This Row],[Column1]],[1]Sheet1!$A:$AO,36,FALSE)</f>
        <v>N/A</v>
      </c>
      <c r="AK920" s="576" t="str">
        <f>VLOOKUP(Table13[[#This Row],[Column1]],[1]Sheet1!$A:$AO,37,FALSE)</f>
        <v>N/A</v>
      </c>
      <c r="AL920" s="576" t="str">
        <f>VLOOKUP(Table13[[#This Row],[Column1]],[1]Sheet1!$A:$AO,38,FALSE)</f>
        <v>N/A</v>
      </c>
      <c r="AM920" s="576" t="str">
        <f>VLOOKUP(Table13[[#This Row],[Column1]],[1]Sheet1!$A:$AO,39,FALSE)</f>
        <v>N/A</v>
      </c>
      <c r="AN920" s="576" t="s">
        <v>713</v>
      </c>
      <c r="AO920" s="303" t="s">
        <v>1044</v>
      </c>
      <c r="AP920" s="378"/>
      <c r="AQ920" s="237"/>
    </row>
    <row r="921" spans="1:43" s="238" customFormat="1" ht="75" customHeight="1" x14ac:dyDescent="0.25">
      <c r="A921" s="297" t="s">
        <v>1142</v>
      </c>
      <c r="B921" s="627" t="str">
        <f>VLOOKUP(Table13[[#This Row],[Column1]],[1]Sheet1!$A:$AO,2,FALSE)</f>
        <v xml:space="preserve">PLAQUE
</v>
      </c>
      <c r="C921" s="298" t="str">
        <f>VLOOKUP(Table13[[#This Row],[Column1]],[1]Sheet1!$A:$AO,3,FALSE)</f>
        <v>PGO</v>
      </c>
      <c r="D921" s="298" t="s">
        <v>712</v>
      </c>
      <c r="E921" s="450" t="str">
        <f>VLOOKUP(Table13[[#This Row],[Column1]],[1]Sheet1!$A:$AO,5,FALSE)</f>
        <v>NP-53.9 - Small Value Procurement</v>
      </c>
      <c r="F921" s="446" t="str">
        <f>VLOOKUP(Table13[[#This Row],[Column1]],[1]Sheet1!$A:$AO,6,FALSE)</f>
        <v>N/A</v>
      </c>
      <c r="G921" s="402">
        <f>VLOOKUP(Table13[[#This Row],[Column1]],[1]Sheet1!$A:$AO,7,FALSE)</f>
        <v>45461</v>
      </c>
      <c r="H921" s="374"/>
      <c r="I921" s="402" t="str">
        <f>VLOOKUP(Table13[[#This Row],[Column1]],[1]Sheet1!$A:$AO,9,FALSE)</f>
        <v>N/A</v>
      </c>
      <c r="J921" s="402">
        <f>VLOOKUP(Table13[[#This Row],[Column1]],[1]Sheet1!$A:$AO,10,FALSE)</f>
        <v>45461</v>
      </c>
      <c r="K921" s="402">
        <f>VLOOKUP(Table13[[#This Row],[Column1]],[1]Sheet1!$A:$AO,11,FALSE)</f>
        <v>45461</v>
      </c>
      <c r="L921" s="404"/>
      <c r="M921" s="402" t="str">
        <f>VLOOKUP(Table13[[#This Row],[Column1]],[1]Sheet1!$A:$AO,13,FALSE)</f>
        <v>N/A</v>
      </c>
      <c r="N921" s="402" t="str">
        <f>VLOOKUP(Table13[[#This Row],[Column1]],[1]Sheet1!$A:$AO,14,FALSE)</f>
        <v>N/A</v>
      </c>
      <c r="O921" s="402">
        <f>VLOOKUP(Table13[[#This Row],[Column1]],[1]Sheet1!$A:$AO,15,FALSE)</f>
        <v>45463</v>
      </c>
      <c r="P921" s="375"/>
      <c r="Q921" s="375"/>
      <c r="R921" s="376"/>
      <c r="S921" s="583" t="str">
        <f>VLOOKUP(Table13[[#This Row],[Column1]],[1]Sheet1!$A:$AO,19,FALSE)</f>
        <v>N/A</v>
      </c>
      <c r="T921" s="583"/>
      <c r="U921" s="583"/>
      <c r="V921" s="376"/>
      <c r="W921" s="376"/>
      <c r="X921" s="402"/>
      <c r="Y921" s="402"/>
      <c r="Z921" s="610" t="s">
        <v>1478</v>
      </c>
      <c r="AA921" s="532">
        <f>IF(Table13[[#This Row],[Column2]]="","",SUM(Table13[[#This Row],[Column28]]+Table13[[#This Row],[Column29]]))</f>
        <v>3000</v>
      </c>
      <c r="AB921" s="537"/>
      <c r="AC921" s="502">
        <v>3000</v>
      </c>
      <c r="AD921" s="532">
        <f>IF(Table13[[#This Row],[Column2]]="","",SUM(Table13[[#This Row],[Column31]]+Table13[[#This Row],[Column32]]))</f>
        <v>2996</v>
      </c>
      <c r="AE921" s="501"/>
      <c r="AF921" s="540">
        <v>2996</v>
      </c>
      <c r="AG921" s="405"/>
      <c r="AH921" s="380" t="s">
        <v>1205</v>
      </c>
      <c r="AI921" s="576" t="str">
        <f>VLOOKUP(Table13[[#This Row],[Column1]],[1]Sheet1!$A:$AO,35,FALSE)</f>
        <v>N/A</v>
      </c>
      <c r="AJ921" s="576" t="str">
        <f>VLOOKUP(Table13[[#This Row],[Column1]],[1]Sheet1!$A:$AO,36,FALSE)</f>
        <v>N/A</v>
      </c>
      <c r="AK921" s="576" t="str">
        <f>VLOOKUP(Table13[[#This Row],[Column1]],[1]Sheet1!$A:$AO,37,FALSE)</f>
        <v>N/A</v>
      </c>
      <c r="AL921" s="576" t="str">
        <f>VLOOKUP(Table13[[#This Row],[Column1]],[1]Sheet1!$A:$AO,38,FALSE)</f>
        <v>N/A</v>
      </c>
      <c r="AM921" s="576" t="str">
        <f>VLOOKUP(Table13[[#This Row],[Column1]],[1]Sheet1!$A:$AO,39,FALSE)</f>
        <v>N/A</v>
      </c>
      <c r="AN921" s="576" t="s">
        <v>713</v>
      </c>
      <c r="AO921" s="303" t="s">
        <v>1044</v>
      </c>
      <c r="AP921" s="378"/>
      <c r="AQ921" s="237"/>
    </row>
    <row r="922" spans="1:43" s="238" customFormat="1" ht="75" customHeight="1" x14ac:dyDescent="0.25">
      <c r="A922" s="556" t="s">
        <v>1143</v>
      </c>
      <c r="B922" s="627" t="str">
        <f>VLOOKUP(Table13[[#This Row],[Column1]],[1]Sheet1!$A:$AO,2,FALSE)</f>
        <v>ACCOUNTABLE FORMS</v>
      </c>
      <c r="C922" s="298" t="str">
        <f>VLOOKUP(Table13[[#This Row],[Column1]],[1]Sheet1!$A:$AO,3,FALSE)</f>
        <v>PTO</v>
      </c>
      <c r="D922" s="298" t="s">
        <v>712</v>
      </c>
      <c r="E922" s="450" t="str">
        <f>VLOOKUP(Table13[[#This Row],[Column1]],[1]Sheet1!$A:$AO,5,FALSE)</f>
        <v>NP-53.5 Agency-to-Agency</v>
      </c>
      <c r="F922" s="446" t="str">
        <f>VLOOKUP(Table13[[#This Row],[Column1]],[1]Sheet1!$A:$AO,6,FALSE)</f>
        <v>N/A</v>
      </c>
      <c r="G922" s="402">
        <f>VLOOKUP(Table13[[#This Row],[Column1]],[1]Sheet1!$A:$AO,7,FALSE)</f>
        <v>45448</v>
      </c>
      <c r="H922" s="374"/>
      <c r="I922" s="402" t="str">
        <f>VLOOKUP(Table13[[#This Row],[Column1]],[1]Sheet1!$A:$AO,9,FALSE)</f>
        <v>N/A</v>
      </c>
      <c r="J922" s="402">
        <f>VLOOKUP(Table13[[#This Row],[Column1]],[1]Sheet1!$A:$AO,10,FALSE)</f>
        <v>45468</v>
      </c>
      <c r="K922" s="402">
        <f>VLOOKUP(Table13[[#This Row],[Column1]],[1]Sheet1!$A:$AO,11,FALSE)</f>
        <v>45468</v>
      </c>
      <c r="L922" s="404"/>
      <c r="M922" s="402" t="str">
        <f>VLOOKUP(Table13[[#This Row],[Column1]],[1]Sheet1!$A:$AO,13,FALSE)</f>
        <v>N/A</v>
      </c>
      <c r="N922" s="402" t="str">
        <f>VLOOKUP(Table13[[#This Row],[Column1]],[1]Sheet1!$A:$AO,14,FALSE)</f>
        <v>N/A</v>
      </c>
      <c r="O922" s="402">
        <f>VLOOKUP(Table13[[#This Row],[Column1]],[1]Sheet1!$A:$AO,15,FALSE)</f>
        <v>45469</v>
      </c>
      <c r="P922" s="375"/>
      <c r="Q922" s="375"/>
      <c r="R922" s="376"/>
      <c r="S922" s="583">
        <v>45471</v>
      </c>
      <c r="T922" s="583"/>
      <c r="U922" s="583"/>
      <c r="V922" s="376"/>
      <c r="W922" s="376"/>
      <c r="X922" s="402"/>
      <c r="Y922" s="402"/>
      <c r="Z922" s="610" t="s">
        <v>1478</v>
      </c>
      <c r="AA922" s="532">
        <f>IF(Table13[[#This Row],[Column2]]="","",SUM(Table13[[#This Row],[Column28]]+Table13[[#This Row],[Column29]]))</f>
        <v>562500</v>
      </c>
      <c r="AB922" s="537"/>
      <c r="AC922" s="502">
        <v>562500</v>
      </c>
      <c r="AD922" s="532">
        <f>IF(Table13[[#This Row],[Column2]]="","",SUM(Table13[[#This Row],[Column31]]+Table13[[#This Row],[Column32]]))</f>
        <v>355472</v>
      </c>
      <c r="AE922" s="501"/>
      <c r="AF922" s="540">
        <v>355472</v>
      </c>
      <c r="AG922" s="405"/>
      <c r="AH922" s="380" t="s">
        <v>1205</v>
      </c>
      <c r="AI922" s="576" t="str">
        <f>VLOOKUP(Table13[[#This Row],[Column1]],[1]Sheet1!$A:$AO,35,FALSE)</f>
        <v>N/A</v>
      </c>
      <c r="AJ922" s="576" t="str">
        <f>VLOOKUP(Table13[[#This Row],[Column1]],[1]Sheet1!$A:$AO,36,FALSE)</f>
        <v>N/A</v>
      </c>
      <c r="AK922" s="576" t="str">
        <f>VLOOKUP(Table13[[#This Row],[Column1]],[1]Sheet1!$A:$AO,37,FALSE)</f>
        <v>N/A</v>
      </c>
      <c r="AL922" s="576" t="str">
        <f>VLOOKUP(Table13[[#This Row],[Column1]],[1]Sheet1!$A:$AO,38,FALSE)</f>
        <v>N/A</v>
      </c>
      <c r="AM922" s="576" t="str">
        <f>VLOOKUP(Table13[[#This Row],[Column1]],[1]Sheet1!$A:$AO,39,FALSE)</f>
        <v>N/A</v>
      </c>
      <c r="AN922" s="576" t="s">
        <v>713</v>
      </c>
      <c r="AO922" s="303" t="s">
        <v>1044</v>
      </c>
      <c r="AP922" s="378"/>
      <c r="AQ922" s="237"/>
    </row>
    <row r="923" spans="1:43" s="238" customFormat="1" ht="75" customHeight="1" x14ac:dyDescent="0.25">
      <c r="A923" s="297" t="s">
        <v>1144</v>
      </c>
      <c r="B923" s="627" t="str">
        <f>VLOOKUP(Table13[[#This Row],[Column1]],[1]Sheet1!$A:$AO,2,FALSE)</f>
        <v xml:space="preserve">SPAREPARTS (LIGHT VEHICLES)
</v>
      </c>
      <c r="C923" s="298" t="str">
        <f>VLOOKUP(Table13[[#This Row],[Column1]],[1]Sheet1!$A:$AO,3,FALSE)</f>
        <v>SPO</v>
      </c>
      <c r="D923" s="298" t="s">
        <v>712</v>
      </c>
      <c r="E923" s="450" t="str">
        <f>VLOOKUP(Table13[[#This Row],[Column1]],[1]Sheet1!$A:$AO,5,FALSE)</f>
        <v>Shopping 52.1(a) - Unforeseen Contingency</v>
      </c>
      <c r="F923" s="446" t="str">
        <f>VLOOKUP(Table13[[#This Row],[Column1]],[1]Sheet1!$A:$AO,6,FALSE)</f>
        <v>N/A</v>
      </c>
      <c r="G923" s="402">
        <f>VLOOKUP(Table13[[#This Row],[Column1]],[1]Sheet1!$A:$AO,7,FALSE)</f>
        <v>45463</v>
      </c>
      <c r="H923" s="374"/>
      <c r="I923" s="402" t="str">
        <f>VLOOKUP(Table13[[#This Row],[Column1]],[1]Sheet1!$A:$AO,9,FALSE)</f>
        <v>N/A</v>
      </c>
      <c r="J923" s="402">
        <f>VLOOKUP(Table13[[#This Row],[Column1]],[1]Sheet1!$A:$AO,10,FALSE)</f>
        <v>45468</v>
      </c>
      <c r="K923" s="402">
        <f>VLOOKUP(Table13[[#This Row],[Column1]],[1]Sheet1!$A:$AO,11,FALSE)</f>
        <v>45468</v>
      </c>
      <c r="L923" s="404"/>
      <c r="M923" s="402" t="str">
        <f>VLOOKUP(Table13[[#This Row],[Column1]],[1]Sheet1!$A:$AO,13,FALSE)</f>
        <v>N/A</v>
      </c>
      <c r="N923" s="402" t="str">
        <f>VLOOKUP(Table13[[#This Row],[Column1]],[1]Sheet1!$A:$AO,14,FALSE)</f>
        <v>N/A</v>
      </c>
      <c r="O923" s="402">
        <f>VLOOKUP(Table13[[#This Row],[Column1]],[1]Sheet1!$A:$AO,15,FALSE)</f>
        <v>45469</v>
      </c>
      <c r="P923" s="375"/>
      <c r="Q923" s="375"/>
      <c r="R923" s="376"/>
      <c r="S923" s="583" t="str">
        <f>VLOOKUP(Table13[[#This Row],[Column1]],[1]Sheet1!$A:$AO,19,FALSE)</f>
        <v>N/A</v>
      </c>
      <c r="T923" s="583"/>
      <c r="U923" s="583"/>
      <c r="V923" s="376"/>
      <c r="W923" s="376"/>
      <c r="X923" s="402"/>
      <c r="Y923" s="402"/>
      <c r="Z923" s="610" t="s">
        <v>1478</v>
      </c>
      <c r="AA923" s="532">
        <f>IF(Table13[[#This Row],[Column2]]="","",SUM(Table13[[#This Row],[Column28]]+Table13[[#This Row],[Column29]]))</f>
        <v>5800</v>
      </c>
      <c r="AB923" s="537">
        <v>5800</v>
      </c>
      <c r="AC923" s="502"/>
      <c r="AD923" s="532">
        <f>IF(Table13[[#This Row],[Column2]]="","",SUM(Table13[[#This Row],[Column31]]+Table13[[#This Row],[Column32]]))</f>
        <v>5800</v>
      </c>
      <c r="AE923" s="501">
        <v>5800</v>
      </c>
      <c r="AF923" s="540"/>
      <c r="AG923" s="405"/>
      <c r="AH923" s="380" t="s">
        <v>1205</v>
      </c>
      <c r="AI923" s="576" t="str">
        <f>VLOOKUP(Table13[[#This Row],[Column1]],[1]Sheet1!$A:$AO,35,FALSE)</f>
        <v>N/A</v>
      </c>
      <c r="AJ923" s="576" t="str">
        <f>VLOOKUP(Table13[[#This Row],[Column1]],[1]Sheet1!$A:$AO,36,FALSE)</f>
        <v>N/A</v>
      </c>
      <c r="AK923" s="576" t="str">
        <f>VLOOKUP(Table13[[#This Row],[Column1]],[1]Sheet1!$A:$AO,37,FALSE)</f>
        <v>N/A</v>
      </c>
      <c r="AL923" s="576" t="str">
        <f>VLOOKUP(Table13[[#This Row],[Column1]],[1]Sheet1!$A:$AO,38,FALSE)</f>
        <v>N/A</v>
      </c>
      <c r="AM923" s="576" t="str">
        <f>VLOOKUP(Table13[[#This Row],[Column1]],[1]Sheet1!$A:$AO,39,FALSE)</f>
        <v>N/A</v>
      </c>
      <c r="AN923" s="576" t="s">
        <v>713</v>
      </c>
      <c r="AO923" s="303" t="s">
        <v>1044</v>
      </c>
      <c r="AP923" s="378"/>
      <c r="AQ923" s="237"/>
    </row>
    <row r="924" spans="1:43" s="238" customFormat="1" ht="75" customHeight="1" x14ac:dyDescent="0.25">
      <c r="A924" s="297" t="s">
        <v>1145</v>
      </c>
      <c r="B924" s="627" t="str">
        <f>VLOOKUP(Table13[[#This Row],[Column1]],[1]Sheet1!$A:$AO,2,FALSE)</f>
        <v xml:space="preserve">JOB ORDER: REIMBURSEMENT </v>
      </c>
      <c r="C924" s="298" t="str">
        <f>VLOOKUP(Table13[[#This Row],[Column1]],[1]Sheet1!$A:$AO,3,FALSE)</f>
        <v>SPO</v>
      </c>
      <c r="D924" s="298" t="s">
        <v>712</v>
      </c>
      <c r="E924" s="450" t="str">
        <f>VLOOKUP(Table13[[#This Row],[Column1]],[1]Sheet1!$A:$AO,5,FALSE)</f>
        <v>Shopping 52.1(a) - Unforeseen Contingency</v>
      </c>
      <c r="F924" s="446">
        <f>VLOOKUP(Table13[[#This Row],[Column1]],[1]Sheet1!$A:$AO,6,FALSE)</f>
        <v>45461</v>
      </c>
      <c r="G924" s="402">
        <f>VLOOKUP(Table13[[#This Row],[Column1]],[1]Sheet1!$A:$AO,7,FALSE)</f>
        <v>45463</v>
      </c>
      <c r="H924" s="374"/>
      <c r="I924" s="402" t="str">
        <f>VLOOKUP(Table13[[#This Row],[Column1]],[1]Sheet1!$A:$AO,9,FALSE)</f>
        <v>N/A</v>
      </c>
      <c r="J924" s="402">
        <f>VLOOKUP(Table13[[#This Row],[Column1]],[1]Sheet1!$A:$AO,10,FALSE)</f>
        <v>45468</v>
      </c>
      <c r="K924" s="402">
        <f>VLOOKUP(Table13[[#This Row],[Column1]],[1]Sheet1!$A:$AO,11,FALSE)</f>
        <v>45468</v>
      </c>
      <c r="L924" s="404"/>
      <c r="M924" s="402" t="str">
        <f>VLOOKUP(Table13[[#This Row],[Column1]],[1]Sheet1!$A:$AO,13,FALSE)</f>
        <v>N/A</v>
      </c>
      <c r="N924" s="402" t="str">
        <f>VLOOKUP(Table13[[#This Row],[Column1]],[1]Sheet1!$A:$AO,14,FALSE)</f>
        <v>N/A</v>
      </c>
      <c r="O924" s="402">
        <f>VLOOKUP(Table13[[#This Row],[Column1]],[1]Sheet1!$A:$AO,15,FALSE)</f>
        <v>45469</v>
      </c>
      <c r="P924" s="375"/>
      <c r="Q924" s="375"/>
      <c r="R924" s="376"/>
      <c r="S924" s="583" t="str">
        <f>VLOOKUP(Table13[[#This Row],[Column1]],[1]Sheet1!$A:$AO,19,FALSE)</f>
        <v>N/A</v>
      </c>
      <c r="T924" s="583"/>
      <c r="U924" s="583"/>
      <c r="V924" s="376"/>
      <c r="W924" s="376"/>
      <c r="X924" s="402"/>
      <c r="Y924" s="402"/>
      <c r="Z924" s="610" t="s">
        <v>1478</v>
      </c>
      <c r="AA924" s="532">
        <f>IF(Table13[[#This Row],[Column2]]="","",SUM(Table13[[#This Row],[Column28]]+Table13[[#This Row],[Column29]]))</f>
        <v>8900</v>
      </c>
      <c r="AB924" s="537">
        <v>8900</v>
      </c>
      <c r="AC924" s="502"/>
      <c r="AD924" s="532">
        <f>IF(Table13[[#This Row],[Column2]]="","",SUM(Table13[[#This Row],[Column31]]+Table13[[#This Row],[Column32]]))</f>
        <v>8900</v>
      </c>
      <c r="AE924" s="501">
        <v>8900</v>
      </c>
      <c r="AF924" s="540"/>
      <c r="AG924" s="405"/>
      <c r="AH924" s="380" t="s">
        <v>1205</v>
      </c>
      <c r="AI924" s="576" t="str">
        <f>VLOOKUP(Table13[[#This Row],[Column1]],[1]Sheet1!$A:$AO,35,FALSE)</f>
        <v>N/A</v>
      </c>
      <c r="AJ924" s="576" t="str">
        <f>VLOOKUP(Table13[[#This Row],[Column1]],[1]Sheet1!$A:$AO,36,FALSE)</f>
        <v>N/A</v>
      </c>
      <c r="AK924" s="576" t="str">
        <f>VLOOKUP(Table13[[#This Row],[Column1]],[1]Sheet1!$A:$AO,37,FALSE)</f>
        <v>N/A</v>
      </c>
      <c r="AL924" s="576" t="str">
        <f>VLOOKUP(Table13[[#This Row],[Column1]],[1]Sheet1!$A:$AO,38,FALSE)</f>
        <v>N/A</v>
      </c>
      <c r="AM924" s="576" t="str">
        <f>VLOOKUP(Table13[[#This Row],[Column1]],[1]Sheet1!$A:$AO,39,FALSE)</f>
        <v>N/A</v>
      </c>
      <c r="AN924" s="576" t="s">
        <v>713</v>
      </c>
      <c r="AO924" s="303" t="s">
        <v>1044</v>
      </c>
      <c r="AP924" s="378"/>
      <c r="AQ924" s="237"/>
    </row>
    <row r="925" spans="1:43" s="238" customFormat="1" ht="75" customHeight="1" x14ac:dyDescent="0.25">
      <c r="A925" s="297" t="s">
        <v>1146</v>
      </c>
      <c r="B925" s="627" t="str">
        <f>VLOOKUP(Table13[[#This Row],[Column1]],[1]Sheet1!$A:$AO,2,FALSE)</f>
        <v xml:space="preserve">SPAREPARTS (MOTOR CYCLE)
</v>
      </c>
      <c r="C925" s="298" t="str">
        <f>VLOOKUP(Table13[[#This Row],[Column1]],[1]Sheet1!$A:$AO,3,FALSE)</f>
        <v>PGSO</v>
      </c>
      <c r="D925" s="298" t="s">
        <v>712</v>
      </c>
      <c r="E925" s="450" t="str">
        <f>VLOOKUP(Table13[[#This Row],[Column1]],[1]Sheet1!$A:$AO,5,FALSE)</f>
        <v>Shopping 52.1(a) - Unforeseen Contingency</v>
      </c>
      <c r="F925" s="446" t="str">
        <f>VLOOKUP(Table13[[#This Row],[Column1]],[1]Sheet1!$A:$AO,6,FALSE)</f>
        <v>N/A</v>
      </c>
      <c r="G925" s="402">
        <f>VLOOKUP(Table13[[#This Row],[Column1]],[1]Sheet1!$A:$AO,7,FALSE)</f>
        <v>45463</v>
      </c>
      <c r="H925" s="374"/>
      <c r="I925" s="402" t="str">
        <f>VLOOKUP(Table13[[#This Row],[Column1]],[1]Sheet1!$A:$AO,9,FALSE)</f>
        <v>N/A</v>
      </c>
      <c r="J925" s="402">
        <f>VLOOKUP(Table13[[#This Row],[Column1]],[1]Sheet1!$A:$AO,10,FALSE)</f>
        <v>45468</v>
      </c>
      <c r="K925" s="402">
        <f>VLOOKUP(Table13[[#This Row],[Column1]],[1]Sheet1!$A:$AO,11,FALSE)</f>
        <v>45468</v>
      </c>
      <c r="L925" s="404"/>
      <c r="M925" s="402" t="str">
        <f>VLOOKUP(Table13[[#This Row],[Column1]],[1]Sheet1!$A:$AO,13,FALSE)</f>
        <v>N/A</v>
      </c>
      <c r="N925" s="402" t="str">
        <f>VLOOKUP(Table13[[#This Row],[Column1]],[1]Sheet1!$A:$AO,14,FALSE)</f>
        <v>N/A</v>
      </c>
      <c r="O925" s="402">
        <f>VLOOKUP(Table13[[#This Row],[Column1]],[1]Sheet1!$A:$AO,15,FALSE)</f>
        <v>45469</v>
      </c>
      <c r="P925" s="375"/>
      <c r="Q925" s="375"/>
      <c r="R925" s="376"/>
      <c r="S925" s="583" t="str">
        <f>VLOOKUP(Table13[[#This Row],[Column1]],[1]Sheet1!$A:$AO,19,FALSE)</f>
        <v>N/A</v>
      </c>
      <c r="T925" s="583"/>
      <c r="U925" s="583"/>
      <c r="V925" s="376"/>
      <c r="W925" s="376"/>
      <c r="X925" s="402"/>
      <c r="Y925" s="402"/>
      <c r="Z925" s="610" t="s">
        <v>1478</v>
      </c>
      <c r="AA925" s="532">
        <f>IF(Table13[[#This Row],[Column2]]="","",SUM(Table13[[#This Row],[Column28]]+Table13[[#This Row],[Column29]]))</f>
        <v>4000</v>
      </c>
      <c r="AB925" s="537">
        <v>4000</v>
      </c>
      <c r="AC925" s="502"/>
      <c r="AD925" s="532">
        <f>IF(Table13[[#This Row],[Column2]]="","",SUM(Table13[[#This Row],[Column31]]+Table13[[#This Row],[Column32]]))</f>
        <v>4000</v>
      </c>
      <c r="AE925" s="501">
        <v>4000</v>
      </c>
      <c r="AF925" s="540"/>
      <c r="AG925" s="405"/>
      <c r="AH925" s="380" t="s">
        <v>1205</v>
      </c>
      <c r="AI925" s="576" t="str">
        <f>VLOOKUP(Table13[[#This Row],[Column1]],[1]Sheet1!$A:$AO,35,FALSE)</f>
        <v>N/A</v>
      </c>
      <c r="AJ925" s="576" t="str">
        <f>VLOOKUP(Table13[[#This Row],[Column1]],[1]Sheet1!$A:$AO,36,FALSE)</f>
        <v>N/A</v>
      </c>
      <c r="AK925" s="576" t="str">
        <f>VLOOKUP(Table13[[#This Row],[Column1]],[1]Sheet1!$A:$AO,37,FALSE)</f>
        <v>N/A</v>
      </c>
      <c r="AL925" s="576" t="str">
        <f>VLOOKUP(Table13[[#This Row],[Column1]],[1]Sheet1!$A:$AO,38,FALSE)</f>
        <v>N/A</v>
      </c>
      <c r="AM925" s="576" t="str">
        <f>VLOOKUP(Table13[[#This Row],[Column1]],[1]Sheet1!$A:$AO,39,FALSE)</f>
        <v>N/A</v>
      </c>
      <c r="AN925" s="576" t="s">
        <v>713</v>
      </c>
      <c r="AO925" s="303" t="s">
        <v>1044</v>
      </c>
      <c r="AP925" s="378"/>
      <c r="AQ925" s="237"/>
    </row>
    <row r="926" spans="1:43" s="238" customFormat="1" ht="75" customHeight="1" x14ac:dyDescent="0.25">
      <c r="A926" s="297" t="s">
        <v>1147</v>
      </c>
      <c r="B926" s="627" t="str">
        <f>VLOOKUP(Table13[[#This Row],[Column1]],[1]Sheet1!$A:$AO,2,FALSE)</f>
        <v xml:space="preserve">SPAREPARTS (LIGHT VEHICLES)
</v>
      </c>
      <c r="C926" s="298" t="str">
        <f>VLOOKUP(Table13[[#This Row],[Column1]],[1]Sheet1!$A:$AO,3,FALSE)</f>
        <v>PGSO</v>
      </c>
      <c r="D926" s="298" t="s">
        <v>712</v>
      </c>
      <c r="E926" s="450" t="str">
        <f>VLOOKUP(Table13[[#This Row],[Column1]],[1]Sheet1!$A:$AO,5,FALSE)</f>
        <v>Shopping 52.1(a) - Unforeseen Contingency</v>
      </c>
      <c r="F926" s="446" t="str">
        <f>VLOOKUP(Table13[[#This Row],[Column1]],[1]Sheet1!$A:$AO,6,FALSE)</f>
        <v>N/A</v>
      </c>
      <c r="G926" s="402">
        <f>VLOOKUP(Table13[[#This Row],[Column1]],[1]Sheet1!$A:$AO,7,FALSE)</f>
        <v>45463</v>
      </c>
      <c r="H926" s="374"/>
      <c r="I926" s="402" t="str">
        <f>VLOOKUP(Table13[[#This Row],[Column1]],[1]Sheet1!$A:$AO,9,FALSE)</f>
        <v>N/A</v>
      </c>
      <c r="J926" s="402">
        <f>VLOOKUP(Table13[[#This Row],[Column1]],[1]Sheet1!$A:$AO,10,FALSE)</f>
        <v>45468</v>
      </c>
      <c r="K926" s="402">
        <f>VLOOKUP(Table13[[#This Row],[Column1]],[1]Sheet1!$A:$AO,11,FALSE)</f>
        <v>45468</v>
      </c>
      <c r="L926" s="404"/>
      <c r="M926" s="402" t="str">
        <f>VLOOKUP(Table13[[#This Row],[Column1]],[1]Sheet1!$A:$AO,13,FALSE)</f>
        <v>N/A</v>
      </c>
      <c r="N926" s="402" t="str">
        <f>VLOOKUP(Table13[[#This Row],[Column1]],[1]Sheet1!$A:$AO,14,FALSE)</f>
        <v>N/A</v>
      </c>
      <c r="O926" s="402">
        <f>VLOOKUP(Table13[[#This Row],[Column1]],[1]Sheet1!$A:$AO,15,FALSE)</f>
        <v>45469</v>
      </c>
      <c r="P926" s="375"/>
      <c r="Q926" s="375"/>
      <c r="R926" s="376"/>
      <c r="S926" s="583" t="str">
        <f>VLOOKUP(Table13[[#This Row],[Column1]],[1]Sheet1!$A:$AO,19,FALSE)</f>
        <v>N/A</v>
      </c>
      <c r="T926" s="583"/>
      <c r="U926" s="583"/>
      <c r="V926" s="376"/>
      <c r="W926" s="376"/>
      <c r="X926" s="402"/>
      <c r="Y926" s="402"/>
      <c r="Z926" s="610" t="s">
        <v>1478</v>
      </c>
      <c r="AA926" s="532">
        <f>IF(Table13[[#This Row],[Column2]]="","",SUM(Table13[[#This Row],[Column28]]+Table13[[#This Row],[Column29]]))</f>
        <v>26050</v>
      </c>
      <c r="AB926" s="537">
        <v>26050</v>
      </c>
      <c r="AC926" s="502"/>
      <c r="AD926" s="532">
        <f>IF(Table13[[#This Row],[Column2]]="","",SUM(Table13[[#This Row],[Column31]]+Table13[[#This Row],[Column32]]))</f>
        <v>26050</v>
      </c>
      <c r="AE926" s="501">
        <v>26050</v>
      </c>
      <c r="AF926" s="540"/>
      <c r="AG926" s="405"/>
      <c r="AH926" s="380" t="s">
        <v>1205</v>
      </c>
      <c r="AI926" s="576" t="str">
        <f>VLOOKUP(Table13[[#This Row],[Column1]],[1]Sheet1!$A:$AO,35,FALSE)</f>
        <v>N/A</v>
      </c>
      <c r="AJ926" s="576" t="str">
        <f>VLOOKUP(Table13[[#This Row],[Column1]],[1]Sheet1!$A:$AO,36,FALSE)</f>
        <v>N/A</v>
      </c>
      <c r="AK926" s="576" t="str">
        <f>VLOOKUP(Table13[[#This Row],[Column1]],[1]Sheet1!$A:$AO,37,FALSE)</f>
        <v>N/A</v>
      </c>
      <c r="AL926" s="576" t="str">
        <f>VLOOKUP(Table13[[#This Row],[Column1]],[1]Sheet1!$A:$AO,38,FALSE)</f>
        <v>N/A</v>
      </c>
      <c r="AM926" s="576" t="str">
        <f>VLOOKUP(Table13[[#This Row],[Column1]],[1]Sheet1!$A:$AO,39,FALSE)</f>
        <v>N/A</v>
      </c>
      <c r="AN926" s="576" t="s">
        <v>713</v>
      </c>
      <c r="AO926" s="303" t="s">
        <v>1044</v>
      </c>
      <c r="AP926" s="378"/>
      <c r="AQ926" s="237"/>
    </row>
    <row r="927" spans="1:43" s="238" customFormat="1" ht="75" customHeight="1" x14ac:dyDescent="0.25">
      <c r="A927" s="297" t="s">
        <v>1148</v>
      </c>
      <c r="B927" s="627" t="str">
        <f>VLOOKUP(Table13[[#This Row],[Column1]],[1]Sheet1!$A:$AO,2,FALSE)</f>
        <v xml:space="preserve">SPAREPARTS (LIGHT VEHICLES)
</v>
      </c>
      <c r="C927" s="298" t="str">
        <f>VLOOKUP(Table13[[#This Row],[Column1]],[1]Sheet1!$A:$AO,3,FALSE)</f>
        <v>PGSO</v>
      </c>
      <c r="D927" s="298" t="s">
        <v>712</v>
      </c>
      <c r="E927" s="450" t="str">
        <f>VLOOKUP(Table13[[#This Row],[Column1]],[1]Sheet1!$A:$AO,5,FALSE)</f>
        <v>Shopping 52.1(a) - Unforeseen Contingency</v>
      </c>
      <c r="F927" s="446" t="str">
        <f>VLOOKUP(Table13[[#This Row],[Column1]],[1]Sheet1!$A:$AO,6,FALSE)</f>
        <v>N/A</v>
      </c>
      <c r="G927" s="402">
        <f>VLOOKUP(Table13[[#This Row],[Column1]],[1]Sheet1!$A:$AO,7,FALSE)</f>
        <v>45457</v>
      </c>
      <c r="H927" s="374"/>
      <c r="I927" s="402" t="str">
        <f>VLOOKUP(Table13[[#This Row],[Column1]],[1]Sheet1!$A:$AO,9,FALSE)</f>
        <v>N/A</v>
      </c>
      <c r="J927" s="402">
        <f>VLOOKUP(Table13[[#This Row],[Column1]],[1]Sheet1!$A:$AO,10,FALSE)</f>
        <v>45468</v>
      </c>
      <c r="K927" s="402">
        <f>VLOOKUP(Table13[[#This Row],[Column1]],[1]Sheet1!$A:$AO,11,FALSE)</f>
        <v>45468</v>
      </c>
      <c r="L927" s="404"/>
      <c r="M927" s="402" t="str">
        <f>VLOOKUP(Table13[[#This Row],[Column1]],[1]Sheet1!$A:$AO,13,FALSE)</f>
        <v>N/A</v>
      </c>
      <c r="N927" s="402" t="str">
        <f>VLOOKUP(Table13[[#This Row],[Column1]],[1]Sheet1!$A:$AO,14,FALSE)</f>
        <v>N/A</v>
      </c>
      <c r="O927" s="402">
        <f>VLOOKUP(Table13[[#This Row],[Column1]],[1]Sheet1!$A:$AO,15,FALSE)</f>
        <v>45469</v>
      </c>
      <c r="P927" s="375"/>
      <c r="Q927" s="375"/>
      <c r="R927" s="376"/>
      <c r="S927" s="583" t="str">
        <f>VLOOKUP(Table13[[#This Row],[Column1]],[1]Sheet1!$A:$AO,19,FALSE)</f>
        <v>N/A</v>
      </c>
      <c r="T927" s="583"/>
      <c r="U927" s="583"/>
      <c r="V927" s="376"/>
      <c r="W927" s="376"/>
      <c r="X927" s="402"/>
      <c r="Y927" s="402"/>
      <c r="Z927" s="610" t="s">
        <v>1478</v>
      </c>
      <c r="AA927" s="532">
        <f>IF(Table13[[#This Row],[Column2]]="","",SUM(Table13[[#This Row],[Column28]]+Table13[[#This Row],[Column29]]))</f>
        <v>8570</v>
      </c>
      <c r="AB927" s="537">
        <v>8570</v>
      </c>
      <c r="AC927" s="502"/>
      <c r="AD927" s="532">
        <f>IF(Table13[[#This Row],[Column2]]="","",SUM(Table13[[#This Row],[Column31]]+Table13[[#This Row],[Column32]]))</f>
        <v>8500</v>
      </c>
      <c r="AE927" s="501">
        <v>8500</v>
      </c>
      <c r="AF927" s="540"/>
      <c r="AG927" s="405"/>
      <c r="AH927" s="380" t="s">
        <v>1205</v>
      </c>
      <c r="AI927" s="576" t="str">
        <f>VLOOKUP(Table13[[#This Row],[Column1]],[1]Sheet1!$A:$AO,35,FALSE)</f>
        <v>N/A</v>
      </c>
      <c r="AJ927" s="576" t="str">
        <f>VLOOKUP(Table13[[#This Row],[Column1]],[1]Sheet1!$A:$AO,36,FALSE)</f>
        <v>N/A</v>
      </c>
      <c r="AK927" s="576" t="str">
        <f>VLOOKUP(Table13[[#This Row],[Column1]],[1]Sheet1!$A:$AO,37,FALSE)</f>
        <v>N/A</v>
      </c>
      <c r="AL927" s="576" t="str">
        <f>VLOOKUP(Table13[[#This Row],[Column1]],[1]Sheet1!$A:$AO,38,FALSE)</f>
        <v>N/A</v>
      </c>
      <c r="AM927" s="576" t="str">
        <f>VLOOKUP(Table13[[#This Row],[Column1]],[1]Sheet1!$A:$AO,39,FALSE)</f>
        <v>N/A</v>
      </c>
      <c r="AN927" s="576" t="s">
        <v>713</v>
      </c>
      <c r="AO927" s="303" t="s">
        <v>1044</v>
      </c>
      <c r="AP927" s="378"/>
      <c r="AQ927" s="237"/>
    </row>
    <row r="928" spans="1:43" s="238" customFormat="1" ht="75" customHeight="1" x14ac:dyDescent="0.25">
      <c r="A928" s="297" t="s">
        <v>1149</v>
      </c>
      <c r="B928" s="627" t="str">
        <f>VLOOKUP(Table13[[#This Row],[Column1]],[1]Sheet1!$A:$AO,2,FALSE)</f>
        <v xml:space="preserve">SPAREPARTS (HEAVY EQUIPT)
</v>
      </c>
      <c r="C928" s="298" t="str">
        <f>VLOOKUP(Table13[[#This Row],[Column1]],[1]Sheet1!$A:$AO,3,FALSE)</f>
        <v>PGSO</v>
      </c>
      <c r="D928" s="298" t="s">
        <v>712</v>
      </c>
      <c r="E928" s="450" t="str">
        <f>VLOOKUP(Table13[[#This Row],[Column1]],[1]Sheet1!$A:$AO,5,FALSE)</f>
        <v>Shopping 52.1(a) - Unforeseen Contingency</v>
      </c>
      <c r="F928" s="446" t="str">
        <f>VLOOKUP(Table13[[#This Row],[Column1]],[1]Sheet1!$A:$AO,6,FALSE)</f>
        <v>N/A</v>
      </c>
      <c r="G928" s="402">
        <f>VLOOKUP(Table13[[#This Row],[Column1]],[1]Sheet1!$A:$AO,7,FALSE)</f>
        <v>45457</v>
      </c>
      <c r="H928" s="374"/>
      <c r="I928" s="402" t="str">
        <f>VLOOKUP(Table13[[#This Row],[Column1]],[1]Sheet1!$A:$AO,9,FALSE)</f>
        <v>N/A</v>
      </c>
      <c r="J928" s="402">
        <f>VLOOKUP(Table13[[#This Row],[Column1]],[1]Sheet1!$A:$AO,10,FALSE)</f>
        <v>45468</v>
      </c>
      <c r="K928" s="402">
        <f>VLOOKUP(Table13[[#This Row],[Column1]],[1]Sheet1!$A:$AO,11,FALSE)</f>
        <v>45468</v>
      </c>
      <c r="L928" s="404"/>
      <c r="M928" s="402" t="str">
        <f>VLOOKUP(Table13[[#This Row],[Column1]],[1]Sheet1!$A:$AO,13,FALSE)</f>
        <v>N/A</v>
      </c>
      <c r="N928" s="402" t="str">
        <f>VLOOKUP(Table13[[#This Row],[Column1]],[1]Sheet1!$A:$AO,14,FALSE)</f>
        <v>N/A</v>
      </c>
      <c r="O928" s="402">
        <f>VLOOKUP(Table13[[#This Row],[Column1]],[1]Sheet1!$A:$AO,15,FALSE)</f>
        <v>45469</v>
      </c>
      <c r="P928" s="375"/>
      <c r="Q928" s="375"/>
      <c r="R928" s="376"/>
      <c r="S928" s="583" t="str">
        <f>VLOOKUP(Table13[[#This Row],[Column1]],[1]Sheet1!$A:$AO,19,FALSE)</f>
        <v>N/A</v>
      </c>
      <c r="T928" s="583"/>
      <c r="U928" s="583"/>
      <c r="V928" s="376"/>
      <c r="W928" s="376"/>
      <c r="X928" s="402"/>
      <c r="Y928" s="402"/>
      <c r="Z928" s="610" t="s">
        <v>1478</v>
      </c>
      <c r="AA928" s="532">
        <f>IF(Table13[[#This Row],[Column2]]="","",SUM(Table13[[#This Row],[Column28]]+Table13[[#This Row],[Column29]]))</f>
        <v>52000</v>
      </c>
      <c r="AB928" s="537">
        <v>52000</v>
      </c>
      <c r="AC928" s="502"/>
      <c r="AD928" s="532">
        <f>IF(Table13[[#This Row],[Column2]]="","",SUM(Table13[[#This Row],[Column31]]+Table13[[#This Row],[Column32]]))</f>
        <v>49850</v>
      </c>
      <c r="AE928" s="501">
        <v>49850</v>
      </c>
      <c r="AF928" s="540"/>
      <c r="AG928" s="405"/>
      <c r="AH928" s="380" t="s">
        <v>1205</v>
      </c>
      <c r="AI928" s="576" t="str">
        <f>VLOOKUP(Table13[[#This Row],[Column1]],[1]Sheet1!$A:$AO,35,FALSE)</f>
        <v>N/A</v>
      </c>
      <c r="AJ928" s="576" t="str">
        <f>VLOOKUP(Table13[[#This Row],[Column1]],[1]Sheet1!$A:$AO,36,FALSE)</f>
        <v>N/A</v>
      </c>
      <c r="AK928" s="576" t="str">
        <f>VLOOKUP(Table13[[#This Row],[Column1]],[1]Sheet1!$A:$AO,37,FALSE)</f>
        <v>N/A</v>
      </c>
      <c r="AL928" s="576" t="str">
        <f>VLOOKUP(Table13[[#This Row],[Column1]],[1]Sheet1!$A:$AO,38,FALSE)</f>
        <v>N/A</v>
      </c>
      <c r="AM928" s="576" t="str">
        <f>VLOOKUP(Table13[[#This Row],[Column1]],[1]Sheet1!$A:$AO,39,FALSE)</f>
        <v>N/A</v>
      </c>
      <c r="AN928" s="576" t="s">
        <v>713</v>
      </c>
      <c r="AO928" s="303" t="s">
        <v>1044</v>
      </c>
      <c r="AP928" s="378"/>
      <c r="AQ928" s="237"/>
    </row>
    <row r="929" spans="1:43" s="238" customFormat="1" ht="75" customHeight="1" x14ac:dyDescent="0.25">
      <c r="A929" s="297" t="s">
        <v>1150</v>
      </c>
      <c r="B929" s="627" t="str">
        <f>VLOOKUP(Table13[[#This Row],[Column1]],[1]Sheet1!$A:$AO,2,FALSE)</f>
        <v xml:space="preserve">SPAREPARTS (LIGHT VEHICLES)
</v>
      </c>
      <c r="C929" s="298" t="str">
        <f>VLOOKUP(Table13[[#This Row],[Column1]],[1]Sheet1!$A:$AO,3,FALSE)</f>
        <v>PGSO</v>
      </c>
      <c r="D929" s="298" t="s">
        <v>712</v>
      </c>
      <c r="E929" s="450" t="str">
        <f>VLOOKUP(Table13[[#This Row],[Column1]],[1]Sheet1!$A:$AO,5,FALSE)</f>
        <v>Shopping 52.1(a) - Unforeseen Contingency</v>
      </c>
      <c r="F929" s="446" t="str">
        <f>VLOOKUP(Table13[[#This Row],[Column1]],[1]Sheet1!$A:$AO,6,FALSE)</f>
        <v>N/A</v>
      </c>
      <c r="G929" s="402">
        <f>VLOOKUP(Table13[[#This Row],[Column1]],[1]Sheet1!$A:$AO,7,FALSE)</f>
        <v>45457</v>
      </c>
      <c r="H929" s="374"/>
      <c r="I929" s="402" t="str">
        <f>VLOOKUP(Table13[[#This Row],[Column1]],[1]Sheet1!$A:$AO,9,FALSE)</f>
        <v>N/A</v>
      </c>
      <c r="J929" s="402">
        <f>VLOOKUP(Table13[[#This Row],[Column1]],[1]Sheet1!$A:$AO,10,FALSE)</f>
        <v>45468</v>
      </c>
      <c r="K929" s="402">
        <f>VLOOKUP(Table13[[#This Row],[Column1]],[1]Sheet1!$A:$AO,11,FALSE)</f>
        <v>45468</v>
      </c>
      <c r="L929" s="404"/>
      <c r="M929" s="402" t="str">
        <f>VLOOKUP(Table13[[#This Row],[Column1]],[1]Sheet1!$A:$AO,13,FALSE)</f>
        <v>N/A</v>
      </c>
      <c r="N929" s="402" t="str">
        <f>VLOOKUP(Table13[[#This Row],[Column1]],[1]Sheet1!$A:$AO,14,FALSE)</f>
        <v>N/A</v>
      </c>
      <c r="O929" s="402">
        <f>VLOOKUP(Table13[[#This Row],[Column1]],[1]Sheet1!$A:$AO,15,FALSE)</f>
        <v>45469</v>
      </c>
      <c r="P929" s="375"/>
      <c r="Q929" s="375"/>
      <c r="R929" s="376"/>
      <c r="S929" s="583" t="str">
        <f>VLOOKUP(Table13[[#This Row],[Column1]],[1]Sheet1!$A:$AO,19,FALSE)</f>
        <v>N/A</v>
      </c>
      <c r="T929" s="583"/>
      <c r="U929" s="583"/>
      <c r="V929" s="376"/>
      <c r="W929" s="376"/>
      <c r="X929" s="402"/>
      <c r="Y929" s="402"/>
      <c r="Z929" s="610" t="s">
        <v>1478</v>
      </c>
      <c r="AA929" s="532">
        <f>IF(Table13[[#This Row],[Column2]]="","",SUM(Table13[[#This Row],[Column28]]+Table13[[#This Row],[Column29]]))</f>
        <v>9750</v>
      </c>
      <c r="AB929" s="537">
        <v>9750</v>
      </c>
      <c r="AC929" s="502"/>
      <c r="AD929" s="532">
        <f>IF(Table13[[#This Row],[Column2]]="","",SUM(Table13[[#This Row],[Column31]]+Table13[[#This Row],[Column32]]))</f>
        <v>9700</v>
      </c>
      <c r="AE929" s="501">
        <v>9700</v>
      </c>
      <c r="AF929" s="540"/>
      <c r="AG929" s="405"/>
      <c r="AH929" s="380" t="s">
        <v>1205</v>
      </c>
      <c r="AI929" s="576" t="str">
        <f>VLOOKUP(Table13[[#This Row],[Column1]],[1]Sheet1!$A:$AO,35,FALSE)</f>
        <v>N/A</v>
      </c>
      <c r="AJ929" s="576" t="str">
        <f>VLOOKUP(Table13[[#This Row],[Column1]],[1]Sheet1!$A:$AO,36,FALSE)</f>
        <v>N/A</v>
      </c>
      <c r="AK929" s="576" t="str">
        <f>VLOOKUP(Table13[[#This Row],[Column1]],[1]Sheet1!$A:$AO,37,FALSE)</f>
        <v>N/A</v>
      </c>
      <c r="AL929" s="576" t="str">
        <f>VLOOKUP(Table13[[#This Row],[Column1]],[1]Sheet1!$A:$AO,38,FALSE)</f>
        <v>N/A</v>
      </c>
      <c r="AM929" s="576" t="str">
        <f>VLOOKUP(Table13[[#This Row],[Column1]],[1]Sheet1!$A:$AO,39,FALSE)</f>
        <v>N/A</v>
      </c>
      <c r="AN929" s="576" t="s">
        <v>713</v>
      </c>
      <c r="AO929" s="303" t="s">
        <v>1044</v>
      </c>
      <c r="AP929" s="378"/>
      <c r="AQ929" s="237"/>
    </row>
    <row r="930" spans="1:43" s="238" customFormat="1" ht="75" customHeight="1" x14ac:dyDescent="0.25">
      <c r="A930" s="297" t="s">
        <v>1151</v>
      </c>
      <c r="B930" s="627" t="str">
        <f>VLOOKUP(Table13[[#This Row],[Column1]],[1]Sheet1!$A:$AO,2,FALSE)</f>
        <v xml:space="preserve">SPAREPARTS (LIGHT VEHICLES)
</v>
      </c>
      <c r="C930" s="298" t="str">
        <f>VLOOKUP(Table13[[#This Row],[Column1]],[1]Sheet1!$A:$AO,3,FALSE)</f>
        <v>PGSO</v>
      </c>
      <c r="D930" s="298" t="s">
        <v>712</v>
      </c>
      <c r="E930" s="450" t="str">
        <f>VLOOKUP(Table13[[#This Row],[Column1]],[1]Sheet1!$A:$AO,5,FALSE)</f>
        <v>Shopping 52.1(a) - Unforeseen Contingency</v>
      </c>
      <c r="F930" s="446" t="str">
        <f>VLOOKUP(Table13[[#This Row],[Column1]],[1]Sheet1!$A:$AO,6,FALSE)</f>
        <v>N/A</v>
      </c>
      <c r="G930" s="402">
        <f>VLOOKUP(Table13[[#This Row],[Column1]],[1]Sheet1!$A:$AO,7,FALSE)</f>
        <v>45457</v>
      </c>
      <c r="H930" s="374"/>
      <c r="I930" s="402" t="str">
        <f>VLOOKUP(Table13[[#This Row],[Column1]],[1]Sheet1!$A:$AO,9,FALSE)</f>
        <v>N/A</v>
      </c>
      <c r="J930" s="402">
        <f>VLOOKUP(Table13[[#This Row],[Column1]],[1]Sheet1!$A:$AO,10,FALSE)</f>
        <v>45468</v>
      </c>
      <c r="K930" s="402">
        <f>VLOOKUP(Table13[[#This Row],[Column1]],[1]Sheet1!$A:$AO,11,FALSE)</f>
        <v>45468</v>
      </c>
      <c r="L930" s="404"/>
      <c r="M930" s="402" t="str">
        <f>VLOOKUP(Table13[[#This Row],[Column1]],[1]Sheet1!$A:$AO,13,FALSE)</f>
        <v>N/A</v>
      </c>
      <c r="N930" s="402" t="str">
        <f>VLOOKUP(Table13[[#This Row],[Column1]],[1]Sheet1!$A:$AO,14,FALSE)</f>
        <v>N/A</v>
      </c>
      <c r="O930" s="402">
        <f>VLOOKUP(Table13[[#This Row],[Column1]],[1]Sheet1!$A:$AO,15,FALSE)</f>
        <v>45469</v>
      </c>
      <c r="P930" s="375"/>
      <c r="Q930" s="375"/>
      <c r="R930" s="376"/>
      <c r="S930" s="583" t="str">
        <f>VLOOKUP(Table13[[#This Row],[Column1]],[1]Sheet1!$A:$AO,19,FALSE)</f>
        <v>N/A</v>
      </c>
      <c r="T930" s="583"/>
      <c r="U930" s="583"/>
      <c r="V930" s="376"/>
      <c r="W930" s="376"/>
      <c r="X930" s="402"/>
      <c r="Y930" s="402"/>
      <c r="Z930" s="610" t="s">
        <v>1478</v>
      </c>
      <c r="AA930" s="532">
        <f>IF(Table13[[#This Row],[Column2]]="","",SUM(Table13[[#This Row],[Column28]]+Table13[[#This Row],[Column29]]))</f>
        <v>22000</v>
      </c>
      <c r="AB930" s="537">
        <v>22000</v>
      </c>
      <c r="AC930" s="502"/>
      <c r="AD930" s="532">
        <f>IF(Table13[[#This Row],[Column2]]="","",SUM(Table13[[#This Row],[Column31]]+Table13[[#This Row],[Column32]]))</f>
        <v>21800</v>
      </c>
      <c r="AE930" s="501">
        <v>21800</v>
      </c>
      <c r="AF930" s="540"/>
      <c r="AG930" s="405"/>
      <c r="AH930" s="380" t="s">
        <v>1205</v>
      </c>
      <c r="AI930" s="576" t="str">
        <f>VLOOKUP(Table13[[#This Row],[Column1]],[1]Sheet1!$A:$AO,35,FALSE)</f>
        <v>N/A</v>
      </c>
      <c r="AJ930" s="576" t="str">
        <f>VLOOKUP(Table13[[#This Row],[Column1]],[1]Sheet1!$A:$AO,36,FALSE)</f>
        <v>N/A</v>
      </c>
      <c r="AK930" s="576" t="str">
        <f>VLOOKUP(Table13[[#This Row],[Column1]],[1]Sheet1!$A:$AO,37,FALSE)</f>
        <v>N/A</v>
      </c>
      <c r="AL930" s="576" t="str">
        <f>VLOOKUP(Table13[[#This Row],[Column1]],[1]Sheet1!$A:$AO,38,FALSE)</f>
        <v>N/A</v>
      </c>
      <c r="AM930" s="576" t="str">
        <f>VLOOKUP(Table13[[#This Row],[Column1]],[1]Sheet1!$A:$AO,39,FALSE)</f>
        <v>N/A</v>
      </c>
      <c r="AN930" s="576" t="s">
        <v>713</v>
      </c>
      <c r="AO930" s="303" t="s">
        <v>1044</v>
      </c>
      <c r="AP930" s="378"/>
      <c r="AQ930" s="237"/>
    </row>
    <row r="931" spans="1:43" s="238" customFormat="1" ht="75" customHeight="1" x14ac:dyDescent="0.25">
      <c r="A931" s="297" t="s">
        <v>1152</v>
      </c>
      <c r="B931" s="627" t="str">
        <f>VLOOKUP(Table13[[#This Row],[Column1]],[1]Sheet1!$A:$AO,2,FALSE)</f>
        <v xml:space="preserve">SPAREPARTS (LIGHT VEHICLES)
</v>
      </c>
      <c r="C931" s="298" t="str">
        <f>VLOOKUP(Table13[[#This Row],[Column1]],[1]Sheet1!$A:$AO,3,FALSE)</f>
        <v>PGSO</v>
      </c>
      <c r="D931" s="298" t="s">
        <v>712</v>
      </c>
      <c r="E931" s="450" t="str">
        <f>VLOOKUP(Table13[[#This Row],[Column1]],[1]Sheet1!$A:$AO,5,FALSE)</f>
        <v>Shopping 52.1(a) - Unforeseen Contingency</v>
      </c>
      <c r="F931" s="446" t="str">
        <f>VLOOKUP(Table13[[#This Row],[Column1]],[1]Sheet1!$A:$AO,6,FALSE)</f>
        <v>N/A</v>
      </c>
      <c r="G931" s="402">
        <f>VLOOKUP(Table13[[#This Row],[Column1]],[1]Sheet1!$A:$AO,7,FALSE)</f>
        <v>45457</v>
      </c>
      <c r="H931" s="374"/>
      <c r="I931" s="402" t="str">
        <f>VLOOKUP(Table13[[#This Row],[Column1]],[1]Sheet1!$A:$AO,9,FALSE)</f>
        <v>N/A</v>
      </c>
      <c r="J931" s="402">
        <f>VLOOKUP(Table13[[#This Row],[Column1]],[1]Sheet1!$A:$AO,10,FALSE)</f>
        <v>45468</v>
      </c>
      <c r="K931" s="402">
        <f>VLOOKUP(Table13[[#This Row],[Column1]],[1]Sheet1!$A:$AO,11,FALSE)</f>
        <v>45468</v>
      </c>
      <c r="L931" s="404"/>
      <c r="M931" s="402" t="str">
        <f>VLOOKUP(Table13[[#This Row],[Column1]],[1]Sheet1!$A:$AO,13,FALSE)</f>
        <v>N/A</v>
      </c>
      <c r="N931" s="402" t="str">
        <f>VLOOKUP(Table13[[#This Row],[Column1]],[1]Sheet1!$A:$AO,14,FALSE)</f>
        <v>N/A</v>
      </c>
      <c r="O931" s="402">
        <f>VLOOKUP(Table13[[#This Row],[Column1]],[1]Sheet1!$A:$AO,15,FALSE)</f>
        <v>45469</v>
      </c>
      <c r="P931" s="375"/>
      <c r="Q931" s="375"/>
      <c r="R931" s="376"/>
      <c r="S931" s="583" t="str">
        <f>VLOOKUP(Table13[[#This Row],[Column1]],[1]Sheet1!$A:$AO,19,FALSE)</f>
        <v>N/A</v>
      </c>
      <c r="T931" s="583"/>
      <c r="U931" s="583"/>
      <c r="V931" s="376"/>
      <c r="W931" s="376"/>
      <c r="X931" s="402"/>
      <c r="Y931" s="402"/>
      <c r="Z931" s="610" t="s">
        <v>1478</v>
      </c>
      <c r="AA931" s="532">
        <f>IF(Table13[[#This Row],[Column2]]="","",SUM(Table13[[#This Row],[Column28]]+Table13[[#This Row],[Column29]]))</f>
        <v>22000</v>
      </c>
      <c r="AB931" s="537">
        <v>22000</v>
      </c>
      <c r="AC931" s="502"/>
      <c r="AD931" s="532">
        <f>IF(Table13[[#This Row],[Column2]]="","",SUM(Table13[[#This Row],[Column31]]+Table13[[#This Row],[Column32]]))</f>
        <v>22000</v>
      </c>
      <c r="AE931" s="501">
        <v>22000</v>
      </c>
      <c r="AF931" s="540"/>
      <c r="AG931" s="405"/>
      <c r="AH931" s="380" t="s">
        <v>1205</v>
      </c>
      <c r="AI931" s="576" t="str">
        <f>VLOOKUP(Table13[[#This Row],[Column1]],[1]Sheet1!$A:$AO,35,FALSE)</f>
        <v>N/A</v>
      </c>
      <c r="AJ931" s="576" t="str">
        <f>VLOOKUP(Table13[[#This Row],[Column1]],[1]Sheet1!$A:$AO,36,FALSE)</f>
        <v>N/A</v>
      </c>
      <c r="AK931" s="576" t="str">
        <f>VLOOKUP(Table13[[#This Row],[Column1]],[1]Sheet1!$A:$AO,37,FALSE)</f>
        <v>N/A</v>
      </c>
      <c r="AL931" s="576" t="str">
        <f>VLOOKUP(Table13[[#This Row],[Column1]],[1]Sheet1!$A:$AO,38,FALSE)</f>
        <v>N/A</v>
      </c>
      <c r="AM931" s="576" t="str">
        <f>VLOOKUP(Table13[[#This Row],[Column1]],[1]Sheet1!$A:$AO,39,FALSE)</f>
        <v>N/A</v>
      </c>
      <c r="AN931" s="576" t="s">
        <v>713</v>
      </c>
      <c r="AO931" s="303" t="s">
        <v>1044</v>
      </c>
      <c r="AP931" s="378"/>
      <c r="AQ931" s="237"/>
    </row>
    <row r="932" spans="1:43" s="238" customFormat="1" ht="75" customHeight="1" x14ac:dyDescent="0.25">
      <c r="A932" s="297" t="s">
        <v>1153</v>
      </c>
      <c r="B932" s="627" t="str">
        <f>VLOOKUP(Table13[[#This Row],[Column1]],[1]Sheet1!$A:$AO,2,FALSE)</f>
        <v xml:space="preserve">SPAREPARTS (LIGHT VEHICLES)
</v>
      </c>
      <c r="C932" s="298" t="str">
        <f>VLOOKUP(Table13[[#This Row],[Column1]],[1]Sheet1!$A:$AO,3,FALSE)</f>
        <v>PGSO</v>
      </c>
      <c r="D932" s="298" t="s">
        <v>712</v>
      </c>
      <c r="E932" s="450" t="str">
        <f>VLOOKUP(Table13[[#This Row],[Column1]],[1]Sheet1!$A:$AO,5,FALSE)</f>
        <v>Shopping 52.1(a) - Unforeseen Contingency</v>
      </c>
      <c r="F932" s="446" t="str">
        <f>VLOOKUP(Table13[[#This Row],[Column1]],[1]Sheet1!$A:$AO,6,FALSE)</f>
        <v>N/A</v>
      </c>
      <c r="G932" s="402">
        <f>VLOOKUP(Table13[[#This Row],[Column1]],[1]Sheet1!$A:$AO,7,FALSE)</f>
        <v>45457</v>
      </c>
      <c r="H932" s="374"/>
      <c r="I932" s="402" t="str">
        <f>VLOOKUP(Table13[[#This Row],[Column1]],[1]Sheet1!$A:$AO,9,FALSE)</f>
        <v>N/A</v>
      </c>
      <c r="J932" s="402">
        <f>VLOOKUP(Table13[[#This Row],[Column1]],[1]Sheet1!$A:$AO,10,FALSE)</f>
        <v>45468</v>
      </c>
      <c r="K932" s="402">
        <f>VLOOKUP(Table13[[#This Row],[Column1]],[1]Sheet1!$A:$AO,11,FALSE)</f>
        <v>45468</v>
      </c>
      <c r="L932" s="404"/>
      <c r="M932" s="402" t="str">
        <f>VLOOKUP(Table13[[#This Row],[Column1]],[1]Sheet1!$A:$AO,13,FALSE)</f>
        <v>N/A</v>
      </c>
      <c r="N932" s="402" t="str">
        <f>VLOOKUP(Table13[[#This Row],[Column1]],[1]Sheet1!$A:$AO,14,FALSE)</f>
        <v>N/A</v>
      </c>
      <c r="O932" s="402">
        <f>VLOOKUP(Table13[[#This Row],[Column1]],[1]Sheet1!$A:$AO,15,FALSE)</f>
        <v>45469</v>
      </c>
      <c r="P932" s="375"/>
      <c r="Q932" s="375"/>
      <c r="R932" s="376"/>
      <c r="S932" s="583" t="str">
        <f>VLOOKUP(Table13[[#This Row],[Column1]],[1]Sheet1!$A:$AO,19,FALSE)</f>
        <v>N/A</v>
      </c>
      <c r="T932" s="583"/>
      <c r="U932" s="583"/>
      <c r="V932" s="376"/>
      <c r="W932" s="376"/>
      <c r="X932" s="402"/>
      <c r="Y932" s="402"/>
      <c r="Z932" s="610" t="s">
        <v>1478</v>
      </c>
      <c r="AA932" s="532">
        <f>IF(Table13[[#This Row],[Column2]]="","",SUM(Table13[[#This Row],[Column28]]+Table13[[#This Row],[Column29]]))</f>
        <v>29500</v>
      </c>
      <c r="AB932" s="537">
        <v>29500</v>
      </c>
      <c r="AC932" s="502"/>
      <c r="AD932" s="532">
        <f>IF(Table13[[#This Row],[Column2]]="","",SUM(Table13[[#This Row],[Column31]]+Table13[[#This Row],[Column32]]))</f>
        <v>29400</v>
      </c>
      <c r="AE932" s="501">
        <v>29400</v>
      </c>
      <c r="AF932" s="540"/>
      <c r="AG932" s="405"/>
      <c r="AH932" s="380" t="s">
        <v>1205</v>
      </c>
      <c r="AI932" s="576" t="str">
        <f>VLOOKUP(Table13[[#This Row],[Column1]],[1]Sheet1!$A:$AO,35,FALSE)</f>
        <v>N/A</v>
      </c>
      <c r="AJ932" s="576" t="str">
        <f>VLOOKUP(Table13[[#This Row],[Column1]],[1]Sheet1!$A:$AO,36,FALSE)</f>
        <v>N/A</v>
      </c>
      <c r="AK932" s="576" t="str">
        <f>VLOOKUP(Table13[[#This Row],[Column1]],[1]Sheet1!$A:$AO,37,FALSE)</f>
        <v>N/A</v>
      </c>
      <c r="AL932" s="576" t="str">
        <f>VLOOKUP(Table13[[#This Row],[Column1]],[1]Sheet1!$A:$AO,38,FALSE)</f>
        <v>N/A</v>
      </c>
      <c r="AM932" s="576" t="str">
        <f>VLOOKUP(Table13[[#This Row],[Column1]],[1]Sheet1!$A:$AO,39,FALSE)</f>
        <v>N/A</v>
      </c>
      <c r="AN932" s="576" t="s">
        <v>713</v>
      </c>
      <c r="AO932" s="303" t="s">
        <v>1044</v>
      </c>
      <c r="AP932" s="378"/>
      <c r="AQ932" s="237"/>
    </row>
    <row r="933" spans="1:43" s="238" customFormat="1" ht="75" customHeight="1" x14ac:dyDescent="0.25">
      <c r="A933" s="297" t="s">
        <v>1154</v>
      </c>
      <c r="B933" s="627" t="str">
        <f>VLOOKUP(Table13[[#This Row],[Column1]],[1]Sheet1!$A:$AO,2,FALSE)</f>
        <v xml:space="preserve">SPAREPARTS (LIGHT VEHICLES)
</v>
      </c>
      <c r="C933" s="298" t="str">
        <f>VLOOKUP(Table13[[#This Row],[Column1]],[1]Sheet1!$A:$AO,3,FALSE)</f>
        <v>PGSO</v>
      </c>
      <c r="D933" s="298" t="s">
        <v>712</v>
      </c>
      <c r="E933" s="450" t="str">
        <f>VLOOKUP(Table13[[#This Row],[Column1]],[1]Sheet1!$A:$AO,5,FALSE)</f>
        <v>Shopping 52.1(a) - Unforeseen Contingency</v>
      </c>
      <c r="F933" s="446">
        <f>VLOOKUP(Table13[[#This Row],[Column1]],[1]Sheet1!$A:$AO,6,FALSE)</f>
        <v>45440</v>
      </c>
      <c r="G933" s="402">
        <f>VLOOKUP(Table13[[#This Row],[Column1]],[1]Sheet1!$A:$AO,7,FALSE)</f>
        <v>45442</v>
      </c>
      <c r="H933" s="374"/>
      <c r="I933" s="402" t="str">
        <f>VLOOKUP(Table13[[#This Row],[Column1]],[1]Sheet1!$A:$AO,9,FALSE)</f>
        <v>N/A</v>
      </c>
      <c r="J933" s="402">
        <f>VLOOKUP(Table13[[#This Row],[Column1]],[1]Sheet1!$A:$AO,10,FALSE)</f>
        <v>45468</v>
      </c>
      <c r="K933" s="402">
        <f>VLOOKUP(Table13[[#This Row],[Column1]],[1]Sheet1!$A:$AO,11,FALSE)</f>
        <v>45468</v>
      </c>
      <c r="L933" s="404"/>
      <c r="M933" s="402" t="str">
        <f>VLOOKUP(Table13[[#This Row],[Column1]],[1]Sheet1!$A:$AO,13,FALSE)</f>
        <v>N/A</v>
      </c>
      <c r="N933" s="402" t="str">
        <f>VLOOKUP(Table13[[#This Row],[Column1]],[1]Sheet1!$A:$AO,14,FALSE)</f>
        <v>N/A</v>
      </c>
      <c r="O933" s="402">
        <f>VLOOKUP(Table13[[#This Row],[Column1]],[1]Sheet1!$A:$AO,15,FALSE)</f>
        <v>45469</v>
      </c>
      <c r="P933" s="375"/>
      <c r="Q933" s="375"/>
      <c r="R933" s="376"/>
      <c r="S933" s="583" t="str">
        <f>VLOOKUP(Table13[[#This Row],[Column1]],[1]Sheet1!$A:$AO,19,FALSE)</f>
        <v>N/A</v>
      </c>
      <c r="T933" s="583"/>
      <c r="U933" s="583"/>
      <c r="V933" s="376"/>
      <c r="W933" s="376"/>
      <c r="X933" s="402"/>
      <c r="Y933" s="402"/>
      <c r="Z933" s="610" t="s">
        <v>1478</v>
      </c>
      <c r="AA933" s="532">
        <f>IF(Table13[[#This Row],[Column2]]="","",SUM(Table13[[#This Row],[Column28]]+Table13[[#This Row],[Column29]]))</f>
        <v>2450</v>
      </c>
      <c r="AB933" s="537">
        <v>2450</v>
      </c>
      <c r="AC933" s="502"/>
      <c r="AD933" s="532">
        <f>IF(Table13[[#This Row],[Column2]]="","",SUM(Table13[[#This Row],[Column31]]+Table13[[#This Row],[Column32]]))</f>
        <v>2300</v>
      </c>
      <c r="AE933" s="501">
        <v>2300</v>
      </c>
      <c r="AF933" s="540"/>
      <c r="AG933" s="405"/>
      <c r="AH933" s="380" t="s">
        <v>1205</v>
      </c>
      <c r="AI933" s="576" t="str">
        <f>VLOOKUP(Table13[[#This Row],[Column1]],[1]Sheet1!$A:$AO,35,FALSE)</f>
        <v>N/A</v>
      </c>
      <c r="AJ933" s="576" t="str">
        <f>VLOOKUP(Table13[[#This Row],[Column1]],[1]Sheet1!$A:$AO,36,FALSE)</f>
        <v>N/A</v>
      </c>
      <c r="AK933" s="576" t="str">
        <f>VLOOKUP(Table13[[#This Row],[Column1]],[1]Sheet1!$A:$AO,37,FALSE)</f>
        <v>N/A</v>
      </c>
      <c r="AL933" s="576" t="str">
        <f>VLOOKUP(Table13[[#This Row],[Column1]],[1]Sheet1!$A:$AO,38,FALSE)</f>
        <v>N/A</v>
      </c>
      <c r="AM933" s="576" t="str">
        <f>VLOOKUP(Table13[[#This Row],[Column1]],[1]Sheet1!$A:$AO,39,FALSE)</f>
        <v>N/A</v>
      </c>
      <c r="AN933" s="576" t="s">
        <v>713</v>
      </c>
      <c r="AO933" s="303" t="s">
        <v>1044</v>
      </c>
      <c r="AP933" s="378"/>
      <c r="AQ933" s="237"/>
    </row>
    <row r="934" spans="1:43" s="238" customFormat="1" ht="75" customHeight="1" x14ac:dyDescent="0.25">
      <c r="A934" s="297" t="s">
        <v>1155</v>
      </c>
      <c r="B934" s="627" t="str">
        <f>VLOOKUP(Table13[[#This Row],[Column1]],[1]Sheet1!$A:$AO,2,FALSE)</f>
        <v xml:space="preserve">CIRCUIT BOARD
</v>
      </c>
      <c r="C934" s="298" t="str">
        <f>VLOOKUP(Table13[[#This Row],[Column1]],[1]Sheet1!$A:$AO,3,FALSE)</f>
        <v>PGSO</v>
      </c>
      <c r="D934" s="298" t="s">
        <v>712</v>
      </c>
      <c r="E934" s="450" t="str">
        <f>VLOOKUP(Table13[[#This Row],[Column1]],[1]Sheet1!$A:$AO,5,FALSE)</f>
        <v>NP-53.9 - Small Value Procurement</v>
      </c>
      <c r="F934" s="446" t="str">
        <f>VLOOKUP(Table13[[#This Row],[Column1]],[1]Sheet1!$A:$AO,6,FALSE)</f>
        <v>N/A</v>
      </c>
      <c r="G934" s="402">
        <f>VLOOKUP(Table13[[#This Row],[Column1]],[1]Sheet1!$A:$AO,7,FALSE)</f>
        <v>45415</v>
      </c>
      <c r="H934" s="374"/>
      <c r="I934" s="402" t="str">
        <f>VLOOKUP(Table13[[#This Row],[Column1]],[1]Sheet1!$A:$AO,9,FALSE)</f>
        <v>N/A</v>
      </c>
      <c r="J934" s="402">
        <f>VLOOKUP(Table13[[#This Row],[Column1]],[1]Sheet1!$A:$AO,10,FALSE)</f>
        <v>45468</v>
      </c>
      <c r="K934" s="402">
        <f>VLOOKUP(Table13[[#This Row],[Column1]],[1]Sheet1!$A:$AO,11,FALSE)</f>
        <v>45468</v>
      </c>
      <c r="L934" s="404"/>
      <c r="M934" s="402" t="str">
        <f>VLOOKUP(Table13[[#This Row],[Column1]],[1]Sheet1!$A:$AO,13,FALSE)</f>
        <v>N/A</v>
      </c>
      <c r="N934" s="402" t="str">
        <f>VLOOKUP(Table13[[#This Row],[Column1]],[1]Sheet1!$A:$AO,14,FALSE)</f>
        <v>N/A</v>
      </c>
      <c r="O934" s="402">
        <f>VLOOKUP(Table13[[#This Row],[Column1]],[1]Sheet1!$A:$AO,15,FALSE)</f>
        <v>45469</v>
      </c>
      <c r="P934" s="375"/>
      <c r="Q934" s="375"/>
      <c r="R934" s="376"/>
      <c r="S934" s="583" t="str">
        <f>VLOOKUP(Table13[[#This Row],[Column1]],[1]Sheet1!$A:$AO,19,FALSE)</f>
        <v>N/A</v>
      </c>
      <c r="T934" s="583"/>
      <c r="U934" s="583"/>
      <c r="V934" s="376"/>
      <c r="W934" s="376"/>
      <c r="X934" s="402"/>
      <c r="Y934" s="402"/>
      <c r="Z934" s="610" t="s">
        <v>1478</v>
      </c>
      <c r="AA934" s="532">
        <f>IF(Table13[[#This Row],[Column2]]="","",SUM(Table13[[#This Row],[Column28]]+Table13[[#This Row],[Column29]]))</f>
        <v>57566.74</v>
      </c>
      <c r="AB934" s="537">
        <v>57566.74</v>
      </c>
      <c r="AC934" s="502"/>
      <c r="AD934" s="532">
        <f>IF(Table13[[#This Row],[Column2]]="","",SUM(Table13[[#This Row],[Column31]]+Table13[[#This Row],[Column32]]))</f>
        <v>53000</v>
      </c>
      <c r="AE934" s="501">
        <v>53000</v>
      </c>
      <c r="AF934" s="540"/>
      <c r="AG934" s="405"/>
      <c r="AH934" s="380" t="s">
        <v>1205</v>
      </c>
      <c r="AI934" s="576" t="str">
        <f>VLOOKUP(Table13[[#This Row],[Column1]],[1]Sheet1!$A:$AO,35,FALSE)</f>
        <v>N/A</v>
      </c>
      <c r="AJ934" s="576" t="str">
        <f>VLOOKUP(Table13[[#This Row],[Column1]],[1]Sheet1!$A:$AO,36,FALSE)</f>
        <v>N/A</v>
      </c>
      <c r="AK934" s="576" t="str">
        <f>VLOOKUP(Table13[[#This Row],[Column1]],[1]Sheet1!$A:$AO,37,FALSE)</f>
        <v>N/A</v>
      </c>
      <c r="AL934" s="576" t="str">
        <f>VLOOKUP(Table13[[#This Row],[Column1]],[1]Sheet1!$A:$AO,38,FALSE)</f>
        <v>N/A</v>
      </c>
      <c r="AM934" s="576" t="str">
        <f>VLOOKUP(Table13[[#This Row],[Column1]],[1]Sheet1!$A:$AO,39,FALSE)</f>
        <v>N/A</v>
      </c>
      <c r="AN934" s="576" t="s">
        <v>713</v>
      </c>
      <c r="AO934" s="303" t="s">
        <v>1044</v>
      </c>
      <c r="AP934" s="378"/>
      <c r="AQ934" s="237"/>
    </row>
    <row r="935" spans="1:43" s="238" customFormat="1" ht="75" customHeight="1" x14ac:dyDescent="0.25">
      <c r="A935" s="297" t="s">
        <v>1156</v>
      </c>
      <c r="B935" s="627" t="str">
        <f>VLOOKUP(Table13[[#This Row],[Column1]],[1]Sheet1!$A:$AO,2,FALSE)</f>
        <v xml:space="preserve">ELECTRONIC MULTI- PURPOSE ULTRASONIC PEST REPELLER
</v>
      </c>
      <c r="C935" s="298" t="str">
        <f>VLOOKUP(Table13[[#This Row],[Column1]],[1]Sheet1!$A:$AO,3,FALSE)</f>
        <v>SPO</v>
      </c>
      <c r="D935" s="298" t="s">
        <v>712</v>
      </c>
      <c r="E935" s="450" t="str">
        <f>VLOOKUP(Table13[[#This Row],[Column1]],[1]Sheet1!$A:$AO,5,FALSE)</f>
        <v>NP-53.9 - Small Value Procurement</v>
      </c>
      <c r="F935" s="446" t="str">
        <f>VLOOKUP(Table13[[#This Row],[Column1]],[1]Sheet1!$A:$AO,6,FALSE)</f>
        <v>N/A</v>
      </c>
      <c r="G935" s="402">
        <f>VLOOKUP(Table13[[#This Row],[Column1]],[1]Sheet1!$A:$AO,7,FALSE)</f>
        <v>45429</v>
      </c>
      <c r="H935" s="374"/>
      <c r="I935" s="402" t="str">
        <f>VLOOKUP(Table13[[#This Row],[Column1]],[1]Sheet1!$A:$AO,9,FALSE)</f>
        <v>N/A</v>
      </c>
      <c r="J935" s="402">
        <f>VLOOKUP(Table13[[#This Row],[Column1]],[1]Sheet1!$A:$AO,10,FALSE)</f>
        <v>45468</v>
      </c>
      <c r="K935" s="402">
        <f>VLOOKUP(Table13[[#This Row],[Column1]],[1]Sheet1!$A:$AO,11,FALSE)</f>
        <v>45468</v>
      </c>
      <c r="L935" s="404"/>
      <c r="M935" s="402" t="str">
        <f>VLOOKUP(Table13[[#This Row],[Column1]],[1]Sheet1!$A:$AO,13,FALSE)</f>
        <v>N/A</v>
      </c>
      <c r="N935" s="402" t="str">
        <f>VLOOKUP(Table13[[#This Row],[Column1]],[1]Sheet1!$A:$AO,14,FALSE)</f>
        <v>N/A</v>
      </c>
      <c r="O935" s="402">
        <f>VLOOKUP(Table13[[#This Row],[Column1]],[1]Sheet1!$A:$AO,15,FALSE)</f>
        <v>45469</v>
      </c>
      <c r="P935" s="375"/>
      <c r="Q935" s="375"/>
      <c r="R935" s="376"/>
      <c r="S935" s="583" t="str">
        <f>VLOOKUP(Table13[[#This Row],[Column1]],[1]Sheet1!$A:$AO,19,FALSE)</f>
        <v>N/A</v>
      </c>
      <c r="T935" s="583"/>
      <c r="U935" s="583"/>
      <c r="V935" s="376"/>
      <c r="W935" s="376"/>
      <c r="X935" s="402"/>
      <c r="Y935" s="402"/>
      <c r="Z935" s="610" t="s">
        <v>1478</v>
      </c>
      <c r="AA935" s="532">
        <f>IF(Table13[[#This Row],[Column2]]="","",SUM(Table13[[#This Row],[Column28]]+Table13[[#This Row],[Column29]]))</f>
        <v>4000</v>
      </c>
      <c r="AB935" s="537">
        <v>4000</v>
      </c>
      <c r="AC935" s="502"/>
      <c r="AD935" s="532">
        <f>IF(Table13[[#This Row],[Column2]]="","",SUM(Table13[[#This Row],[Column31]]+Table13[[#This Row],[Column32]]))</f>
        <v>3700</v>
      </c>
      <c r="AE935" s="501">
        <v>3700</v>
      </c>
      <c r="AF935" s="540"/>
      <c r="AG935" s="405"/>
      <c r="AH935" s="380" t="s">
        <v>1205</v>
      </c>
      <c r="AI935" s="576" t="str">
        <f>VLOOKUP(Table13[[#This Row],[Column1]],[1]Sheet1!$A:$AO,35,FALSE)</f>
        <v>N/A</v>
      </c>
      <c r="AJ935" s="576" t="str">
        <f>VLOOKUP(Table13[[#This Row],[Column1]],[1]Sheet1!$A:$AO,36,FALSE)</f>
        <v>N/A</v>
      </c>
      <c r="AK935" s="576" t="str">
        <f>VLOOKUP(Table13[[#This Row],[Column1]],[1]Sheet1!$A:$AO,37,FALSE)</f>
        <v>N/A</v>
      </c>
      <c r="AL935" s="576" t="str">
        <f>VLOOKUP(Table13[[#This Row],[Column1]],[1]Sheet1!$A:$AO,38,FALSE)</f>
        <v>N/A</v>
      </c>
      <c r="AM935" s="576" t="str">
        <f>VLOOKUP(Table13[[#This Row],[Column1]],[1]Sheet1!$A:$AO,39,FALSE)</f>
        <v>N/A</v>
      </c>
      <c r="AN935" s="576" t="s">
        <v>713</v>
      </c>
      <c r="AO935" s="303" t="s">
        <v>1044</v>
      </c>
      <c r="AP935" s="378"/>
      <c r="AQ935" s="237"/>
    </row>
    <row r="936" spans="1:43" s="238" customFormat="1" ht="75" customHeight="1" x14ac:dyDescent="0.25">
      <c r="A936" s="297" t="s">
        <v>1157</v>
      </c>
      <c r="B936" s="627" t="str">
        <f>VLOOKUP(Table13[[#This Row],[Column1]],[1]Sheet1!$A:$AO,2,FALSE)</f>
        <v xml:space="preserve">MEDICAL KIT
</v>
      </c>
      <c r="C936" s="298" t="str">
        <f>VLOOKUP(Table13[[#This Row],[Column1]],[1]Sheet1!$A:$AO,3,FALSE)</f>
        <v>PEO</v>
      </c>
      <c r="D936" s="298" t="s">
        <v>712</v>
      </c>
      <c r="E936" s="450" t="str">
        <f>VLOOKUP(Table13[[#This Row],[Column1]],[1]Sheet1!$A:$AO,5,FALSE)</f>
        <v>NP-53.9 - Small Value Procurement</v>
      </c>
      <c r="F936" s="446">
        <f>VLOOKUP(Table13[[#This Row],[Column1]],[1]Sheet1!$A:$AO,6,FALSE)</f>
        <v>45426</v>
      </c>
      <c r="G936" s="402">
        <f>VLOOKUP(Table13[[#This Row],[Column1]],[1]Sheet1!$A:$AO,7,FALSE)</f>
        <v>45429</v>
      </c>
      <c r="H936" s="374"/>
      <c r="I936" s="402" t="str">
        <f>VLOOKUP(Table13[[#This Row],[Column1]],[1]Sheet1!$A:$AO,9,FALSE)</f>
        <v>N/A</v>
      </c>
      <c r="J936" s="402">
        <f>VLOOKUP(Table13[[#This Row],[Column1]],[1]Sheet1!$A:$AO,10,FALSE)</f>
        <v>45468</v>
      </c>
      <c r="K936" s="402">
        <f>VLOOKUP(Table13[[#This Row],[Column1]],[1]Sheet1!$A:$AO,11,FALSE)</f>
        <v>45468</v>
      </c>
      <c r="L936" s="404"/>
      <c r="M936" s="402" t="str">
        <f>VLOOKUP(Table13[[#This Row],[Column1]],[1]Sheet1!$A:$AO,13,FALSE)</f>
        <v>N/A</v>
      </c>
      <c r="N936" s="402" t="str">
        <f>VLOOKUP(Table13[[#This Row],[Column1]],[1]Sheet1!$A:$AO,14,FALSE)</f>
        <v>N/A</v>
      </c>
      <c r="O936" s="402">
        <f>VLOOKUP(Table13[[#This Row],[Column1]],[1]Sheet1!$A:$AO,15,FALSE)</f>
        <v>45469</v>
      </c>
      <c r="P936" s="375"/>
      <c r="Q936" s="375"/>
      <c r="R936" s="376"/>
      <c r="S936" s="583" t="str">
        <f>VLOOKUP(Table13[[#This Row],[Column1]],[1]Sheet1!$A:$AO,19,FALSE)</f>
        <v>N/A</v>
      </c>
      <c r="T936" s="583"/>
      <c r="U936" s="583"/>
      <c r="V936" s="376"/>
      <c r="W936" s="376"/>
      <c r="X936" s="402"/>
      <c r="Y936" s="402"/>
      <c r="Z936" s="610" t="s">
        <v>1478</v>
      </c>
      <c r="AA936" s="532">
        <f>IF(Table13[[#This Row],[Column2]]="","",SUM(Table13[[#This Row],[Column28]]+Table13[[#This Row],[Column29]]))</f>
        <v>1925</v>
      </c>
      <c r="AB936" s="537"/>
      <c r="AC936" s="502">
        <v>1925</v>
      </c>
      <c r="AD936" s="532">
        <f>IF(Table13[[#This Row],[Column2]]="","",SUM(Table13[[#This Row],[Column31]]+Table13[[#This Row],[Column32]]))</f>
        <v>1920</v>
      </c>
      <c r="AE936" s="501"/>
      <c r="AF936" s="540">
        <v>1920</v>
      </c>
      <c r="AG936" s="405"/>
      <c r="AH936" s="380" t="s">
        <v>1205</v>
      </c>
      <c r="AI936" s="576" t="str">
        <f>VLOOKUP(Table13[[#This Row],[Column1]],[1]Sheet1!$A:$AO,35,FALSE)</f>
        <v>N/A</v>
      </c>
      <c r="AJ936" s="576" t="str">
        <f>VLOOKUP(Table13[[#This Row],[Column1]],[1]Sheet1!$A:$AO,36,FALSE)</f>
        <v>N/A</v>
      </c>
      <c r="AK936" s="576" t="str">
        <f>VLOOKUP(Table13[[#This Row],[Column1]],[1]Sheet1!$A:$AO,37,FALSE)</f>
        <v>N/A</v>
      </c>
      <c r="AL936" s="576" t="str">
        <f>VLOOKUP(Table13[[#This Row],[Column1]],[1]Sheet1!$A:$AO,38,FALSE)</f>
        <v>N/A</v>
      </c>
      <c r="AM936" s="576" t="str">
        <f>VLOOKUP(Table13[[#This Row],[Column1]],[1]Sheet1!$A:$AO,39,FALSE)</f>
        <v>N/A</v>
      </c>
      <c r="AN936" s="576" t="s">
        <v>713</v>
      </c>
      <c r="AO936" s="303" t="s">
        <v>1044</v>
      </c>
      <c r="AP936" s="378"/>
      <c r="AQ936" s="237"/>
    </row>
    <row r="937" spans="1:43" s="238" customFormat="1" ht="75" customHeight="1" x14ac:dyDescent="0.25">
      <c r="A937" s="297" t="s">
        <v>1158</v>
      </c>
      <c r="B937" s="627" t="str">
        <f>VLOOKUP(Table13[[#This Row],[Column1]],[1]Sheet1!$A:$AO,2,FALSE)</f>
        <v>JANITORIAL SUPPLIES</v>
      </c>
      <c r="C937" s="298" t="str">
        <f>VLOOKUP(Table13[[#This Row],[Column1]],[1]Sheet1!$A:$AO,3,FALSE)</f>
        <v>PAGRO</v>
      </c>
      <c r="D937" s="298" t="s">
        <v>712</v>
      </c>
      <c r="E937" s="450" t="str">
        <f>VLOOKUP(Table13[[#This Row],[Column1]],[1]Sheet1!$A:$AO,5,FALSE)</f>
        <v>NP-53.9 - Small Value Procurement</v>
      </c>
      <c r="F937" s="446" t="str">
        <f>VLOOKUP(Table13[[#This Row],[Column1]],[1]Sheet1!$A:$AO,6,FALSE)</f>
        <v>N/A</v>
      </c>
      <c r="G937" s="402">
        <f>VLOOKUP(Table13[[#This Row],[Column1]],[1]Sheet1!$A:$AO,7,FALSE)</f>
        <v>45448</v>
      </c>
      <c r="H937" s="374"/>
      <c r="I937" s="402" t="str">
        <f>VLOOKUP(Table13[[#This Row],[Column1]],[1]Sheet1!$A:$AO,9,FALSE)</f>
        <v>N/A</v>
      </c>
      <c r="J937" s="402">
        <f>VLOOKUP(Table13[[#This Row],[Column1]],[1]Sheet1!$A:$AO,10,FALSE)</f>
        <v>45468</v>
      </c>
      <c r="K937" s="402">
        <f>VLOOKUP(Table13[[#This Row],[Column1]],[1]Sheet1!$A:$AO,11,FALSE)</f>
        <v>45468</v>
      </c>
      <c r="L937" s="404"/>
      <c r="M937" s="402" t="str">
        <f>VLOOKUP(Table13[[#This Row],[Column1]],[1]Sheet1!$A:$AO,13,FALSE)</f>
        <v>N/A</v>
      </c>
      <c r="N937" s="402" t="str">
        <f>VLOOKUP(Table13[[#This Row],[Column1]],[1]Sheet1!$A:$AO,14,FALSE)</f>
        <v>N/A</v>
      </c>
      <c r="O937" s="402">
        <f>VLOOKUP(Table13[[#This Row],[Column1]],[1]Sheet1!$A:$AO,15,FALSE)</f>
        <v>45469</v>
      </c>
      <c r="P937" s="375"/>
      <c r="Q937" s="375"/>
      <c r="R937" s="376"/>
      <c r="S937" s="583">
        <f>VLOOKUP(Table13[[#This Row],[Column1]],[1]Sheet1!$A:$AO,19,FALSE)</f>
        <v>45469</v>
      </c>
      <c r="T937" s="583"/>
      <c r="U937" s="583"/>
      <c r="V937" s="376"/>
      <c r="W937" s="376"/>
      <c r="X937" s="402"/>
      <c r="Y937" s="402"/>
      <c r="Z937" s="610" t="s">
        <v>1478</v>
      </c>
      <c r="AA937" s="532">
        <f>IF(Table13[[#This Row],[Column2]]="","",SUM(Table13[[#This Row],[Column28]]+Table13[[#This Row],[Column29]]))</f>
        <v>101290</v>
      </c>
      <c r="AB937" s="537"/>
      <c r="AC937" s="502">
        <v>101290</v>
      </c>
      <c r="AD937" s="532">
        <f>IF(Table13[[#This Row],[Column2]]="","",SUM(Table13[[#This Row],[Column31]]+Table13[[#This Row],[Column32]]))</f>
        <v>100580</v>
      </c>
      <c r="AE937" s="501"/>
      <c r="AF937" s="540">
        <v>100580</v>
      </c>
      <c r="AG937" s="405"/>
      <c r="AH937" s="380" t="s">
        <v>1205</v>
      </c>
      <c r="AI937" s="576" t="str">
        <f>VLOOKUP(Table13[[#This Row],[Column1]],[1]Sheet1!$A:$AO,35,FALSE)</f>
        <v>N/A</v>
      </c>
      <c r="AJ937" s="576" t="str">
        <f>VLOOKUP(Table13[[#This Row],[Column1]],[1]Sheet1!$A:$AO,36,FALSE)</f>
        <v>N/A</v>
      </c>
      <c r="AK937" s="576" t="str">
        <f>VLOOKUP(Table13[[#This Row],[Column1]],[1]Sheet1!$A:$AO,37,FALSE)</f>
        <v>N/A</v>
      </c>
      <c r="AL937" s="576" t="str">
        <f>VLOOKUP(Table13[[#This Row],[Column1]],[1]Sheet1!$A:$AO,38,FALSE)</f>
        <v>N/A</v>
      </c>
      <c r="AM937" s="576" t="str">
        <f>VLOOKUP(Table13[[#This Row],[Column1]],[1]Sheet1!$A:$AO,39,FALSE)</f>
        <v>N/A</v>
      </c>
      <c r="AN937" s="576" t="s">
        <v>713</v>
      </c>
      <c r="AO937" s="303" t="s">
        <v>1044</v>
      </c>
      <c r="AP937" s="378"/>
      <c r="AQ937" s="237"/>
    </row>
    <row r="938" spans="1:43" s="238" customFormat="1" ht="75" customHeight="1" x14ac:dyDescent="0.25">
      <c r="A938" s="297" t="s">
        <v>1159</v>
      </c>
      <c r="B938" s="627" t="str">
        <f>VLOOKUP(Table13[[#This Row],[Column1]],[1]Sheet1!$A:$AO,2,FALSE)</f>
        <v xml:space="preserve">MEDICAL KIT
</v>
      </c>
      <c r="C938" s="298" t="str">
        <f>VLOOKUP(Table13[[#This Row],[Column1]],[1]Sheet1!$A:$AO,3,FALSE)</f>
        <v>SEF</v>
      </c>
      <c r="D938" s="298" t="s">
        <v>712</v>
      </c>
      <c r="E938" s="450" t="str">
        <f>VLOOKUP(Table13[[#This Row],[Column1]],[1]Sheet1!$A:$AO,5,FALSE)</f>
        <v>NP-53.9 - Small Value Procurement</v>
      </c>
      <c r="F938" s="446">
        <f>VLOOKUP(Table13[[#This Row],[Column1]],[1]Sheet1!$A:$AO,6,FALSE)</f>
        <v>45426</v>
      </c>
      <c r="G938" s="402">
        <f>VLOOKUP(Table13[[#This Row],[Column1]],[1]Sheet1!$A:$AO,7,FALSE)</f>
        <v>45429</v>
      </c>
      <c r="H938" s="374"/>
      <c r="I938" s="402" t="str">
        <f>VLOOKUP(Table13[[#This Row],[Column1]],[1]Sheet1!$A:$AO,9,FALSE)</f>
        <v>N/A</v>
      </c>
      <c r="J938" s="402">
        <f>VLOOKUP(Table13[[#This Row],[Column1]],[1]Sheet1!$A:$AO,10,FALSE)</f>
        <v>45468</v>
      </c>
      <c r="K938" s="402">
        <f>VLOOKUP(Table13[[#This Row],[Column1]],[1]Sheet1!$A:$AO,11,FALSE)</f>
        <v>45468</v>
      </c>
      <c r="L938" s="404"/>
      <c r="M938" s="402" t="str">
        <f>VLOOKUP(Table13[[#This Row],[Column1]],[1]Sheet1!$A:$AO,13,FALSE)</f>
        <v>N/A</v>
      </c>
      <c r="N938" s="402" t="str">
        <f>VLOOKUP(Table13[[#This Row],[Column1]],[1]Sheet1!$A:$AO,14,FALSE)</f>
        <v>N/A</v>
      </c>
      <c r="O938" s="402">
        <f>VLOOKUP(Table13[[#This Row],[Column1]],[1]Sheet1!$A:$AO,15,FALSE)</f>
        <v>45469</v>
      </c>
      <c r="P938" s="375"/>
      <c r="Q938" s="375"/>
      <c r="R938" s="376"/>
      <c r="S938" s="583" t="str">
        <f>VLOOKUP(Table13[[#This Row],[Column1]],[1]Sheet1!$A:$AO,19,FALSE)</f>
        <v>N/A</v>
      </c>
      <c r="T938" s="583"/>
      <c r="U938" s="583"/>
      <c r="V938" s="376"/>
      <c r="W938" s="376"/>
      <c r="X938" s="402"/>
      <c r="Y938" s="402"/>
      <c r="Z938" s="610" t="s">
        <v>1478</v>
      </c>
      <c r="AA938" s="532">
        <f>IF(Table13[[#This Row],[Column2]]="","",SUM(Table13[[#This Row],[Column28]]+Table13[[#This Row],[Column29]]))</f>
        <v>1925</v>
      </c>
      <c r="AB938" s="537"/>
      <c r="AC938" s="502">
        <v>1925</v>
      </c>
      <c r="AD938" s="532">
        <f>IF(Table13[[#This Row],[Column2]]="","",SUM(Table13[[#This Row],[Column31]]+Table13[[#This Row],[Column32]]))</f>
        <v>1920</v>
      </c>
      <c r="AE938" s="501"/>
      <c r="AF938" s="540">
        <v>1920</v>
      </c>
      <c r="AG938" s="405"/>
      <c r="AH938" s="380" t="s">
        <v>1205</v>
      </c>
      <c r="AI938" s="576" t="str">
        <f>VLOOKUP(Table13[[#This Row],[Column1]],[1]Sheet1!$A:$AO,35,FALSE)</f>
        <v>N/A</v>
      </c>
      <c r="AJ938" s="576" t="str">
        <f>VLOOKUP(Table13[[#This Row],[Column1]],[1]Sheet1!$A:$AO,36,FALSE)</f>
        <v>N/A</v>
      </c>
      <c r="AK938" s="576" t="str">
        <f>VLOOKUP(Table13[[#This Row],[Column1]],[1]Sheet1!$A:$AO,37,FALSE)</f>
        <v>N/A</v>
      </c>
      <c r="AL938" s="576" t="str">
        <f>VLOOKUP(Table13[[#This Row],[Column1]],[1]Sheet1!$A:$AO,38,FALSE)</f>
        <v>N/A</v>
      </c>
      <c r="AM938" s="576" t="str">
        <f>VLOOKUP(Table13[[#This Row],[Column1]],[1]Sheet1!$A:$AO,39,FALSE)</f>
        <v>N/A</v>
      </c>
      <c r="AN938" s="576" t="s">
        <v>713</v>
      </c>
      <c r="AO938" s="303" t="s">
        <v>1044</v>
      </c>
      <c r="AP938" s="378"/>
      <c r="AQ938" s="237"/>
    </row>
    <row r="939" spans="1:43" s="238" customFormat="1" ht="75" customHeight="1" x14ac:dyDescent="0.25">
      <c r="A939" s="297" t="s">
        <v>1160</v>
      </c>
      <c r="B939" s="627" t="str">
        <f>VLOOKUP(Table13[[#This Row],[Column1]],[1]Sheet1!$A:$AO,2,FALSE)</f>
        <v xml:space="preserve">GEAR OIL AND PENETRATING OIL
</v>
      </c>
      <c r="C939" s="298" t="str">
        <f>VLOOKUP(Table13[[#This Row],[Column1]],[1]Sheet1!$A:$AO,3,FALSE)</f>
        <v>PDRRMO</v>
      </c>
      <c r="D939" s="298" t="s">
        <v>712</v>
      </c>
      <c r="E939" s="450" t="str">
        <f>VLOOKUP(Table13[[#This Row],[Column1]],[1]Sheet1!$A:$AO,5,FALSE)</f>
        <v>NP-53.9 - Small Value Procurement</v>
      </c>
      <c r="F939" s="446" t="str">
        <f>VLOOKUP(Table13[[#This Row],[Column1]],[1]Sheet1!$A:$AO,6,FALSE)</f>
        <v>N/A</v>
      </c>
      <c r="G939" s="402">
        <f>VLOOKUP(Table13[[#This Row],[Column1]],[1]Sheet1!$A:$AO,7,FALSE)</f>
        <v>45457</v>
      </c>
      <c r="H939" s="374"/>
      <c r="I939" s="402" t="str">
        <f>VLOOKUP(Table13[[#This Row],[Column1]],[1]Sheet1!$A:$AO,9,FALSE)</f>
        <v>N/A</v>
      </c>
      <c r="J939" s="402">
        <f>VLOOKUP(Table13[[#This Row],[Column1]],[1]Sheet1!$A:$AO,10,FALSE)</f>
        <v>45468</v>
      </c>
      <c r="K939" s="402">
        <f>VLOOKUP(Table13[[#This Row],[Column1]],[1]Sheet1!$A:$AO,11,FALSE)</f>
        <v>45468</v>
      </c>
      <c r="L939" s="404"/>
      <c r="M939" s="402" t="str">
        <f>VLOOKUP(Table13[[#This Row],[Column1]],[1]Sheet1!$A:$AO,13,FALSE)</f>
        <v>N/A</v>
      </c>
      <c r="N939" s="402" t="str">
        <f>VLOOKUP(Table13[[#This Row],[Column1]],[1]Sheet1!$A:$AO,14,FALSE)</f>
        <v>N/A</v>
      </c>
      <c r="O939" s="402">
        <f>VLOOKUP(Table13[[#This Row],[Column1]],[1]Sheet1!$A:$AO,15,FALSE)</f>
        <v>45469</v>
      </c>
      <c r="P939" s="375"/>
      <c r="Q939" s="375"/>
      <c r="R939" s="376"/>
      <c r="S939" s="583" t="str">
        <f>VLOOKUP(Table13[[#This Row],[Column1]],[1]Sheet1!$A:$AO,19,FALSE)</f>
        <v>N/A</v>
      </c>
      <c r="T939" s="583"/>
      <c r="U939" s="583"/>
      <c r="V939" s="376"/>
      <c r="W939" s="376"/>
      <c r="X939" s="402"/>
      <c r="Y939" s="402"/>
      <c r="Z939" s="610" t="s">
        <v>1478</v>
      </c>
      <c r="AA939" s="532">
        <f>IF(Table13[[#This Row],[Column2]]="","",SUM(Table13[[#This Row],[Column28]]+Table13[[#This Row],[Column29]]))</f>
        <v>4961.2</v>
      </c>
      <c r="AB939" s="537"/>
      <c r="AC939" s="502">
        <v>4961.2</v>
      </c>
      <c r="AD939" s="532">
        <f>IF(Table13[[#This Row],[Column2]]="","",SUM(Table13[[#This Row],[Column31]]+Table13[[#This Row],[Column32]]))</f>
        <v>4950</v>
      </c>
      <c r="AE939" s="501"/>
      <c r="AF939" s="540">
        <v>4950</v>
      </c>
      <c r="AG939" s="405"/>
      <c r="AH939" s="380" t="s">
        <v>1205</v>
      </c>
      <c r="AI939" s="576" t="str">
        <f>VLOOKUP(Table13[[#This Row],[Column1]],[1]Sheet1!$A:$AO,35,FALSE)</f>
        <v>N/A</v>
      </c>
      <c r="AJ939" s="576" t="str">
        <f>VLOOKUP(Table13[[#This Row],[Column1]],[1]Sheet1!$A:$AO,36,FALSE)</f>
        <v>N/A</v>
      </c>
      <c r="AK939" s="576" t="str">
        <f>VLOOKUP(Table13[[#This Row],[Column1]],[1]Sheet1!$A:$AO,37,FALSE)</f>
        <v>N/A</v>
      </c>
      <c r="AL939" s="576" t="str">
        <f>VLOOKUP(Table13[[#This Row],[Column1]],[1]Sheet1!$A:$AO,38,FALSE)</f>
        <v>N/A</v>
      </c>
      <c r="AM939" s="576" t="str">
        <f>VLOOKUP(Table13[[#This Row],[Column1]],[1]Sheet1!$A:$AO,39,FALSE)</f>
        <v>N/A</v>
      </c>
      <c r="AN939" s="576" t="s">
        <v>713</v>
      </c>
      <c r="AO939" s="303" t="s">
        <v>1044</v>
      </c>
      <c r="AP939" s="378"/>
      <c r="AQ939" s="237"/>
    </row>
    <row r="940" spans="1:43" s="238" customFormat="1" ht="75" customHeight="1" x14ac:dyDescent="0.25">
      <c r="A940" s="297" t="s">
        <v>1161</v>
      </c>
      <c r="B940" s="627" t="str">
        <f>VLOOKUP(Table13[[#This Row],[Column1]],[1]Sheet1!$A:$AO,2,FALSE)</f>
        <v xml:space="preserve">SPAREPARTS (LIGHT VEHICLES)
</v>
      </c>
      <c r="C940" s="298" t="str">
        <f>VLOOKUP(Table13[[#This Row],[Column1]],[1]Sheet1!$A:$AO,3,FALSE)</f>
        <v>PVGO</v>
      </c>
      <c r="D940" s="298" t="s">
        <v>712</v>
      </c>
      <c r="E940" s="450" t="str">
        <f>VLOOKUP(Table13[[#This Row],[Column1]],[1]Sheet1!$A:$AO,5,FALSE)</f>
        <v>NP-53.9 - Small Value Procurement</v>
      </c>
      <c r="F940" s="446" t="str">
        <f>VLOOKUP(Table13[[#This Row],[Column1]],[1]Sheet1!$A:$AO,6,FALSE)</f>
        <v>N/A</v>
      </c>
      <c r="G940" s="402">
        <f>VLOOKUP(Table13[[#This Row],[Column1]],[1]Sheet1!$A:$AO,7,FALSE)</f>
        <v>45457</v>
      </c>
      <c r="H940" s="374"/>
      <c r="I940" s="402" t="str">
        <f>VLOOKUP(Table13[[#This Row],[Column1]],[1]Sheet1!$A:$AO,9,FALSE)</f>
        <v>N/A</v>
      </c>
      <c r="J940" s="402">
        <f>VLOOKUP(Table13[[#This Row],[Column1]],[1]Sheet1!$A:$AO,10,FALSE)</f>
        <v>45468</v>
      </c>
      <c r="K940" s="402">
        <f>VLOOKUP(Table13[[#This Row],[Column1]],[1]Sheet1!$A:$AO,11,FALSE)</f>
        <v>45468</v>
      </c>
      <c r="L940" s="404"/>
      <c r="M940" s="402" t="str">
        <f>VLOOKUP(Table13[[#This Row],[Column1]],[1]Sheet1!$A:$AO,13,FALSE)</f>
        <v>N/A</v>
      </c>
      <c r="N940" s="402" t="str">
        <f>VLOOKUP(Table13[[#This Row],[Column1]],[1]Sheet1!$A:$AO,14,FALSE)</f>
        <v>N/A</v>
      </c>
      <c r="O940" s="402">
        <f>VLOOKUP(Table13[[#This Row],[Column1]],[1]Sheet1!$A:$AO,15,FALSE)</f>
        <v>45469</v>
      </c>
      <c r="P940" s="375"/>
      <c r="Q940" s="375"/>
      <c r="R940" s="376"/>
      <c r="S940" s="583">
        <f>VLOOKUP(Table13[[#This Row],[Column1]],[1]Sheet1!$A:$AO,19,FALSE)</f>
        <v>45470</v>
      </c>
      <c r="T940" s="583"/>
      <c r="U940" s="583"/>
      <c r="V940" s="376"/>
      <c r="W940" s="376"/>
      <c r="X940" s="402"/>
      <c r="Y940" s="402"/>
      <c r="Z940" s="610" t="s">
        <v>1478</v>
      </c>
      <c r="AA940" s="532">
        <f>IF(Table13[[#This Row],[Column2]]="","",SUM(Table13[[#This Row],[Column28]]+Table13[[#This Row],[Column29]]))</f>
        <v>233720</v>
      </c>
      <c r="AB940" s="537">
        <v>233720</v>
      </c>
      <c r="AC940" s="502"/>
      <c r="AD940" s="532">
        <f>IF(Table13[[#This Row],[Column2]]="","",SUM(Table13[[#This Row],[Column31]]+Table13[[#This Row],[Column32]]))</f>
        <v>143200</v>
      </c>
      <c r="AE940" s="501">
        <v>143200</v>
      </c>
      <c r="AF940" s="540"/>
      <c r="AG940" s="405"/>
      <c r="AH940" s="380" t="s">
        <v>1205</v>
      </c>
      <c r="AI940" s="576" t="str">
        <f>VLOOKUP(Table13[[#This Row],[Column1]],[1]Sheet1!$A:$AO,35,FALSE)</f>
        <v>N/A</v>
      </c>
      <c r="AJ940" s="576" t="str">
        <f>VLOOKUP(Table13[[#This Row],[Column1]],[1]Sheet1!$A:$AO,36,FALSE)</f>
        <v>N/A</v>
      </c>
      <c r="AK940" s="576" t="str">
        <f>VLOOKUP(Table13[[#This Row],[Column1]],[1]Sheet1!$A:$AO,37,FALSE)</f>
        <v>N/A</v>
      </c>
      <c r="AL940" s="576" t="str">
        <f>VLOOKUP(Table13[[#This Row],[Column1]],[1]Sheet1!$A:$AO,38,FALSE)</f>
        <v>N/A</v>
      </c>
      <c r="AM940" s="576" t="str">
        <f>VLOOKUP(Table13[[#This Row],[Column1]],[1]Sheet1!$A:$AO,39,FALSE)</f>
        <v>N/A</v>
      </c>
      <c r="AN940" s="576" t="s">
        <v>713</v>
      </c>
      <c r="AO940" s="303" t="s">
        <v>1044</v>
      </c>
      <c r="AP940" s="378"/>
      <c r="AQ940" s="237"/>
    </row>
    <row r="941" spans="1:43" s="238" customFormat="1" ht="75" customHeight="1" x14ac:dyDescent="0.25">
      <c r="A941" s="297" t="s">
        <v>1162</v>
      </c>
      <c r="B941" s="627" t="str">
        <f>VLOOKUP(Table13[[#This Row],[Column1]],[1]Sheet1!$A:$AO,2,FALSE)</f>
        <v>DRUGS AND MEDICINES</v>
      </c>
      <c r="C941" s="298" t="str">
        <f>VLOOKUP(Table13[[#This Row],[Column1]],[1]Sheet1!$A:$AO,3,FALSE)</f>
        <v>PHO</v>
      </c>
      <c r="D941" s="298" t="s">
        <v>712</v>
      </c>
      <c r="E941" s="402" t="str">
        <f>VLOOKUP(Table13[[#This Row],[Column1]],[1]Sheet1!$A:$AO,5,FALSE)</f>
        <v>Competitive Bidding</v>
      </c>
      <c r="F941" s="446">
        <f>VLOOKUP(Table13[[#This Row],[Column1]],[1]Sheet1!$A:$AO,6,FALSE)</f>
        <v>45407</v>
      </c>
      <c r="G941" s="402">
        <f>VLOOKUP(Table13[[#This Row],[Column1]],[1]Sheet1!$A:$AO,7,FALSE)</f>
        <v>45411</v>
      </c>
      <c r="H941" s="374"/>
      <c r="I941" s="402">
        <f>VLOOKUP(Table13[[#This Row],[Column1]],[1]Sheet1!$A:$AO,9,FALSE)</f>
        <v>45421</v>
      </c>
      <c r="J941" s="402">
        <f>VLOOKUP(Table13[[#This Row],[Column1]],[1]Sheet1!$A:$AO,10,FALSE)</f>
        <v>45440</v>
      </c>
      <c r="K941" s="402">
        <f>VLOOKUP(Table13[[#This Row],[Column1]],[1]Sheet1!$A:$AO,11,FALSE)</f>
        <v>45440</v>
      </c>
      <c r="L941" s="404"/>
      <c r="M941" s="402">
        <f>VLOOKUP(Table13[[#This Row],[Column1]],[1]Sheet1!$A:$AO,13,FALSE)</f>
        <v>45440</v>
      </c>
      <c r="N941" s="402">
        <f>VLOOKUP(Table13[[#This Row],[Column1]],[1]Sheet1!$A:$AO,14,FALSE)</f>
        <v>45457</v>
      </c>
      <c r="O941" s="402">
        <f>VLOOKUP(Table13[[#This Row],[Column1]],[1]Sheet1!$A:$AO,15,FALSE)</f>
        <v>45469</v>
      </c>
      <c r="P941" s="375"/>
      <c r="Q941" s="375"/>
      <c r="R941" s="376"/>
      <c r="S941" s="583">
        <f>VLOOKUP(Table13[[#This Row],[Column1]],[1]Sheet1!$A:$AO,19,FALSE)</f>
        <v>45470</v>
      </c>
      <c r="T941" s="583"/>
      <c r="U941" s="583"/>
      <c r="V941" s="376"/>
      <c r="W941" s="376"/>
      <c r="X941" s="402"/>
      <c r="Y941" s="402"/>
      <c r="Z941" s="610" t="s">
        <v>1478</v>
      </c>
      <c r="AA941" s="532">
        <f>IF(Table13[[#This Row],[Column2]]="","",SUM(Table13[[#This Row],[Column28]]+Table13[[#This Row],[Column29]]))</f>
        <v>1244516</v>
      </c>
      <c r="AB941" s="537"/>
      <c r="AC941" s="502">
        <v>1244516</v>
      </c>
      <c r="AD941" s="532">
        <f>IF(Table13[[#This Row],[Column2]]="","",SUM(Table13[[#This Row],[Column31]]+Table13[[#This Row],[Column32]]))</f>
        <v>1029353.4</v>
      </c>
      <c r="AE941" s="501"/>
      <c r="AF941" s="540">
        <v>1029353.4</v>
      </c>
      <c r="AG941" s="405"/>
      <c r="AH941" s="380" t="s">
        <v>1205</v>
      </c>
      <c r="AI941" s="576">
        <f>VLOOKUP(Table13[[#This Row],[Column1]],[1]Sheet1!$A:$AO,35,FALSE)</f>
        <v>45419</v>
      </c>
      <c r="AJ941" s="576">
        <f>VLOOKUP(Table13[[#This Row],[Column1]],[1]Sheet1!$A:$AO,36,FALSE)</f>
        <v>45439</v>
      </c>
      <c r="AK941" s="576">
        <f>VLOOKUP(Table13[[#This Row],[Column1]],[1]Sheet1!$A:$AO,37,FALSE)</f>
        <v>45439</v>
      </c>
      <c r="AL941" s="576">
        <f>VLOOKUP(Table13[[#This Row],[Column1]],[1]Sheet1!$A:$AO,38,FALSE)</f>
        <v>45439</v>
      </c>
      <c r="AM941" s="576" t="str">
        <f>VLOOKUP(Table13[[#This Row],[Column1]],[1]Sheet1!$A:$AO,39,FALSE)</f>
        <v>N/A</v>
      </c>
      <c r="AN941" s="576" t="s">
        <v>713</v>
      </c>
      <c r="AO941" s="303" t="s">
        <v>1044</v>
      </c>
      <c r="AP941" s="378"/>
      <c r="AQ941" s="237"/>
    </row>
    <row r="942" spans="1:43" s="238" customFormat="1" ht="75" customHeight="1" x14ac:dyDescent="0.25">
      <c r="A942" s="297" t="s">
        <v>1163</v>
      </c>
      <c r="B942" s="627" t="str">
        <f>VLOOKUP(Table13[[#This Row],[Column1]],[1]Sheet1!$A:$AO,2,FALSE)</f>
        <v>MEALS AND SNACKS A</v>
      </c>
      <c r="C942" s="298" t="str">
        <f>VLOOKUP(Table13[[#This Row],[Column1]],[1]Sheet1!$A:$AO,3,FALSE)</f>
        <v>PSWDO</v>
      </c>
      <c r="D942" s="298" t="s">
        <v>712</v>
      </c>
      <c r="E942" s="402" t="str">
        <f>VLOOKUP(Table13[[#This Row],[Column1]],[1]Sheet1!$A:$AO,5,FALSE)</f>
        <v>Competitive Bidding</v>
      </c>
      <c r="F942" s="446">
        <f>VLOOKUP(Table13[[#This Row],[Column1]],[1]Sheet1!$A:$AO,6,FALSE)</f>
        <v>45421</v>
      </c>
      <c r="G942" s="402">
        <f>VLOOKUP(Table13[[#This Row],[Column1]],[1]Sheet1!$A:$AO,7,FALSE)</f>
        <v>45425</v>
      </c>
      <c r="H942" s="374"/>
      <c r="I942" s="402" t="str">
        <f>VLOOKUP(Table13[[#This Row],[Column1]],[1]Sheet1!$A:$AO,9,FALSE)</f>
        <v>N/A</v>
      </c>
      <c r="J942" s="402">
        <f>VLOOKUP(Table13[[#This Row],[Column1]],[1]Sheet1!$A:$AO,10,FALSE)</f>
        <v>45454</v>
      </c>
      <c r="K942" s="402">
        <f>VLOOKUP(Table13[[#This Row],[Column1]],[1]Sheet1!$A:$AO,11,FALSE)</f>
        <v>45454</v>
      </c>
      <c r="L942" s="404"/>
      <c r="M942" s="402">
        <f>VLOOKUP(Table13[[#This Row],[Column1]],[1]Sheet1!$A:$AO,13,FALSE)</f>
        <v>45454</v>
      </c>
      <c r="N942" s="402">
        <f>VLOOKUP(Table13[[#This Row],[Column1]],[1]Sheet1!$A:$AO,14,FALSE)</f>
        <v>45457</v>
      </c>
      <c r="O942" s="402">
        <f>VLOOKUP(Table13[[#This Row],[Column1]],[1]Sheet1!$A:$AO,15,FALSE)</f>
        <v>45469</v>
      </c>
      <c r="P942" s="375"/>
      <c r="Q942" s="375"/>
      <c r="R942" s="376"/>
      <c r="S942" s="583">
        <f>VLOOKUP(Table13[[#This Row],[Column1]],[1]Sheet1!$A:$AO,19,FALSE)</f>
        <v>45469</v>
      </c>
      <c r="T942" s="583"/>
      <c r="U942" s="583"/>
      <c r="V942" s="376"/>
      <c r="W942" s="376"/>
      <c r="X942" s="402"/>
      <c r="Y942" s="402"/>
      <c r="Z942" s="610" t="s">
        <v>1478</v>
      </c>
      <c r="AA942" s="532">
        <f>IF(Table13[[#This Row],[Column2]]="","",SUM(Table13[[#This Row],[Column28]]+Table13[[#This Row],[Column29]]))</f>
        <v>2040000</v>
      </c>
      <c r="AB942" s="537"/>
      <c r="AC942" s="502">
        <v>2040000</v>
      </c>
      <c r="AD942" s="532">
        <f>IF(Table13[[#This Row],[Column2]]="","",SUM(Table13[[#This Row],[Column31]]+Table13[[#This Row],[Column32]]))</f>
        <v>2016000</v>
      </c>
      <c r="AE942" s="501"/>
      <c r="AF942" s="540">
        <v>2016000</v>
      </c>
      <c r="AG942" s="405"/>
      <c r="AH942" s="380" t="s">
        <v>1205</v>
      </c>
      <c r="AI942" s="576" t="str">
        <f>VLOOKUP(Table13[[#This Row],[Column1]],[1]Sheet1!$A:$AO,35,FALSE)</f>
        <v>N/A</v>
      </c>
      <c r="AJ942" s="576">
        <f>VLOOKUP(Table13[[#This Row],[Column1]],[1]Sheet1!$A:$AO,36,FALSE)</f>
        <v>45450</v>
      </c>
      <c r="AK942" s="576">
        <f>VLOOKUP(Table13[[#This Row],[Column1]],[1]Sheet1!$A:$AO,37,FALSE)</f>
        <v>45450</v>
      </c>
      <c r="AL942" s="576">
        <f>VLOOKUP(Table13[[#This Row],[Column1]],[1]Sheet1!$A:$AO,38,FALSE)</f>
        <v>45450</v>
      </c>
      <c r="AM942" s="576" t="str">
        <f>VLOOKUP(Table13[[#This Row],[Column1]],[1]Sheet1!$A:$AO,39,FALSE)</f>
        <v>N/A</v>
      </c>
      <c r="AN942" s="576" t="s">
        <v>713</v>
      </c>
      <c r="AO942" s="303" t="s">
        <v>1044</v>
      </c>
      <c r="AP942" s="378"/>
      <c r="AQ942" s="237"/>
    </row>
    <row r="943" spans="1:43" s="238" customFormat="1" ht="75" customHeight="1" x14ac:dyDescent="0.25">
      <c r="A943" s="297" t="s">
        <v>1164</v>
      </c>
      <c r="B943" s="627" t="str">
        <f>VLOOKUP(Table13[[#This Row],[Column1]],[1]Sheet1!$A:$AO,2,FALSE)</f>
        <v>CONSTRUCTION MATERIALS</v>
      </c>
      <c r="C943" s="298" t="str">
        <f>VLOOKUP(Table13[[#This Row],[Column1]],[1]Sheet1!$A:$AO,3,FALSE)</f>
        <v>PEO</v>
      </c>
      <c r="D943" s="298" t="s">
        <v>712</v>
      </c>
      <c r="E943" s="402" t="str">
        <f>VLOOKUP(Table13[[#This Row],[Column1]],[1]Sheet1!$A:$AO,5,FALSE)</f>
        <v>Competitive Bidding</v>
      </c>
      <c r="F943" s="446" t="str">
        <f>VLOOKUP(Table13[[#This Row],[Column1]],[1]Sheet1!$A:$AO,6,FALSE)</f>
        <v>N/A</v>
      </c>
      <c r="G943" s="402">
        <f>VLOOKUP(Table13[[#This Row],[Column1]],[1]Sheet1!$A:$AO,7,FALSE)</f>
        <v>45411</v>
      </c>
      <c r="H943" s="374"/>
      <c r="I943" s="402">
        <f>VLOOKUP(Table13[[#This Row],[Column1]],[1]Sheet1!$A:$AO,9,FALSE)</f>
        <v>45421</v>
      </c>
      <c r="J943" s="402">
        <f>VLOOKUP(Table13[[#This Row],[Column1]],[1]Sheet1!$A:$AO,10,FALSE)</f>
        <v>45440</v>
      </c>
      <c r="K943" s="402">
        <f>VLOOKUP(Table13[[#This Row],[Column1]],[1]Sheet1!$A:$AO,11,FALSE)</f>
        <v>45440</v>
      </c>
      <c r="L943" s="404"/>
      <c r="M943" s="402">
        <f>VLOOKUP(Table13[[#This Row],[Column1]],[1]Sheet1!$A:$AO,13,FALSE)</f>
        <v>45440</v>
      </c>
      <c r="N943" s="402">
        <f>VLOOKUP(Table13[[#This Row],[Column1]],[1]Sheet1!$A:$AO,14,FALSE)</f>
        <v>45457</v>
      </c>
      <c r="O943" s="402">
        <f>VLOOKUP(Table13[[#This Row],[Column1]],[1]Sheet1!$A:$AO,15,FALSE)</f>
        <v>45469</v>
      </c>
      <c r="P943" s="375"/>
      <c r="Q943" s="375"/>
      <c r="R943" s="376"/>
      <c r="S943" s="583">
        <f>VLOOKUP(Table13[[#This Row],[Column1]],[1]Sheet1!$A:$AO,19,FALSE)</f>
        <v>45470</v>
      </c>
      <c r="T943" s="583"/>
      <c r="U943" s="583"/>
      <c r="V943" s="376"/>
      <c r="W943" s="376"/>
      <c r="X943" s="402"/>
      <c r="Y943" s="402"/>
      <c r="Z943" s="610" t="s">
        <v>1478</v>
      </c>
      <c r="AA943" s="532">
        <f>IF(Table13[[#This Row],[Column2]]="","",SUM(Table13[[#This Row],[Column28]]+Table13[[#This Row],[Column29]]))</f>
        <v>1195435</v>
      </c>
      <c r="AB943" s="537">
        <v>1195435</v>
      </c>
      <c r="AC943" s="502"/>
      <c r="AD943" s="532">
        <f>IF(Table13[[#This Row],[Column2]]="","",SUM(Table13[[#This Row],[Column31]]+Table13[[#This Row],[Column32]]))</f>
        <v>675931</v>
      </c>
      <c r="AE943" s="501">
        <v>675931</v>
      </c>
      <c r="AF943" s="540"/>
      <c r="AG943" s="405"/>
      <c r="AH943" s="380" t="s">
        <v>1205</v>
      </c>
      <c r="AI943" s="576">
        <f>VLOOKUP(Table13[[#This Row],[Column1]],[1]Sheet1!$A:$AO,35,FALSE)</f>
        <v>45419</v>
      </c>
      <c r="AJ943" s="576">
        <f>VLOOKUP(Table13[[#This Row],[Column1]],[1]Sheet1!$A:$AO,36,FALSE)</f>
        <v>45439</v>
      </c>
      <c r="AK943" s="576">
        <f>VLOOKUP(Table13[[#This Row],[Column1]],[1]Sheet1!$A:$AO,37,FALSE)</f>
        <v>45439</v>
      </c>
      <c r="AL943" s="576">
        <f>VLOOKUP(Table13[[#This Row],[Column1]],[1]Sheet1!$A:$AO,38,FALSE)</f>
        <v>45439</v>
      </c>
      <c r="AM943" s="576" t="str">
        <f>VLOOKUP(Table13[[#This Row],[Column1]],[1]Sheet1!$A:$AO,39,FALSE)</f>
        <v>N/A</v>
      </c>
      <c r="AN943" s="576" t="s">
        <v>713</v>
      </c>
      <c r="AO943" s="303" t="s">
        <v>1044</v>
      </c>
      <c r="AP943" s="378"/>
      <c r="AQ943" s="237"/>
    </row>
    <row r="944" spans="1:43" s="238" customFormat="1" ht="75" customHeight="1" x14ac:dyDescent="0.25">
      <c r="A944" s="297" t="s">
        <v>1165</v>
      </c>
      <c r="B944" s="627" t="str">
        <f>VLOOKUP(Table13[[#This Row],[Column1]],[1]Sheet1!$A:$AO,2,FALSE)</f>
        <v>CONSTRUCTION MATERIALS</v>
      </c>
      <c r="C944" s="298" t="str">
        <f>VLOOKUP(Table13[[#This Row],[Column1]],[1]Sheet1!$A:$AO,3,FALSE)</f>
        <v>PEO</v>
      </c>
      <c r="D944" s="298" t="s">
        <v>712</v>
      </c>
      <c r="E944" s="402" t="str">
        <f>VLOOKUP(Table13[[#This Row],[Column1]],[1]Sheet1!$A:$AO,5,FALSE)</f>
        <v>Competitive Bidding</v>
      </c>
      <c r="F944" s="446">
        <f>VLOOKUP(Table13[[#This Row],[Column1]],[1]Sheet1!$A:$AO,6,FALSE)</f>
        <v>45421</v>
      </c>
      <c r="G944" s="402">
        <f>VLOOKUP(Table13[[#This Row],[Column1]],[1]Sheet1!$A:$AO,7,FALSE)</f>
        <v>45425</v>
      </c>
      <c r="H944" s="374"/>
      <c r="I944" s="402" t="str">
        <f>VLOOKUP(Table13[[#This Row],[Column1]],[1]Sheet1!$A:$AO,9,FALSE)</f>
        <v>N/A</v>
      </c>
      <c r="J944" s="402">
        <f>VLOOKUP(Table13[[#This Row],[Column1]],[1]Sheet1!$A:$AO,10,FALSE)</f>
        <v>45440</v>
      </c>
      <c r="K944" s="402">
        <f>VLOOKUP(Table13[[#This Row],[Column1]],[1]Sheet1!$A:$AO,11,FALSE)</f>
        <v>45440</v>
      </c>
      <c r="L944" s="404"/>
      <c r="M944" s="402">
        <f>VLOOKUP(Table13[[#This Row],[Column1]],[1]Sheet1!$A:$AO,13,FALSE)</f>
        <v>45440</v>
      </c>
      <c r="N944" s="402">
        <f>VLOOKUP(Table13[[#This Row],[Column1]],[1]Sheet1!$A:$AO,14,FALSE)</f>
        <v>45457</v>
      </c>
      <c r="O944" s="402">
        <f>VLOOKUP(Table13[[#This Row],[Column1]],[1]Sheet1!$A:$AO,15,FALSE)</f>
        <v>45469</v>
      </c>
      <c r="P944" s="375"/>
      <c r="Q944" s="375"/>
      <c r="R944" s="376"/>
      <c r="S944" s="583">
        <f>VLOOKUP(Table13[[#This Row],[Column1]],[1]Sheet1!$A:$AO,19,FALSE)</f>
        <v>45470</v>
      </c>
      <c r="T944" s="583"/>
      <c r="U944" s="583"/>
      <c r="V944" s="376"/>
      <c r="W944" s="376"/>
      <c r="X944" s="402"/>
      <c r="Y944" s="402"/>
      <c r="Z944" s="610" t="s">
        <v>1478</v>
      </c>
      <c r="AA944" s="532">
        <f>IF(Table13[[#This Row],[Column2]]="","",SUM(Table13[[#This Row],[Column28]]+Table13[[#This Row],[Column29]]))</f>
        <v>757981.85</v>
      </c>
      <c r="AB944" s="537"/>
      <c r="AC944" s="502">
        <v>757981.85</v>
      </c>
      <c r="AD944" s="532">
        <f>IF(Table13[[#This Row],[Column2]]="","",SUM(Table13[[#This Row],[Column31]]+Table13[[#This Row],[Column32]]))</f>
        <v>756182</v>
      </c>
      <c r="AE944" s="501"/>
      <c r="AF944" s="540">
        <v>756182</v>
      </c>
      <c r="AG944" s="405"/>
      <c r="AH944" s="380" t="s">
        <v>1205</v>
      </c>
      <c r="AI944" s="576" t="str">
        <f>VLOOKUP(Table13[[#This Row],[Column1]],[1]Sheet1!$A:$AO,35,FALSE)</f>
        <v>N/A</v>
      </c>
      <c r="AJ944" s="576">
        <f>VLOOKUP(Table13[[#This Row],[Column1]],[1]Sheet1!$A:$AO,36,FALSE)</f>
        <v>45439</v>
      </c>
      <c r="AK944" s="576">
        <f>VLOOKUP(Table13[[#This Row],[Column1]],[1]Sheet1!$A:$AO,37,FALSE)</f>
        <v>45439</v>
      </c>
      <c r="AL944" s="576">
        <f>VLOOKUP(Table13[[#This Row],[Column1]],[1]Sheet1!$A:$AO,38,FALSE)</f>
        <v>45439</v>
      </c>
      <c r="AM944" s="576" t="str">
        <f>VLOOKUP(Table13[[#This Row],[Column1]],[1]Sheet1!$A:$AO,39,FALSE)</f>
        <v>N/A</v>
      </c>
      <c r="AN944" s="576" t="s">
        <v>713</v>
      </c>
      <c r="AO944" s="303" t="s">
        <v>1044</v>
      </c>
      <c r="AP944" s="378"/>
      <c r="AQ944" s="237"/>
    </row>
    <row r="945" spans="1:43" s="238" customFormat="1" ht="75" customHeight="1" x14ac:dyDescent="0.25">
      <c r="A945" s="297" t="s">
        <v>1166</v>
      </c>
      <c r="B945" s="627" t="str">
        <f>VLOOKUP(Table13[[#This Row],[Column1]],[1]Sheet1!$A:$AO,2,FALSE)</f>
        <v>CONSTRUCTION MATERIALS</v>
      </c>
      <c r="C945" s="298" t="str">
        <f>VLOOKUP(Table13[[#This Row],[Column1]],[1]Sheet1!$A:$AO,3,FALSE)</f>
        <v>PEO</v>
      </c>
      <c r="D945" s="298" t="s">
        <v>712</v>
      </c>
      <c r="E945" s="402" t="str">
        <f>VLOOKUP(Table13[[#This Row],[Column1]],[1]Sheet1!$A:$AO,5,FALSE)</f>
        <v>Competitive Bidding</v>
      </c>
      <c r="F945" s="446" t="str">
        <f>VLOOKUP(Table13[[#This Row],[Column1]],[1]Sheet1!$A:$AO,6,FALSE)</f>
        <v>N/A</v>
      </c>
      <c r="G945" s="402">
        <f>VLOOKUP(Table13[[#This Row],[Column1]],[1]Sheet1!$A:$AO,7,FALSE)</f>
        <v>45432</v>
      </c>
      <c r="H945" s="374"/>
      <c r="I945" s="402" t="str">
        <f>VLOOKUP(Table13[[#This Row],[Column1]],[1]Sheet1!$A:$AO,9,FALSE)</f>
        <v>N/A</v>
      </c>
      <c r="J945" s="402">
        <f>VLOOKUP(Table13[[#This Row],[Column1]],[1]Sheet1!$A:$AO,10,FALSE)</f>
        <v>45440</v>
      </c>
      <c r="K945" s="402">
        <f>VLOOKUP(Table13[[#This Row],[Column1]],[1]Sheet1!$A:$AO,11,FALSE)</f>
        <v>45440</v>
      </c>
      <c r="L945" s="404"/>
      <c r="M945" s="402">
        <f>VLOOKUP(Table13[[#This Row],[Column1]],[1]Sheet1!$A:$AO,13,FALSE)</f>
        <v>45440</v>
      </c>
      <c r="N945" s="402">
        <f>VLOOKUP(Table13[[#This Row],[Column1]],[1]Sheet1!$A:$AO,14,FALSE)</f>
        <v>45457</v>
      </c>
      <c r="O945" s="402">
        <f>VLOOKUP(Table13[[#This Row],[Column1]],[1]Sheet1!$A:$AO,15,FALSE)</f>
        <v>45469</v>
      </c>
      <c r="P945" s="375"/>
      <c r="Q945" s="375"/>
      <c r="R945" s="376"/>
      <c r="S945" s="583">
        <f>VLOOKUP(Table13[[#This Row],[Column1]],[1]Sheet1!$A:$AO,19,FALSE)</f>
        <v>45470</v>
      </c>
      <c r="T945" s="583"/>
      <c r="U945" s="583"/>
      <c r="V945" s="376"/>
      <c r="W945" s="376"/>
      <c r="X945" s="402"/>
      <c r="Y945" s="402"/>
      <c r="Z945" s="610" t="s">
        <v>1478</v>
      </c>
      <c r="AA945" s="532">
        <f>IF(Table13[[#This Row],[Column2]]="","",SUM(Table13[[#This Row],[Column28]]+Table13[[#This Row],[Column29]]))</f>
        <v>370815</v>
      </c>
      <c r="AB945" s="537">
        <v>370815</v>
      </c>
      <c r="AC945" s="502"/>
      <c r="AD945" s="532">
        <f>IF(Table13[[#This Row],[Column2]]="","",SUM(Table13[[#This Row],[Column31]]+Table13[[#This Row],[Column32]]))</f>
        <v>370768</v>
      </c>
      <c r="AE945" s="501">
        <v>370768</v>
      </c>
      <c r="AF945" s="540"/>
      <c r="AG945" s="405"/>
      <c r="AH945" s="380" t="s">
        <v>1205</v>
      </c>
      <c r="AI945" s="576" t="str">
        <f>VLOOKUP(Table13[[#This Row],[Column1]],[1]Sheet1!$A:$AO,35,FALSE)</f>
        <v>N/A</v>
      </c>
      <c r="AJ945" s="576">
        <f>VLOOKUP(Table13[[#This Row],[Column1]],[1]Sheet1!$A:$AO,36,FALSE)</f>
        <v>45439</v>
      </c>
      <c r="AK945" s="576">
        <f>VLOOKUP(Table13[[#This Row],[Column1]],[1]Sheet1!$A:$AO,37,FALSE)</f>
        <v>45439</v>
      </c>
      <c r="AL945" s="576">
        <f>VLOOKUP(Table13[[#This Row],[Column1]],[1]Sheet1!$A:$AO,38,FALSE)</f>
        <v>45439</v>
      </c>
      <c r="AM945" s="576" t="str">
        <f>VLOOKUP(Table13[[#This Row],[Column1]],[1]Sheet1!$A:$AO,39,FALSE)</f>
        <v>N/A</v>
      </c>
      <c r="AN945" s="576" t="s">
        <v>713</v>
      </c>
      <c r="AO945" s="303" t="s">
        <v>1044</v>
      </c>
      <c r="AP945" s="378"/>
      <c r="AQ945" s="237"/>
    </row>
    <row r="946" spans="1:43" s="238" customFormat="1" ht="75" customHeight="1" x14ac:dyDescent="0.25">
      <c r="A946" s="297" t="s">
        <v>1167</v>
      </c>
      <c r="B946" s="627" t="str">
        <f>VLOOKUP(Table13[[#This Row],[Column1]],[1]Sheet1!$A:$AO,2,FALSE)</f>
        <v>CONSTRUCTION SUPPLIES</v>
      </c>
      <c r="C946" s="298" t="str">
        <f>VLOOKUP(Table13[[#This Row],[Column1]],[1]Sheet1!$A:$AO,3,FALSE)</f>
        <v>PEO</v>
      </c>
      <c r="D946" s="298" t="s">
        <v>712</v>
      </c>
      <c r="E946" s="402" t="str">
        <f>VLOOKUP(Table13[[#This Row],[Column1]],[1]Sheet1!$A:$AO,5,FALSE)</f>
        <v>Competitive Bidding</v>
      </c>
      <c r="F946" s="446">
        <f>VLOOKUP(Table13[[#This Row],[Column1]],[1]Sheet1!$A:$AO,6,FALSE)</f>
        <v>45440</v>
      </c>
      <c r="G946" s="402">
        <f>VLOOKUP(Table13[[#This Row],[Column1]],[1]Sheet1!$A:$AO,7,FALSE)</f>
        <v>45446</v>
      </c>
      <c r="H946" s="374"/>
      <c r="I946" s="402" t="str">
        <f>VLOOKUP(Table13[[#This Row],[Column1]],[1]Sheet1!$A:$AO,9,FALSE)</f>
        <v>N/A</v>
      </c>
      <c r="J946" s="402">
        <f>VLOOKUP(Table13[[#This Row],[Column1]],[1]Sheet1!$A:$AO,10,FALSE)</f>
        <v>45440</v>
      </c>
      <c r="K946" s="402">
        <f>VLOOKUP(Table13[[#This Row],[Column1]],[1]Sheet1!$A:$AO,11,FALSE)</f>
        <v>45440</v>
      </c>
      <c r="L946" s="404"/>
      <c r="M946" s="402">
        <f>VLOOKUP(Table13[[#This Row],[Column1]],[1]Sheet1!$A:$AO,13,FALSE)</f>
        <v>45440</v>
      </c>
      <c r="N946" s="402">
        <f>VLOOKUP(Table13[[#This Row],[Column1]],[1]Sheet1!$A:$AO,14,FALSE)</f>
        <v>45457</v>
      </c>
      <c r="O946" s="402">
        <f>VLOOKUP(Table13[[#This Row],[Column1]],[1]Sheet1!$A:$AO,15,FALSE)</f>
        <v>45469</v>
      </c>
      <c r="P946" s="375"/>
      <c r="Q946" s="375"/>
      <c r="R946" s="376"/>
      <c r="S946" s="583">
        <f>VLOOKUP(Table13[[#This Row],[Column1]],[1]Sheet1!$A:$AO,19,FALSE)</f>
        <v>45470</v>
      </c>
      <c r="T946" s="583"/>
      <c r="U946" s="583"/>
      <c r="V946" s="376"/>
      <c r="W946" s="376"/>
      <c r="X946" s="402"/>
      <c r="Y946" s="402"/>
      <c r="Z946" s="610" t="s">
        <v>1478</v>
      </c>
      <c r="AA946" s="532">
        <f>IF(Table13[[#This Row],[Column2]]="","",SUM(Table13[[#This Row],[Column28]]+Table13[[#This Row],[Column29]]))</f>
        <v>262375.71999999997</v>
      </c>
      <c r="AB946" s="537"/>
      <c r="AC946" s="502">
        <v>262375.71999999997</v>
      </c>
      <c r="AD946" s="532">
        <f>IF(Table13[[#This Row],[Column2]]="","",SUM(Table13[[#This Row],[Column31]]+Table13[[#This Row],[Column32]]))</f>
        <v>231022.5</v>
      </c>
      <c r="AE946" s="501"/>
      <c r="AF946" s="541">
        <v>231022.5</v>
      </c>
      <c r="AG946" s="405"/>
      <c r="AH946" s="380" t="s">
        <v>1205</v>
      </c>
      <c r="AI946" s="576" t="str">
        <f>VLOOKUP(Table13[[#This Row],[Column1]],[1]Sheet1!$A:$AO,35,FALSE)</f>
        <v>N/A</v>
      </c>
      <c r="AJ946" s="576">
        <f>VLOOKUP(Table13[[#This Row],[Column1]],[1]Sheet1!$A:$AO,36,FALSE)</f>
        <v>45439</v>
      </c>
      <c r="AK946" s="576">
        <f>VLOOKUP(Table13[[#This Row],[Column1]],[1]Sheet1!$A:$AO,37,FALSE)</f>
        <v>45439</v>
      </c>
      <c r="AL946" s="576">
        <f>VLOOKUP(Table13[[#This Row],[Column1]],[1]Sheet1!$A:$AO,38,FALSE)</f>
        <v>45439</v>
      </c>
      <c r="AM946" s="576" t="str">
        <f>VLOOKUP(Table13[[#This Row],[Column1]],[1]Sheet1!$A:$AO,39,FALSE)</f>
        <v>N/A</v>
      </c>
      <c r="AN946" s="576" t="s">
        <v>713</v>
      </c>
      <c r="AO946" s="303" t="s">
        <v>1044</v>
      </c>
      <c r="AP946" s="378"/>
      <c r="AQ946" s="237"/>
    </row>
    <row r="947" spans="1:43" s="238" customFormat="1" ht="75" customHeight="1" x14ac:dyDescent="0.25">
      <c r="A947" s="297" t="s">
        <v>1168</v>
      </c>
      <c r="B947" s="627" t="str">
        <f>VLOOKUP(Table13[[#This Row],[Column1]],[1]Sheet1!$A:$AO,2,FALSE)</f>
        <v>CONSTRUCTION SUPPLIES</v>
      </c>
      <c r="C947" s="298" t="str">
        <f>VLOOKUP(Table13[[#This Row],[Column1]],[1]Sheet1!$A:$AO,3,FALSE)</f>
        <v>PEO</v>
      </c>
      <c r="D947" s="298" t="s">
        <v>712</v>
      </c>
      <c r="E947" s="402" t="str">
        <f>VLOOKUP(Table13[[#This Row],[Column1]],[1]Sheet1!$A:$AO,5,FALSE)</f>
        <v>Competitive Bidding</v>
      </c>
      <c r="F947" s="446">
        <f>VLOOKUP(Table13[[#This Row],[Column1]],[1]Sheet1!$A:$AO,6,FALSE)</f>
        <v>45440</v>
      </c>
      <c r="G947" s="402">
        <f>VLOOKUP(Table13[[#This Row],[Column1]],[1]Sheet1!$A:$AO,7,FALSE)</f>
        <v>45446</v>
      </c>
      <c r="H947" s="374"/>
      <c r="I947" s="402" t="str">
        <f>VLOOKUP(Table13[[#This Row],[Column1]],[1]Sheet1!$A:$AO,9,FALSE)</f>
        <v>N/A</v>
      </c>
      <c r="J947" s="402">
        <f>VLOOKUP(Table13[[#This Row],[Column1]],[1]Sheet1!$A:$AO,10,FALSE)</f>
        <v>45454</v>
      </c>
      <c r="K947" s="402">
        <f>VLOOKUP(Table13[[#This Row],[Column1]],[1]Sheet1!$A:$AO,11,FALSE)</f>
        <v>45454</v>
      </c>
      <c r="L947" s="404"/>
      <c r="M947" s="402">
        <f>VLOOKUP(Table13[[#This Row],[Column1]],[1]Sheet1!$A:$AO,13,FALSE)</f>
        <v>45454</v>
      </c>
      <c r="N947" s="402">
        <f>VLOOKUP(Table13[[#This Row],[Column1]],[1]Sheet1!$A:$AO,14,FALSE)</f>
        <v>45457</v>
      </c>
      <c r="O947" s="402">
        <f>VLOOKUP(Table13[[#This Row],[Column1]],[1]Sheet1!$A:$AO,15,FALSE)</f>
        <v>45469</v>
      </c>
      <c r="P947" s="375"/>
      <c r="Q947" s="375"/>
      <c r="R947" s="376"/>
      <c r="S947" s="583">
        <f>VLOOKUP(Table13[[#This Row],[Column1]],[1]Sheet1!$A:$AO,19,FALSE)</f>
        <v>45470</v>
      </c>
      <c r="T947" s="583"/>
      <c r="U947" s="583"/>
      <c r="V947" s="376"/>
      <c r="W947" s="376"/>
      <c r="X947" s="402"/>
      <c r="Y947" s="402"/>
      <c r="Z947" s="610" t="s">
        <v>1478</v>
      </c>
      <c r="AA947" s="464">
        <f>IF(Table13[[#This Row],[Column2]]="","",SUM(Table13[[#This Row],[Column28]]+Table13[[#This Row],[Column29]]))</f>
        <v>631681</v>
      </c>
      <c r="AB947" s="466"/>
      <c r="AC947" s="502">
        <v>631681</v>
      </c>
      <c r="AD947" s="532">
        <f>IF(Table13[[#This Row],[Column2]]="","",SUM(Table13[[#This Row],[Column31]]+Table13[[#This Row],[Column32]]))</f>
        <v>539934</v>
      </c>
      <c r="AE947" s="501"/>
      <c r="AF947" s="541">
        <v>539934</v>
      </c>
      <c r="AG947" s="405"/>
      <c r="AH947" s="380" t="s">
        <v>1205</v>
      </c>
      <c r="AI947" s="576" t="str">
        <f>VLOOKUP(Table13[[#This Row],[Column1]],[1]Sheet1!$A:$AO,35,FALSE)</f>
        <v>N/A</v>
      </c>
      <c r="AJ947" s="576">
        <f>VLOOKUP(Table13[[#This Row],[Column1]],[1]Sheet1!$A:$AO,36,FALSE)</f>
        <v>45450</v>
      </c>
      <c r="AK947" s="576">
        <f>VLOOKUP(Table13[[#This Row],[Column1]],[1]Sheet1!$A:$AO,37,FALSE)</f>
        <v>45450</v>
      </c>
      <c r="AL947" s="576">
        <f>VLOOKUP(Table13[[#This Row],[Column1]],[1]Sheet1!$A:$AO,38,FALSE)</f>
        <v>45450</v>
      </c>
      <c r="AM947" s="576" t="str">
        <f>VLOOKUP(Table13[[#This Row],[Column1]],[1]Sheet1!$A:$AO,39,FALSE)</f>
        <v>N/A</v>
      </c>
      <c r="AN947" s="576" t="s">
        <v>713</v>
      </c>
      <c r="AO947" s="303" t="s">
        <v>1044</v>
      </c>
      <c r="AP947" s="378"/>
      <c r="AQ947" s="237"/>
    </row>
    <row r="948" spans="1:43" s="238" customFormat="1" ht="75" customHeight="1" x14ac:dyDescent="0.25">
      <c r="A948" s="297" t="s">
        <v>1169</v>
      </c>
      <c r="B948" s="627" t="str">
        <f>VLOOKUP(Table13[[#This Row],[Column1]],[1]Sheet1!$A:$AO,2,FALSE)</f>
        <v>CONSTRUCTION SUPPLIES</v>
      </c>
      <c r="C948" s="298" t="str">
        <f>VLOOKUP(Table13[[#This Row],[Column1]],[1]Sheet1!$A:$AO,3,FALSE)</f>
        <v>PEO</v>
      </c>
      <c r="D948" s="298" t="s">
        <v>712</v>
      </c>
      <c r="E948" s="402" t="str">
        <f>VLOOKUP(Table13[[#This Row],[Column1]],[1]Sheet1!$A:$AO,5,FALSE)</f>
        <v>Competitive Bidding</v>
      </c>
      <c r="F948" s="446">
        <f>VLOOKUP(Table13[[#This Row],[Column1]],[1]Sheet1!$A:$AO,6,FALSE)</f>
        <v>45440</v>
      </c>
      <c r="G948" s="402">
        <f>VLOOKUP(Table13[[#This Row],[Column1]],[1]Sheet1!$A:$AO,7,FALSE)</f>
        <v>45446</v>
      </c>
      <c r="H948" s="374"/>
      <c r="I948" s="402" t="str">
        <f>VLOOKUP(Table13[[#This Row],[Column1]],[1]Sheet1!$A:$AO,9,FALSE)</f>
        <v>N/A</v>
      </c>
      <c r="J948" s="402">
        <f>VLOOKUP(Table13[[#This Row],[Column1]],[1]Sheet1!$A:$AO,10,FALSE)</f>
        <v>45454</v>
      </c>
      <c r="K948" s="402">
        <f>VLOOKUP(Table13[[#This Row],[Column1]],[1]Sheet1!$A:$AO,11,FALSE)</f>
        <v>45454</v>
      </c>
      <c r="L948" s="404"/>
      <c r="M948" s="402">
        <f>VLOOKUP(Table13[[#This Row],[Column1]],[1]Sheet1!$A:$AO,13,FALSE)</f>
        <v>45454</v>
      </c>
      <c r="N948" s="402">
        <f>VLOOKUP(Table13[[#This Row],[Column1]],[1]Sheet1!$A:$AO,14,FALSE)</f>
        <v>45457</v>
      </c>
      <c r="O948" s="402">
        <f>VLOOKUP(Table13[[#This Row],[Column1]],[1]Sheet1!$A:$AO,15,FALSE)</f>
        <v>45469</v>
      </c>
      <c r="P948" s="375"/>
      <c r="Q948" s="375"/>
      <c r="R948" s="376"/>
      <c r="S948" s="583">
        <f>VLOOKUP(Table13[[#This Row],[Column1]],[1]Sheet1!$A:$AO,19,FALSE)</f>
        <v>45470</v>
      </c>
      <c r="T948" s="583"/>
      <c r="U948" s="583"/>
      <c r="V948" s="376"/>
      <c r="W948" s="376"/>
      <c r="X948" s="402"/>
      <c r="Y948" s="402"/>
      <c r="Z948" s="610" t="s">
        <v>1478</v>
      </c>
      <c r="AA948" s="464">
        <f>IF(Table13[[#This Row],[Column2]]="","",SUM(Table13[[#This Row],[Column28]]+Table13[[#This Row],[Column29]]))</f>
        <v>317776</v>
      </c>
      <c r="AB948" s="466"/>
      <c r="AC948" s="502">
        <v>317776</v>
      </c>
      <c r="AD948" s="532">
        <f>IF(Table13[[#This Row],[Column2]]="","",SUM(Table13[[#This Row],[Column31]]+Table13[[#This Row],[Column32]]))</f>
        <v>257378</v>
      </c>
      <c r="AE948" s="501"/>
      <c r="AF948" s="541">
        <v>257378</v>
      </c>
      <c r="AG948" s="405"/>
      <c r="AH948" s="380" t="s">
        <v>1205</v>
      </c>
      <c r="AI948" s="576" t="str">
        <f>VLOOKUP(Table13[[#This Row],[Column1]],[1]Sheet1!$A:$AO,35,FALSE)</f>
        <v>N/A</v>
      </c>
      <c r="AJ948" s="576">
        <f>VLOOKUP(Table13[[#This Row],[Column1]],[1]Sheet1!$A:$AO,36,FALSE)</f>
        <v>45450</v>
      </c>
      <c r="AK948" s="576">
        <f>VLOOKUP(Table13[[#This Row],[Column1]],[1]Sheet1!$A:$AO,37,FALSE)</f>
        <v>45450</v>
      </c>
      <c r="AL948" s="576">
        <f>VLOOKUP(Table13[[#This Row],[Column1]],[1]Sheet1!$A:$AO,38,FALSE)</f>
        <v>45450</v>
      </c>
      <c r="AM948" s="576" t="str">
        <f>VLOOKUP(Table13[[#This Row],[Column1]],[1]Sheet1!$A:$AO,39,FALSE)</f>
        <v>N/A</v>
      </c>
      <c r="AN948" s="576" t="s">
        <v>713</v>
      </c>
      <c r="AO948" s="303" t="s">
        <v>1044</v>
      </c>
      <c r="AP948" s="378"/>
      <c r="AQ948" s="237"/>
    </row>
    <row r="949" spans="1:43" s="238" customFormat="1" ht="75" customHeight="1" x14ac:dyDescent="0.25">
      <c r="A949" s="297" t="s">
        <v>1170</v>
      </c>
      <c r="B949" s="627" t="str">
        <f>VLOOKUP(Table13[[#This Row],[Column1]],[1]Sheet1!$A:$AO,2,FALSE)</f>
        <v>CONSTRUCTION SUPPLIES</v>
      </c>
      <c r="C949" s="298" t="str">
        <f>VLOOKUP(Table13[[#This Row],[Column1]],[1]Sheet1!$A:$AO,3,FALSE)</f>
        <v>PEO</v>
      </c>
      <c r="D949" s="298" t="s">
        <v>712</v>
      </c>
      <c r="E949" s="402" t="str">
        <f>VLOOKUP(Table13[[#This Row],[Column1]],[1]Sheet1!$A:$AO,5,FALSE)</f>
        <v>Competitive Bidding</v>
      </c>
      <c r="F949" s="446">
        <f>VLOOKUP(Table13[[#This Row],[Column1]],[1]Sheet1!$A:$AO,6,FALSE)</f>
        <v>45440</v>
      </c>
      <c r="G949" s="402">
        <f>VLOOKUP(Table13[[#This Row],[Column1]],[1]Sheet1!$A:$AO,7,FALSE)</f>
        <v>45446</v>
      </c>
      <c r="H949" s="374"/>
      <c r="I949" s="402" t="str">
        <f>VLOOKUP(Table13[[#This Row],[Column1]],[1]Sheet1!$A:$AO,9,FALSE)</f>
        <v>N/A</v>
      </c>
      <c r="J949" s="402">
        <f>VLOOKUP(Table13[[#This Row],[Column1]],[1]Sheet1!$A:$AO,10,FALSE)</f>
        <v>45454</v>
      </c>
      <c r="K949" s="402">
        <f>VLOOKUP(Table13[[#This Row],[Column1]],[1]Sheet1!$A:$AO,11,FALSE)</f>
        <v>45454</v>
      </c>
      <c r="L949" s="404"/>
      <c r="M949" s="402">
        <f>VLOOKUP(Table13[[#This Row],[Column1]],[1]Sheet1!$A:$AO,13,FALSE)</f>
        <v>45454</v>
      </c>
      <c r="N949" s="402">
        <f>VLOOKUP(Table13[[#This Row],[Column1]],[1]Sheet1!$A:$AO,14,FALSE)</f>
        <v>45457</v>
      </c>
      <c r="O949" s="402">
        <f>VLOOKUP(Table13[[#This Row],[Column1]],[1]Sheet1!$A:$AO,15,FALSE)</f>
        <v>45469</v>
      </c>
      <c r="P949" s="375"/>
      <c r="Q949" s="375"/>
      <c r="R949" s="376"/>
      <c r="S949" s="583">
        <f>VLOOKUP(Table13[[#This Row],[Column1]],[1]Sheet1!$A:$AO,19,FALSE)</f>
        <v>45470</v>
      </c>
      <c r="T949" s="583"/>
      <c r="U949" s="583"/>
      <c r="V949" s="376"/>
      <c r="W949" s="376"/>
      <c r="X949" s="402"/>
      <c r="Y949" s="402"/>
      <c r="Z949" s="610" t="s">
        <v>1478</v>
      </c>
      <c r="AA949" s="464">
        <f>IF(Table13[[#This Row],[Column2]]="","",SUM(Table13[[#This Row],[Column28]]+Table13[[#This Row],[Column29]]))</f>
        <v>275019.82</v>
      </c>
      <c r="AB949" s="466"/>
      <c r="AC949" s="502">
        <v>275019.82</v>
      </c>
      <c r="AD949" s="532">
        <f>IF(Table13[[#This Row],[Column2]]="","",SUM(Table13[[#This Row],[Column31]]+Table13[[#This Row],[Column32]]))</f>
        <v>259141</v>
      </c>
      <c r="AE949" s="501"/>
      <c r="AF949" s="541">
        <v>259141</v>
      </c>
      <c r="AG949" s="405"/>
      <c r="AH949" s="380" t="s">
        <v>1205</v>
      </c>
      <c r="AI949" s="576" t="str">
        <f>VLOOKUP(Table13[[#This Row],[Column1]],[1]Sheet1!$A:$AO,35,FALSE)</f>
        <v>N/A</v>
      </c>
      <c r="AJ949" s="576">
        <f>VLOOKUP(Table13[[#This Row],[Column1]],[1]Sheet1!$A:$AO,36,FALSE)</f>
        <v>45450</v>
      </c>
      <c r="AK949" s="576">
        <f>VLOOKUP(Table13[[#This Row],[Column1]],[1]Sheet1!$A:$AO,37,FALSE)</f>
        <v>45450</v>
      </c>
      <c r="AL949" s="576">
        <f>VLOOKUP(Table13[[#This Row],[Column1]],[1]Sheet1!$A:$AO,38,FALSE)</f>
        <v>45450</v>
      </c>
      <c r="AM949" s="576" t="str">
        <f>VLOOKUP(Table13[[#This Row],[Column1]],[1]Sheet1!$A:$AO,39,FALSE)</f>
        <v>N/A</v>
      </c>
      <c r="AN949" s="576" t="s">
        <v>713</v>
      </c>
      <c r="AO949" s="303" t="s">
        <v>1044</v>
      </c>
      <c r="AP949" s="378"/>
      <c r="AQ949" s="237"/>
    </row>
    <row r="950" spans="1:43" s="238" customFormat="1" ht="75" customHeight="1" x14ac:dyDescent="0.25">
      <c r="A950" s="297" t="s">
        <v>1173</v>
      </c>
      <c r="B950" s="627" t="str">
        <f>VLOOKUP(Table13[[#This Row],[Column1]],[1]Sheet1!$A:$AO,2,FALSE)</f>
        <v xml:space="preserve">STAINLESS STEEL CYLINDRICAL WATER STORAGE TANK (HORIZONTAL), 20, 000 LTRS CAPACITY, </v>
      </c>
      <c r="C950" s="298" t="str">
        <f>VLOOKUP(Table13[[#This Row],[Column1]],[1]Sheet1!$A:$AO,3,FALSE)</f>
        <v>PEO</v>
      </c>
      <c r="D950" s="298" t="s">
        <v>712</v>
      </c>
      <c r="E950" s="402" t="str">
        <f>VLOOKUP(Table13[[#This Row],[Column1]],[1]Sheet1!$A:$AO,5,FALSE)</f>
        <v>Competitive Bidding</v>
      </c>
      <c r="F950" s="446">
        <f>VLOOKUP(Table13[[#This Row],[Column1]],[1]Sheet1!$A:$AO,6,FALSE)</f>
        <v>45412</v>
      </c>
      <c r="G950" s="402">
        <f>VLOOKUP(Table13[[#This Row],[Column1]],[1]Sheet1!$A:$AO,7,FALSE)</f>
        <v>45418</v>
      </c>
      <c r="H950" s="374"/>
      <c r="I950" s="402">
        <f>VLOOKUP(Table13[[#This Row],[Column1]],[1]Sheet1!$A:$AO,9,FALSE)</f>
        <v>45426</v>
      </c>
      <c r="J950" s="402">
        <f>VLOOKUP(Table13[[#This Row],[Column1]],[1]Sheet1!$A:$AO,10,FALSE)</f>
        <v>45440</v>
      </c>
      <c r="K950" s="402">
        <f>VLOOKUP(Table13[[#This Row],[Column1]],[1]Sheet1!$A:$AO,11,FALSE)</f>
        <v>45440</v>
      </c>
      <c r="L950" s="404"/>
      <c r="M950" s="402">
        <f>VLOOKUP(Table13[[#This Row],[Column1]],[1]Sheet1!$A:$AO,13,FALSE)</f>
        <v>45440</v>
      </c>
      <c r="N950" s="402">
        <f>VLOOKUP(Table13[[#This Row],[Column1]],[1]Sheet1!$A:$AO,14,FALSE)</f>
        <v>45457</v>
      </c>
      <c r="O950" s="402">
        <f>VLOOKUP(Table13[[#This Row],[Column1]],[1]Sheet1!$A:$AO,15,FALSE)</f>
        <v>45469</v>
      </c>
      <c r="P950" s="375"/>
      <c r="Q950" s="375"/>
      <c r="R950" s="376"/>
      <c r="S950" s="583"/>
      <c r="T950" s="583"/>
      <c r="U950" s="583"/>
      <c r="V950" s="376"/>
      <c r="W950" s="376"/>
      <c r="X950" s="402"/>
      <c r="Y950" s="402"/>
      <c r="Z950" s="610" t="s">
        <v>1478</v>
      </c>
      <c r="AA950" s="464">
        <f>IF(Table13[[#This Row],[Column2]]="","",SUM(Table13[[#This Row],[Column28]]+Table13[[#This Row],[Column29]]))</f>
        <v>1119678</v>
      </c>
      <c r="AB950" s="466"/>
      <c r="AC950" s="502">
        <v>1119678</v>
      </c>
      <c r="AD950" s="532">
        <f>IF(Table13[[#This Row],[Column2]]="","",SUM(Table13[[#This Row],[Column31]]+Table13[[#This Row],[Column32]]))</f>
        <v>993000</v>
      </c>
      <c r="AE950" s="501"/>
      <c r="AF950" s="541">
        <v>993000</v>
      </c>
      <c r="AG950" s="405"/>
      <c r="AH950" s="380" t="s">
        <v>1205</v>
      </c>
      <c r="AI950" s="576">
        <f>VLOOKUP(Table13[[#This Row],[Column1]],[1]Sheet1!$A:$AO,35,FALSE)</f>
        <v>45421</v>
      </c>
      <c r="AJ950" s="576">
        <f>VLOOKUP(Table13[[#This Row],[Column1]],[1]Sheet1!$A:$AO,36,FALSE)</f>
        <v>45439</v>
      </c>
      <c r="AK950" s="576">
        <f>VLOOKUP(Table13[[#This Row],[Column1]],[1]Sheet1!$A:$AO,37,FALSE)</f>
        <v>45439</v>
      </c>
      <c r="AL950" s="576">
        <f>VLOOKUP(Table13[[#This Row],[Column1]],[1]Sheet1!$A:$AO,38,FALSE)</f>
        <v>45439</v>
      </c>
      <c r="AM950" s="576" t="str">
        <f>VLOOKUP(Table13[[#This Row],[Column1]],[1]Sheet1!$A:$AO,39,FALSE)</f>
        <v>N/A</v>
      </c>
      <c r="AN950" s="576" t="s">
        <v>713</v>
      </c>
      <c r="AO950" s="303" t="s">
        <v>175</v>
      </c>
      <c r="AP950" s="378"/>
      <c r="AQ950" s="237"/>
    </row>
    <row r="951" spans="1:43" s="238" customFormat="1" ht="75" customHeight="1" x14ac:dyDescent="0.25">
      <c r="A951" s="297" t="s">
        <v>1174</v>
      </c>
      <c r="B951" s="627" t="str">
        <f>VLOOKUP(Table13[[#This Row],[Column1]],[1]Sheet1!$A:$AO,2,FALSE)</f>
        <v>GLASS</v>
      </c>
      <c r="C951" s="298" t="str">
        <f>VLOOKUP(Table13[[#This Row],[Column1]],[1]Sheet1!$A:$AO,3,FALSE)</f>
        <v>PGSO</v>
      </c>
      <c r="D951" s="298" t="s">
        <v>712</v>
      </c>
      <c r="E951" s="402" t="str">
        <f>VLOOKUP(Table13[[#This Row],[Column1]],[1]Sheet1!$A:$AO,5,FALSE)</f>
        <v>Competitive Bidding</v>
      </c>
      <c r="F951" s="446">
        <f>VLOOKUP(Table13[[#This Row],[Column1]],[1]Sheet1!$A:$AO,6,FALSE)</f>
        <v>45421</v>
      </c>
      <c r="G951" s="402">
        <f>VLOOKUP(Table13[[#This Row],[Column1]],[1]Sheet1!$A:$AO,7,FALSE)</f>
        <v>45425</v>
      </c>
      <c r="H951" s="374"/>
      <c r="I951" s="402" t="str">
        <f>VLOOKUP(Table13[[#This Row],[Column1]],[1]Sheet1!$A:$AO,9,FALSE)</f>
        <v>N/A</v>
      </c>
      <c r="J951" s="402">
        <f>VLOOKUP(Table13[[#This Row],[Column1]],[1]Sheet1!$A:$AO,10,FALSE)</f>
        <v>45440</v>
      </c>
      <c r="K951" s="402">
        <f>VLOOKUP(Table13[[#This Row],[Column1]],[1]Sheet1!$A:$AO,11,FALSE)</f>
        <v>45440</v>
      </c>
      <c r="L951" s="404"/>
      <c r="M951" s="402">
        <f>VLOOKUP(Table13[[#This Row],[Column1]],[1]Sheet1!$A:$AO,13,FALSE)</f>
        <v>45440</v>
      </c>
      <c r="N951" s="402">
        <f>VLOOKUP(Table13[[#This Row],[Column1]],[1]Sheet1!$A:$AO,14,FALSE)</f>
        <v>45457</v>
      </c>
      <c r="O951" s="402">
        <f>VLOOKUP(Table13[[#This Row],[Column1]],[1]Sheet1!$A:$AO,15,FALSE)</f>
        <v>45469</v>
      </c>
      <c r="P951" s="375"/>
      <c r="Q951" s="375"/>
      <c r="R951" s="376"/>
      <c r="S951" s="583"/>
      <c r="T951" s="583"/>
      <c r="U951" s="583"/>
      <c r="V951" s="376"/>
      <c r="W951" s="376"/>
      <c r="X951" s="402"/>
      <c r="Y951" s="402"/>
      <c r="Z951" s="610" t="s">
        <v>1478</v>
      </c>
      <c r="AA951" s="464">
        <f>IF(Table13[[#This Row],[Column2]]="","",SUM(Table13[[#This Row],[Column28]]+Table13[[#This Row],[Column29]]))</f>
        <v>191698.04</v>
      </c>
      <c r="AB951" s="466"/>
      <c r="AC951" s="502">
        <v>191698.04</v>
      </c>
      <c r="AD951" s="532">
        <f>IF(Table13[[#This Row],[Column2]]="","",SUM(Table13[[#This Row],[Column31]]+Table13[[#This Row],[Column32]]))</f>
        <v>190800</v>
      </c>
      <c r="AE951" s="501"/>
      <c r="AF951" s="541">
        <v>190800</v>
      </c>
      <c r="AG951" s="405"/>
      <c r="AH951" s="380" t="s">
        <v>1205</v>
      </c>
      <c r="AI951" s="576" t="str">
        <f>VLOOKUP(Table13[[#This Row],[Column1]],[1]Sheet1!$A:$AO,35,FALSE)</f>
        <v>N/A</v>
      </c>
      <c r="AJ951" s="576">
        <f>VLOOKUP(Table13[[#This Row],[Column1]],[1]Sheet1!$A:$AO,36,FALSE)</f>
        <v>45439</v>
      </c>
      <c r="AK951" s="576">
        <f>VLOOKUP(Table13[[#This Row],[Column1]],[1]Sheet1!$A:$AO,37,FALSE)</f>
        <v>45439</v>
      </c>
      <c r="AL951" s="576">
        <f>VLOOKUP(Table13[[#This Row],[Column1]],[1]Sheet1!$A:$AO,38,FALSE)</f>
        <v>45439</v>
      </c>
      <c r="AM951" s="576" t="str">
        <f>VLOOKUP(Table13[[#This Row],[Column1]],[1]Sheet1!$A:$AO,39,FALSE)</f>
        <v>N/A</v>
      </c>
      <c r="AN951" s="576" t="s">
        <v>713</v>
      </c>
      <c r="AO951" s="303" t="s">
        <v>175</v>
      </c>
      <c r="AP951" s="378"/>
      <c r="AQ951" s="237"/>
    </row>
    <row r="952" spans="1:43" s="238" customFormat="1" ht="75" customHeight="1" x14ac:dyDescent="0.25">
      <c r="A952" s="297" t="s">
        <v>1175</v>
      </c>
      <c r="B952" s="627" t="str">
        <f>VLOOKUP(Table13[[#This Row],[Column1]],[1]Sheet1!$A:$AO,2,FALSE)</f>
        <v>MEALS AND SNACKS WITH ACCOMMODATION</v>
      </c>
      <c r="C952" s="298" t="str">
        <f>VLOOKUP(Table13[[#This Row],[Column1]],[1]Sheet1!$A:$AO,3,FALSE)</f>
        <v>PGO</v>
      </c>
      <c r="D952" s="298" t="s">
        <v>712</v>
      </c>
      <c r="E952" s="402" t="str">
        <f>VLOOKUP(Table13[[#This Row],[Column1]],[1]Sheet1!$A:$AO,5,FALSE)</f>
        <v>Competitive Bidding</v>
      </c>
      <c r="F952" s="446">
        <f>VLOOKUP(Table13[[#This Row],[Column1]],[1]Sheet1!$A:$AO,6,FALSE)</f>
        <v>45432</v>
      </c>
      <c r="G952" s="402">
        <f>VLOOKUP(Table13[[#This Row],[Column1]],[1]Sheet1!$A:$AO,7,FALSE)</f>
        <v>45440</v>
      </c>
      <c r="H952" s="374"/>
      <c r="I952" s="402" t="str">
        <f>VLOOKUP(Table13[[#This Row],[Column1]],[1]Sheet1!$A:$AO,9,FALSE)</f>
        <v>N/A</v>
      </c>
      <c r="J952" s="402">
        <f>VLOOKUP(Table13[[#This Row],[Column1]],[1]Sheet1!$A:$AO,10,FALSE)</f>
        <v>45454</v>
      </c>
      <c r="K952" s="402">
        <f>VLOOKUP(Table13[[#This Row],[Column1]],[1]Sheet1!$A:$AO,11,FALSE)</f>
        <v>45454</v>
      </c>
      <c r="L952" s="404"/>
      <c r="M952" s="402">
        <f>VLOOKUP(Table13[[#This Row],[Column1]],[1]Sheet1!$A:$AO,13,FALSE)</f>
        <v>45454</v>
      </c>
      <c r="N952" s="402">
        <f>VLOOKUP(Table13[[#This Row],[Column1]],[1]Sheet1!$A:$AO,14,FALSE)</f>
        <v>45462</v>
      </c>
      <c r="O952" s="402">
        <f>VLOOKUP(Table13[[#This Row],[Column1]],[1]Sheet1!$A:$AO,15,FALSE)</f>
        <v>45469</v>
      </c>
      <c r="P952" s="375"/>
      <c r="Q952" s="375"/>
      <c r="R952" s="376"/>
      <c r="S952" s="583"/>
      <c r="T952" s="583"/>
      <c r="U952" s="583"/>
      <c r="V952" s="376"/>
      <c r="W952" s="376"/>
      <c r="X952" s="402"/>
      <c r="Y952" s="402"/>
      <c r="Z952" s="610" t="s">
        <v>1478</v>
      </c>
      <c r="AA952" s="464">
        <f>IF(Table13[[#This Row],[Column2]]="","",SUM(Table13[[#This Row],[Column28]]+Table13[[#This Row],[Column29]]))</f>
        <v>1320000</v>
      </c>
      <c r="AB952" s="466"/>
      <c r="AC952" s="502">
        <v>1320000</v>
      </c>
      <c r="AD952" s="532">
        <f>IF(Table13[[#This Row],[Column2]]="","",SUM(Table13[[#This Row],[Column31]]+Table13[[#This Row],[Column32]]))</f>
        <v>1320000</v>
      </c>
      <c r="AE952" s="501"/>
      <c r="AF952" s="541">
        <v>1320000</v>
      </c>
      <c r="AG952" s="405"/>
      <c r="AH952" s="380" t="s">
        <v>1205</v>
      </c>
      <c r="AI952" s="576" t="str">
        <f>VLOOKUP(Table13[[#This Row],[Column1]],[1]Sheet1!$A:$AO,35,FALSE)</f>
        <v>N/A</v>
      </c>
      <c r="AJ952" s="576">
        <f>VLOOKUP(Table13[[#This Row],[Column1]],[1]Sheet1!$A:$AO,36,FALSE)</f>
        <v>45450</v>
      </c>
      <c r="AK952" s="576">
        <f>VLOOKUP(Table13[[#This Row],[Column1]],[1]Sheet1!$A:$AO,37,FALSE)</f>
        <v>45450</v>
      </c>
      <c r="AL952" s="576">
        <f>VLOOKUP(Table13[[#This Row],[Column1]],[1]Sheet1!$A:$AO,38,FALSE)</f>
        <v>45450</v>
      </c>
      <c r="AM952" s="576" t="str">
        <f>VLOOKUP(Table13[[#This Row],[Column1]],[1]Sheet1!$A:$AO,39,FALSE)</f>
        <v>N/A</v>
      </c>
      <c r="AN952" s="576" t="s">
        <v>713</v>
      </c>
      <c r="AO952" s="303" t="s">
        <v>175</v>
      </c>
      <c r="AP952" s="378"/>
      <c r="AQ952" s="237"/>
    </row>
    <row r="953" spans="1:43" s="238" customFormat="1" ht="75" customHeight="1" x14ac:dyDescent="0.25">
      <c r="A953" s="297" t="s">
        <v>1176</v>
      </c>
      <c r="B953" s="653" t="str">
        <f>VLOOKUP(Table13[[#This Row],[Column1]],[1]Sheet1!$A:$AO,2,FALSE)</f>
        <v>INSTALLATION OF TRANSFORMER FOR THE IMPROVEMENT OF BAHAY PANGARAP FACILITY</v>
      </c>
      <c r="C953" s="298" t="str">
        <f>VLOOKUP(Table13[[#This Row],[Column1]],[1]Sheet1!$A:$AO,3,FALSE)</f>
        <v>PEO</v>
      </c>
      <c r="D953" s="298" t="s">
        <v>712</v>
      </c>
      <c r="E953" s="402" t="str">
        <f>VLOOKUP(Table13[[#This Row],[Column1]],[1]Sheet1!$A:$AO,5,FALSE)</f>
        <v>Competitive Bidding</v>
      </c>
      <c r="F953" s="446">
        <f>VLOOKUP(Table13[[#This Row],[Column1]],[1]Sheet1!$A:$AO,6,FALSE)</f>
        <v>45440</v>
      </c>
      <c r="G953" s="402">
        <f>VLOOKUP(Table13[[#This Row],[Column1]],[1]Sheet1!$A:$AO,7,FALSE)</f>
        <v>45446</v>
      </c>
      <c r="H953" s="374"/>
      <c r="I953" s="402" t="str">
        <f>VLOOKUP(Table13[[#This Row],[Column1]],[1]Sheet1!$A:$AO,9,FALSE)</f>
        <v>N/A</v>
      </c>
      <c r="J953" s="402">
        <f>VLOOKUP(Table13[[#This Row],[Column1]],[1]Sheet1!$A:$AO,10,FALSE)</f>
        <v>45454</v>
      </c>
      <c r="K953" s="402">
        <f>VLOOKUP(Table13[[#This Row],[Column1]],[1]Sheet1!$A:$AO,11,FALSE)</f>
        <v>45454</v>
      </c>
      <c r="L953" s="404"/>
      <c r="M953" s="402">
        <f>VLOOKUP(Table13[[#This Row],[Column1]],[1]Sheet1!$A:$AO,13,FALSE)</f>
        <v>45454</v>
      </c>
      <c r="N953" s="402">
        <f>VLOOKUP(Table13[[#This Row],[Column1]],[1]Sheet1!$A:$AO,14,FALSE)</f>
        <v>45462</v>
      </c>
      <c r="O953" s="402">
        <f>VLOOKUP(Table13[[#This Row],[Column1]],[1]Sheet1!$A:$AO,15,FALSE)</f>
        <v>45469</v>
      </c>
      <c r="P953" s="375"/>
      <c r="Q953" s="375"/>
      <c r="R953" s="376"/>
      <c r="S953" s="583"/>
      <c r="T953" s="583"/>
      <c r="U953" s="583"/>
      <c r="V953" s="376"/>
      <c r="W953" s="376"/>
      <c r="X953" s="402"/>
      <c r="Y953" s="402"/>
      <c r="Z953" s="610" t="s">
        <v>1478</v>
      </c>
      <c r="AA953" s="464">
        <f>IF(Table13[[#This Row],[Column2]]="","",SUM(Table13[[#This Row],[Column28]]+Table13[[#This Row],[Column29]]))</f>
        <v>270858</v>
      </c>
      <c r="AB953" s="466"/>
      <c r="AC953" s="502">
        <v>270858</v>
      </c>
      <c r="AD953" s="532">
        <f>IF(Table13[[#This Row],[Column2]]="","",SUM(Table13[[#This Row],[Column31]]+Table13[[#This Row],[Column32]]))</f>
        <v>230000</v>
      </c>
      <c r="AE953" s="501"/>
      <c r="AF953" s="541">
        <v>230000</v>
      </c>
      <c r="AG953" s="405"/>
      <c r="AH953" s="380" t="s">
        <v>1205</v>
      </c>
      <c r="AI953" s="576" t="str">
        <f>VLOOKUP(Table13[[#This Row],[Column1]],[1]Sheet1!$A:$AO,35,FALSE)</f>
        <v>N/A</v>
      </c>
      <c r="AJ953" s="576">
        <f>VLOOKUP(Table13[[#This Row],[Column1]],[1]Sheet1!$A:$AO,36,FALSE)</f>
        <v>45450</v>
      </c>
      <c r="AK953" s="576">
        <f>VLOOKUP(Table13[[#This Row],[Column1]],[1]Sheet1!$A:$AO,37,FALSE)</f>
        <v>45450</v>
      </c>
      <c r="AL953" s="576">
        <f>VLOOKUP(Table13[[#This Row],[Column1]],[1]Sheet1!$A:$AO,38,FALSE)</f>
        <v>45450</v>
      </c>
      <c r="AM953" s="576" t="str">
        <f>VLOOKUP(Table13[[#This Row],[Column1]],[1]Sheet1!$A:$AO,39,FALSE)</f>
        <v>N/A</v>
      </c>
      <c r="AN953" s="576" t="s">
        <v>713</v>
      </c>
      <c r="AO953" s="303" t="s">
        <v>175</v>
      </c>
      <c r="AP953" s="378"/>
      <c r="AQ953" s="237"/>
    </row>
    <row r="954" spans="1:43" s="238" customFormat="1" ht="75" customHeight="1" x14ac:dyDescent="0.25">
      <c r="A954" s="297" t="s">
        <v>1177</v>
      </c>
      <c r="B954" s="627" t="str">
        <f>VLOOKUP(Table13[[#This Row],[Column1]],[1]Sheet1!$A:$AO,2,FALSE)</f>
        <v>INSTALLATION OF GAS</v>
      </c>
      <c r="C954" s="298" t="str">
        <f>VLOOKUP(Table13[[#This Row],[Column1]],[1]Sheet1!$A:$AO,3,FALSE)</f>
        <v>PGSO</v>
      </c>
      <c r="D954" s="298" t="s">
        <v>712</v>
      </c>
      <c r="E954" s="402" t="str">
        <f>VLOOKUP(Table13[[#This Row],[Column1]],[1]Sheet1!$A:$AO,5,FALSE)</f>
        <v>Competitive Bidding</v>
      </c>
      <c r="F954" s="446">
        <f>VLOOKUP(Table13[[#This Row],[Column1]],[1]Sheet1!$A:$AO,6,FALSE)</f>
        <v>45440</v>
      </c>
      <c r="G954" s="402">
        <f>VLOOKUP(Table13[[#This Row],[Column1]],[1]Sheet1!$A:$AO,7,FALSE)</f>
        <v>45446</v>
      </c>
      <c r="H954" s="374"/>
      <c r="I954" s="402" t="str">
        <f>VLOOKUP(Table13[[#This Row],[Column1]],[1]Sheet1!$A:$AO,9,FALSE)</f>
        <v>N/A</v>
      </c>
      <c r="J954" s="402">
        <f>VLOOKUP(Table13[[#This Row],[Column1]],[1]Sheet1!$A:$AO,10,FALSE)</f>
        <v>45454</v>
      </c>
      <c r="K954" s="402">
        <f>VLOOKUP(Table13[[#This Row],[Column1]],[1]Sheet1!$A:$AO,11,FALSE)</f>
        <v>45454</v>
      </c>
      <c r="L954" s="404"/>
      <c r="M954" s="402">
        <f>VLOOKUP(Table13[[#This Row],[Column1]],[1]Sheet1!$A:$AO,13,FALSE)</f>
        <v>45454</v>
      </c>
      <c r="N954" s="402">
        <f>VLOOKUP(Table13[[#This Row],[Column1]],[1]Sheet1!$A:$AO,14,FALSE)</f>
        <v>45462</v>
      </c>
      <c r="O954" s="402">
        <f>VLOOKUP(Table13[[#This Row],[Column1]],[1]Sheet1!$A:$AO,15,FALSE)</f>
        <v>45469</v>
      </c>
      <c r="P954" s="375"/>
      <c r="Q954" s="375"/>
      <c r="R954" s="376"/>
      <c r="S954" s="583"/>
      <c r="T954" s="583"/>
      <c r="U954" s="583"/>
      <c r="V954" s="376"/>
      <c r="W954" s="376"/>
      <c r="X954" s="402"/>
      <c r="Y954" s="402"/>
      <c r="Z954" s="610" t="s">
        <v>1478</v>
      </c>
      <c r="AA954" s="464">
        <f>IF(Table13[[#This Row],[Column2]]="","",SUM(Table13[[#This Row],[Column28]]+Table13[[#This Row],[Column29]]))</f>
        <v>532396.25</v>
      </c>
      <c r="AB954" s="466"/>
      <c r="AC954" s="502">
        <v>532396.25</v>
      </c>
      <c r="AD954" s="532">
        <f>IF(Table13[[#This Row],[Column2]]="","",SUM(Table13[[#This Row],[Column31]]+Table13[[#This Row],[Column32]]))</f>
        <v>520100</v>
      </c>
      <c r="AE954" s="501"/>
      <c r="AF954" s="541">
        <v>520100</v>
      </c>
      <c r="AG954" s="405"/>
      <c r="AH954" s="380" t="s">
        <v>1205</v>
      </c>
      <c r="AI954" s="576" t="str">
        <f>VLOOKUP(Table13[[#This Row],[Column1]],[1]Sheet1!$A:$AO,35,FALSE)</f>
        <v>N/A</v>
      </c>
      <c r="AJ954" s="576">
        <f>VLOOKUP(Table13[[#This Row],[Column1]],[1]Sheet1!$A:$AO,36,FALSE)</f>
        <v>45450</v>
      </c>
      <c r="AK954" s="576">
        <f>VLOOKUP(Table13[[#This Row],[Column1]],[1]Sheet1!$A:$AO,37,FALSE)</f>
        <v>45450</v>
      </c>
      <c r="AL954" s="576">
        <f>VLOOKUP(Table13[[#This Row],[Column1]],[1]Sheet1!$A:$AO,38,FALSE)</f>
        <v>45450</v>
      </c>
      <c r="AM954" s="576" t="str">
        <f>VLOOKUP(Table13[[#This Row],[Column1]],[1]Sheet1!$A:$AO,39,FALSE)</f>
        <v>N/A</v>
      </c>
      <c r="AN954" s="576" t="s">
        <v>713</v>
      </c>
      <c r="AO954" s="303" t="s">
        <v>175</v>
      </c>
      <c r="AP954" s="378"/>
      <c r="AQ954" s="237"/>
    </row>
    <row r="955" spans="1:43" s="238" customFormat="1" ht="75" customHeight="1" x14ac:dyDescent="0.25">
      <c r="A955" s="297" t="s">
        <v>1178</v>
      </c>
      <c r="B955" s="653" t="str">
        <f>VLOOKUP(Table13[[#This Row],[Column1]],[1]Sheet1!$A:$AO,2,FALSE)</f>
        <v>COMPLETION OF GYM, STAGE, AGUINALDO NATIONAL LAAK, DAVAO DE ORO</v>
      </c>
      <c r="C955" s="298" t="str">
        <f>VLOOKUP(Table13[[#This Row],[Column1]],[1]Sheet1!$A:$AO,3,FALSE)</f>
        <v>SEF</v>
      </c>
      <c r="D955" s="298" t="s">
        <v>712</v>
      </c>
      <c r="E955" s="402" t="str">
        <f>VLOOKUP(Table13[[#This Row],[Column1]],[1]Sheet1!$A:$AO,5,FALSE)</f>
        <v>Competitive Bidding</v>
      </c>
      <c r="F955" s="446">
        <f>VLOOKUP(Table13[[#This Row],[Column1]],[1]Sheet1!$A:$AO,6,FALSE)</f>
        <v>45407</v>
      </c>
      <c r="G955" s="402">
        <f>VLOOKUP(Table13[[#This Row],[Column1]],[1]Sheet1!$A:$AO,7,FALSE)</f>
        <v>45432</v>
      </c>
      <c r="H955" s="374"/>
      <c r="I955" s="402">
        <f>VLOOKUP(Table13[[#This Row],[Column1]],[1]Sheet1!$A:$AO,9,FALSE)</f>
        <v>45440</v>
      </c>
      <c r="J955" s="402">
        <f>VLOOKUP(Table13[[#This Row],[Column1]],[1]Sheet1!$A:$AO,10,FALSE)</f>
        <v>45454</v>
      </c>
      <c r="K955" s="402">
        <f>VLOOKUP(Table13[[#This Row],[Column1]],[1]Sheet1!$A:$AO,11,FALSE)</f>
        <v>45454</v>
      </c>
      <c r="L955" s="404"/>
      <c r="M955" s="402">
        <f>VLOOKUP(Table13[[#This Row],[Column1]],[1]Sheet1!$A:$AO,13,FALSE)</f>
        <v>45454</v>
      </c>
      <c r="N955" s="402">
        <f>VLOOKUP(Table13[[#This Row],[Column1]],[1]Sheet1!$A:$AO,14,FALSE)</f>
        <v>45463</v>
      </c>
      <c r="O955" s="402">
        <f>VLOOKUP(Table13[[#This Row],[Column1]],[1]Sheet1!$A:$AO,15,FALSE)</f>
        <v>45469</v>
      </c>
      <c r="P955" s="375"/>
      <c r="Q955" s="375"/>
      <c r="R955" s="376"/>
      <c r="S955" s="583"/>
      <c r="T955" s="583"/>
      <c r="U955" s="583"/>
      <c r="V955" s="376"/>
      <c r="W955" s="376"/>
      <c r="X955" s="402"/>
      <c r="Y955" s="402"/>
      <c r="Z955" s="610" t="s">
        <v>1478</v>
      </c>
      <c r="AA955" s="464">
        <f>IF(Table13[[#This Row],[Column2]]="","",SUM(Table13[[#This Row],[Column28]]+Table13[[#This Row],[Column29]]))</f>
        <v>1543162.09</v>
      </c>
      <c r="AB955" s="466"/>
      <c r="AC955" s="502">
        <v>1543162.09</v>
      </c>
      <c r="AD955" s="532">
        <f>IF(Table13[[#This Row],[Column2]]="","",SUM(Table13[[#This Row],[Column31]]+Table13[[#This Row],[Column32]]))</f>
        <v>1493354.44</v>
      </c>
      <c r="AE955" s="501"/>
      <c r="AF955" s="541">
        <v>1493354.44</v>
      </c>
      <c r="AG955" s="405"/>
      <c r="AH955" s="380" t="s">
        <v>1205</v>
      </c>
      <c r="AI955" s="576">
        <f>VLOOKUP(Table13[[#This Row],[Column1]],[1]Sheet1!$A:$AO,35,FALSE)</f>
        <v>45439</v>
      </c>
      <c r="AJ955" s="576">
        <f>VLOOKUP(Table13[[#This Row],[Column1]],[1]Sheet1!$A:$AO,36,FALSE)</f>
        <v>45450</v>
      </c>
      <c r="AK955" s="576">
        <f>VLOOKUP(Table13[[#This Row],[Column1]],[1]Sheet1!$A:$AO,37,FALSE)</f>
        <v>45450</v>
      </c>
      <c r="AL955" s="576">
        <f>VLOOKUP(Table13[[#This Row],[Column1]],[1]Sheet1!$A:$AO,38,FALSE)</f>
        <v>45450</v>
      </c>
      <c r="AM955" s="576" t="str">
        <f>VLOOKUP(Table13[[#This Row],[Column1]],[1]Sheet1!$A:$AO,39,FALSE)</f>
        <v>N/A</v>
      </c>
      <c r="AN955" s="576" t="s">
        <v>713</v>
      </c>
      <c r="AO955" s="303" t="s">
        <v>175</v>
      </c>
      <c r="AP955" s="378"/>
      <c r="AQ955" s="237"/>
    </row>
    <row r="956" spans="1:43" s="238" customFormat="1" ht="75" customHeight="1" x14ac:dyDescent="0.25">
      <c r="A956" s="297" t="s">
        <v>1179</v>
      </c>
      <c r="B956" s="653" t="str">
        <f>VLOOKUP(Table13[[#This Row],[Column1]],[1]Sheet1!$A:$AO,2,FALSE)</f>
        <v>IMPROVEMENT OF DAVAO DE ORO PROVINCIAL HOSPITAL, MONTEVISTA</v>
      </c>
      <c r="C956" s="298" t="str">
        <f>VLOOKUP(Table13[[#This Row],[Column1]],[1]Sheet1!$A:$AO,3,FALSE)</f>
        <v>PEO</v>
      </c>
      <c r="D956" s="298" t="s">
        <v>712</v>
      </c>
      <c r="E956" s="402" t="str">
        <f>VLOOKUP(Table13[[#This Row],[Column1]],[1]Sheet1!$A:$AO,5,FALSE)</f>
        <v>Competitive Bidding</v>
      </c>
      <c r="F956" s="446">
        <f>VLOOKUP(Table13[[#This Row],[Column1]],[1]Sheet1!$A:$AO,6,FALSE)</f>
        <v>45421</v>
      </c>
      <c r="G956" s="402">
        <f>VLOOKUP(Table13[[#This Row],[Column1]],[1]Sheet1!$A:$AO,7,FALSE)</f>
        <v>45433</v>
      </c>
      <c r="H956" s="374"/>
      <c r="I956" s="402" t="str">
        <f>VLOOKUP(Table13[[#This Row],[Column1]],[1]Sheet1!$A:$AO,9,FALSE)</f>
        <v>N/A</v>
      </c>
      <c r="J956" s="402">
        <f>VLOOKUP(Table13[[#This Row],[Column1]],[1]Sheet1!$A:$AO,10,FALSE)</f>
        <v>45454</v>
      </c>
      <c r="K956" s="402">
        <f>VLOOKUP(Table13[[#This Row],[Column1]],[1]Sheet1!$A:$AO,11,FALSE)</f>
        <v>45454</v>
      </c>
      <c r="L956" s="404"/>
      <c r="M956" s="402">
        <f>VLOOKUP(Table13[[#This Row],[Column1]],[1]Sheet1!$A:$AO,13,FALSE)</f>
        <v>45454</v>
      </c>
      <c r="N956" s="402">
        <f>VLOOKUP(Table13[[#This Row],[Column1]],[1]Sheet1!$A:$AO,14,FALSE)</f>
        <v>45463</v>
      </c>
      <c r="O956" s="402">
        <f>VLOOKUP(Table13[[#This Row],[Column1]],[1]Sheet1!$A:$AO,15,FALSE)</f>
        <v>45469</v>
      </c>
      <c r="P956" s="375"/>
      <c r="Q956" s="375"/>
      <c r="R956" s="376"/>
      <c r="S956" s="583"/>
      <c r="T956" s="583"/>
      <c r="U956" s="583"/>
      <c r="V956" s="376"/>
      <c r="W956" s="376"/>
      <c r="X956" s="402"/>
      <c r="Y956" s="402"/>
      <c r="Z956" s="610" t="s">
        <v>1478</v>
      </c>
      <c r="AA956" s="464">
        <f>IF(Table13[[#This Row],[Column2]]="","",SUM(Table13[[#This Row],[Column28]]+Table13[[#This Row],[Column29]]))</f>
        <v>272577.49</v>
      </c>
      <c r="AB956" s="466"/>
      <c r="AC956" s="502">
        <v>272577.49</v>
      </c>
      <c r="AD956" s="532">
        <f>IF(Table13[[#This Row],[Column2]]="","",SUM(Table13[[#This Row],[Column31]]+Table13[[#This Row],[Column32]]))</f>
        <v>270512.28999999998</v>
      </c>
      <c r="AE956" s="501"/>
      <c r="AF956" s="541">
        <v>270512.28999999998</v>
      </c>
      <c r="AG956" s="405"/>
      <c r="AH956" s="380" t="s">
        <v>1205</v>
      </c>
      <c r="AI956" s="576" t="str">
        <f>VLOOKUP(Table13[[#This Row],[Column1]],[1]Sheet1!$A:$AO,35,FALSE)</f>
        <v>N/A</v>
      </c>
      <c r="AJ956" s="576">
        <f>VLOOKUP(Table13[[#This Row],[Column1]],[1]Sheet1!$A:$AO,36,FALSE)</f>
        <v>45450</v>
      </c>
      <c r="AK956" s="576">
        <f>VLOOKUP(Table13[[#This Row],[Column1]],[1]Sheet1!$A:$AO,37,FALSE)</f>
        <v>45450</v>
      </c>
      <c r="AL956" s="576">
        <f>VLOOKUP(Table13[[#This Row],[Column1]],[1]Sheet1!$A:$AO,38,FALSE)</f>
        <v>45450</v>
      </c>
      <c r="AM956" s="576" t="str">
        <f>VLOOKUP(Table13[[#This Row],[Column1]],[1]Sheet1!$A:$AO,39,FALSE)</f>
        <v>N/A</v>
      </c>
      <c r="AN956" s="576" t="s">
        <v>713</v>
      </c>
      <c r="AO956" s="303" t="s">
        <v>175</v>
      </c>
      <c r="AP956" s="378"/>
      <c r="AQ956" s="237"/>
    </row>
    <row r="957" spans="1:43" s="238" customFormat="1" ht="75" customHeight="1" x14ac:dyDescent="0.25">
      <c r="A957" s="297" t="s">
        <v>1180</v>
      </c>
      <c r="B957" s="653" t="str">
        <f>VLOOKUP(Table13[[#This Row],[Column1]],[1]Sheet1!$A:$AO,2,FALSE)</f>
        <v>SUPPLY AND DELIVERY OF SHALLOW TUBE WELL PUMP SET 8HP WITH COMPLETE ACCESSORIES</v>
      </c>
      <c r="C957" s="298" t="str">
        <f>VLOOKUP(Table13[[#This Row],[Column1]],[1]Sheet1!$A:$AO,3,FALSE)</f>
        <v>PAGRO</v>
      </c>
      <c r="D957" s="298" t="s">
        <v>712</v>
      </c>
      <c r="E957" s="402" t="str">
        <f>VLOOKUP(Table13[[#This Row],[Column1]],[1]Sheet1!$A:$AO,5,FALSE)</f>
        <v>Competitive Bidding</v>
      </c>
      <c r="F957" s="446">
        <f>VLOOKUP(Table13[[#This Row],[Column1]],[1]Sheet1!$A:$AO,6,FALSE)</f>
        <v>45384</v>
      </c>
      <c r="G957" s="402">
        <f>VLOOKUP(Table13[[#This Row],[Column1]],[1]Sheet1!$A:$AO,7,FALSE)</f>
        <v>45390</v>
      </c>
      <c r="H957" s="374"/>
      <c r="I957" s="402">
        <f>VLOOKUP(Table13[[#This Row],[Column1]],[1]Sheet1!$A:$AO,9,FALSE)</f>
        <v>45398</v>
      </c>
      <c r="J957" s="402">
        <f>VLOOKUP(Table13[[#This Row],[Column1]],[1]Sheet1!$A:$AO,10,FALSE)</f>
        <v>45412</v>
      </c>
      <c r="K957" s="402">
        <f>VLOOKUP(Table13[[#This Row],[Column1]],[1]Sheet1!$A:$AO,11,FALSE)</f>
        <v>45412</v>
      </c>
      <c r="L957" s="404"/>
      <c r="M957" s="402">
        <f>VLOOKUP(Table13[[#This Row],[Column1]],[1]Sheet1!$A:$AO,13,FALSE)</f>
        <v>45412</v>
      </c>
      <c r="N957" s="402">
        <f>VLOOKUP(Table13[[#This Row],[Column1]],[1]Sheet1!$A:$AO,14,FALSE)</f>
        <v>45442</v>
      </c>
      <c r="O957" s="402">
        <f>VLOOKUP(Table13[[#This Row],[Column1]],[1]Sheet1!$A:$AO,15,FALSE)</f>
        <v>45464</v>
      </c>
      <c r="P957" s="375"/>
      <c r="Q957" s="375"/>
      <c r="R957" s="376"/>
      <c r="S957" s="583">
        <f>VLOOKUP(Table13[[#This Row],[Column1]],[1]Sheet1!$A:$AO,19,FALSE)</f>
        <v>45464</v>
      </c>
      <c r="T957" s="583">
        <f>VLOOKUP(Table13[[#This Row],[Column1]],[1]Sheet1!$A:$AO,20,FALSE)</f>
        <v>45464</v>
      </c>
      <c r="U957" s="583"/>
      <c r="V957" s="376"/>
      <c r="W957" s="376"/>
      <c r="X957" s="402"/>
      <c r="Y957" s="402"/>
      <c r="Z957" s="610" t="s">
        <v>1478</v>
      </c>
      <c r="AA957" s="464">
        <f>IF(Table13[[#This Row],[Column2]]="","",SUM(Table13[[#This Row],[Column28]]+Table13[[#This Row],[Column29]]))</f>
        <v>3893000</v>
      </c>
      <c r="AB957" s="466"/>
      <c r="AC957" s="502">
        <v>3893000</v>
      </c>
      <c r="AD957" s="532">
        <f>IF(Table13[[#This Row],[Column2]]="","",SUM(Table13[[#This Row],[Column31]]+Table13[[#This Row],[Column32]]))</f>
        <v>3842000</v>
      </c>
      <c r="AE957" s="501"/>
      <c r="AF957" s="541">
        <v>3842000</v>
      </c>
      <c r="AG957" s="405"/>
      <c r="AH957" s="380" t="s">
        <v>1205</v>
      </c>
      <c r="AI957" s="576">
        <v>45393</v>
      </c>
      <c r="AJ957" s="576">
        <v>45406</v>
      </c>
      <c r="AK957" s="576">
        <v>45406</v>
      </c>
      <c r="AL957" s="576">
        <v>45406</v>
      </c>
      <c r="AM957" s="576" t="s">
        <v>713</v>
      </c>
      <c r="AN957" s="576" t="s">
        <v>713</v>
      </c>
      <c r="AO957" s="303" t="s">
        <v>175</v>
      </c>
      <c r="AP957" s="378"/>
      <c r="AQ957" s="237"/>
    </row>
    <row r="958" spans="1:43" s="238" customFormat="1" ht="75" customHeight="1" x14ac:dyDescent="0.25">
      <c r="A958" s="297" t="s">
        <v>1182</v>
      </c>
      <c r="B958" s="653" t="str">
        <f>VLOOKUP(Table13[[#This Row],[Column1]],[1]Sheet1!$A:$AO,2,FALSE)</f>
        <v>SUPPLY AND DELIVERY OF OFFICE EQUIPMENTS</v>
      </c>
      <c r="C958" s="298" t="str">
        <f>VLOOKUP(Table13[[#This Row],[Column1]],[1]Sheet1!$A:$AO,3,FALSE)</f>
        <v>PEO</v>
      </c>
      <c r="D958" s="298" t="s">
        <v>712</v>
      </c>
      <c r="E958" s="402" t="str">
        <f>VLOOKUP(Table13[[#This Row],[Column1]],[1]Sheet1!$A:$AO,5,FALSE)</f>
        <v>Competitive Bidding</v>
      </c>
      <c r="F958" s="446">
        <f>VLOOKUP(Table13[[#This Row],[Column1]],[1]Sheet1!$A:$AO,6,FALSE)</f>
        <v>45370</v>
      </c>
      <c r="G958" s="402">
        <f>VLOOKUP(Table13[[#This Row],[Column1]],[1]Sheet1!$A:$AO,7,FALSE)</f>
        <v>45404</v>
      </c>
      <c r="H958" s="374"/>
      <c r="I958" s="402">
        <f>VLOOKUP(Table13[[#This Row],[Column1]],[1]Sheet1!$A:$AO,9,FALSE)</f>
        <v>45412</v>
      </c>
      <c r="J958" s="402">
        <f>VLOOKUP(Table13[[#This Row],[Column1]],[1]Sheet1!$A:$AO,10,FALSE)</f>
        <v>45426</v>
      </c>
      <c r="K958" s="402">
        <f>VLOOKUP(Table13[[#This Row],[Column1]],[1]Sheet1!$A:$AO,11,FALSE)</f>
        <v>45426</v>
      </c>
      <c r="L958" s="404"/>
      <c r="M958" s="402">
        <f>VLOOKUP(Table13[[#This Row],[Column1]],[1]Sheet1!$A:$AO,13,FALSE)</f>
        <v>45426</v>
      </c>
      <c r="N958" s="402">
        <f>VLOOKUP(Table13[[#This Row],[Column1]],[1]Sheet1!$A:$AO,14,FALSE)</f>
        <v>45433</v>
      </c>
      <c r="O958" s="402">
        <f>VLOOKUP(Table13[[#This Row],[Column1]],[1]Sheet1!$A:$AO,15,FALSE)</f>
        <v>45441</v>
      </c>
      <c r="P958" s="375"/>
      <c r="Q958" s="375"/>
      <c r="R958" s="376"/>
      <c r="S958" s="583">
        <f>VLOOKUP(Table13[[#This Row],[Column1]],[1]Sheet1!$A:$AO,19,FALSE)</f>
        <v>45442</v>
      </c>
      <c r="T958" s="583">
        <f>VLOOKUP(Table13[[#This Row],[Column1]],[1]Sheet1!$A:$AO,20,FALSE)</f>
        <v>45450</v>
      </c>
      <c r="U958" s="583"/>
      <c r="V958" s="376"/>
      <c r="W958" s="376"/>
      <c r="X958" s="402"/>
      <c r="Y958" s="402"/>
      <c r="Z958" s="610" t="s">
        <v>1478</v>
      </c>
      <c r="AA958" s="464">
        <f>IF(Table13[[#This Row],[Column2]]="","",SUM(Table13[[#This Row],[Column28]]+Table13[[#This Row],[Column29]]))</f>
        <v>4022098.4</v>
      </c>
      <c r="AB958" s="466"/>
      <c r="AC958" s="502">
        <v>4022098.4</v>
      </c>
      <c r="AD958" s="532">
        <f>IF(Table13[[#This Row],[Column2]]="","",SUM(Table13[[#This Row],[Column31]]+Table13[[#This Row],[Column32]]))</f>
        <v>3973499</v>
      </c>
      <c r="AE958" s="501"/>
      <c r="AF958" s="541">
        <v>3973499</v>
      </c>
      <c r="AG958" s="405"/>
      <c r="AH958" s="380" t="s">
        <v>1205</v>
      </c>
      <c r="AI958" s="576">
        <f>VLOOKUP(Table13[[#This Row],[Column1]],[1]Sheet1!$A:$AO,35,FALSE)</f>
        <v>45406</v>
      </c>
      <c r="AJ958" s="576">
        <f>VLOOKUP(Table13[[#This Row],[Column1]],[1]Sheet1!$A:$AO,36,FALSE)</f>
        <v>45421</v>
      </c>
      <c r="AK958" s="576">
        <f>VLOOKUP(Table13[[#This Row],[Column1]],[1]Sheet1!$A:$AO,37,FALSE)</f>
        <v>45421</v>
      </c>
      <c r="AL958" s="576">
        <f>VLOOKUP(Table13[[#This Row],[Column1]],[1]Sheet1!$A:$AO,38,FALSE)</f>
        <v>45421</v>
      </c>
      <c r="AM958" s="576" t="str">
        <f>VLOOKUP(Table13[[#This Row],[Column1]],[1]Sheet1!$A:$AO,39,FALSE)</f>
        <v>N/A</v>
      </c>
      <c r="AN958" s="576" t="s">
        <v>713</v>
      </c>
      <c r="AO958" s="303" t="s">
        <v>175</v>
      </c>
      <c r="AP958" s="378"/>
      <c r="AQ958" s="237"/>
    </row>
    <row r="959" spans="1:43" s="238" customFormat="1" ht="75" customHeight="1" x14ac:dyDescent="0.25">
      <c r="A959" s="297" t="s">
        <v>1183</v>
      </c>
      <c r="B959" s="653" t="str">
        <f>VLOOKUP(Table13[[#This Row],[Column1]],[1]Sheet1!$A:$AO,2,FALSE)</f>
        <v>SUPPLY AND DELIVERY OF SPAREPARTS</v>
      </c>
      <c r="C959" s="298" t="str">
        <f>VLOOKUP(Table13[[#This Row],[Column1]],[1]Sheet1!$A:$AO,3,FALSE)</f>
        <v>PEO-MOTORPOOL</v>
      </c>
      <c r="D959" s="298" t="s">
        <v>712</v>
      </c>
      <c r="E959" s="402" t="str">
        <f>VLOOKUP(Table13[[#This Row],[Column1]],[1]Sheet1!$A:$AO,5,FALSE)</f>
        <v>NP-53.1 Two Failed Biddings</v>
      </c>
      <c r="F959" s="446">
        <f>VLOOKUP(Table13[[#This Row],[Column1]],[1]Sheet1!$A:$AO,6,FALSE)</f>
        <v>45356</v>
      </c>
      <c r="G959" s="402">
        <f>VLOOKUP(Table13[[#This Row],[Column1]],[1]Sheet1!$A:$AO,7,FALSE)</f>
        <v>45422</v>
      </c>
      <c r="H959" s="374"/>
      <c r="I959" s="402" t="str">
        <f>VLOOKUP(Table13[[#This Row],[Column1]],[1]Sheet1!$A:$AO,9,FALSE)</f>
        <v>N/A</v>
      </c>
      <c r="J959" s="402">
        <f>VLOOKUP(Table13[[#This Row],[Column1]],[1]Sheet1!$A:$AO,10,FALSE)</f>
        <v>45446</v>
      </c>
      <c r="K959" s="402">
        <f>VLOOKUP(Table13[[#This Row],[Column1]],[1]Sheet1!$A:$AO,11,FALSE)</f>
        <v>45446</v>
      </c>
      <c r="L959" s="404"/>
      <c r="M959" s="402" t="str">
        <f>VLOOKUP(Table13[[#This Row],[Column1]],[1]Sheet1!$A:$AO,13,FALSE)</f>
        <v>N/A</v>
      </c>
      <c r="N959" s="402" t="str">
        <f>VLOOKUP(Table13[[#This Row],[Column1]],[1]Sheet1!$A:$AO,14,FALSE)</f>
        <v>N/A</v>
      </c>
      <c r="O959" s="402">
        <f>VLOOKUP(Table13[[#This Row],[Column1]],[1]Sheet1!$A:$AO,15,FALSE)</f>
        <v>45448</v>
      </c>
      <c r="P959" s="375"/>
      <c r="Q959" s="375"/>
      <c r="R959" s="376"/>
      <c r="S959" s="583">
        <f>VLOOKUP(Table13[[#This Row],[Column1]],[1]Sheet1!$A:$AO,19,FALSE)</f>
        <v>45448</v>
      </c>
      <c r="T959" s="583">
        <f>VLOOKUP(Table13[[#This Row],[Column1]],[1]Sheet1!$A:$AO,20,FALSE)</f>
        <v>45454</v>
      </c>
      <c r="U959" s="583"/>
      <c r="V959" s="376"/>
      <c r="W959" s="376"/>
      <c r="X959" s="402"/>
      <c r="Y959" s="402"/>
      <c r="Z959" s="610" t="s">
        <v>1478</v>
      </c>
      <c r="AA959" s="464">
        <f>IF(Table13[[#This Row],[Column2]]="","",SUM(Table13[[#This Row],[Column28]]+Table13[[#This Row],[Column29]]))</f>
        <v>1979215</v>
      </c>
      <c r="AB959" s="466"/>
      <c r="AC959" s="502">
        <v>1979215</v>
      </c>
      <c r="AD959" s="532">
        <f>IF(Table13[[#This Row],[Column2]]="","",SUM(Table13[[#This Row],[Column31]]+Table13[[#This Row],[Column32]]))</f>
        <v>783066</v>
      </c>
      <c r="AE959" s="501"/>
      <c r="AF959" s="541">
        <v>783066</v>
      </c>
      <c r="AG959" s="405"/>
      <c r="AH959" s="380" t="s">
        <v>1205</v>
      </c>
      <c r="AI959" s="576" t="s">
        <v>713</v>
      </c>
      <c r="AJ959" s="576" t="s">
        <v>713</v>
      </c>
      <c r="AK959" s="576" t="s">
        <v>713</v>
      </c>
      <c r="AL959" s="576" t="s">
        <v>713</v>
      </c>
      <c r="AM959" s="576" t="s">
        <v>713</v>
      </c>
      <c r="AN959" s="576" t="s">
        <v>713</v>
      </c>
      <c r="AO959" s="303" t="s">
        <v>175</v>
      </c>
      <c r="AP959" s="378"/>
      <c r="AQ959" s="237"/>
    </row>
    <row r="960" spans="1:43" s="238" customFormat="1" ht="75" customHeight="1" x14ac:dyDescent="0.25">
      <c r="A960" s="297" t="s">
        <v>1181</v>
      </c>
      <c r="B960" s="627" t="str">
        <f>VLOOKUP(Table13[[#This Row],[Column1]],[1]Sheet1!$A:$AO,2,FALSE)</f>
        <v>MEALS AND SNACKS</v>
      </c>
      <c r="C960" s="298" t="str">
        <f>VLOOKUP(Table13[[#This Row],[Column1]],[1]Sheet1!$A:$AO,3,FALSE)</f>
        <v>PDRRMO</v>
      </c>
      <c r="D960" s="298" t="s">
        <v>712</v>
      </c>
      <c r="E960" s="402" t="str">
        <f>VLOOKUP(Table13[[#This Row],[Column1]],[1]Sheet1!$A:$AO,5,FALSE)</f>
        <v>NP-53.1 Two Failed Biddings</v>
      </c>
      <c r="F960" s="446" t="str">
        <f>VLOOKUP(Table13[[#This Row],[Column1]],[1]Sheet1!$A:$AO,6,FALSE)</f>
        <v>N/A</v>
      </c>
      <c r="G960" s="402">
        <f>VLOOKUP(Table13[[#This Row],[Column1]],[1]Sheet1!$A:$AO,7,FALSE)</f>
        <v>45352</v>
      </c>
      <c r="H960" s="374"/>
      <c r="I960" s="402" t="str">
        <f>VLOOKUP(Table13[[#This Row],[Column1]],[1]Sheet1!$A:$AO,9,FALSE)</f>
        <v>N/A</v>
      </c>
      <c r="J960" s="402">
        <f>VLOOKUP(Table13[[#This Row],[Column1]],[1]Sheet1!$A:$AO,10,FALSE)</f>
        <v>45370</v>
      </c>
      <c r="K960" s="402">
        <f>VLOOKUP(Table13[[#This Row],[Column1]],[1]Sheet1!$A:$AO,11,FALSE)</f>
        <v>45370</v>
      </c>
      <c r="L960" s="404"/>
      <c r="M960" s="402" t="str">
        <f>VLOOKUP(Table13[[#This Row],[Column1]],[1]Sheet1!$A:$AO,13,FALSE)</f>
        <v>N/A</v>
      </c>
      <c r="N960" s="402" t="str">
        <f>VLOOKUP(Table13[[#This Row],[Column1]],[1]Sheet1!$A:$AO,14,FALSE)</f>
        <v>N/A</v>
      </c>
      <c r="O960" s="402">
        <f>VLOOKUP(Table13[[#This Row],[Column1]],[1]Sheet1!$A:$AO,15,FALSE)</f>
        <v>45372</v>
      </c>
      <c r="P960" s="375"/>
      <c r="Q960" s="375"/>
      <c r="R960" s="376"/>
      <c r="S960" s="583">
        <f>VLOOKUP(Table13[[#This Row],[Column1]],[1]Sheet1!$A:$AO,19,FALSE)</f>
        <v>45376</v>
      </c>
      <c r="T960" s="583">
        <f>VLOOKUP(Table13[[#This Row],[Column1]],[1]Sheet1!$A:$AO,20,FALSE)</f>
        <v>45386</v>
      </c>
      <c r="U960" s="583">
        <f>VLOOKUP(Table13[[#This Row],[Column1]],[1]Sheet1!$A:$AO,21,FALSE)</f>
        <v>45393</v>
      </c>
      <c r="V960" s="376"/>
      <c r="W960" s="376"/>
      <c r="X960" s="402"/>
      <c r="Y960" s="402"/>
      <c r="Z960" s="610" t="s">
        <v>1478</v>
      </c>
      <c r="AA960" s="464">
        <f>IF(Table13[[#This Row],[Column2]]="","",SUM(Table13[[#This Row],[Column28]]+Table13[[#This Row],[Column29]]))</f>
        <v>500000</v>
      </c>
      <c r="AB960" s="466"/>
      <c r="AC960" s="502">
        <v>500000</v>
      </c>
      <c r="AD960" s="532">
        <f>IF(Table13[[#This Row],[Column2]]="","",SUM(Table13[[#This Row],[Column31]]+Table13[[#This Row],[Column32]]))</f>
        <v>500000</v>
      </c>
      <c r="AE960" s="501"/>
      <c r="AF960" s="541">
        <v>500000</v>
      </c>
      <c r="AG960" s="405"/>
      <c r="AH960" s="380" t="s">
        <v>1205</v>
      </c>
      <c r="AI960" s="576" t="s">
        <v>713</v>
      </c>
      <c r="AJ960" s="576" t="s">
        <v>713</v>
      </c>
      <c r="AK960" s="576" t="s">
        <v>713</v>
      </c>
      <c r="AL960" s="576" t="s">
        <v>713</v>
      </c>
      <c r="AM960" s="576" t="s">
        <v>713</v>
      </c>
      <c r="AN960" s="576" t="s">
        <v>713</v>
      </c>
      <c r="AO960" s="303" t="s">
        <v>175</v>
      </c>
      <c r="AP960" s="378"/>
      <c r="AQ960" s="237"/>
    </row>
    <row r="961" spans="1:43" s="238" customFormat="1" ht="75" customHeight="1" x14ac:dyDescent="0.25">
      <c r="A961" s="297" t="s">
        <v>1184</v>
      </c>
      <c r="B961" s="653" t="str">
        <f>VLOOKUP(Table13[[#This Row],[Column1]],[1]Sheet1!$A:$AO,2,FALSE)</f>
        <v>CONSTRUCTION OF SCHOOL FACILITY BUILDING (SCIENCE LABORATORY) AT PANGI NATIONAL HIGH SCHOOL, PANGI, MACO, DAVAO DE ORO</v>
      </c>
      <c r="C961" s="298" t="str">
        <f>VLOOKUP(Table13[[#This Row],[Column1]],[1]Sheet1!$A:$AO,3,FALSE)</f>
        <v>PEO</v>
      </c>
      <c r="D961" s="298" t="s">
        <v>712</v>
      </c>
      <c r="E961" s="402" t="str">
        <f>VLOOKUP(Table13[[#This Row],[Column1]],[1]Sheet1!$A:$AO,5,FALSE)</f>
        <v>Competitive Bidding</v>
      </c>
      <c r="F961" s="446">
        <f>VLOOKUP(Table13[[#This Row],[Column1]],[1]Sheet1!$A:$AO,6,FALSE)</f>
        <v>45342</v>
      </c>
      <c r="G961" s="402">
        <f>VLOOKUP(Table13[[#This Row],[Column1]],[1]Sheet1!$A:$AO,7,FALSE)</f>
        <v>45453</v>
      </c>
      <c r="H961" s="374"/>
      <c r="I961" s="402">
        <f>VLOOKUP(Table13[[#This Row],[Column1]],[1]Sheet1!$A:$AO,9,FALSE)</f>
        <v>45461</v>
      </c>
      <c r="J961" s="402"/>
      <c r="K961" s="402"/>
      <c r="L961" s="404"/>
      <c r="M961" s="402"/>
      <c r="N961" s="402"/>
      <c r="O961" s="402"/>
      <c r="P961" s="375"/>
      <c r="Q961" s="375"/>
      <c r="R961" s="376"/>
      <c r="S961" s="583"/>
      <c r="T961" s="583"/>
      <c r="U961" s="583"/>
      <c r="V961" s="376"/>
      <c r="W961" s="376"/>
      <c r="X961" s="402"/>
      <c r="Y961" s="402"/>
      <c r="Z961" s="610" t="s">
        <v>1478</v>
      </c>
      <c r="AA961" s="464">
        <f>IF(Table13[[#This Row],[Column2]]="","",SUM(Table13[[#This Row],[Column28]]+Table13[[#This Row],[Column29]]))</f>
        <v>2808471.79</v>
      </c>
      <c r="AB961" s="466"/>
      <c r="AC961" s="502">
        <v>2808471.79</v>
      </c>
      <c r="AD961" s="532">
        <f>IF(Table13[[#This Row],[Column2]]="","",SUM(Table13[[#This Row],[Column31]]+Table13[[#This Row],[Column32]]))</f>
        <v>0</v>
      </c>
      <c r="AE961" s="501"/>
      <c r="AF961" s="541"/>
      <c r="AG961" s="405"/>
      <c r="AH961" s="380" t="s">
        <v>1205</v>
      </c>
      <c r="AI961" s="576">
        <v>45457</v>
      </c>
      <c r="AJ961" s="576"/>
      <c r="AK961" s="576"/>
      <c r="AL961" s="576"/>
      <c r="AM961" s="576"/>
      <c r="AN961" s="576"/>
      <c r="AO961" s="303" t="s">
        <v>175</v>
      </c>
      <c r="AP961" s="378"/>
      <c r="AQ961" s="237"/>
    </row>
    <row r="962" spans="1:43" s="238" customFormat="1" ht="75" customHeight="1" x14ac:dyDescent="0.25">
      <c r="A962" s="297" t="s">
        <v>1185</v>
      </c>
      <c r="B962" s="653" t="str">
        <f>VLOOKUP(Table13[[#This Row],[Column1]],[1]Sheet1!$A:$AO,2,FALSE)</f>
        <v>CONSTRUCTION OF ONE (1) STOREY-TWO (2) CLASSROOMS SCHOOL BUILDING WITH TOILET ATTACHED AT MANURIGAO IS, NEW BATAAN, DAVAO DE ORO</v>
      </c>
      <c r="C962" s="298" t="str">
        <f>VLOOKUP(Table13[[#This Row],[Column1]],[1]Sheet1!$A:$AO,3,FALSE)</f>
        <v>PEO</v>
      </c>
      <c r="D962" s="298" t="s">
        <v>712</v>
      </c>
      <c r="E962" s="402" t="str">
        <f>VLOOKUP(Table13[[#This Row],[Column1]],[1]Sheet1!$A:$AO,5,FALSE)</f>
        <v>Competitive Bidding</v>
      </c>
      <c r="F962" s="446">
        <f>VLOOKUP(Table13[[#This Row],[Column1]],[1]Sheet1!$A:$AO,6,FALSE)</f>
        <v>45342</v>
      </c>
      <c r="G962" s="402">
        <f>VLOOKUP(Table13[[#This Row],[Column1]],[1]Sheet1!$A:$AO,7,FALSE)</f>
        <v>45439</v>
      </c>
      <c r="H962" s="374"/>
      <c r="I962" s="402">
        <f>VLOOKUP(Table13[[#This Row],[Column1]],[1]Sheet1!$A:$AO,9,FALSE)</f>
        <v>45454</v>
      </c>
      <c r="J962" s="402">
        <f>VLOOKUP(Table13[[#This Row],[Column1]],[1]Sheet1!$A:$AO,10,FALSE)</f>
        <v>45468</v>
      </c>
      <c r="K962" s="402">
        <f>VLOOKUP(Table13[[#This Row],[Column1]],[1]Sheet1!$A:$AO,11,FALSE)</f>
        <v>45468</v>
      </c>
      <c r="L962" s="404"/>
      <c r="M962" s="402">
        <f>VLOOKUP(Table13[[#This Row],[Column1]],[1]Sheet1!$A:$AO,13,FALSE)</f>
        <v>45468</v>
      </c>
      <c r="N962" s="402"/>
      <c r="O962" s="402"/>
      <c r="P962" s="375"/>
      <c r="Q962" s="375"/>
      <c r="R962" s="376"/>
      <c r="S962" s="583"/>
      <c r="T962" s="583"/>
      <c r="U962" s="583"/>
      <c r="V962" s="376"/>
      <c r="W962" s="376"/>
      <c r="X962" s="402"/>
      <c r="Y962" s="402"/>
      <c r="Z962" s="610" t="s">
        <v>1478</v>
      </c>
      <c r="AA962" s="464">
        <f>IF(Table13[[#This Row],[Column2]]="","",SUM(Table13[[#This Row],[Column28]]+Table13[[#This Row],[Column29]]))</f>
        <v>3864022.63</v>
      </c>
      <c r="AB962" s="466"/>
      <c r="AC962" s="502">
        <v>3864022.63</v>
      </c>
      <c r="AD962" s="532">
        <f>IF(Table13[[#This Row],[Column2]]="","",SUM(Table13[[#This Row],[Column31]]+Table13[[#This Row],[Column32]]))</f>
        <v>0</v>
      </c>
      <c r="AE962" s="501"/>
      <c r="AF962" s="541"/>
      <c r="AG962" s="405"/>
      <c r="AH962" s="380" t="s">
        <v>1205</v>
      </c>
      <c r="AI962" s="576">
        <v>45450</v>
      </c>
      <c r="AJ962" s="576">
        <v>45463</v>
      </c>
      <c r="AK962" s="576">
        <v>45463</v>
      </c>
      <c r="AL962" s="576">
        <v>45463</v>
      </c>
      <c r="AM962" s="576"/>
      <c r="AN962" s="576"/>
      <c r="AO962" s="303" t="s">
        <v>175</v>
      </c>
      <c r="AP962" s="378"/>
      <c r="AQ962" s="237"/>
    </row>
    <row r="963" spans="1:43" s="238" customFormat="1" ht="75" customHeight="1" x14ac:dyDescent="0.25">
      <c r="A963" s="297" t="s">
        <v>1186</v>
      </c>
      <c r="B963" s="653" t="str">
        <f>VLOOKUP(Table13[[#This Row],[Column1]],[1]Sheet1!$A:$AO,2,FALSE)</f>
        <v>CONSTRUCTION OF ONE (1) STOREY-TWO (2) CLASSROOMS SCHOOL BUILDING WITH TOILET ATTACHED AT PANGI NHS, MACO, DAVAO DE ORO</v>
      </c>
      <c r="C963" s="298" t="str">
        <f>VLOOKUP(Table13[[#This Row],[Column1]],[1]Sheet1!$A:$AO,3,FALSE)</f>
        <v>SEF</v>
      </c>
      <c r="D963" s="298" t="s">
        <v>712</v>
      </c>
      <c r="E963" s="402" t="str">
        <f>VLOOKUP(Table13[[#This Row],[Column1]],[1]Sheet1!$A:$AO,5,FALSE)</f>
        <v>Competitive Bidding</v>
      </c>
      <c r="F963" s="446">
        <f>VLOOKUP(Table13[[#This Row],[Column1]],[1]Sheet1!$A:$AO,6,FALSE)</f>
        <v>45342</v>
      </c>
      <c r="G963" s="402">
        <f>VLOOKUP(Table13[[#This Row],[Column1]],[1]Sheet1!$A:$AO,7,FALSE)</f>
        <v>45439</v>
      </c>
      <c r="H963" s="374"/>
      <c r="I963" s="402">
        <f>VLOOKUP(Table13[[#This Row],[Column1]],[1]Sheet1!$A:$AO,9,FALSE)</f>
        <v>45454</v>
      </c>
      <c r="J963" s="402">
        <f>VLOOKUP(Table13[[#This Row],[Column1]],[1]Sheet1!$A:$AO,10,FALSE)</f>
        <v>45468</v>
      </c>
      <c r="K963" s="402">
        <f>VLOOKUP(Table13[[#This Row],[Column1]],[1]Sheet1!$A:$AO,11,FALSE)</f>
        <v>45468</v>
      </c>
      <c r="L963" s="404"/>
      <c r="M963" s="402">
        <f>VLOOKUP(Table13[[#This Row],[Column1]],[1]Sheet1!$A:$AO,13,FALSE)</f>
        <v>45468</v>
      </c>
      <c r="N963" s="402"/>
      <c r="O963" s="402"/>
      <c r="P963" s="375"/>
      <c r="Q963" s="375"/>
      <c r="R963" s="376"/>
      <c r="S963" s="583"/>
      <c r="T963" s="583"/>
      <c r="U963" s="583"/>
      <c r="V963" s="376"/>
      <c r="W963" s="376"/>
      <c r="X963" s="402"/>
      <c r="Y963" s="402"/>
      <c r="Z963" s="610" t="s">
        <v>1478</v>
      </c>
      <c r="AA963" s="464">
        <f>IF(Table13[[#This Row],[Column2]]="","",SUM(Table13[[#This Row],[Column28]]+Table13[[#This Row],[Column29]]))</f>
        <v>3293744.24</v>
      </c>
      <c r="AB963" s="466"/>
      <c r="AC963" s="502">
        <v>3293744.24</v>
      </c>
      <c r="AD963" s="532">
        <f>IF(Table13[[#This Row],[Column2]]="","",SUM(Table13[[#This Row],[Column31]]+Table13[[#This Row],[Column32]]))</f>
        <v>0</v>
      </c>
      <c r="AE963" s="501"/>
      <c r="AF963" s="541"/>
      <c r="AG963" s="405"/>
      <c r="AH963" s="380" t="s">
        <v>1205</v>
      </c>
      <c r="AI963" s="576">
        <v>45450</v>
      </c>
      <c r="AJ963" s="576">
        <v>45463</v>
      </c>
      <c r="AK963" s="576">
        <v>45463</v>
      </c>
      <c r="AL963" s="576">
        <v>45463</v>
      </c>
      <c r="AM963" s="576"/>
      <c r="AN963" s="576"/>
      <c r="AO963" s="303" t="s">
        <v>175</v>
      </c>
      <c r="AP963" s="378"/>
      <c r="AQ963" s="237"/>
    </row>
    <row r="964" spans="1:43" s="238" customFormat="1" ht="75" customHeight="1" x14ac:dyDescent="0.25">
      <c r="A964" s="297" t="s">
        <v>1187</v>
      </c>
      <c r="B964" s="653" t="str">
        <f>VLOOKUP(Table13[[#This Row],[Column1]],[1]Sheet1!$A:$AO,2,FALSE)</f>
        <v>CONSTRUCTION OF CENTER ISLAND WITH SOLAR LIGHTS AT MAWAB, DAVAO DE ORO</v>
      </c>
      <c r="C964" s="298" t="str">
        <f>VLOOKUP(Table13[[#This Row],[Column1]],[1]Sheet1!$A:$AO,3,FALSE)</f>
        <v>PEO</v>
      </c>
      <c r="D964" s="298" t="s">
        <v>712</v>
      </c>
      <c r="E964" s="402" t="str">
        <f>VLOOKUP(Table13[[#This Row],[Column1]],[1]Sheet1!$A:$AO,5,FALSE)</f>
        <v>Competitive Bidding</v>
      </c>
      <c r="F964" s="446">
        <f>VLOOKUP(Table13[[#This Row],[Column1]],[1]Sheet1!$A:$AO,6,FALSE)</f>
        <v>45440</v>
      </c>
      <c r="G964" s="402"/>
      <c r="H964" s="374"/>
      <c r="I964" s="402"/>
      <c r="J964" s="402"/>
      <c r="K964" s="402"/>
      <c r="L964" s="404"/>
      <c r="M964" s="402"/>
      <c r="N964" s="402"/>
      <c r="O964" s="402"/>
      <c r="P964" s="375"/>
      <c r="Q964" s="375"/>
      <c r="R964" s="376"/>
      <c r="S964" s="583"/>
      <c r="T964" s="583"/>
      <c r="U964" s="583"/>
      <c r="V964" s="376"/>
      <c r="W964" s="376"/>
      <c r="X964" s="402"/>
      <c r="Y964" s="402"/>
      <c r="Z964" s="610" t="s">
        <v>1478</v>
      </c>
      <c r="AA964" s="464">
        <f>IF(Table13[[#This Row],[Column2]]="","",SUM(Table13[[#This Row],[Column28]]+Table13[[#This Row],[Column29]]))</f>
        <v>2872872.67</v>
      </c>
      <c r="AB964" s="466"/>
      <c r="AC964" s="502">
        <v>2872872.67</v>
      </c>
      <c r="AD964" s="532">
        <f>IF(Table13[[#This Row],[Column2]]="","",SUM(Table13[[#This Row],[Column31]]+Table13[[#This Row],[Column32]]))</f>
        <v>0</v>
      </c>
      <c r="AE964" s="501"/>
      <c r="AF964" s="541"/>
      <c r="AG964" s="405"/>
      <c r="AH964" s="380" t="s">
        <v>1205</v>
      </c>
      <c r="AI964" s="576"/>
      <c r="AJ964" s="576"/>
      <c r="AK964" s="576"/>
      <c r="AL964" s="576"/>
      <c r="AM964" s="576"/>
      <c r="AN964" s="576"/>
      <c r="AO964" s="303" t="s">
        <v>175</v>
      </c>
      <c r="AP964" s="378"/>
      <c r="AQ964" s="237"/>
    </row>
    <row r="965" spans="1:43" s="238" customFormat="1" ht="75" customHeight="1" x14ac:dyDescent="0.25">
      <c r="A965" s="297" t="s">
        <v>1188</v>
      </c>
      <c r="B965" s="653" t="str">
        <f>VLOOKUP(Table13[[#This Row],[Column1]],[1]Sheet1!$A:$AO,2,FALSE)</f>
        <v>CONSTRUCTION OF MULTI-PURPOSE HALL , CORAZON ES , BRGY. OSMENA , COMPOSTELA , DAVAO DE ORO</v>
      </c>
      <c r="C965" s="298" t="str">
        <f>VLOOKUP(Table13[[#This Row],[Column1]],[1]Sheet1!$A:$AO,3,FALSE)</f>
        <v>SEF</v>
      </c>
      <c r="D965" s="298" t="s">
        <v>712</v>
      </c>
      <c r="E965" s="402" t="str">
        <f>VLOOKUP(Table13[[#This Row],[Column1]],[1]Sheet1!$A:$AO,5,FALSE)</f>
        <v>Competitive Bidding</v>
      </c>
      <c r="F965" s="446">
        <f>VLOOKUP(Table13[[#This Row],[Column1]],[1]Sheet1!$A:$AO,6,FALSE)</f>
        <v>45407</v>
      </c>
      <c r="G965" s="402">
        <f>VLOOKUP(Table13[[#This Row],[Column1]],[1]Sheet1!$A:$AO,7,FALSE)</f>
        <v>45439</v>
      </c>
      <c r="H965" s="374"/>
      <c r="I965" s="402">
        <f>VLOOKUP(Table13[[#This Row],[Column1]],[1]Sheet1!$A:$AO,9,FALSE)</f>
        <v>45454</v>
      </c>
      <c r="J965" s="402">
        <f>VLOOKUP(Table13[[#This Row],[Column1]],[1]Sheet1!$A:$AO,10,FALSE)</f>
        <v>45468</v>
      </c>
      <c r="K965" s="402">
        <f>VLOOKUP(Table13[[#This Row],[Column1]],[1]Sheet1!$A:$AO,11,FALSE)</f>
        <v>45468</v>
      </c>
      <c r="L965" s="404"/>
      <c r="M965" s="402">
        <f>VLOOKUP(Table13[[#This Row],[Column1]],[1]Sheet1!$A:$AO,13,FALSE)</f>
        <v>45468</v>
      </c>
      <c r="N965" s="402"/>
      <c r="O965" s="402"/>
      <c r="P965" s="375"/>
      <c r="Q965" s="375"/>
      <c r="R965" s="376"/>
      <c r="S965" s="583"/>
      <c r="T965" s="583"/>
      <c r="U965" s="583"/>
      <c r="V965" s="376"/>
      <c r="W965" s="376"/>
      <c r="X965" s="402"/>
      <c r="Y965" s="402"/>
      <c r="Z965" s="610" t="s">
        <v>1478</v>
      </c>
      <c r="AA965" s="464">
        <f>IF(Table13[[#This Row],[Column2]]="","",SUM(Table13[[#This Row],[Column28]]+Table13[[#This Row],[Column29]]))</f>
        <v>6096583.2800000003</v>
      </c>
      <c r="AB965" s="466"/>
      <c r="AC965" s="502">
        <v>6096583.2800000003</v>
      </c>
      <c r="AD965" s="532">
        <f>IF(Table13[[#This Row],[Column2]]="","",SUM(Table13[[#This Row],[Column31]]+Table13[[#This Row],[Column32]]))</f>
        <v>0</v>
      </c>
      <c r="AE965" s="501"/>
      <c r="AF965" s="541"/>
      <c r="AG965" s="405"/>
      <c r="AH965" s="380" t="s">
        <v>1205</v>
      </c>
      <c r="AI965" s="576">
        <v>45450</v>
      </c>
      <c r="AJ965" s="576">
        <v>45463</v>
      </c>
      <c r="AK965" s="576">
        <v>45463</v>
      </c>
      <c r="AL965" s="576">
        <v>45463</v>
      </c>
      <c r="AM965" s="576"/>
      <c r="AN965" s="576"/>
      <c r="AO965" s="303" t="s">
        <v>175</v>
      </c>
      <c r="AP965" s="378"/>
      <c r="AQ965" s="237"/>
    </row>
    <row r="966" spans="1:43" s="238" customFormat="1" ht="75" customHeight="1" x14ac:dyDescent="0.25">
      <c r="A966" s="297" t="s">
        <v>1189</v>
      </c>
      <c r="B966" s="653" t="str">
        <f>VLOOKUP(Table13[[#This Row],[Column1]],[1]Sheet1!$A:$AO,2,FALSE)</f>
        <v>CONSTRUCTION OF DOUBLE BARREL  BOX CULVERT CULVERT AT BRGY.
DUMLAN MACO (KKMP), DAVAO DE ORO</v>
      </c>
      <c r="C966" s="298" t="str">
        <f>VLOOKUP(Table13[[#This Row],[Column1]],[1]Sheet1!$A:$AO,3,FALSE)</f>
        <v>PDRRMO</v>
      </c>
      <c r="D966" s="298" t="s">
        <v>712</v>
      </c>
      <c r="E966" s="402" t="str">
        <f>VLOOKUP(Table13[[#This Row],[Column1]],[1]Sheet1!$A:$AO,5,FALSE)</f>
        <v>Competitive Bidding</v>
      </c>
      <c r="F966" s="446">
        <f>VLOOKUP(Table13[[#This Row],[Column1]],[1]Sheet1!$A:$AO,6,FALSE)</f>
        <v>45421</v>
      </c>
      <c r="G966" s="402">
        <f>VLOOKUP(Table13[[#This Row],[Column1]],[1]Sheet1!$A:$AO,7,FALSE)</f>
        <v>45453</v>
      </c>
      <c r="H966" s="374"/>
      <c r="I966" s="402">
        <f>VLOOKUP(Table13[[#This Row],[Column1]],[1]Sheet1!$A:$AO,9,FALSE)</f>
        <v>45461</v>
      </c>
      <c r="J966" s="402"/>
      <c r="K966" s="402"/>
      <c r="L966" s="404"/>
      <c r="M966" s="402"/>
      <c r="N966" s="402"/>
      <c r="O966" s="402"/>
      <c r="P966" s="375"/>
      <c r="Q966" s="375"/>
      <c r="R966" s="376"/>
      <c r="S966" s="583"/>
      <c r="T966" s="583"/>
      <c r="U966" s="583"/>
      <c r="V966" s="376"/>
      <c r="W966" s="376"/>
      <c r="X966" s="402"/>
      <c r="Y966" s="402"/>
      <c r="Z966" s="610" t="s">
        <v>1478</v>
      </c>
      <c r="AA966" s="464">
        <f>IF(Table13[[#This Row],[Column2]]="","",SUM(Table13[[#This Row],[Column28]]+Table13[[#This Row],[Column29]]))</f>
        <v>4900246.12</v>
      </c>
      <c r="AB966" s="466"/>
      <c r="AC966" s="502">
        <v>4900246.12</v>
      </c>
      <c r="AD966" s="532">
        <f>IF(Table13[[#This Row],[Column2]]="","",SUM(Table13[[#This Row],[Column31]]+Table13[[#This Row],[Column32]]))</f>
        <v>0</v>
      </c>
      <c r="AE966" s="501"/>
      <c r="AF966" s="541"/>
      <c r="AG966" s="405"/>
      <c r="AH966" s="380" t="s">
        <v>1205</v>
      </c>
      <c r="AI966" s="576">
        <v>45457</v>
      </c>
      <c r="AJ966" s="576"/>
      <c r="AK966" s="576"/>
      <c r="AL966" s="576"/>
      <c r="AM966" s="576"/>
      <c r="AN966" s="576"/>
      <c r="AO966" s="303" t="s">
        <v>175</v>
      </c>
      <c r="AP966" s="378"/>
      <c r="AQ966" s="237"/>
    </row>
    <row r="967" spans="1:43" s="238" customFormat="1" ht="75" customHeight="1" x14ac:dyDescent="0.25">
      <c r="A967" s="297" t="s">
        <v>1190</v>
      </c>
      <c r="B967" s="653" t="str">
        <f>VLOOKUP(Table13[[#This Row],[Column1]],[1]Sheet1!$A:$AO,2,FALSE)</f>
        <v>CONSTRUCTION OF ONE (1) STOREY-TWO (2) CLASSROOMS SCHOOL BUILDING WITH TOILET ATTACHED AT BIASONG ES, PANTUKAN</v>
      </c>
      <c r="C967" s="298" t="str">
        <f>VLOOKUP(Table13[[#This Row],[Column1]],[1]Sheet1!$A:$AO,3,FALSE)</f>
        <v>SEF</v>
      </c>
      <c r="D967" s="298" t="s">
        <v>712</v>
      </c>
      <c r="E967" s="402" t="str">
        <f>VLOOKUP(Table13[[#This Row],[Column1]],[1]Sheet1!$A:$AO,5,FALSE)</f>
        <v>Competitive Bidding</v>
      </c>
      <c r="F967" s="446">
        <f>VLOOKUP(Table13[[#This Row],[Column1]],[1]Sheet1!$A:$AO,6,FALSE)</f>
        <v>45440</v>
      </c>
      <c r="G967" s="402">
        <f>VLOOKUP(Table13[[#This Row],[Column1]],[1]Sheet1!$A:$AO,7,FALSE)</f>
        <v>45453</v>
      </c>
      <c r="H967" s="374"/>
      <c r="I967" s="402">
        <f>VLOOKUP(Table13[[#This Row],[Column1]],[1]Sheet1!$A:$AO,9,FALSE)</f>
        <v>45461</v>
      </c>
      <c r="J967" s="402"/>
      <c r="K967" s="402"/>
      <c r="L967" s="404"/>
      <c r="M967" s="402"/>
      <c r="N967" s="402"/>
      <c r="O967" s="402"/>
      <c r="P967" s="375"/>
      <c r="Q967" s="375"/>
      <c r="R967" s="376"/>
      <c r="S967" s="583"/>
      <c r="T967" s="583"/>
      <c r="U967" s="583"/>
      <c r="V967" s="376"/>
      <c r="W967" s="376"/>
      <c r="X967" s="402"/>
      <c r="Y967" s="402"/>
      <c r="Z967" s="610" t="s">
        <v>1478</v>
      </c>
      <c r="AA967" s="464">
        <f>IF(Table13[[#This Row],[Column2]]="","",SUM(Table13[[#This Row],[Column28]]+Table13[[#This Row],[Column29]]))</f>
        <v>3974858.79</v>
      </c>
      <c r="AB967" s="466"/>
      <c r="AC967" s="502">
        <v>3974858.79</v>
      </c>
      <c r="AD967" s="532">
        <f>IF(Table13[[#This Row],[Column2]]="","",SUM(Table13[[#This Row],[Column31]]+Table13[[#This Row],[Column32]]))</f>
        <v>0</v>
      </c>
      <c r="AE967" s="501"/>
      <c r="AF967" s="541"/>
      <c r="AG967" s="405"/>
      <c r="AH967" s="380" t="s">
        <v>1205</v>
      </c>
      <c r="AI967" s="576">
        <v>45457</v>
      </c>
      <c r="AJ967" s="576"/>
      <c r="AK967" s="576"/>
      <c r="AL967" s="576"/>
      <c r="AM967" s="576"/>
      <c r="AN967" s="576"/>
      <c r="AO967" s="303" t="s">
        <v>175</v>
      </c>
      <c r="AP967" s="378"/>
      <c r="AQ967" s="237"/>
    </row>
    <row r="968" spans="1:43" s="238" customFormat="1" ht="75" customHeight="1" x14ac:dyDescent="0.25">
      <c r="A968" s="297" t="s">
        <v>1191</v>
      </c>
      <c r="B968" s="653" t="str">
        <f>VLOOKUP(Table13[[#This Row],[Column1]],[1]Sheet1!$A:$AO,2,FALSE)</f>
        <v>CONSTRUCTION OF BLEACHERS AND STAGE, BRGY. SAOSAO, MAWAB, DAVAO DE ORO (CONSTRUCTION OF 42 IN.M. BLEACHERS)</v>
      </c>
      <c r="C968" s="298" t="str">
        <f>VLOOKUP(Table13[[#This Row],[Column1]],[1]Sheet1!$A:$AO,3,FALSE)</f>
        <v>PEO</v>
      </c>
      <c r="D968" s="298" t="s">
        <v>712</v>
      </c>
      <c r="E968" s="402" t="str">
        <f>VLOOKUP(Table13[[#This Row],[Column1]],[1]Sheet1!$A:$AO,5,FALSE)</f>
        <v>Competitive Bidding</v>
      </c>
      <c r="F968" s="446">
        <f>VLOOKUP(Table13[[#This Row],[Column1]],[1]Sheet1!$A:$AO,6,FALSE)</f>
        <v>45440</v>
      </c>
      <c r="G968" s="402">
        <f>VLOOKUP(Table13[[#This Row],[Column1]],[1]Sheet1!$A:$AO,7,FALSE)</f>
        <v>45453</v>
      </c>
      <c r="H968" s="374"/>
      <c r="I968" s="402">
        <f>VLOOKUP(Table13[[#This Row],[Column1]],[1]Sheet1!$A:$AO,9,FALSE)</f>
        <v>45461</v>
      </c>
      <c r="J968" s="402"/>
      <c r="K968" s="402"/>
      <c r="L968" s="404"/>
      <c r="M968" s="402"/>
      <c r="N968" s="402"/>
      <c r="O968" s="402"/>
      <c r="P968" s="375"/>
      <c r="Q968" s="375"/>
      <c r="R968" s="376"/>
      <c r="S968" s="583"/>
      <c r="T968" s="583"/>
      <c r="U968" s="583"/>
      <c r="V968" s="376"/>
      <c r="W968" s="376"/>
      <c r="X968" s="402"/>
      <c r="Y968" s="402"/>
      <c r="Z968" s="610" t="s">
        <v>1478</v>
      </c>
      <c r="AA968" s="464">
        <f>IF(Table13[[#This Row],[Column2]]="","",SUM(Table13[[#This Row],[Column28]]+Table13[[#This Row],[Column29]]))</f>
        <v>2357503.25</v>
      </c>
      <c r="AB968" s="466"/>
      <c r="AC968" s="502">
        <v>2357503.25</v>
      </c>
      <c r="AD968" s="532">
        <f>IF(Table13[[#This Row],[Column2]]="","",SUM(Table13[[#This Row],[Column31]]+Table13[[#This Row],[Column32]]))</f>
        <v>0</v>
      </c>
      <c r="AE968" s="501"/>
      <c r="AF968" s="541"/>
      <c r="AG968" s="405"/>
      <c r="AH968" s="380" t="s">
        <v>1205</v>
      </c>
      <c r="AI968" s="576">
        <v>45457</v>
      </c>
      <c r="AJ968" s="576"/>
      <c r="AK968" s="576"/>
      <c r="AL968" s="576"/>
      <c r="AM968" s="576"/>
      <c r="AN968" s="576"/>
      <c r="AO968" s="303" t="s">
        <v>175</v>
      </c>
      <c r="AP968" s="378"/>
      <c r="AQ968" s="237"/>
    </row>
    <row r="969" spans="1:43" s="238" customFormat="1" ht="75" customHeight="1" x14ac:dyDescent="0.25">
      <c r="A969" s="297" t="s">
        <v>1192</v>
      </c>
      <c r="B969" s="653" t="str">
        <f>VLOOKUP(Table13[[#This Row],[Column1]],[1]Sheet1!$A:$AO,2,FALSE)</f>
        <v>CONSTRUCTION OF BLEACHERS AND STAGE, BRGY. KIDAWA, LAAK, DAVAO DE ORO (CONSTRUCTION OF 1 BAY COVERED COURT WITH STAGE AND 1 BAY BLEACHERS)</v>
      </c>
      <c r="C969" s="298" t="str">
        <f>VLOOKUP(Table13[[#This Row],[Column1]],[1]Sheet1!$A:$AO,3,FALSE)</f>
        <v>PEO</v>
      </c>
      <c r="D969" s="298" t="s">
        <v>712</v>
      </c>
      <c r="E969" s="402" t="str">
        <f>VLOOKUP(Table13[[#This Row],[Column1]],[1]Sheet1!$A:$AO,5,FALSE)</f>
        <v>Competitive Bidding</v>
      </c>
      <c r="F969" s="446">
        <f>VLOOKUP(Table13[[#This Row],[Column1]],[1]Sheet1!$A:$AO,6,FALSE)</f>
        <v>45440</v>
      </c>
      <c r="G969" s="402">
        <f>VLOOKUP(Table13[[#This Row],[Column1]],[1]Sheet1!$A:$AO,7,FALSE)</f>
        <v>45453</v>
      </c>
      <c r="H969" s="374"/>
      <c r="I969" s="402">
        <f>VLOOKUP(Table13[[#This Row],[Column1]],[1]Sheet1!$A:$AO,9,FALSE)</f>
        <v>45461</v>
      </c>
      <c r="J969" s="402"/>
      <c r="K969" s="402"/>
      <c r="L969" s="404"/>
      <c r="M969" s="402"/>
      <c r="N969" s="402"/>
      <c r="O969" s="402"/>
      <c r="P969" s="375"/>
      <c r="Q969" s="375"/>
      <c r="R969" s="376"/>
      <c r="S969" s="583"/>
      <c r="T969" s="583"/>
      <c r="U969" s="583"/>
      <c r="V969" s="376"/>
      <c r="W969" s="376"/>
      <c r="X969" s="402"/>
      <c r="Y969" s="402"/>
      <c r="Z969" s="610" t="s">
        <v>1478</v>
      </c>
      <c r="AA969" s="464">
        <f>IF(Table13[[#This Row],[Column2]]="","",SUM(Table13[[#This Row],[Column28]]+Table13[[#This Row],[Column29]]))</f>
        <v>2411434.42</v>
      </c>
      <c r="AB969" s="466"/>
      <c r="AC969" s="502">
        <v>2411434.42</v>
      </c>
      <c r="AD969" s="532">
        <f>IF(Table13[[#This Row],[Column2]]="","",SUM(Table13[[#This Row],[Column31]]+Table13[[#This Row],[Column32]]))</f>
        <v>0</v>
      </c>
      <c r="AE969" s="501"/>
      <c r="AF969" s="541"/>
      <c r="AG969" s="405"/>
      <c r="AH969" s="380" t="s">
        <v>1205</v>
      </c>
      <c r="AI969" s="576">
        <v>45457</v>
      </c>
      <c r="AJ969" s="576"/>
      <c r="AK969" s="576"/>
      <c r="AL969" s="576"/>
      <c r="AM969" s="576"/>
      <c r="AN969" s="576"/>
      <c r="AO969" s="303" t="s">
        <v>175</v>
      </c>
      <c r="AP969" s="378"/>
      <c r="AQ969" s="237"/>
    </row>
    <row r="970" spans="1:43" s="238" customFormat="1" ht="75" customHeight="1" x14ac:dyDescent="0.25">
      <c r="A970" s="297" t="s">
        <v>1193</v>
      </c>
      <c r="B970" s="653" t="str">
        <f>VLOOKUP(Table13[[#This Row],[Column1]],[1]Sheet1!$A:$AO,2,FALSE)</f>
        <v>CONSTRUCTION OF BLEACHER AND CR, ANDILI ELEMENTARY SCHOOL GYM, MAWAB (CONSTRUCTION OF 21 IN.M. BLEACHERS)</v>
      </c>
      <c r="C970" s="298" t="str">
        <f>VLOOKUP(Table13[[#This Row],[Column1]],[1]Sheet1!$A:$AO,3,FALSE)</f>
        <v>PEO</v>
      </c>
      <c r="D970" s="298" t="s">
        <v>712</v>
      </c>
      <c r="E970" s="402" t="str">
        <f>VLOOKUP(Table13[[#This Row],[Column1]],[1]Sheet1!$A:$AO,5,FALSE)</f>
        <v>Competitive Bidding</v>
      </c>
      <c r="F970" s="446">
        <f>VLOOKUP(Table13[[#This Row],[Column1]],[1]Sheet1!$A:$AO,6,FALSE)</f>
        <v>45440</v>
      </c>
      <c r="G970" s="402">
        <f>VLOOKUP(Table13[[#This Row],[Column1]],[1]Sheet1!$A:$AO,7,FALSE)</f>
        <v>45453</v>
      </c>
      <c r="H970" s="374"/>
      <c r="I970" s="402">
        <f>VLOOKUP(Table13[[#This Row],[Column1]],[1]Sheet1!$A:$AO,9,FALSE)</f>
        <v>45461</v>
      </c>
      <c r="J970" s="402"/>
      <c r="K970" s="402"/>
      <c r="L970" s="404"/>
      <c r="M970" s="402"/>
      <c r="N970" s="402"/>
      <c r="O970" s="402"/>
      <c r="P970" s="375"/>
      <c r="Q970" s="375"/>
      <c r="R970" s="376"/>
      <c r="S970" s="583"/>
      <c r="T970" s="583"/>
      <c r="U970" s="583"/>
      <c r="V970" s="376"/>
      <c r="W970" s="376"/>
      <c r="X970" s="402"/>
      <c r="Y970" s="402"/>
      <c r="Z970" s="610" t="s">
        <v>1478</v>
      </c>
      <c r="AA970" s="464">
        <f>IF(Table13[[#This Row],[Column2]]="","",SUM(Table13[[#This Row],[Column28]]+Table13[[#This Row],[Column29]]))</f>
        <v>1420177.63</v>
      </c>
      <c r="AB970" s="466"/>
      <c r="AC970" s="502">
        <v>1420177.63</v>
      </c>
      <c r="AD970" s="532">
        <f>IF(Table13[[#This Row],[Column2]]="","",SUM(Table13[[#This Row],[Column31]]+Table13[[#This Row],[Column32]]))</f>
        <v>0</v>
      </c>
      <c r="AE970" s="501"/>
      <c r="AF970" s="541"/>
      <c r="AG970" s="405"/>
      <c r="AH970" s="380" t="s">
        <v>1205</v>
      </c>
      <c r="AI970" s="576">
        <v>45457</v>
      </c>
      <c r="AJ970" s="576"/>
      <c r="AK970" s="576"/>
      <c r="AL970" s="576"/>
      <c r="AM970" s="576"/>
      <c r="AN970" s="576"/>
      <c r="AO970" s="303" t="s">
        <v>175</v>
      </c>
      <c r="AP970" s="378"/>
      <c r="AQ970" s="237"/>
    </row>
    <row r="971" spans="1:43" s="238" customFormat="1" ht="75" customHeight="1" x14ac:dyDescent="0.25">
      <c r="A971" s="297" t="s">
        <v>1194</v>
      </c>
      <c r="B971" s="653" t="str">
        <f>VLOOKUP(Table13[[#This Row],[Column1]],[1]Sheet1!$A:$AO,2,FALSE)</f>
        <v>CONSTRUCTION OF FOOT BRIDGE, PRK. 13, MAINIT, GOLDEN VALLEY, MABINI [CONSTRUCTION OF 35 IN.M. FOOT BRIDGE WITH 8 IN.M. CONCRETE FLOOR SLAB (APPROACH SLAB) BOTH SIDE]</v>
      </c>
      <c r="C971" s="298" t="str">
        <f>VLOOKUP(Table13[[#This Row],[Column1]],[1]Sheet1!$A:$AO,3,FALSE)</f>
        <v>PEO</v>
      </c>
      <c r="D971" s="298" t="s">
        <v>712</v>
      </c>
      <c r="E971" s="402" t="str">
        <f>VLOOKUP(Table13[[#This Row],[Column1]],[1]Sheet1!$A:$AO,5,FALSE)</f>
        <v>Competitive Bidding</v>
      </c>
      <c r="F971" s="446">
        <f>VLOOKUP(Table13[[#This Row],[Column1]],[1]Sheet1!$A:$AO,6,FALSE)</f>
        <v>45440</v>
      </c>
      <c r="G971" s="402"/>
      <c r="H971" s="374"/>
      <c r="I971" s="402"/>
      <c r="J971" s="402"/>
      <c r="K971" s="402"/>
      <c r="L971" s="404"/>
      <c r="M971" s="402"/>
      <c r="N971" s="402"/>
      <c r="O971" s="402"/>
      <c r="P971" s="375"/>
      <c r="Q971" s="375"/>
      <c r="R971" s="376"/>
      <c r="S971" s="583"/>
      <c r="T971" s="583"/>
      <c r="U971" s="583"/>
      <c r="V971" s="376"/>
      <c r="W971" s="376"/>
      <c r="X971" s="402"/>
      <c r="Y971" s="402"/>
      <c r="Z971" s="610" t="s">
        <v>1478</v>
      </c>
      <c r="AA971" s="464">
        <f>IF(Table13[[#This Row],[Column2]]="","",SUM(Table13[[#This Row],[Column28]]+Table13[[#This Row],[Column29]]))</f>
        <v>3304923.16</v>
      </c>
      <c r="AB971" s="466"/>
      <c r="AC971" s="502">
        <v>3304923.16</v>
      </c>
      <c r="AD971" s="532">
        <f>IF(Table13[[#This Row],[Column2]]="","",SUM(Table13[[#This Row],[Column31]]+Table13[[#This Row],[Column32]]))</f>
        <v>0</v>
      </c>
      <c r="AE971" s="501"/>
      <c r="AF971" s="541"/>
      <c r="AG971" s="405"/>
      <c r="AH971" s="380" t="s">
        <v>1205</v>
      </c>
      <c r="AI971" s="576"/>
      <c r="AJ971" s="576"/>
      <c r="AK971" s="576"/>
      <c r="AL971" s="576"/>
      <c r="AM971" s="576"/>
      <c r="AN971" s="576"/>
      <c r="AO971" s="303" t="s">
        <v>175</v>
      </c>
      <c r="AP971" s="378"/>
      <c r="AQ971" s="237"/>
    </row>
    <row r="972" spans="1:43" s="238" customFormat="1" ht="75" customHeight="1" x14ac:dyDescent="0.25">
      <c r="A972" s="297" t="s">
        <v>1195</v>
      </c>
      <c r="B972" s="653" t="str">
        <f>VLOOKUP(Table13[[#This Row],[Column1]],[1]Sheet1!$A:$AO,2,FALSE)</f>
        <v>CONSTRUCTION OF STAGE AND BLEACHERS, BRGY. CONCEPTION, LAAK, (CONSTRUCTION OF 1 BAY COVERED COURT WITH STAGE AND 1 BAY BLEACHERS)</v>
      </c>
      <c r="C972" s="298" t="str">
        <f>VLOOKUP(Table13[[#This Row],[Column1]],[1]Sheet1!$A:$AO,3,FALSE)</f>
        <v>PEO</v>
      </c>
      <c r="D972" s="298" t="s">
        <v>712</v>
      </c>
      <c r="E972" s="402" t="str">
        <f>VLOOKUP(Table13[[#This Row],[Column1]],[1]Sheet1!$A:$AO,5,FALSE)</f>
        <v>Competitive Bidding</v>
      </c>
      <c r="F972" s="446">
        <f>VLOOKUP(Table13[[#This Row],[Column1]],[1]Sheet1!$A:$AO,6,FALSE)</f>
        <v>45440</v>
      </c>
      <c r="G972" s="402">
        <f>VLOOKUP(Table13[[#This Row],[Column1]],[1]Sheet1!$A:$AO,7,FALSE)</f>
        <v>45453</v>
      </c>
      <c r="H972" s="374"/>
      <c r="I972" s="402">
        <f>VLOOKUP(Table13[[#This Row],[Column1]],[1]Sheet1!$A:$AO,9,FALSE)</f>
        <v>45461</v>
      </c>
      <c r="J972" s="402"/>
      <c r="K972" s="402"/>
      <c r="L972" s="404"/>
      <c r="M972" s="402"/>
      <c r="N972" s="402"/>
      <c r="O972" s="402"/>
      <c r="P972" s="375"/>
      <c r="Q972" s="375"/>
      <c r="R972" s="376"/>
      <c r="S972" s="583"/>
      <c r="T972" s="583"/>
      <c r="U972" s="583"/>
      <c r="V972" s="376"/>
      <c r="W972" s="376"/>
      <c r="X972" s="402"/>
      <c r="Y972" s="402"/>
      <c r="Z972" s="610" t="s">
        <v>1478</v>
      </c>
      <c r="AA972" s="464">
        <f>IF(Table13[[#This Row],[Column2]]="","",SUM(Table13[[#This Row],[Column28]]+Table13[[#This Row],[Column29]]))</f>
        <v>2402829.1</v>
      </c>
      <c r="AB972" s="466"/>
      <c r="AC972" s="502">
        <v>2402829.1</v>
      </c>
      <c r="AD972" s="532">
        <f>IF(Table13[[#This Row],[Column2]]="","",SUM(Table13[[#This Row],[Column31]]+Table13[[#This Row],[Column32]]))</f>
        <v>0</v>
      </c>
      <c r="AE972" s="501"/>
      <c r="AF972" s="541"/>
      <c r="AG972" s="405"/>
      <c r="AH972" s="380" t="s">
        <v>1205</v>
      </c>
      <c r="AI972" s="576"/>
      <c r="AJ972" s="576"/>
      <c r="AK972" s="576"/>
      <c r="AL972" s="576"/>
      <c r="AM972" s="576"/>
      <c r="AN972" s="576"/>
      <c r="AO972" s="303" t="s">
        <v>175</v>
      </c>
      <c r="AP972" s="378"/>
      <c r="AQ972" s="237"/>
    </row>
    <row r="973" spans="1:43" s="238" customFormat="1" ht="75" customHeight="1" x14ac:dyDescent="0.25">
      <c r="A973" s="297" t="s">
        <v>1196</v>
      </c>
      <c r="B973" s="653" t="str">
        <f>VLOOKUP(Table13[[#This Row],[Column1]],[1]Sheet1!$A:$AO,2,FALSE)</f>
        <v>CONSTRUCTION OF BRGY. HALL, BRGY. INCAYAN, LAAK, [CONSTRUCTION OF 142 IN.M. (1 STOREY) BRGY. HALL)</v>
      </c>
      <c r="C973" s="298" t="str">
        <f>VLOOKUP(Table13[[#This Row],[Column1]],[1]Sheet1!$A:$AO,3,FALSE)</f>
        <v>PEO</v>
      </c>
      <c r="D973" s="298" t="s">
        <v>712</v>
      </c>
      <c r="E973" s="402" t="str">
        <f>VLOOKUP(Table13[[#This Row],[Column1]],[1]Sheet1!$A:$AO,5,FALSE)</f>
        <v>Competitive Bidding</v>
      </c>
      <c r="F973" s="446">
        <f>VLOOKUP(Table13[[#This Row],[Column1]],[1]Sheet1!$A:$AO,6,FALSE)</f>
        <v>45440</v>
      </c>
      <c r="G973" s="402"/>
      <c r="H973" s="374"/>
      <c r="I973" s="402"/>
      <c r="J973" s="402"/>
      <c r="K973" s="402"/>
      <c r="L973" s="404"/>
      <c r="M973" s="402"/>
      <c r="N973" s="402"/>
      <c r="O973" s="402"/>
      <c r="P973" s="375"/>
      <c r="Q973" s="375"/>
      <c r="R973" s="376"/>
      <c r="S973" s="583"/>
      <c r="T973" s="583"/>
      <c r="U973" s="583"/>
      <c r="V973" s="376"/>
      <c r="W973" s="376"/>
      <c r="X973" s="402"/>
      <c r="Y973" s="402"/>
      <c r="Z973" s="610" t="s">
        <v>1478</v>
      </c>
      <c r="AA973" s="464">
        <f>IF(Table13[[#This Row],[Column2]]="","",SUM(Table13[[#This Row],[Column28]]+Table13[[#This Row],[Column29]]))</f>
        <v>4832890.9400000004</v>
      </c>
      <c r="AB973" s="466"/>
      <c r="AC973" s="502">
        <v>4832890.9400000004</v>
      </c>
      <c r="AD973" s="532">
        <f>IF(Table13[[#This Row],[Column2]]="","",SUM(Table13[[#This Row],[Column31]]+Table13[[#This Row],[Column32]]))</f>
        <v>0</v>
      </c>
      <c r="AE973" s="501"/>
      <c r="AF973" s="541"/>
      <c r="AG973" s="405"/>
      <c r="AH973" s="380" t="s">
        <v>1205</v>
      </c>
      <c r="AI973" s="576"/>
      <c r="AJ973" s="576"/>
      <c r="AK973" s="576"/>
      <c r="AL973" s="576"/>
      <c r="AM973" s="576"/>
      <c r="AN973" s="576"/>
      <c r="AO973" s="303" t="s">
        <v>175</v>
      </c>
      <c r="AP973" s="378"/>
      <c r="AQ973" s="237"/>
    </row>
    <row r="974" spans="1:43" s="238" customFormat="1" ht="75" customHeight="1" x14ac:dyDescent="0.25">
      <c r="A974" s="297" t="s">
        <v>1197</v>
      </c>
      <c r="B974" s="653" t="str">
        <f>VLOOKUP(Table13[[#This Row],[Column1]],[1]Sheet1!$A:$AO,2,FALSE)</f>
        <v>CONSTRUCTION OF BLEACHERS (GYM), BRGY. NUEVA VISAYAS, MAWAB, (CONSTRUCTION OF 36 IN.M. BLEACHERS)</v>
      </c>
      <c r="C974" s="298" t="str">
        <f>VLOOKUP(Table13[[#This Row],[Column1]],[1]Sheet1!$A:$AO,3,FALSE)</f>
        <v>PEO</v>
      </c>
      <c r="D974" s="298" t="s">
        <v>712</v>
      </c>
      <c r="E974" s="402" t="str">
        <f>VLOOKUP(Table13[[#This Row],[Column1]],[1]Sheet1!$A:$AO,5,FALSE)</f>
        <v>Competitive Bidding</v>
      </c>
      <c r="F974" s="446">
        <f>VLOOKUP(Table13[[#This Row],[Column1]],[1]Sheet1!$A:$AO,6,FALSE)</f>
        <v>45440</v>
      </c>
      <c r="G974" s="402"/>
      <c r="H974" s="374"/>
      <c r="I974" s="402"/>
      <c r="J974" s="402"/>
      <c r="K974" s="402"/>
      <c r="L974" s="404"/>
      <c r="M974" s="402"/>
      <c r="N974" s="402"/>
      <c r="O974" s="402"/>
      <c r="P974" s="375"/>
      <c r="Q974" s="375"/>
      <c r="R974" s="376"/>
      <c r="S974" s="583"/>
      <c r="T974" s="583"/>
      <c r="U974" s="583"/>
      <c r="V974" s="376"/>
      <c r="W974" s="376"/>
      <c r="X974" s="402"/>
      <c r="Y974" s="402"/>
      <c r="Z974" s="610" t="s">
        <v>1478</v>
      </c>
      <c r="AA974" s="464">
        <f>IF(Table13[[#This Row],[Column2]]="","",SUM(Table13[[#This Row],[Column28]]+Table13[[#This Row],[Column29]]))</f>
        <v>1930060.79</v>
      </c>
      <c r="AB974" s="466"/>
      <c r="AC974" s="502">
        <v>1930060.79</v>
      </c>
      <c r="AD974" s="532">
        <f>IF(Table13[[#This Row],[Column2]]="","",SUM(Table13[[#This Row],[Column31]]+Table13[[#This Row],[Column32]]))</f>
        <v>0</v>
      </c>
      <c r="AE974" s="501"/>
      <c r="AF974" s="541"/>
      <c r="AG974" s="405"/>
      <c r="AH974" s="380" t="s">
        <v>1205</v>
      </c>
      <c r="AI974" s="576"/>
      <c r="AJ974" s="576"/>
      <c r="AK974" s="576"/>
      <c r="AL974" s="576"/>
      <c r="AM974" s="576"/>
      <c r="AN974" s="576"/>
      <c r="AO974" s="303" t="s">
        <v>175</v>
      </c>
      <c r="AP974" s="378"/>
      <c r="AQ974" s="237"/>
    </row>
    <row r="975" spans="1:43" s="238" customFormat="1" ht="75" customHeight="1" x14ac:dyDescent="0.25">
      <c r="A975" s="297" t="s">
        <v>1198</v>
      </c>
      <c r="B975" s="653" t="str">
        <f>VLOOKUP(Table13[[#This Row],[Column1]],[1]Sheet1!$A:$AO,2,FALSE)</f>
        <v xml:space="preserve">CONSTRUCTION OF FOOT BRIDGE, PRK. 2, MANTUNGA, GOLDEN VALLEY, MABINI [CONSTRUCTION OF 43 IN.M. FOOT BRIDGE WITH 8 IN.M. CONCRETE FLOOR SLAB (APPROACH SLAB) BOTH SIDES] </v>
      </c>
      <c r="C975" s="298" t="str">
        <f>VLOOKUP(Table13[[#This Row],[Column1]],[1]Sheet1!$A:$AO,3,FALSE)</f>
        <v>PEO</v>
      </c>
      <c r="D975" s="298" t="s">
        <v>712</v>
      </c>
      <c r="E975" s="402" t="str">
        <f>VLOOKUP(Table13[[#This Row],[Column1]],[1]Sheet1!$A:$AO,5,FALSE)</f>
        <v>Competitive Bidding</v>
      </c>
      <c r="F975" s="446">
        <f>VLOOKUP(Table13[[#This Row],[Column1]],[1]Sheet1!$A:$AO,6,FALSE)</f>
        <v>45440</v>
      </c>
      <c r="G975" s="402"/>
      <c r="H975" s="374"/>
      <c r="I975" s="402"/>
      <c r="J975" s="402"/>
      <c r="K975" s="402"/>
      <c r="L975" s="404"/>
      <c r="M975" s="402"/>
      <c r="N975" s="402"/>
      <c r="O975" s="402"/>
      <c r="P975" s="375"/>
      <c r="Q975" s="375"/>
      <c r="R975" s="376"/>
      <c r="S975" s="583"/>
      <c r="T975" s="583"/>
      <c r="U975" s="583"/>
      <c r="V975" s="376"/>
      <c r="W975" s="376"/>
      <c r="X975" s="402"/>
      <c r="Y975" s="402"/>
      <c r="Z975" s="610" t="s">
        <v>1478</v>
      </c>
      <c r="AA975" s="464">
        <f>IF(Table13[[#This Row],[Column2]]="","",SUM(Table13[[#This Row],[Column28]]+Table13[[#This Row],[Column29]]))</f>
        <v>3761348.05</v>
      </c>
      <c r="AB975" s="466"/>
      <c r="AC975" s="502">
        <v>3761348.05</v>
      </c>
      <c r="AD975" s="532">
        <f>IF(Table13[[#This Row],[Column2]]="","",SUM(Table13[[#This Row],[Column31]]+Table13[[#This Row],[Column32]]))</f>
        <v>0</v>
      </c>
      <c r="AE975" s="501"/>
      <c r="AF975" s="541"/>
      <c r="AG975" s="405"/>
      <c r="AH975" s="380" t="s">
        <v>1205</v>
      </c>
      <c r="AI975" s="576"/>
      <c r="AJ975" s="576"/>
      <c r="AK975" s="576"/>
      <c r="AL975" s="576"/>
      <c r="AM975" s="576"/>
      <c r="AN975" s="576"/>
      <c r="AO975" s="303" t="s">
        <v>175</v>
      </c>
      <c r="AP975" s="378"/>
      <c r="AQ975" s="237"/>
    </row>
    <row r="976" spans="1:43" s="238" customFormat="1" ht="75" customHeight="1" x14ac:dyDescent="0.25">
      <c r="A976" s="297" t="s">
        <v>1199</v>
      </c>
      <c r="B976" s="653" t="str">
        <f>VLOOKUP(Table13[[#This Row],[Column1]],[1]Sheet1!$A:$AO,2,FALSE)</f>
        <v>CONSTRUCTION OF BLEAHERS AND STAGE, BAWANI GYM, MAWAB (CONSTRUCTION OF 1 BAY COVARED COURT WITH STAGE AND 48 IN.M. BLEACHERS</v>
      </c>
      <c r="C976" s="298" t="str">
        <f>VLOOKUP(Table13[[#This Row],[Column1]],[1]Sheet1!$A:$AO,3,FALSE)</f>
        <v>PEO</v>
      </c>
      <c r="D976" s="298" t="s">
        <v>712</v>
      </c>
      <c r="E976" s="402" t="str">
        <f>VLOOKUP(Table13[[#This Row],[Column1]],[1]Sheet1!$A:$AO,5,FALSE)</f>
        <v>Competitive Bidding</v>
      </c>
      <c r="F976" s="446">
        <f>VLOOKUP(Table13[[#This Row],[Column1]],[1]Sheet1!$A:$AO,6,FALSE)</f>
        <v>45446</v>
      </c>
      <c r="G976" s="402"/>
      <c r="H976" s="374"/>
      <c r="I976" s="402"/>
      <c r="J976" s="402"/>
      <c r="K976" s="402"/>
      <c r="L976" s="404"/>
      <c r="M976" s="402"/>
      <c r="N976" s="402"/>
      <c r="O976" s="402"/>
      <c r="P976" s="375"/>
      <c r="Q976" s="375"/>
      <c r="R976" s="376"/>
      <c r="S976" s="583"/>
      <c r="T976" s="583"/>
      <c r="U976" s="583"/>
      <c r="V976" s="376"/>
      <c r="W976" s="376"/>
      <c r="X976" s="402"/>
      <c r="Y976" s="402"/>
      <c r="Z976" s="610" t="s">
        <v>1478</v>
      </c>
      <c r="AA976" s="464">
        <f>IF(Table13[[#This Row],[Column2]]="","",SUM(Table13[[#This Row],[Column28]]+Table13[[#This Row],[Column29]]))</f>
        <v>3861823.28</v>
      </c>
      <c r="AB976" s="466"/>
      <c r="AC976" s="502">
        <v>3861823.28</v>
      </c>
      <c r="AD976" s="532">
        <f>IF(Table13[[#This Row],[Column2]]="","",SUM(Table13[[#This Row],[Column31]]+Table13[[#This Row],[Column32]]))</f>
        <v>0</v>
      </c>
      <c r="AE976" s="501"/>
      <c r="AF976" s="541"/>
      <c r="AG976" s="405"/>
      <c r="AH976" s="380" t="s">
        <v>1205</v>
      </c>
      <c r="AI976" s="576"/>
      <c r="AJ976" s="576"/>
      <c r="AK976" s="576"/>
      <c r="AL976" s="576"/>
      <c r="AM976" s="576"/>
      <c r="AN976" s="576"/>
      <c r="AO976" s="303" t="s">
        <v>175</v>
      </c>
      <c r="AP976" s="378"/>
      <c r="AQ976" s="237"/>
    </row>
    <row r="977" spans="1:43" s="238" customFormat="1" ht="75" customHeight="1" x14ac:dyDescent="0.25">
      <c r="A977" s="297" t="s">
        <v>1200</v>
      </c>
      <c r="B977" s="653" t="str">
        <f>VLOOKUP(Table13[[#This Row],[Column1]],[1]Sheet1!$A:$AO,2,FALSE)</f>
        <v>CONSTRUCTION OF MULTIPURPOSE BUILDING (MUSLIM COMMUNITY), BRGY. BANBANON, LAAK [CONSTRUCTION OF FOUR (4) BAYS MULTIPURPOSE BUILDING]</v>
      </c>
      <c r="C977" s="298" t="str">
        <f>VLOOKUP(Table13[[#This Row],[Column1]],[1]Sheet1!$A:$AO,3,FALSE)</f>
        <v>PEO</v>
      </c>
      <c r="D977" s="298" t="s">
        <v>712</v>
      </c>
      <c r="E977" s="402" t="str">
        <f>VLOOKUP(Table13[[#This Row],[Column1]],[1]Sheet1!$A:$AO,5,FALSE)</f>
        <v>Competitive Bidding</v>
      </c>
      <c r="F977" s="446">
        <f>VLOOKUP(Table13[[#This Row],[Column1]],[1]Sheet1!$A:$AO,6,FALSE)</f>
        <v>45440</v>
      </c>
      <c r="G977" s="402">
        <f>VLOOKUP(Table13[[#This Row],[Column1]],[1]Sheet1!$A:$AO,7,FALSE)</f>
        <v>45453</v>
      </c>
      <c r="H977" s="374"/>
      <c r="I977" s="402">
        <f>VLOOKUP(Table13[[#This Row],[Column1]],[1]Sheet1!$A:$AO,9,FALSE)</f>
        <v>45461</v>
      </c>
      <c r="J977" s="402"/>
      <c r="K977" s="402"/>
      <c r="L977" s="404"/>
      <c r="M977" s="402"/>
      <c r="N977" s="402"/>
      <c r="O977" s="402"/>
      <c r="P977" s="375"/>
      <c r="Q977" s="375"/>
      <c r="R977" s="376"/>
      <c r="S977" s="583"/>
      <c r="T977" s="583"/>
      <c r="U977" s="583"/>
      <c r="V977" s="376"/>
      <c r="W977" s="376"/>
      <c r="X977" s="402"/>
      <c r="Y977" s="402"/>
      <c r="Z977" s="610" t="s">
        <v>1478</v>
      </c>
      <c r="AA977" s="464">
        <f>IF(Table13[[#This Row],[Column2]]="","",SUM(Table13[[#This Row],[Column28]]+Table13[[#This Row],[Column29]]))</f>
        <v>1586283.43</v>
      </c>
      <c r="AB977" s="466"/>
      <c r="AC977" s="502">
        <v>1586283.43</v>
      </c>
      <c r="AD977" s="532">
        <f>IF(Table13[[#This Row],[Column2]]="","",SUM(Table13[[#This Row],[Column31]]+Table13[[#This Row],[Column32]]))</f>
        <v>0</v>
      </c>
      <c r="AE977" s="501"/>
      <c r="AF977" s="541"/>
      <c r="AG977" s="405"/>
      <c r="AH977" s="380" t="s">
        <v>1205</v>
      </c>
      <c r="AI977" s="576">
        <v>45457</v>
      </c>
      <c r="AJ977" s="576"/>
      <c r="AK977" s="576"/>
      <c r="AL977" s="576"/>
      <c r="AM977" s="576"/>
      <c r="AN977" s="576"/>
      <c r="AO977" s="303" t="s">
        <v>175</v>
      </c>
      <c r="AP977" s="378"/>
      <c r="AQ977" s="237"/>
    </row>
    <row r="978" spans="1:43" s="238" customFormat="1" ht="75" customHeight="1" x14ac:dyDescent="0.25">
      <c r="A978" s="297" t="s">
        <v>1201</v>
      </c>
      <c r="B978" s="653" t="str">
        <f>VLOOKUP(Table13[[#This Row],[Column1]],[1]Sheet1!$A:$AO,2,FALSE)</f>
        <v xml:space="preserve">CONSTRUCTION OF STAGE, BAWANI GYM, MAWAB </v>
      </c>
      <c r="C978" s="298" t="str">
        <f>VLOOKUP(Table13[[#This Row],[Column1]],[1]Sheet1!$A:$AO,3,FALSE)</f>
        <v>PEO</v>
      </c>
      <c r="D978" s="298" t="s">
        <v>712</v>
      </c>
      <c r="E978" s="402" t="str">
        <f>VLOOKUP(Table13[[#This Row],[Column1]],[1]Sheet1!$A:$AO,5,FALSE)</f>
        <v>Competitive Bidding</v>
      </c>
      <c r="F978" s="446">
        <f>VLOOKUP(Table13[[#This Row],[Column1]],[1]Sheet1!$A:$AO,6,FALSE)</f>
        <v>45440</v>
      </c>
      <c r="G978" s="402">
        <f>VLOOKUP(Table13[[#This Row],[Column1]],[1]Sheet1!$A:$AO,7,FALSE)</f>
        <v>45455</v>
      </c>
      <c r="H978" s="374"/>
      <c r="I978" s="402" t="str">
        <f>VLOOKUP(Table13[[#This Row],[Column1]],[1]Sheet1!$A:$AO,9,FALSE)</f>
        <v>N/A</v>
      </c>
      <c r="J978" s="402"/>
      <c r="K978" s="402"/>
      <c r="L978" s="404"/>
      <c r="M978" s="402"/>
      <c r="N978" s="402"/>
      <c r="O978" s="402"/>
      <c r="P978" s="375"/>
      <c r="Q978" s="375"/>
      <c r="R978" s="376"/>
      <c r="S978" s="583"/>
      <c r="T978" s="583"/>
      <c r="U978" s="583"/>
      <c r="V978" s="376"/>
      <c r="W978" s="376"/>
      <c r="X978" s="402"/>
      <c r="Y978" s="402"/>
      <c r="Z978" s="610" t="s">
        <v>1478</v>
      </c>
      <c r="AA978" s="464">
        <f>IF(Table13[[#This Row],[Column2]]="","",SUM(Table13[[#This Row],[Column28]]+Table13[[#This Row],[Column29]]))</f>
        <v>959629.38</v>
      </c>
      <c r="AB978" s="466"/>
      <c r="AC978" s="502">
        <v>959629.38</v>
      </c>
      <c r="AD978" s="532">
        <f>IF(Table13[[#This Row],[Column2]]="","",SUM(Table13[[#This Row],[Column31]]+Table13[[#This Row],[Column32]]))</f>
        <v>0</v>
      </c>
      <c r="AE978" s="501"/>
      <c r="AF978" s="541"/>
      <c r="AG978" s="405"/>
      <c r="AH978" s="380" t="s">
        <v>1205</v>
      </c>
      <c r="AI978" s="576"/>
      <c r="AJ978" s="576"/>
      <c r="AK978" s="576"/>
      <c r="AL978" s="576"/>
      <c r="AM978" s="576"/>
      <c r="AN978" s="576"/>
      <c r="AO978" s="303" t="s">
        <v>175</v>
      </c>
      <c r="AP978" s="378"/>
      <c r="AQ978" s="237"/>
    </row>
    <row r="979" spans="1:43" s="238" customFormat="1" ht="75" customHeight="1" x14ac:dyDescent="0.25">
      <c r="A979" s="297" t="s">
        <v>1202</v>
      </c>
      <c r="B979" s="653" t="str">
        <f>VLOOKUP(Table13[[#This Row],[Column1]],[1]Sheet1!$A:$AO,2,FALSE)</f>
        <v>CONSTRUCTION OF RETAINING WALL AT PUROK 2-A, BRGY. PINDASAN, MABINI</v>
      </c>
      <c r="C979" s="298" t="str">
        <f>VLOOKUP(Table13[[#This Row],[Column1]],[1]Sheet1!$A:$AO,3,FALSE)</f>
        <v>PEO</v>
      </c>
      <c r="D979" s="298" t="s">
        <v>712</v>
      </c>
      <c r="E979" s="402" t="str">
        <f>VLOOKUP(Table13[[#This Row],[Column1]],[1]Sheet1!$A:$AO,5,FALSE)</f>
        <v>Competitive Bidding</v>
      </c>
      <c r="F979" s="446">
        <f>VLOOKUP(Table13[[#This Row],[Column1]],[1]Sheet1!$A:$AO,6,FALSE)</f>
        <v>45454</v>
      </c>
      <c r="G979" s="402"/>
      <c r="H979" s="374"/>
      <c r="I979" s="402"/>
      <c r="J979" s="402"/>
      <c r="K979" s="402"/>
      <c r="L979" s="404"/>
      <c r="M979" s="402"/>
      <c r="N979" s="402"/>
      <c r="O979" s="402"/>
      <c r="P979" s="375"/>
      <c r="Q979" s="375"/>
      <c r="R979" s="376"/>
      <c r="S979" s="583"/>
      <c r="T979" s="583"/>
      <c r="U979" s="583"/>
      <c r="V979" s="376"/>
      <c r="W979" s="376"/>
      <c r="X979" s="402"/>
      <c r="Y979" s="402"/>
      <c r="Z979" s="610" t="s">
        <v>1478</v>
      </c>
      <c r="AA979" s="464">
        <f>IF(Table13[[#This Row],[Column2]]="","",SUM(Table13[[#This Row],[Column28]]+Table13[[#This Row],[Column29]]))</f>
        <v>3758574.21</v>
      </c>
      <c r="AB979" s="466"/>
      <c r="AC979" s="502">
        <v>3758574.21</v>
      </c>
      <c r="AD979" s="532">
        <f>IF(Table13[[#This Row],[Column2]]="","",SUM(Table13[[#This Row],[Column31]]+Table13[[#This Row],[Column32]]))</f>
        <v>0</v>
      </c>
      <c r="AE979" s="501"/>
      <c r="AF979" s="541"/>
      <c r="AG979" s="405"/>
      <c r="AH979" s="380" t="s">
        <v>1205</v>
      </c>
      <c r="AI979" s="576"/>
      <c r="AJ979" s="576"/>
      <c r="AK979" s="576"/>
      <c r="AL979" s="576"/>
      <c r="AM979" s="576"/>
      <c r="AN979" s="576"/>
      <c r="AO979" s="303" t="s">
        <v>175</v>
      </c>
      <c r="AP979" s="378"/>
      <c r="AQ979" s="237"/>
    </row>
    <row r="980" spans="1:43" s="238" customFormat="1" ht="75" customHeight="1" x14ac:dyDescent="0.25">
      <c r="A980" s="297" t="s">
        <v>1203</v>
      </c>
      <c r="B980" s="653" t="str">
        <f>VLOOKUP(Table13[[#This Row],[Column1]],[1]Sheet1!$A:$AO,2,FALSE)</f>
        <v>REHABILITATION OF NEW-VISAYAS-BANAGBANAG, MONTEVISTA TO MAGADING</v>
      </c>
      <c r="C980" s="298" t="str">
        <f>VLOOKUP(Table13[[#This Row],[Column1]],[1]Sheet1!$A:$AO,3,FALSE)</f>
        <v>PEO</v>
      </c>
      <c r="D980" s="298" t="s">
        <v>712</v>
      </c>
      <c r="E980" s="402" t="str">
        <f>VLOOKUP(Table13[[#This Row],[Column1]],[1]Sheet1!$A:$AO,5,FALSE)</f>
        <v>Competitive Bidding</v>
      </c>
      <c r="F980" s="446">
        <f>VLOOKUP(Table13[[#This Row],[Column1]],[1]Sheet1!$A:$AO,6,FALSE)</f>
        <v>45454</v>
      </c>
      <c r="G980" s="402">
        <f>VLOOKUP(Table13[[#This Row],[Column1]],[1]Sheet1!$A:$AO,7,FALSE)</f>
        <v>45461</v>
      </c>
      <c r="H980" s="374"/>
      <c r="I980" s="402"/>
      <c r="J980" s="402"/>
      <c r="K980" s="402"/>
      <c r="L980" s="404"/>
      <c r="M980" s="402"/>
      <c r="N980" s="402"/>
      <c r="O980" s="402"/>
      <c r="P980" s="375"/>
      <c r="Q980" s="375"/>
      <c r="R980" s="376"/>
      <c r="S980" s="583"/>
      <c r="T980" s="583"/>
      <c r="U980" s="583"/>
      <c r="V980" s="376"/>
      <c r="W980" s="376"/>
      <c r="X980" s="402"/>
      <c r="Y980" s="402"/>
      <c r="Z980" s="610" t="s">
        <v>1478</v>
      </c>
      <c r="AA980" s="464">
        <f>IF(Table13[[#This Row],[Column2]]="","",SUM(Table13[[#This Row],[Column28]]+Table13[[#This Row],[Column29]]))</f>
        <v>279838000</v>
      </c>
      <c r="AB980" s="466"/>
      <c r="AC980" s="502">
        <v>279838000</v>
      </c>
      <c r="AD980" s="532">
        <f>IF(Table13[[#This Row],[Column2]]="","",SUM(Table13[[#This Row],[Column31]]+Table13[[#This Row],[Column32]]))</f>
        <v>0</v>
      </c>
      <c r="AE980" s="501"/>
      <c r="AF980" s="541"/>
      <c r="AG980" s="405"/>
      <c r="AH980" s="380" t="s">
        <v>1205</v>
      </c>
      <c r="AI980" s="576"/>
      <c r="AJ980" s="576"/>
      <c r="AK980" s="576"/>
      <c r="AL980" s="576"/>
      <c r="AM980" s="576"/>
      <c r="AN980" s="576"/>
      <c r="AO980" s="303" t="s">
        <v>175</v>
      </c>
      <c r="AP980" s="378"/>
      <c r="AQ980" s="237"/>
    </row>
    <row r="981" spans="1:43" s="238" customFormat="1" ht="75" customHeight="1" x14ac:dyDescent="0.25">
      <c r="A981" s="297" t="s">
        <v>1204</v>
      </c>
      <c r="B981" s="407" t="str">
        <f>VLOOKUP(Table13[[#This Row],[Column1]],[1]Sheet1!$A:$AO,2,FALSE)</f>
        <v>CONSTRUCTION OF BARANGAY HEALTH STATION (BHS) AT PUROK 1, BARANGAY MANURIGAO, NEW BATAAN
(CONSTRUCTION OF 75.3SQ.M. BRGY. HEALTH STATION WITH
BIRTHING)</v>
      </c>
      <c r="C981" s="298" t="str">
        <f>VLOOKUP(Table13[[#This Row],[Column1]],[1]Sheet1!$A:$AO,3,FALSE)</f>
        <v>PEO</v>
      </c>
      <c r="D981" s="298" t="s">
        <v>712</v>
      </c>
      <c r="E981" s="402" t="str">
        <f>VLOOKUP(Table13[[#This Row],[Column1]],[1]Sheet1!$A:$AO,5,FALSE)</f>
        <v>Competitive Bidding</v>
      </c>
      <c r="F981" s="446">
        <f>VLOOKUP(Table13[[#This Row],[Column1]],[1]Sheet1!$A:$AO,6,FALSE)</f>
        <v>45454</v>
      </c>
      <c r="G981" s="402"/>
      <c r="H981" s="374"/>
      <c r="I981" s="402"/>
      <c r="J981" s="402"/>
      <c r="K981" s="402"/>
      <c r="L981" s="404"/>
      <c r="M981" s="402"/>
      <c r="N981" s="402"/>
      <c r="O981" s="402"/>
      <c r="P981" s="375"/>
      <c r="Q981" s="375"/>
      <c r="R981" s="376"/>
      <c r="S981" s="583"/>
      <c r="T981" s="583"/>
      <c r="U981" s="583"/>
      <c r="V981" s="376"/>
      <c r="W981" s="376"/>
      <c r="X981" s="402"/>
      <c r="Y981" s="402"/>
      <c r="Z981" s="610" t="s">
        <v>1478</v>
      </c>
      <c r="AA981" s="464">
        <f>IF(Table13[[#This Row],[Column2]]="","",SUM(Table13[[#This Row],[Column28]]+Table13[[#This Row],[Column29]]))</f>
        <v>2380209.14</v>
      </c>
      <c r="AB981" s="466"/>
      <c r="AC981" s="502">
        <v>2380209.14</v>
      </c>
      <c r="AD981" s="532">
        <f>IF(Table13[[#This Row],[Column2]]="","",SUM(Table13[[#This Row],[Column31]]+Table13[[#This Row],[Column32]]))</f>
        <v>0</v>
      </c>
      <c r="AE981" s="501"/>
      <c r="AF981" s="541"/>
      <c r="AG981" s="405"/>
      <c r="AH981" s="380" t="s">
        <v>1205</v>
      </c>
      <c r="AI981" s="576"/>
      <c r="AJ981" s="576"/>
      <c r="AK981" s="576"/>
      <c r="AL981" s="576"/>
      <c r="AM981" s="576"/>
      <c r="AN981" s="576"/>
      <c r="AO981" s="303" t="s">
        <v>175</v>
      </c>
      <c r="AP981" s="378"/>
      <c r="AQ981" s="237"/>
    </row>
    <row r="982" spans="1:43" s="238" customFormat="1" ht="75" customHeight="1" x14ac:dyDescent="0.25">
      <c r="A982" s="297" t="s">
        <v>1206</v>
      </c>
      <c r="B982" s="627" t="str">
        <f>VLOOKUP(Table13[[#This Row],[Column1]],[1]Sheet1!$A:$AO,2,FALSE)</f>
        <v>PLUMBING SUPPLIES</v>
      </c>
      <c r="C982" s="298" t="str">
        <f>VLOOKUP(Table13[[#This Row],[Column1]],[1]Sheet1!$A:$AO,3,FALSE)</f>
        <v>PGSO</v>
      </c>
      <c r="D982" s="298" t="s">
        <v>712</v>
      </c>
      <c r="E982" s="402" t="str">
        <f>VLOOKUP(Table13[[#This Row],[Column1]],[1]Sheet1!$A:$AO,5,FALSE)</f>
        <v>NP-53.1 Two Failed Biddings</v>
      </c>
      <c r="F982" s="446" t="str">
        <f>VLOOKUP(Table13[[#This Row],[Column1]],[1]Sheet1!$A:$AO,6,FALSE)</f>
        <v>N/A</v>
      </c>
      <c r="G982" s="402">
        <f>VLOOKUP(Table13[[#This Row],[Column1]],[1]Sheet1!$A:$AO,7,FALSE)</f>
        <v>45404</v>
      </c>
      <c r="H982" s="374"/>
      <c r="I982" s="402" t="str">
        <f>VLOOKUP(Table13[[#This Row],[Column1]],[1]Sheet1!$A:$AO,9,FALSE)</f>
        <v>N/A</v>
      </c>
      <c r="J982" s="402">
        <f>VLOOKUP(Table13[[#This Row],[Column1]],[1]Sheet1!$A:$AO,10,FALSE)</f>
        <v>45421</v>
      </c>
      <c r="K982" s="402">
        <f>VLOOKUP(Table13[[#This Row],[Column1]],[1]Sheet1!$A:$AO,11,FALSE)</f>
        <v>45421</v>
      </c>
      <c r="L982" s="404"/>
      <c r="M982" s="402" t="str">
        <f>VLOOKUP(Table13[[#This Row],[Column1]],[1]Sheet1!$A:$AO,13,FALSE)</f>
        <v>N/A</v>
      </c>
      <c r="N982" s="402" t="str">
        <f>VLOOKUP(Table13[[#This Row],[Column1]],[1]Sheet1!$A:$AO,14,FALSE)</f>
        <v>N/A</v>
      </c>
      <c r="O982" s="402">
        <f>VLOOKUP(Table13[[#This Row],[Column1]],[1]Sheet1!$A:$AO,15,FALSE)</f>
        <v>45425</v>
      </c>
      <c r="P982" s="375"/>
      <c r="Q982" s="375"/>
      <c r="R982" s="376"/>
      <c r="S982" s="583">
        <f>VLOOKUP(Table13[[#This Row],[Column1]],[1]Sheet1!$A:$AO,19,FALSE)</f>
        <v>45431</v>
      </c>
      <c r="T982" s="583">
        <f>VLOOKUP(Table13[[#This Row],[Column1]],[1]Sheet1!$A:$AO,20,FALSE)</f>
        <v>45434</v>
      </c>
      <c r="U982" s="583"/>
      <c r="V982" s="376"/>
      <c r="W982" s="376"/>
      <c r="X982" s="402"/>
      <c r="Y982" s="402"/>
      <c r="Z982" s="610" t="s">
        <v>1478</v>
      </c>
      <c r="AA982" s="464">
        <f>IF(Table13[[#This Row],[Column2]]="","",SUM(Table13[[#This Row],[Column28]]+Table13[[#This Row],[Column29]]))</f>
        <v>307229.5</v>
      </c>
      <c r="AB982" s="455"/>
      <c r="AC982" s="452">
        <v>307229.5</v>
      </c>
      <c r="AD982" s="532">
        <f>IF(Table13[[#This Row],[Column2]]="","",SUM(Table13[[#This Row],[Column31]]+Table13[[#This Row],[Column32]]))</f>
        <v>0</v>
      </c>
      <c r="AE982" s="501"/>
      <c r="AF982" s="541"/>
      <c r="AG982" s="405"/>
      <c r="AH982" s="380" t="s">
        <v>1205</v>
      </c>
      <c r="AI982" s="576" t="s">
        <v>713</v>
      </c>
      <c r="AJ982" s="576" t="s">
        <v>713</v>
      </c>
      <c r="AK982" s="576" t="s">
        <v>713</v>
      </c>
      <c r="AL982" s="576" t="s">
        <v>713</v>
      </c>
      <c r="AM982" s="576" t="s">
        <v>713</v>
      </c>
      <c r="AN982" s="576" t="s">
        <v>713</v>
      </c>
      <c r="AO982" s="303" t="s">
        <v>175</v>
      </c>
      <c r="AP982" s="378"/>
      <c r="AQ982" s="237"/>
    </row>
    <row r="983" spans="1:43" s="238" customFormat="1" ht="75" customHeight="1" x14ac:dyDescent="0.25">
      <c r="A983" s="297" t="s">
        <v>1207</v>
      </c>
      <c r="B983" s="627" t="str">
        <f>VLOOKUP(Table13[[#This Row],[Column1]],[1]Sheet1!$A:$AO,2,FALSE)</f>
        <v>RICE 50KGS (WELL MILLED RICE) WITH IRON FORTIFIED</v>
      </c>
      <c r="C983" s="298" t="str">
        <f>VLOOKUP(Table13[[#This Row],[Column1]],[1]Sheet1!$A:$AO,3,FALSE)</f>
        <v>PHO</v>
      </c>
      <c r="D983" s="298" t="s">
        <v>712</v>
      </c>
      <c r="E983" s="402" t="str">
        <f>VLOOKUP(Table13[[#This Row],[Column1]],[1]Sheet1!$A:$AO,5,FALSE)</f>
        <v>NP-53.1 Two Failed Biddings</v>
      </c>
      <c r="F983" s="446">
        <f>VLOOKUP(Table13[[#This Row],[Column1]],[1]Sheet1!$A:$AO,6,FALSE)</f>
        <v>45370</v>
      </c>
      <c r="G983" s="402">
        <f>VLOOKUP(Table13[[#This Row],[Column1]],[1]Sheet1!$A:$AO,7,FALSE)</f>
        <v>45404</v>
      </c>
      <c r="H983" s="374"/>
      <c r="I983" s="402" t="str">
        <f>VLOOKUP(Table13[[#This Row],[Column1]],[1]Sheet1!$A:$AO,9,FALSE)</f>
        <v>N/A</v>
      </c>
      <c r="J983" s="402">
        <f>VLOOKUP(Table13[[#This Row],[Column1]],[1]Sheet1!$A:$AO,10,FALSE)</f>
        <v>45421</v>
      </c>
      <c r="K983" s="402">
        <f>VLOOKUP(Table13[[#This Row],[Column1]],[1]Sheet1!$A:$AO,11,FALSE)</f>
        <v>45421</v>
      </c>
      <c r="L983" s="404"/>
      <c r="M983" s="402" t="str">
        <f>VLOOKUP(Table13[[#This Row],[Column1]],[1]Sheet1!$A:$AO,13,FALSE)</f>
        <v>N/A</v>
      </c>
      <c r="N983" s="402" t="str">
        <f>VLOOKUP(Table13[[#This Row],[Column1]],[1]Sheet1!$A:$AO,14,FALSE)</f>
        <v>N/A</v>
      </c>
      <c r="O983" s="402">
        <f>VLOOKUP(Table13[[#This Row],[Column1]],[1]Sheet1!$A:$AO,15,FALSE)</f>
        <v>45425</v>
      </c>
      <c r="P983" s="375"/>
      <c r="Q983" s="375"/>
      <c r="R983" s="376"/>
      <c r="S983" s="583">
        <f>VLOOKUP(Table13[[#This Row],[Column1]],[1]Sheet1!$A:$AO,19,FALSE)</f>
        <v>45428</v>
      </c>
      <c r="T983" s="583">
        <f>VLOOKUP(Table13[[#This Row],[Column1]],[1]Sheet1!$A:$AO,20,FALSE)</f>
        <v>45434</v>
      </c>
      <c r="U983" s="583"/>
      <c r="V983" s="376"/>
      <c r="W983" s="376"/>
      <c r="X983" s="402"/>
      <c r="Y983" s="402"/>
      <c r="Z983" s="610" t="s">
        <v>1478</v>
      </c>
      <c r="AA983" s="464">
        <f>IF(Table13[[#This Row],[Column2]]="","",SUM(Table13[[#This Row],[Column28]]+Table13[[#This Row],[Column29]]))</f>
        <v>726000</v>
      </c>
      <c r="AB983" s="455"/>
      <c r="AC983" s="452">
        <v>726000</v>
      </c>
      <c r="AD983" s="532">
        <f>IF(Table13[[#This Row],[Column2]]="","",SUM(Table13[[#This Row],[Column31]]+Table13[[#This Row],[Column32]]))</f>
        <v>0</v>
      </c>
      <c r="AE983" s="501"/>
      <c r="AF983" s="541"/>
      <c r="AG983" s="405"/>
      <c r="AH983" s="380" t="s">
        <v>1205</v>
      </c>
      <c r="AI983" s="576" t="s">
        <v>713</v>
      </c>
      <c r="AJ983" s="576" t="s">
        <v>713</v>
      </c>
      <c r="AK983" s="576" t="s">
        <v>713</v>
      </c>
      <c r="AL983" s="576" t="s">
        <v>713</v>
      </c>
      <c r="AM983" s="576" t="s">
        <v>713</v>
      </c>
      <c r="AN983" s="576" t="s">
        <v>713</v>
      </c>
      <c r="AO983" s="303" t="s">
        <v>175</v>
      </c>
      <c r="AP983" s="378"/>
      <c r="AQ983" s="237"/>
    </row>
    <row r="984" spans="1:43" s="238" customFormat="1" ht="75" customHeight="1" x14ac:dyDescent="0.25">
      <c r="A984" s="297" t="s">
        <v>1208</v>
      </c>
      <c r="B984" s="627" t="str">
        <f>VLOOKUP(Table13[[#This Row],[Column1]],[1]Sheet1!$A:$AO,2,FALSE)</f>
        <v>LUMBER</v>
      </c>
      <c r="C984" s="298" t="str">
        <f>VLOOKUP(Table13[[#This Row],[Column1]],[1]Sheet1!$A:$AO,3,FALSE)</f>
        <v>PVO</v>
      </c>
      <c r="D984" s="298" t="s">
        <v>712</v>
      </c>
      <c r="E984" s="402" t="str">
        <f>VLOOKUP(Table13[[#This Row],[Column1]],[1]Sheet1!$A:$AO,5,FALSE)</f>
        <v>NP-53.1 Two Failed Biddings</v>
      </c>
      <c r="F984" s="446">
        <f>VLOOKUP(Table13[[#This Row],[Column1]],[1]Sheet1!$A:$AO,6,FALSE)</f>
        <v>45356</v>
      </c>
      <c r="G984" s="402">
        <f>VLOOKUP(Table13[[#This Row],[Column1]],[1]Sheet1!$A:$AO,7,FALSE)</f>
        <v>45404</v>
      </c>
      <c r="H984" s="374"/>
      <c r="I984" s="402" t="str">
        <f>VLOOKUP(Table13[[#This Row],[Column1]],[1]Sheet1!$A:$AO,9,FALSE)</f>
        <v>N/A</v>
      </c>
      <c r="J984" s="402">
        <f>VLOOKUP(Table13[[#This Row],[Column1]],[1]Sheet1!$A:$AO,10,FALSE)</f>
        <v>45454</v>
      </c>
      <c r="K984" s="402">
        <f>VLOOKUP(Table13[[#This Row],[Column1]],[1]Sheet1!$A:$AO,11,FALSE)</f>
        <v>45454</v>
      </c>
      <c r="L984" s="404"/>
      <c r="M984" s="402" t="str">
        <f>VLOOKUP(Table13[[#This Row],[Column1]],[1]Sheet1!$A:$AO,13,FALSE)</f>
        <v>N/A</v>
      </c>
      <c r="N984" s="402" t="str">
        <f>VLOOKUP(Table13[[#This Row],[Column1]],[1]Sheet1!$A:$AO,14,FALSE)</f>
        <v>N/A</v>
      </c>
      <c r="O984" s="402">
        <f>VLOOKUP(Table13[[#This Row],[Column1]],[1]Sheet1!$A:$AO,15,FALSE)</f>
        <v>45464</v>
      </c>
      <c r="P984" s="375"/>
      <c r="Q984" s="375"/>
      <c r="R984" s="376"/>
      <c r="S984" s="583">
        <v>45464</v>
      </c>
      <c r="T984" s="583"/>
      <c r="U984" s="583"/>
      <c r="V984" s="376"/>
      <c r="W984" s="376"/>
      <c r="X984" s="402"/>
      <c r="Y984" s="402"/>
      <c r="Z984" s="610" t="s">
        <v>1478</v>
      </c>
      <c r="AA984" s="464">
        <f>IF(Table13[[#This Row],[Column2]]="","",SUM(Table13[[#This Row],[Column28]]+Table13[[#This Row],[Column29]]))</f>
        <v>298788.49</v>
      </c>
      <c r="AB984" s="455"/>
      <c r="AC984" s="452">
        <v>298788.49</v>
      </c>
      <c r="AD984" s="532">
        <f>IF(Table13[[#This Row],[Column2]]="","",SUM(Table13[[#This Row],[Column31]]+Table13[[#This Row],[Column32]]))</f>
        <v>0</v>
      </c>
      <c r="AE984" s="501"/>
      <c r="AF984" s="541"/>
      <c r="AG984" s="405"/>
      <c r="AH984" s="380" t="s">
        <v>1205</v>
      </c>
      <c r="AI984" s="576" t="s">
        <v>713</v>
      </c>
      <c r="AJ984" s="576" t="s">
        <v>713</v>
      </c>
      <c r="AK984" s="576" t="s">
        <v>713</v>
      </c>
      <c r="AL984" s="576" t="s">
        <v>713</v>
      </c>
      <c r="AM984" s="576" t="s">
        <v>713</v>
      </c>
      <c r="AN984" s="576" t="s">
        <v>713</v>
      </c>
      <c r="AO984" s="303" t="s">
        <v>175</v>
      </c>
      <c r="AP984" s="378"/>
      <c r="AQ984" s="237"/>
    </row>
    <row r="985" spans="1:43" s="238" customFormat="1" ht="75" customHeight="1" x14ac:dyDescent="0.25">
      <c r="A985" s="297" t="s">
        <v>1209</v>
      </c>
      <c r="B985" s="627" t="str">
        <f>VLOOKUP(Table13[[#This Row],[Column1]],[1]Sheet1!$A:$AO,2,FALSE)</f>
        <v>AGRICULTURAL SUPPLIES</v>
      </c>
      <c r="C985" s="298" t="str">
        <f>VLOOKUP(Table13[[#This Row],[Column1]],[1]Sheet1!$A:$AO,3,FALSE)</f>
        <v>PAGRO</v>
      </c>
      <c r="D985" s="298" t="s">
        <v>712</v>
      </c>
      <c r="E985" s="402" t="str">
        <f>VLOOKUP(Table13[[#This Row],[Column1]],[1]Sheet1!$A:$AO,5,FALSE)</f>
        <v>NP-53.1 Two Failed Biddings</v>
      </c>
      <c r="F985" s="446">
        <f>VLOOKUP(Table13[[#This Row],[Column1]],[1]Sheet1!$A:$AO,6,FALSE)</f>
        <v>45370</v>
      </c>
      <c r="G985" s="402">
        <f>VLOOKUP(Table13[[#This Row],[Column1]],[1]Sheet1!$A:$AO,7,FALSE)</f>
        <v>45404</v>
      </c>
      <c r="H985" s="374"/>
      <c r="I985" s="402" t="str">
        <f>VLOOKUP(Table13[[#This Row],[Column1]],[1]Sheet1!$A:$AO,9,FALSE)</f>
        <v>N/A</v>
      </c>
      <c r="J985" s="402">
        <f>VLOOKUP(Table13[[#This Row],[Column1]],[1]Sheet1!$A:$AO,10,FALSE)</f>
        <v>45440</v>
      </c>
      <c r="K985" s="402">
        <f>VLOOKUP(Table13[[#This Row],[Column1]],[1]Sheet1!$A:$AO,11,FALSE)</f>
        <v>45440</v>
      </c>
      <c r="L985" s="404"/>
      <c r="M985" s="402" t="str">
        <f>VLOOKUP(Table13[[#This Row],[Column1]],[1]Sheet1!$A:$AO,13,FALSE)</f>
        <v>N/A</v>
      </c>
      <c r="N985" s="402" t="str">
        <f>VLOOKUP(Table13[[#This Row],[Column1]],[1]Sheet1!$A:$AO,14,FALSE)</f>
        <v>N/A</v>
      </c>
      <c r="O985" s="402">
        <f>VLOOKUP(Table13[[#This Row],[Column1]],[1]Sheet1!$A:$AO,15,FALSE)</f>
        <v>45441</v>
      </c>
      <c r="P985" s="375"/>
      <c r="Q985" s="375"/>
      <c r="R985" s="376"/>
      <c r="S985" s="583">
        <v>45441</v>
      </c>
      <c r="T985" s="583">
        <v>45454</v>
      </c>
      <c r="U985" s="583"/>
      <c r="V985" s="376"/>
      <c r="W985" s="376"/>
      <c r="X985" s="402"/>
      <c r="Y985" s="402"/>
      <c r="Z985" s="610" t="s">
        <v>1478</v>
      </c>
      <c r="AA985" s="464">
        <f>IF(Table13[[#This Row],[Column2]]="","",SUM(Table13[[#This Row],[Column28]]+Table13[[#This Row],[Column29]]))</f>
        <v>618838</v>
      </c>
      <c r="AB985" s="455"/>
      <c r="AC985" s="452">
        <v>618838</v>
      </c>
      <c r="AD985" s="532">
        <f>IF(Table13[[#This Row],[Column2]]="","",SUM(Table13[[#This Row],[Column31]]+Table13[[#This Row],[Column32]]))</f>
        <v>0</v>
      </c>
      <c r="AE985" s="501"/>
      <c r="AF985" s="541"/>
      <c r="AG985" s="405"/>
      <c r="AH985" s="380" t="s">
        <v>1205</v>
      </c>
      <c r="AI985" s="576" t="s">
        <v>713</v>
      </c>
      <c r="AJ985" s="576" t="s">
        <v>713</v>
      </c>
      <c r="AK985" s="576" t="s">
        <v>713</v>
      </c>
      <c r="AL985" s="576" t="s">
        <v>713</v>
      </c>
      <c r="AM985" s="576" t="s">
        <v>713</v>
      </c>
      <c r="AN985" s="576" t="s">
        <v>713</v>
      </c>
      <c r="AO985" s="303" t="s">
        <v>175</v>
      </c>
      <c r="AP985" s="378"/>
      <c r="AQ985" s="237"/>
    </row>
    <row r="986" spans="1:43" s="238" customFormat="1" ht="75" customHeight="1" x14ac:dyDescent="0.25">
      <c r="A986" s="297" t="s">
        <v>1210</v>
      </c>
      <c r="B986" s="627" t="str">
        <f>VLOOKUP(Table13[[#This Row],[Column1]],[1]Sheet1!$A:$AO,2,FALSE)</f>
        <v>MEALS AND SNACKS WITH ACCOMMODATION</v>
      </c>
      <c r="C986" s="298" t="str">
        <f>VLOOKUP(Table13[[#This Row],[Column1]],[1]Sheet1!$A:$AO,3,FALSE)</f>
        <v>PSWDO</v>
      </c>
      <c r="D986" s="298" t="s">
        <v>712</v>
      </c>
      <c r="E986" s="402" t="str">
        <f>VLOOKUP(Table13[[#This Row],[Column1]],[1]Sheet1!$A:$AO,5,FALSE)</f>
        <v>NP-53.1 Two Failed Biddings</v>
      </c>
      <c r="F986" s="446">
        <f>VLOOKUP(Table13[[#This Row],[Column1]],[1]Sheet1!$A:$AO,6,FALSE)</f>
        <v>45384</v>
      </c>
      <c r="G986" s="402">
        <f>VLOOKUP(Table13[[#This Row],[Column1]],[1]Sheet1!$A:$AO,7,FALSE)</f>
        <v>45454</v>
      </c>
      <c r="H986" s="374"/>
      <c r="I986" s="402" t="str">
        <f>VLOOKUP(Table13[[#This Row],[Column1]],[1]Sheet1!$A:$AO,9,FALSE)</f>
        <v>N/A</v>
      </c>
      <c r="J986" s="402" t="str">
        <f>VLOOKUP(Table13[[#This Row],[Column1]],[1]Sheet1!$A:$AO,10,FALSE)</f>
        <v>N/A</v>
      </c>
      <c r="K986" s="402"/>
      <c r="L986" s="404"/>
      <c r="M986" s="402"/>
      <c r="N986" s="402"/>
      <c r="O986" s="402"/>
      <c r="P986" s="375"/>
      <c r="Q986" s="375"/>
      <c r="R986" s="376"/>
      <c r="S986" s="583"/>
      <c r="T986" s="583"/>
      <c r="U986" s="583"/>
      <c r="V986" s="376"/>
      <c r="W986" s="376"/>
      <c r="X986" s="402"/>
      <c r="Y986" s="402"/>
      <c r="Z986" s="610" t="s">
        <v>1478</v>
      </c>
      <c r="AA986" s="464">
        <f>IF(Table13[[#This Row],[Column2]]="","",SUM(Table13[[#This Row],[Column28]]+Table13[[#This Row],[Column29]]))</f>
        <v>862500</v>
      </c>
      <c r="AB986" s="455"/>
      <c r="AC986" s="452">
        <v>862500</v>
      </c>
      <c r="AD986" s="532">
        <f>IF(Table13[[#This Row],[Column2]]="","",SUM(Table13[[#This Row],[Column31]]+Table13[[#This Row],[Column32]]))</f>
        <v>0</v>
      </c>
      <c r="AE986" s="501"/>
      <c r="AF986" s="541"/>
      <c r="AG986" s="405"/>
      <c r="AH986" s="380" t="s">
        <v>1205</v>
      </c>
      <c r="AI986" s="576"/>
      <c r="AJ986" s="576"/>
      <c r="AK986" s="576"/>
      <c r="AL986" s="576"/>
      <c r="AM986" s="576"/>
      <c r="AN986" s="576"/>
      <c r="AO986" s="303" t="s">
        <v>175</v>
      </c>
      <c r="AP986" s="378"/>
      <c r="AQ986" s="237"/>
    </row>
    <row r="987" spans="1:43" s="238" customFormat="1" ht="75" customHeight="1" x14ac:dyDescent="0.25">
      <c r="A987" s="297" t="s">
        <v>1211</v>
      </c>
      <c r="B987" s="627" t="str">
        <f>VLOOKUP(Table13[[#This Row],[Column1]],[1]Sheet1!$A:$AO,2,FALSE)</f>
        <v>MEALS AND SNACKS WITH VENUE AND ACCOMMODATION</v>
      </c>
      <c r="C987" s="298" t="str">
        <f>VLOOKUP(Table13[[#This Row],[Column1]],[1]Sheet1!$A:$AO,3,FALSE)</f>
        <v>PGO</v>
      </c>
      <c r="D987" s="298" t="s">
        <v>712</v>
      </c>
      <c r="E987" s="402" t="str">
        <f>VLOOKUP(Table13[[#This Row],[Column1]],[1]Sheet1!$A:$AO,5,FALSE)</f>
        <v>NP-53.1 Two Failed Biddings</v>
      </c>
      <c r="F987" s="446" t="str">
        <f>VLOOKUP(Table13[[#This Row],[Column1]],[1]Sheet1!$A:$AO,6,FALSE)</f>
        <v>N/A</v>
      </c>
      <c r="G987" s="402">
        <f>VLOOKUP(Table13[[#This Row],[Column1]],[1]Sheet1!$A:$AO,7,FALSE)</f>
        <v>45457</v>
      </c>
      <c r="H987" s="374"/>
      <c r="I987" s="402" t="str">
        <f>VLOOKUP(Table13[[#This Row],[Column1]],[1]Sheet1!$A:$AO,9,FALSE)</f>
        <v>N/A</v>
      </c>
      <c r="J987" s="402" t="str">
        <f>VLOOKUP(Table13[[#This Row],[Column1]],[1]Sheet1!$A:$AO,10,FALSE)</f>
        <v>N/A</v>
      </c>
      <c r="K987" s="402"/>
      <c r="L987" s="404"/>
      <c r="M987" s="402"/>
      <c r="N987" s="402"/>
      <c r="O987" s="402"/>
      <c r="P987" s="375"/>
      <c r="Q987" s="375"/>
      <c r="R987" s="376"/>
      <c r="S987" s="583"/>
      <c r="T987" s="583"/>
      <c r="U987" s="583"/>
      <c r="V987" s="376"/>
      <c r="W987" s="376"/>
      <c r="X987" s="402"/>
      <c r="Y987" s="402"/>
      <c r="Z987" s="610" t="s">
        <v>1478</v>
      </c>
      <c r="AA987" s="464">
        <f>IF(Table13[[#This Row],[Column2]]="","",SUM(Table13[[#This Row],[Column28]]+Table13[[#This Row],[Column29]]))</f>
        <v>1770000</v>
      </c>
      <c r="AB987" s="455"/>
      <c r="AC987" s="452">
        <v>1770000</v>
      </c>
      <c r="AD987" s="532">
        <f>IF(Table13[[#This Row],[Column2]]="","",SUM(Table13[[#This Row],[Column31]]+Table13[[#This Row],[Column32]]))</f>
        <v>0</v>
      </c>
      <c r="AE987" s="501"/>
      <c r="AF987" s="541"/>
      <c r="AG987" s="405"/>
      <c r="AH987" s="380" t="s">
        <v>1205</v>
      </c>
      <c r="AI987" s="576"/>
      <c r="AJ987" s="576"/>
      <c r="AK987" s="576"/>
      <c r="AL987" s="576"/>
      <c r="AM987" s="576"/>
      <c r="AN987" s="576"/>
      <c r="AO987" s="303" t="s">
        <v>175</v>
      </c>
      <c r="AP987" s="378"/>
      <c r="AQ987" s="237"/>
    </row>
    <row r="988" spans="1:43" s="238" customFormat="1" ht="75" customHeight="1" x14ac:dyDescent="0.25">
      <c r="A988" s="297" t="s">
        <v>1212</v>
      </c>
      <c r="B988" s="627" t="str">
        <f>VLOOKUP(Table13[[#This Row],[Column1]],[1]Sheet1!$A:$AO,2,FALSE)</f>
        <v>MEALS AND SNACKS WITH ACCOMMODATION</v>
      </c>
      <c r="C988" s="298" t="str">
        <f>VLOOKUP(Table13[[#This Row],[Column1]],[1]Sheet1!$A:$AO,3,FALSE)</f>
        <v>PHO</v>
      </c>
      <c r="D988" s="298" t="s">
        <v>712</v>
      </c>
      <c r="E988" s="402" t="str">
        <f>VLOOKUP(Table13[[#This Row],[Column1]],[1]Sheet1!$A:$AO,5,FALSE)</f>
        <v>NP-53.1 Two Failed Biddings</v>
      </c>
      <c r="F988" s="446" t="str">
        <f>VLOOKUP(Table13[[#This Row],[Column1]],[1]Sheet1!$A:$AO,6,FALSE)</f>
        <v>N/A</v>
      </c>
      <c r="G988" s="402">
        <f>VLOOKUP(Table13[[#This Row],[Column1]],[1]Sheet1!$A:$AO,7,FALSE)</f>
        <v>45457</v>
      </c>
      <c r="H988" s="374"/>
      <c r="I988" s="402" t="str">
        <f>VLOOKUP(Table13[[#This Row],[Column1]],[1]Sheet1!$A:$AO,9,FALSE)</f>
        <v>N/A</v>
      </c>
      <c r="J988" s="402" t="str">
        <f>VLOOKUP(Table13[[#This Row],[Column1]],[1]Sheet1!$A:$AO,10,FALSE)</f>
        <v>N/A</v>
      </c>
      <c r="K988" s="402"/>
      <c r="L988" s="404"/>
      <c r="M988" s="402"/>
      <c r="N988" s="402"/>
      <c r="O988" s="402"/>
      <c r="P988" s="375"/>
      <c r="Q988" s="375"/>
      <c r="R988" s="376"/>
      <c r="S988" s="583"/>
      <c r="T988" s="583"/>
      <c r="U988" s="583"/>
      <c r="V988" s="376"/>
      <c r="W988" s="376"/>
      <c r="X988" s="402"/>
      <c r="Y988" s="402"/>
      <c r="Z988" s="610" t="s">
        <v>1478</v>
      </c>
      <c r="AA988" s="464">
        <f>IF(Table13[[#This Row],[Column2]]="","",SUM(Table13[[#This Row],[Column28]]+Table13[[#This Row],[Column29]]))</f>
        <v>172500</v>
      </c>
      <c r="AB988" s="455"/>
      <c r="AC988" s="452">
        <v>172500</v>
      </c>
      <c r="AD988" s="532">
        <f>IF(Table13[[#This Row],[Column2]]="","",SUM(Table13[[#This Row],[Column31]]+Table13[[#This Row],[Column32]]))</f>
        <v>0</v>
      </c>
      <c r="AE988" s="501"/>
      <c r="AF988" s="541"/>
      <c r="AG988" s="405"/>
      <c r="AH988" s="380" t="s">
        <v>1205</v>
      </c>
      <c r="AI988" s="576"/>
      <c r="AJ988" s="576"/>
      <c r="AK988" s="576"/>
      <c r="AL988" s="576"/>
      <c r="AM988" s="576"/>
      <c r="AN988" s="576"/>
      <c r="AO988" s="303" t="s">
        <v>175</v>
      </c>
      <c r="AP988" s="378"/>
      <c r="AQ988" s="237"/>
    </row>
    <row r="989" spans="1:43" s="238" customFormat="1" ht="75" customHeight="1" x14ac:dyDescent="0.25">
      <c r="A989" s="297" t="s">
        <v>1213</v>
      </c>
      <c r="B989" s="627" t="str">
        <f>VLOOKUP(Table13[[#This Row],[Column1]],[1]Sheet1!$A:$AO,2,FALSE)</f>
        <v>CONSTRUCTION MATERIALS</v>
      </c>
      <c r="C989" s="298" t="str">
        <f>VLOOKUP(Table13[[#This Row],[Column1]],[1]Sheet1!$A:$AO,3,FALSE)</f>
        <v>PGSO</v>
      </c>
      <c r="D989" s="298" t="s">
        <v>712</v>
      </c>
      <c r="E989" s="402" t="str">
        <f>VLOOKUP(Table13[[#This Row],[Column1]],[1]Sheet1!$A:$AO,5,FALSE)</f>
        <v>Competitive Bidding</v>
      </c>
      <c r="F989" s="446">
        <f>VLOOKUP(Table13[[#This Row],[Column1]],[1]Sheet1!$A:$AO,6,FALSE)</f>
        <v>45461</v>
      </c>
      <c r="G989" s="402">
        <f>VLOOKUP(Table13[[#This Row],[Column1]],[1]Sheet1!$A:$AO,7,FALSE)</f>
        <v>45467</v>
      </c>
      <c r="H989" s="374"/>
      <c r="I989" s="402" t="str">
        <f>VLOOKUP(Table13[[#This Row],[Column1]],[1]Sheet1!$A:$AO,9,FALSE)</f>
        <v>N/A</v>
      </c>
      <c r="J989" s="402" t="str">
        <f>VLOOKUP(Table13[[#This Row],[Column1]],[1]Sheet1!$A:$AO,10,FALSE)</f>
        <v>N/A</v>
      </c>
      <c r="K989" s="402">
        <f>VLOOKUP(Table13[[#This Row],[Column1]],[1]Sheet1!$A:$AO,11,FALSE)</f>
        <v>45475</v>
      </c>
      <c r="L989" s="404"/>
      <c r="M989" s="402"/>
      <c r="N989" s="402"/>
      <c r="O989" s="402"/>
      <c r="P989" s="375"/>
      <c r="Q989" s="375"/>
      <c r="R989" s="376"/>
      <c r="S989" s="583"/>
      <c r="T989" s="583"/>
      <c r="U989" s="583"/>
      <c r="V989" s="376"/>
      <c r="W989" s="376"/>
      <c r="X989" s="402"/>
      <c r="Y989" s="402"/>
      <c r="Z989" s="610" t="s">
        <v>1478</v>
      </c>
      <c r="AA989" s="464">
        <f>IF(Table13[[#This Row],[Column2]]="","",SUM(Table13[[#This Row],[Column28]]+Table13[[#This Row],[Column29]]))</f>
        <v>969925.06</v>
      </c>
      <c r="AB989" s="455"/>
      <c r="AC989" s="452">
        <v>969925.06</v>
      </c>
      <c r="AD989" s="532">
        <f>IF(Table13[[#This Row],[Column2]]="","",SUM(Table13[[#This Row],[Column31]]+Table13[[#This Row],[Column32]]))</f>
        <v>0</v>
      </c>
      <c r="AE989" s="501"/>
      <c r="AF989" s="541"/>
      <c r="AG989" s="405"/>
      <c r="AH989" s="380" t="s">
        <v>1205</v>
      </c>
      <c r="AI989" s="576"/>
      <c r="AJ989" s="576"/>
      <c r="AK989" s="576"/>
      <c r="AL989" s="576"/>
      <c r="AM989" s="576"/>
      <c r="AN989" s="576"/>
      <c r="AO989" s="303" t="s">
        <v>175</v>
      </c>
      <c r="AP989" s="378"/>
      <c r="AQ989" s="237"/>
    </row>
    <row r="990" spans="1:43" s="238" customFormat="1" ht="75" customHeight="1" x14ac:dyDescent="0.25">
      <c r="A990" s="297" t="s">
        <v>1214</v>
      </c>
      <c r="B990" s="627" t="str">
        <f>VLOOKUP(Table13[[#This Row],[Column1]],[1]Sheet1!$A:$AO,2,FALSE)</f>
        <v>MOBILE MULTIMEDIA CONTROLLER</v>
      </c>
      <c r="C990" s="298" t="str">
        <f>VLOOKUP(Table13[[#This Row],[Column1]],[1]Sheet1!$A:$AO,3,FALSE)</f>
        <v>PICTO</v>
      </c>
      <c r="D990" s="298" t="s">
        <v>712</v>
      </c>
      <c r="E990" s="402" t="str">
        <f>VLOOKUP(Table13[[#This Row],[Column1]],[1]Sheet1!$A:$AO,5,FALSE)</f>
        <v>NP-53.1 Two Failed Biddings</v>
      </c>
      <c r="F990" s="446" t="str">
        <f>VLOOKUP(Table13[[#This Row],[Column1]],[1]Sheet1!$A:$AO,6,FALSE)</f>
        <v>N/A</v>
      </c>
      <c r="G990" s="402">
        <f>VLOOKUP(Table13[[#This Row],[Column1]],[1]Sheet1!$A:$AO,7,FALSE)</f>
        <v>45429</v>
      </c>
      <c r="H990" s="374"/>
      <c r="I990" s="402"/>
      <c r="J990" s="402"/>
      <c r="K990" s="402"/>
      <c r="L990" s="404"/>
      <c r="M990" s="402"/>
      <c r="N990" s="402"/>
      <c r="O990" s="402"/>
      <c r="P990" s="375"/>
      <c r="Q990" s="375"/>
      <c r="R990" s="376"/>
      <c r="S990" s="583"/>
      <c r="T990" s="583"/>
      <c r="U990" s="583"/>
      <c r="V990" s="376"/>
      <c r="W990" s="376"/>
      <c r="X990" s="402"/>
      <c r="Y990" s="402"/>
      <c r="Z990" s="610" t="s">
        <v>1478</v>
      </c>
      <c r="AA990" s="464">
        <f>IF(Table13[[#This Row],[Column2]]="","",SUM(Table13[[#This Row],[Column28]]+Table13[[#This Row],[Column29]]))</f>
        <v>380000</v>
      </c>
      <c r="AB990" s="455"/>
      <c r="AC990" s="452">
        <v>380000</v>
      </c>
      <c r="AD990" s="532">
        <f>IF(Table13[[#This Row],[Column2]]="","",SUM(Table13[[#This Row],[Column31]]+Table13[[#This Row],[Column32]]))</f>
        <v>0</v>
      </c>
      <c r="AE990" s="501"/>
      <c r="AF990" s="541"/>
      <c r="AG990" s="405"/>
      <c r="AH990" s="380" t="s">
        <v>1205</v>
      </c>
      <c r="AI990" s="576"/>
      <c r="AJ990" s="576"/>
      <c r="AK990" s="576"/>
      <c r="AL990" s="576"/>
      <c r="AM990" s="576"/>
      <c r="AN990" s="576"/>
      <c r="AO990" s="303" t="s">
        <v>175</v>
      </c>
      <c r="AP990" s="378"/>
      <c r="AQ990" s="237"/>
    </row>
    <row r="991" spans="1:43" s="238" customFormat="1" ht="75" customHeight="1" x14ac:dyDescent="0.25">
      <c r="A991" s="297" t="s">
        <v>1215</v>
      </c>
      <c r="B991" s="627" t="str">
        <f>VLOOKUP(Table13[[#This Row],[Column1]],[1]Sheet1!$A:$AO,2,FALSE)</f>
        <v>MEALS AND SNACKS</v>
      </c>
      <c r="C991" s="298" t="str">
        <f>VLOOKUP(Table13[[#This Row],[Column1]],[1]Sheet1!$A:$AO,3,FALSE)</f>
        <v>PHO</v>
      </c>
      <c r="D991" s="298" t="s">
        <v>712</v>
      </c>
      <c r="E991" s="402" t="str">
        <f>VLOOKUP(Table13[[#This Row],[Column1]],[1]Sheet1!$A:$AO,5,FALSE)</f>
        <v>NP-53.1 Two Failed Biddings</v>
      </c>
      <c r="F991" s="446" t="str">
        <f>VLOOKUP(Table13[[#This Row],[Column1]],[1]Sheet1!$A:$AO,6,FALSE)</f>
        <v>N/A</v>
      </c>
      <c r="G991" s="402">
        <f>VLOOKUP(Table13[[#This Row],[Column1]],[1]Sheet1!$A:$AO,7,FALSE)</f>
        <v>45457</v>
      </c>
      <c r="H991" s="374"/>
      <c r="I991" s="402"/>
      <c r="J991" s="402"/>
      <c r="K991" s="402"/>
      <c r="L991" s="404"/>
      <c r="M991" s="402"/>
      <c r="N991" s="402"/>
      <c r="O991" s="402"/>
      <c r="P991" s="375"/>
      <c r="Q991" s="375"/>
      <c r="R991" s="376"/>
      <c r="S991" s="583"/>
      <c r="T991" s="583"/>
      <c r="U991" s="583"/>
      <c r="V991" s="376"/>
      <c r="W991" s="376"/>
      <c r="X991" s="402"/>
      <c r="Y991" s="402"/>
      <c r="Z991" s="610" t="s">
        <v>1478</v>
      </c>
      <c r="AA991" s="464">
        <f>IF(Table13[[#This Row],[Column2]]="","",SUM(Table13[[#This Row],[Column28]]+Table13[[#This Row],[Column29]]))</f>
        <v>493880</v>
      </c>
      <c r="AB991" s="455"/>
      <c r="AC991" s="452">
        <v>493880</v>
      </c>
      <c r="AD991" s="532">
        <f>IF(Table13[[#This Row],[Column2]]="","",SUM(Table13[[#This Row],[Column31]]+Table13[[#This Row],[Column32]]))</f>
        <v>0</v>
      </c>
      <c r="AE991" s="501"/>
      <c r="AF991" s="541"/>
      <c r="AG991" s="405"/>
      <c r="AH991" s="380" t="s">
        <v>1205</v>
      </c>
      <c r="AI991" s="576"/>
      <c r="AJ991" s="576"/>
      <c r="AK991" s="576"/>
      <c r="AL991" s="576"/>
      <c r="AM991" s="576"/>
      <c r="AN991" s="576"/>
      <c r="AO991" s="303" t="s">
        <v>175</v>
      </c>
      <c r="AP991" s="378"/>
      <c r="AQ991" s="237"/>
    </row>
    <row r="992" spans="1:43" s="238" customFormat="1" ht="75" customHeight="1" x14ac:dyDescent="0.25">
      <c r="A992" s="297" t="s">
        <v>1216</v>
      </c>
      <c r="B992" s="627" t="str">
        <f>VLOOKUP(Table13[[#This Row],[Column1]],[1]Sheet1!$A:$AO,2,FALSE)</f>
        <v>INTERNET SUBSCRIPTION B</v>
      </c>
      <c r="C992" s="298" t="str">
        <f>VLOOKUP(Table13[[#This Row],[Column1]],[1]Sheet1!$A:$AO,3,FALSE)</f>
        <v>PICTO</v>
      </c>
      <c r="D992" s="298" t="s">
        <v>712</v>
      </c>
      <c r="E992" s="402" t="str">
        <f>VLOOKUP(Table13[[#This Row],[Column1]],[1]Sheet1!$A:$AO,5,FALSE)</f>
        <v>Competitive Bidding</v>
      </c>
      <c r="F992" s="446">
        <f>VLOOKUP(Table13[[#This Row],[Column1]],[1]Sheet1!$A:$AO,6,FALSE)</f>
        <v>45390</v>
      </c>
      <c r="G992" s="402">
        <f>VLOOKUP(Table13[[#This Row],[Column1]],[1]Sheet1!$A:$AO,7,FALSE)</f>
        <v>45432</v>
      </c>
      <c r="H992" s="374"/>
      <c r="I992" s="402">
        <f>VLOOKUP(Table13[[#This Row],[Column1]],[1]Sheet1!$A:$AO,9,FALSE)</f>
        <v>45440</v>
      </c>
      <c r="J992" s="402">
        <f>VLOOKUP(Table13[[#This Row],[Column1]],[1]Sheet1!$A:$AO,10,FALSE)</f>
        <v>45454</v>
      </c>
      <c r="K992" s="402">
        <f>VLOOKUP(Table13[[#This Row],[Column1]],[1]Sheet1!$A:$AO,11,FALSE)</f>
        <v>45454</v>
      </c>
      <c r="L992" s="404"/>
      <c r="M992" s="402">
        <f>VLOOKUP(Table13[[#This Row],[Column1]],[1]Sheet1!$A:$AO,13,FALSE)</f>
        <v>45454</v>
      </c>
      <c r="N992" s="402"/>
      <c r="O992" s="402"/>
      <c r="P992" s="375"/>
      <c r="Q992" s="375"/>
      <c r="R992" s="376"/>
      <c r="S992" s="583"/>
      <c r="T992" s="583"/>
      <c r="U992" s="583"/>
      <c r="V992" s="376"/>
      <c r="W992" s="376"/>
      <c r="X992" s="402"/>
      <c r="Y992" s="402"/>
      <c r="Z992" s="610" t="s">
        <v>1478</v>
      </c>
      <c r="AA992" s="464">
        <f>IF(Table13[[#This Row],[Column2]]="","",SUM(Table13[[#This Row],[Column28]]+Table13[[#This Row],[Column29]]))</f>
        <v>1137576</v>
      </c>
      <c r="AB992" s="455"/>
      <c r="AC992" s="452">
        <v>1137576</v>
      </c>
      <c r="AD992" s="532">
        <f>IF(Table13[[#This Row],[Column2]]="","",SUM(Table13[[#This Row],[Column31]]+Table13[[#This Row],[Column32]]))</f>
        <v>0</v>
      </c>
      <c r="AE992" s="501"/>
      <c r="AF992" s="541"/>
      <c r="AG992" s="405"/>
      <c r="AH992" s="380" t="s">
        <v>1205</v>
      </c>
      <c r="AI992" s="576"/>
      <c r="AJ992" s="576"/>
      <c r="AK992" s="576"/>
      <c r="AL992" s="576"/>
      <c r="AM992" s="576"/>
      <c r="AN992" s="576"/>
      <c r="AO992" s="303" t="s">
        <v>175</v>
      </c>
      <c r="AP992" s="378"/>
      <c r="AQ992" s="237"/>
    </row>
    <row r="993" spans="1:43" s="238" customFormat="1" ht="75" customHeight="1" x14ac:dyDescent="0.25">
      <c r="A993" s="297" t="s">
        <v>1217</v>
      </c>
      <c r="B993" s="627" t="str">
        <f>VLOOKUP(Table13[[#This Row],[Column1]],[1]Sheet1!$A:$AO,2,FALSE)</f>
        <v>MEALS AND SNACKS</v>
      </c>
      <c r="C993" s="298" t="str">
        <f>VLOOKUP(Table13[[#This Row],[Column1]],[1]Sheet1!$A:$AO,3,FALSE)</f>
        <v>SEF</v>
      </c>
      <c r="D993" s="298" t="s">
        <v>712</v>
      </c>
      <c r="E993" s="402" t="str">
        <f>VLOOKUP(Table13[[#This Row],[Column1]],[1]Sheet1!$A:$AO,5,FALSE)</f>
        <v>Competitive Bidding</v>
      </c>
      <c r="F993" s="446" t="str">
        <f>VLOOKUP(Table13[[#This Row],[Column1]],[1]Sheet1!$A:$AO,6,FALSE)</f>
        <v>N/A</v>
      </c>
      <c r="G993" s="402">
        <f>VLOOKUP(Table13[[#This Row],[Column1]],[1]Sheet1!$A:$AO,7,FALSE)</f>
        <v>45455</v>
      </c>
      <c r="H993" s="374"/>
      <c r="I993" s="402" t="str">
        <f>VLOOKUP(Table13[[#This Row],[Column1]],[1]Sheet1!$A:$AO,9,FALSE)</f>
        <v>N/A</v>
      </c>
      <c r="J993" s="402">
        <f>VLOOKUP(Table13[[#This Row],[Column1]],[1]Sheet1!$A:$AO,10,FALSE)</f>
        <v>45468</v>
      </c>
      <c r="K993" s="402">
        <f>VLOOKUP(Table13[[#This Row],[Column1]],[1]Sheet1!$A:$AO,11,FALSE)</f>
        <v>45468</v>
      </c>
      <c r="L993" s="404"/>
      <c r="M993" s="402"/>
      <c r="N993" s="402"/>
      <c r="O993" s="402"/>
      <c r="P993" s="375"/>
      <c r="Q993" s="375"/>
      <c r="R993" s="376"/>
      <c r="S993" s="583"/>
      <c r="T993" s="583"/>
      <c r="U993" s="583"/>
      <c r="V993" s="376"/>
      <c r="W993" s="376"/>
      <c r="X993" s="402"/>
      <c r="Y993" s="402"/>
      <c r="Z993" s="610" t="s">
        <v>1478</v>
      </c>
      <c r="AA993" s="464">
        <f>IF(Table13[[#This Row],[Column2]]="","",SUM(Table13[[#This Row],[Column28]]+Table13[[#This Row],[Column29]]))</f>
        <v>400000</v>
      </c>
      <c r="AB993" s="455"/>
      <c r="AC993" s="452">
        <v>400000</v>
      </c>
      <c r="AD993" s="532">
        <f>IF(Table13[[#This Row],[Column2]]="","",SUM(Table13[[#This Row],[Column31]]+Table13[[#This Row],[Column32]]))</f>
        <v>0</v>
      </c>
      <c r="AE993" s="501"/>
      <c r="AF993" s="541"/>
      <c r="AG993" s="405"/>
      <c r="AH993" s="380" t="s">
        <v>1205</v>
      </c>
      <c r="AI993" s="576"/>
      <c r="AJ993" s="576"/>
      <c r="AK993" s="576"/>
      <c r="AL993" s="576"/>
      <c r="AM993" s="576"/>
      <c r="AN993" s="576"/>
      <c r="AO993" s="303" t="s">
        <v>175</v>
      </c>
      <c r="AP993" s="378"/>
      <c r="AQ993" s="237"/>
    </row>
    <row r="994" spans="1:43" s="238" customFormat="1" ht="75" customHeight="1" x14ac:dyDescent="0.25">
      <c r="A994" s="297" t="s">
        <v>1218</v>
      </c>
      <c r="B994" s="627" t="str">
        <f>VLOOKUP(Table13[[#This Row],[Column1]],[1]Sheet1!$A:$AO,2,FALSE)</f>
        <v>CONSTRUCTION MATERIALS</v>
      </c>
      <c r="C994" s="298" t="str">
        <f>VLOOKUP(Table13[[#This Row],[Column1]],[1]Sheet1!$A:$AO,3,FALSE)</f>
        <v>PEO</v>
      </c>
      <c r="D994" s="298" t="s">
        <v>712</v>
      </c>
      <c r="E994" s="402" t="str">
        <f>VLOOKUP(Table13[[#This Row],[Column1]],[1]Sheet1!$A:$AO,5,FALSE)</f>
        <v>Competitive Bidding</v>
      </c>
      <c r="F994" s="446">
        <f>VLOOKUP(Table13[[#This Row],[Column1]],[1]Sheet1!$A:$AO,6,FALSE)</f>
        <v>45440</v>
      </c>
      <c r="G994" s="402">
        <f>VLOOKUP(Table13[[#This Row],[Column1]],[1]Sheet1!$A:$AO,7,FALSE)</f>
        <v>45446</v>
      </c>
      <c r="H994" s="374"/>
      <c r="I994" s="402">
        <f>VLOOKUP(Table13[[#This Row],[Column1]],[1]Sheet1!$A:$AO,9,FALSE)</f>
        <v>45454</v>
      </c>
      <c r="J994" s="402">
        <f>VLOOKUP(Table13[[#This Row],[Column1]],[1]Sheet1!$A:$AO,10,FALSE)</f>
        <v>45468</v>
      </c>
      <c r="K994" s="402">
        <f>VLOOKUP(Table13[[#This Row],[Column1]],[1]Sheet1!$A:$AO,11,FALSE)</f>
        <v>45468</v>
      </c>
      <c r="L994" s="404"/>
      <c r="M994" s="402"/>
      <c r="N994" s="402"/>
      <c r="O994" s="402"/>
      <c r="P994" s="375"/>
      <c r="Q994" s="375"/>
      <c r="R994" s="376"/>
      <c r="S994" s="583"/>
      <c r="T994" s="583"/>
      <c r="U994" s="583"/>
      <c r="V994" s="376"/>
      <c r="W994" s="376"/>
      <c r="X994" s="402"/>
      <c r="Y994" s="402"/>
      <c r="Z994" s="610" t="s">
        <v>1478</v>
      </c>
      <c r="AA994" s="464">
        <f>IF(Table13[[#This Row],[Column2]]="","",SUM(Table13[[#This Row],[Column28]]+Table13[[#This Row],[Column29]]))</f>
        <v>5121025.16</v>
      </c>
      <c r="AB994" s="455"/>
      <c r="AC994" s="452">
        <v>5121025.16</v>
      </c>
      <c r="AD994" s="532">
        <f>IF(Table13[[#This Row],[Column2]]="","",SUM(Table13[[#This Row],[Column31]]+Table13[[#This Row],[Column32]]))</f>
        <v>0</v>
      </c>
      <c r="AE994" s="501"/>
      <c r="AF994" s="541"/>
      <c r="AG994" s="405"/>
      <c r="AH994" s="380" t="s">
        <v>1205</v>
      </c>
      <c r="AI994" s="576"/>
      <c r="AJ994" s="576"/>
      <c r="AK994" s="576"/>
      <c r="AL994" s="576"/>
      <c r="AM994" s="576"/>
      <c r="AN994" s="576"/>
      <c r="AO994" s="303" t="s">
        <v>175</v>
      </c>
      <c r="AP994" s="378"/>
      <c r="AQ994" s="237"/>
    </row>
    <row r="995" spans="1:43" s="238" customFormat="1" ht="75" customHeight="1" x14ac:dyDescent="0.25">
      <c r="A995" s="297" t="s">
        <v>1219</v>
      </c>
      <c r="B995" s="627" t="str">
        <f>VLOOKUP(Table13[[#This Row],[Column1]],[1]Sheet1!$A:$AO,2,FALSE)</f>
        <v>AIRCON, 5.0TR FLOOR MOUNTED SPLIT TYPE WITH INSTALLATION</v>
      </c>
      <c r="C995" s="298" t="str">
        <f>VLOOKUP(Table13[[#This Row],[Column1]],[1]Sheet1!$A:$AO,3,FALSE)</f>
        <v>PAO</v>
      </c>
      <c r="D995" s="298" t="s">
        <v>712</v>
      </c>
      <c r="E995" s="402" t="str">
        <f>VLOOKUP(Table13[[#This Row],[Column1]],[1]Sheet1!$A:$AO,5,FALSE)</f>
        <v>Competitive Bidding</v>
      </c>
      <c r="F995" s="446">
        <f>VLOOKUP(Table13[[#This Row],[Column1]],[1]Sheet1!$A:$AO,6,FALSE)</f>
        <v>45440</v>
      </c>
      <c r="G995" s="402">
        <f>VLOOKUP(Table13[[#This Row],[Column1]],[1]Sheet1!$A:$AO,7,FALSE)</f>
        <v>45462</v>
      </c>
      <c r="H995" s="374"/>
      <c r="I995" s="402" t="str">
        <f>VLOOKUP(Table13[[#This Row],[Column1]],[1]Sheet1!$A:$AO,9,FALSE)</f>
        <v>N/A</v>
      </c>
      <c r="J995" s="402"/>
      <c r="K995" s="402"/>
      <c r="L995" s="404"/>
      <c r="M995" s="402"/>
      <c r="N995" s="402"/>
      <c r="O995" s="402"/>
      <c r="P995" s="375"/>
      <c r="Q995" s="375"/>
      <c r="R995" s="376"/>
      <c r="S995" s="583"/>
      <c r="T995" s="583"/>
      <c r="U995" s="583"/>
      <c r="V995" s="376"/>
      <c r="W995" s="376"/>
      <c r="X995" s="402"/>
      <c r="Y995" s="402"/>
      <c r="Z995" s="610" t="s">
        <v>1478</v>
      </c>
      <c r="AA995" s="464">
        <f>IF(Table13[[#This Row],[Column2]]="","",SUM(Table13[[#This Row],[Column28]]+Table13[[#This Row],[Column29]]))</f>
        <v>107168</v>
      </c>
      <c r="AB995" s="455"/>
      <c r="AC995" s="452">
        <v>107168</v>
      </c>
      <c r="AD995" s="532">
        <f>IF(Table13[[#This Row],[Column2]]="","",SUM(Table13[[#This Row],[Column31]]+Table13[[#This Row],[Column32]]))</f>
        <v>0</v>
      </c>
      <c r="AE995" s="501"/>
      <c r="AF995" s="541"/>
      <c r="AG995" s="405"/>
      <c r="AH995" s="380" t="s">
        <v>1205</v>
      </c>
      <c r="AI995" s="576"/>
      <c r="AJ995" s="576"/>
      <c r="AK995" s="576"/>
      <c r="AL995" s="576"/>
      <c r="AM995" s="576"/>
      <c r="AN995" s="576"/>
      <c r="AO995" s="303" t="s">
        <v>175</v>
      </c>
      <c r="AP995" s="378"/>
      <c r="AQ995" s="237"/>
    </row>
    <row r="996" spans="1:43" s="238" customFormat="1" ht="75" customHeight="1" x14ac:dyDescent="0.25">
      <c r="A996" s="297" t="s">
        <v>1220</v>
      </c>
      <c r="B996" s="627" t="str">
        <f>VLOOKUP(Table13[[#This Row],[Column1]],[1]Sheet1!$A:$AO,2,FALSE)</f>
        <v>MOTORCYCLE (125 CC)</v>
      </c>
      <c r="C996" s="298" t="str">
        <f>VLOOKUP(Table13[[#This Row],[Column1]],[1]Sheet1!$A:$AO,3,FALSE)</f>
        <v>PDRRMO</v>
      </c>
      <c r="D996" s="298" t="s">
        <v>712</v>
      </c>
      <c r="E996" s="402" t="str">
        <f>VLOOKUP(Table13[[#This Row],[Column1]],[1]Sheet1!$A:$AO,5,FALSE)</f>
        <v>Competitive Bidding</v>
      </c>
      <c r="F996" s="446">
        <f>VLOOKUP(Table13[[#This Row],[Column1]],[1]Sheet1!$A:$AO,6,FALSE)</f>
        <v>45440</v>
      </c>
      <c r="G996" s="402">
        <f>VLOOKUP(Table13[[#This Row],[Column1]],[1]Sheet1!$A:$AO,7,FALSE)</f>
        <v>45462</v>
      </c>
      <c r="H996" s="374"/>
      <c r="I996" s="402" t="str">
        <f>VLOOKUP(Table13[[#This Row],[Column1]],[1]Sheet1!$A:$AO,9,FALSE)</f>
        <v>N/A</v>
      </c>
      <c r="J996" s="402"/>
      <c r="K996" s="402"/>
      <c r="L996" s="404"/>
      <c r="M996" s="402"/>
      <c r="N996" s="402"/>
      <c r="O996" s="402"/>
      <c r="P996" s="375"/>
      <c r="Q996" s="375"/>
      <c r="R996" s="376"/>
      <c r="S996" s="583"/>
      <c r="T996" s="583"/>
      <c r="U996" s="583"/>
      <c r="V996" s="376"/>
      <c r="W996" s="376"/>
      <c r="X996" s="402"/>
      <c r="Y996" s="402"/>
      <c r="Z996" s="610" t="s">
        <v>1478</v>
      </c>
      <c r="AA996" s="464">
        <f>IF(Table13[[#This Row],[Column2]]="","",SUM(Table13[[#This Row],[Column28]]+Table13[[#This Row],[Column29]]))</f>
        <v>160000</v>
      </c>
      <c r="AB996" s="455"/>
      <c r="AC996" s="452">
        <v>160000</v>
      </c>
      <c r="AD996" s="532">
        <f>IF(Table13[[#This Row],[Column2]]="","",SUM(Table13[[#This Row],[Column31]]+Table13[[#This Row],[Column32]]))</f>
        <v>0</v>
      </c>
      <c r="AE996" s="501"/>
      <c r="AF996" s="541"/>
      <c r="AG996" s="405"/>
      <c r="AH996" s="380" t="s">
        <v>1205</v>
      </c>
      <c r="AI996" s="576"/>
      <c r="AJ996" s="576"/>
      <c r="AK996" s="576"/>
      <c r="AL996" s="576"/>
      <c r="AM996" s="576"/>
      <c r="AN996" s="576"/>
      <c r="AO996" s="303" t="s">
        <v>175</v>
      </c>
      <c r="AP996" s="378"/>
      <c r="AQ996" s="237"/>
    </row>
    <row r="997" spans="1:43" s="238" customFormat="1" ht="75" customHeight="1" x14ac:dyDescent="0.25">
      <c r="A997" s="297" t="s">
        <v>1221</v>
      </c>
      <c r="B997" s="627" t="str">
        <f>VLOOKUP(Table13[[#This Row],[Column1]],[1]Sheet1!$A:$AO,2,FALSE)</f>
        <v>X-RAY MACHINE WITH DIGITAL
RADIOGRAPHY</v>
      </c>
      <c r="C997" s="298" t="str">
        <f>VLOOKUP(Table13[[#This Row],[Column1]],[1]Sheet1!$A:$AO,3,FALSE)</f>
        <v>PEEMO</v>
      </c>
      <c r="D997" s="298" t="s">
        <v>712</v>
      </c>
      <c r="E997" s="402" t="str">
        <f>VLOOKUP(Table13[[#This Row],[Column1]],[1]Sheet1!$A:$AO,5,FALSE)</f>
        <v>Competitive Bidding</v>
      </c>
      <c r="F997" s="446">
        <f>VLOOKUP(Table13[[#This Row],[Column1]],[1]Sheet1!$A:$AO,6,FALSE)</f>
        <v>45440</v>
      </c>
      <c r="G997" s="402">
        <f>VLOOKUP(Table13[[#This Row],[Column1]],[1]Sheet1!$A:$AO,7,FALSE)</f>
        <v>45446</v>
      </c>
      <c r="H997" s="374"/>
      <c r="I997" s="402">
        <f>VLOOKUP(Table13[[#This Row],[Column1]],[1]Sheet1!$A:$AO,9,FALSE)</f>
        <v>45454</v>
      </c>
      <c r="J997" s="402">
        <f>VLOOKUP(Table13[[#This Row],[Column1]],[1]Sheet1!$A:$AO,10,FALSE)</f>
        <v>45468</v>
      </c>
      <c r="K997" s="402"/>
      <c r="L997" s="404"/>
      <c r="M997" s="402"/>
      <c r="N997" s="402"/>
      <c r="O997" s="402"/>
      <c r="P997" s="375"/>
      <c r="Q997" s="375"/>
      <c r="R997" s="376"/>
      <c r="S997" s="583"/>
      <c r="T997" s="583"/>
      <c r="U997" s="583"/>
      <c r="V997" s="376"/>
      <c r="W997" s="376"/>
      <c r="X997" s="402"/>
      <c r="Y997" s="402"/>
      <c r="Z997" s="610" t="s">
        <v>1478</v>
      </c>
      <c r="AA997" s="464">
        <f>IF(Table13[[#This Row],[Column2]]="","",SUM(Table13[[#This Row],[Column28]]+Table13[[#This Row],[Column29]]))</f>
        <v>18600000</v>
      </c>
      <c r="AB997" s="455"/>
      <c r="AC997" s="452">
        <v>18600000</v>
      </c>
      <c r="AD997" s="532">
        <f>IF(Table13[[#This Row],[Column2]]="","",SUM(Table13[[#This Row],[Column31]]+Table13[[#This Row],[Column32]]))</f>
        <v>0</v>
      </c>
      <c r="AE997" s="501"/>
      <c r="AF997" s="541"/>
      <c r="AG997" s="405"/>
      <c r="AH997" s="380" t="s">
        <v>1205</v>
      </c>
      <c r="AI997" s="576"/>
      <c r="AJ997" s="576"/>
      <c r="AK997" s="576"/>
      <c r="AL997" s="576"/>
      <c r="AM997" s="576"/>
      <c r="AN997" s="576"/>
      <c r="AO997" s="303" t="s">
        <v>175</v>
      </c>
      <c r="AP997" s="378"/>
      <c r="AQ997" s="237"/>
    </row>
    <row r="998" spans="1:43" s="238" customFormat="1" ht="75" customHeight="1" x14ac:dyDescent="0.25">
      <c r="A998" s="297" t="s">
        <v>1222</v>
      </c>
      <c r="B998" s="627" t="str">
        <f>VLOOKUP(Table13[[#This Row],[Column1]],[1]Sheet1!$A:$AO,2,FALSE)</f>
        <v>CONTAINER VAN CLASS B, 20 FTR PAINTED, W/ PLY-BOARD FLOORING</v>
      </c>
      <c r="C998" s="298" t="str">
        <f>VLOOKUP(Table13[[#This Row],[Column1]],[1]Sheet1!$A:$AO,3,FALSE)</f>
        <v>PENRO</v>
      </c>
      <c r="D998" s="298" t="s">
        <v>712</v>
      </c>
      <c r="E998" s="402" t="str">
        <f>VLOOKUP(Table13[[#This Row],[Column1]],[1]Sheet1!$A:$AO,5,FALSE)</f>
        <v>Competitive Bidding</v>
      </c>
      <c r="F998" s="446" t="str">
        <f>VLOOKUP(Table13[[#This Row],[Column1]],[1]Sheet1!$A:$AO,6,FALSE)</f>
        <v>N/A</v>
      </c>
      <c r="G998" s="402">
        <f>VLOOKUP(Table13[[#This Row],[Column1]],[1]Sheet1!$A:$AO,7,FALSE)</f>
        <v>45462</v>
      </c>
      <c r="H998" s="374"/>
      <c r="I998" s="402"/>
      <c r="J998" s="402"/>
      <c r="K998" s="402"/>
      <c r="L998" s="404"/>
      <c r="M998" s="402"/>
      <c r="N998" s="402"/>
      <c r="O998" s="402"/>
      <c r="P998" s="375"/>
      <c r="Q998" s="375"/>
      <c r="R998" s="376"/>
      <c r="S998" s="583"/>
      <c r="T998" s="583"/>
      <c r="U998" s="583"/>
      <c r="V998" s="376"/>
      <c r="W998" s="376"/>
      <c r="X998" s="402"/>
      <c r="Y998" s="402"/>
      <c r="Z998" s="610" t="s">
        <v>1478</v>
      </c>
      <c r="AA998" s="464">
        <f>IF(Table13[[#This Row],[Column2]]="","",SUM(Table13[[#This Row],[Column28]]+Table13[[#This Row],[Column29]]))</f>
        <v>360000</v>
      </c>
      <c r="AB998" s="455"/>
      <c r="AC998" s="452">
        <v>360000</v>
      </c>
      <c r="AD998" s="532">
        <f>IF(Table13[[#This Row],[Column2]]="","",SUM(Table13[[#This Row],[Column31]]+Table13[[#This Row],[Column32]]))</f>
        <v>0</v>
      </c>
      <c r="AE998" s="501"/>
      <c r="AF998" s="541"/>
      <c r="AG998" s="405"/>
      <c r="AH998" s="380" t="s">
        <v>1205</v>
      </c>
      <c r="AI998" s="576"/>
      <c r="AJ998" s="576"/>
      <c r="AK998" s="576"/>
      <c r="AL998" s="576"/>
      <c r="AM998" s="576"/>
      <c r="AN998" s="576"/>
      <c r="AO998" s="303" t="s">
        <v>175</v>
      </c>
      <c r="AP998" s="378"/>
      <c r="AQ998" s="237"/>
    </row>
    <row r="999" spans="1:43" s="238" customFormat="1" ht="75" customHeight="1" x14ac:dyDescent="0.25">
      <c r="A999" s="297" t="s">
        <v>1223</v>
      </c>
      <c r="B999" s="627" t="str">
        <f>VLOOKUP(Table13[[#This Row],[Column1]],[1]Sheet1!$A:$AO,2,FALSE)</f>
        <v>MEALS AND SNACKS WITH ACCOMOODARION
NOTE: W/ PREBID</v>
      </c>
      <c r="C999" s="298" t="str">
        <f>VLOOKUP(Table13[[#This Row],[Column1]],[1]Sheet1!$A:$AO,3,FALSE)</f>
        <v>PDRRMO</v>
      </c>
      <c r="D999" s="298" t="s">
        <v>712</v>
      </c>
      <c r="E999" s="402" t="str">
        <f>VLOOKUP(Table13[[#This Row],[Column1]],[1]Sheet1!$A:$AO,5,FALSE)</f>
        <v>Competitive Bidding</v>
      </c>
      <c r="F999" s="446">
        <f>VLOOKUP(Table13[[#This Row],[Column1]],[1]Sheet1!$A:$AO,6,FALSE)</f>
        <v>45446</v>
      </c>
      <c r="G999" s="402">
        <f>VLOOKUP(Table13[[#This Row],[Column1]],[1]Sheet1!$A:$AO,7,FALSE)</f>
        <v>45461</v>
      </c>
      <c r="H999" s="374"/>
      <c r="I999" s="402" t="str">
        <f>VLOOKUP(Table13[[#This Row],[Column1]],[1]Sheet1!$A:$AO,9,FALSE)</f>
        <v>N/A</v>
      </c>
      <c r="J999" s="402"/>
      <c r="K999" s="402"/>
      <c r="L999" s="404"/>
      <c r="M999" s="402"/>
      <c r="N999" s="402"/>
      <c r="O999" s="402"/>
      <c r="P999" s="375"/>
      <c r="Q999" s="375"/>
      <c r="R999" s="376"/>
      <c r="S999" s="583"/>
      <c r="T999" s="583"/>
      <c r="U999" s="583"/>
      <c r="V999" s="376"/>
      <c r="W999" s="376"/>
      <c r="X999" s="402"/>
      <c r="Y999" s="402"/>
      <c r="Z999" s="610" t="s">
        <v>1478</v>
      </c>
      <c r="AA999" s="464">
        <f>IF(Table13[[#This Row],[Column2]]="","",SUM(Table13[[#This Row],[Column28]]+Table13[[#This Row],[Column29]]))</f>
        <v>287715</v>
      </c>
      <c r="AB999" s="455"/>
      <c r="AC999" s="452">
        <v>287715</v>
      </c>
      <c r="AD999" s="532">
        <f>IF(Table13[[#This Row],[Column2]]="","",SUM(Table13[[#This Row],[Column31]]+Table13[[#This Row],[Column32]]))</f>
        <v>0</v>
      </c>
      <c r="AE999" s="501"/>
      <c r="AF999" s="541"/>
      <c r="AG999" s="405"/>
      <c r="AH999" s="380" t="s">
        <v>1205</v>
      </c>
      <c r="AI999" s="576"/>
      <c r="AJ999" s="576"/>
      <c r="AK999" s="576"/>
      <c r="AL999" s="576"/>
      <c r="AM999" s="576"/>
      <c r="AN999" s="576"/>
      <c r="AO999" s="303" t="s">
        <v>175</v>
      </c>
      <c r="AP999" s="378"/>
      <c r="AQ999" s="237"/>
    </row>
    <row r="1000" spans="1:43" s="238" customFormat="1" ht="75" customHeight="1" x14ac:dyDescent="0.25">
      <c r="A1000" s="297" t="s">
        <v>1224</v>
      </c>
      <c r="B1000" s="627" t="str">
        <f>VLOOKUP(Table13[[#This Row],[Column1]],[1]Sheet1!$A:$AO,2,FALSE)</f>
        <v xml:space="preserve">MEALS AND SNACKS </v>
      </c>
      <c r="C1000" s="298" t="str">
        <f>VLOOKUP(Table13[[#This Row],[Column1]],[1]Sheet1!$A:$AO,3,FALSE)</f>
        <v>PDRRMO</v>
      </c>
      <c r="D1000" s="298" t="s">
        <v>712</v>
      </c>
      <c r="E1000" s="402" t="str">
        <f>VLOOKUP(Table13[[#This Row],[Column1]],[1]Sheet1!$A:$AO,5,FALSE)</f>
        <v>Competitive Bidding</v>
      </c>
      <c r="F1000" s="446">
        <f>VLOOKUP(Table13[[#This Row],[Column1]],[1]Sheet1!$A:$AO,6,FALSE)</f>
        <v>45446</v>
      </c>
      <c r="G1000" s="402">
        <f>VLOOKUP(Table13[[#This Row],[Column1]],[1]Sheet1!$A:$AO,7,FALSE)</f>
        <v>45455</v>
      </c>
      <c r="H1000" s="374"/>
      <c r="I1000" s="402"/>
      <c r="J1000" s="402"/>
      <c r="K1000" s="402"/>
      <c r="L1000" s="404"/>
      <c r="M1000" s="402"/>
      <c r="N1000" s="402"/>
      <c r="O1000" s="402"/>
      <c r="P1000" s="375"/>
      <c r="Q1000" s="375"/>
      <c r="R1000" s="376"/>
      <c r="S1000" s="583"/>
      <c r="T1000" s="583"/>
      <c r="U1000" s="583"/>
      <c r="V1000" s="376"/>
      <c r="W1000" s="376"/>
      <c r="X1000" s="402"/>
      <c r="Y1000" s="402"/>
      <c r="Z1000" s="610" t="s">
        <v>1478</v>
      </c>
      <c r="AA1000" s="464">
        <f>IF(Table13[[#This Row],[Column2]]="","",SUM(Table13[[#This Row],[Column28]]+Table13[[#This Row],[Column29]]))</f>
        <v>990960</v>
      </c>
      <c r="AB1000" s="455"/>
      <c r="AC1000" s="452">
        <v>990960</v>
      </c>
      <c r="AD1000" s="532">
        <f>IF(Table13[[#This Row],[Column2]]="","",SUM(Table13[[#This Row],[Column31]]+Table13[[#This Row],[Column32]]))</f>
        <v>0</v>
      </c>
      <c r="AE1000" s="501"/>
      <c r="AF1000" s="541"/>
      <c r="AG1000" s="405"/>
      <c r="AH1000" s="380" t="s">
        <v>1205</v>
      </c>
      <c r="AI1000" s="576"/>
      <c r="AJ1000" s="576"/>
      <c r="AK1000" s="576"/>
      <c r="AL1000" s="576"/>
      <c r="AM1000" s="576"/>
      <c r="AN1000" s="576"/>
      <c r="AO1000" s="303" t="s">
        <v>175</v>
      </c>
      <c r="AP1000" s="378"/>
      <c r="AQ1000" s="237"/>
    </row>
    <row r="1001" spans="1:43" s="238" customFormat="1" ht="75" customHeight="1" x14ac:dyDescent="0.25">
      <c r="A1001" s="297" t="s">
        <v>1225</v>
      </c>
      <c r="B1001" s="627" t="str">
        <f>VLOOKUP(Table13[[#This Row],[Column1]],[1]Sheet1!$A:$AO,2,FALSE)</f>
        <v>AGRICULTURAL SUPPLIES</v>
      </c>
      <c r="C1001" s="298" t="str">
        <f>VLOOKUP(Table13[[#This Row],[Column1]],[1]Sheet1!$A:$AO,3,FALSE)</f>
        <v>PAGRO</v>
      </c>
      <c r="D1001" s="298" t="s">
        <v>712</v>
      </c>
      <c r="E1001" s="402" t="str">
        <f>VLOOKUP(Table13[[#This Row],[Column1]],[1]Sheet1!$A:$AO,5,FALSE)</f>
        <v>Competitive Bidding</v>
      </c>
      <c r="F1001" s="446" t="str">
        <f>VLOOKUP(Table13[[#This Row],[Column1]],[1]Sheet1!$A:$AO,6,FALSE)</f>
        <v>N/A</v>
      </c>
      <c r="G1001" s="402">
        <f>VLOOKUP(Table13[[#This Row],[Column1]],[1]Sheet1!$A:$AO,7,FALSE)</f>
        <v>45439</v>
      </c>
      <c r="H1001" s="374"/>
      <c r="I1001" s="402">
        <f>VLOOKUP(Table13[[#This Row],[Column1]],[1]Sheet1!$A:$AO,9,FALSE)</f>
        <v>45454</v>
      </c>
      <c r="J1001" s="402">
        <f>VLOOKUP(Table13[[#This Row],[Column1]],[1]Sheet1!$A:$AO,10,FALSE)</f>
        <v>45468</v>
      </c>
      <c r="K1001" s="402"/>
      <c r="L1001" s="404"/>
      <c r="M1001" s="402"/>
      <c r="N1001" s="402"/>
      <c r="O1001" s="402"/>
      <c r="P1001" s="375"/>
      <c r="Q1001" s="375"/>
      <c r="R1001" s="376"/>
      <c r="S1001" s="583"/>
      <c r="T1001" s="583"/>
      <c r="U1001" s="583"/>
      <c r="V1001" s="376"/>
      <c r="W1001" s="376"/>
      <c r="X1001" s="402"/>
      <c r="Y1001" s="402"/>
      <c r="Z1001" s="610" t="s">
        <v>1478</v>
      </c>
      <c r="AA1001" s="454">
        <f>IF(Table13[[#This Row],[Column2]]="","",SUM(Table13[[#This Row],[Column28]]+Table13[[#This Row],[Column29]]))</f>
        <v>1156325</v>
      </c>
      <c r="AB1001" s="455"/>
      <c r="AC1001" s="452">
        <v>1156325</v>
      </c>
      <c r="AD1001" s="451">
        <f>IF(Table13[[#This Row],[Column2]]="","",SUM(Table13[[#This Row],[Column31]]+Table13[[#This Row],[Column32]]))</f>
        <v>0</v>
      </c>
      <c r="AE1001" s="453"/>
      <c r="AF1001" s="646"/>
      <c r="AG1001" s="405"/>
      <c r="AH1001" s="380" t="s">
        <v>1205</v>
      </c>
      <c r="AI1001" s="576"/>
      <c r="AJ1001" s="576"/>
      <c r="AK1001" s="576"/>
      <c r="AL1001" s="576"/>
      <c r="AM1001" s="576"/>
      <c r="AN1001" s="576"/>
      <c r="AO1001" s="303" t="s">
        <v>175</v>
      </c>
      <c r="AP1001" s="378"/>
      <c r="AQ1001" s="237"/>
    </row>
    <row r="1002" spans="1:43" s="238" customFormat="1" ht="75" customHeight="1" x14ac:dyDescent="0.25">
      <c r="A1002" s="297" t="s">
        <v>1226</v>
      </c>
      <c r="B1002" s="627" t="str">
        <f>VLOOKUP(Table13[[#This Row],[Column1]],[1]Sheet1!$A:$AO,2,FALSE)</f>
        <v>DRUGS AND MEDICINES</v>
      </c>
      <c r="C1002" s="298" t="str">
        <f>VLOOKUP(Table13[[#This Row],[Column1]],[1]Sheet1!$A:$AO,3,FALSE)</f>
        <v>PDRRMO</v>
      </c>
      <c r="D1002" s="298" t="s">
        <v>712</v>
      </c>
      <c r="E1002" s="402" t="str">
        <f>VLOOKUP(Table13[[#This Row],[Column1]],[1]Sheet1!$A:$AO,5,FALSE)</f>
        <v>Competitive Bidding</v>
      </c>
      <c r="F1002" s="446">
        <f>VLOOKUP(Table13[[#This Row],[Column1]],[1]Sheet1!$A:$AO,6,FALSE)</f>
        <v>45454</v>
      </c>
      <c r="G1002" s="402">
        <f>VLOOKUP(Table13[[#This Row],[Column1]],[1]Sheet1!$A:$AO,7,FALSE)</f>
        <v>45462</v>
      </c>
      <c r="H1002" s="374"/>
      <c r="I1002" s="402" t="str">
        <f>VLOOKUP(Table13[[#This Row],[Column1]],[1]Sheet1!$A:$AO,9,FALSE)</f>
        <v>N/A</v>
      </c>
      <c r="J1002" s="402"/>
      <c r="K1002" s="402"/>
      <c r="L1002" s="404"/>
      <c r="M1002" s="402"/>
      <c r="N1002" s="402"/>
      <c r="O1002" s="402"/>
      <c r="P1002" s="375"/>
      <c r="Q1002" s="375"/>
      <c r="R1002" s="376"/>
      <c r="S1002" s="583"/>
      <c r="T1002" s="583"/>
      <c r="U1002" s="583"/>
      <c r="V1002" s="376"/>
      <c r="W1002" s="376"/>
      <c r="X1002" s="402"/>
      <c r="Y1002" s="402"/>
      <c r="Z1002" s="610" t="s">
        <v>1478</v>
      </c>
      <c r="AA1002" s="454">
        <f>IF(Table13[[#This Row],[Column2]]="","",SUM(Table13[[#This Row],[Column28]]+Table13[[#This Row],[Column29]]))</f>
        <v>714902.08</v>
      </c>
      <c r="AB1002" s="455"/>
      <c r="AC1002" s="452">
        <v>714902.08</v>
      </c>
      <c r="AD1002" s="451">
        <f>IF(Table13[[#This Row],[Column2]]="","",SUM(Table13[[#This Row],[Column31]]+Table13[[#This Row],[Column32]]))</f>
        <v>0</v>
      </c>
      <c r="AE1002" s="453"/>
      <c r="AF1002" s="646"/>
      <c r="AG1002" s="405"/>
      <c r="AH1002" s="380" t="s">
        <v>1205</v>
      </c>
      <c r="AI1002" s="576"/>
      <c r="AJ1002" s="576"/>
      <c r="AK1002" s="576"/>
      <c r="AL1002" s="576"/>
      <c r="AM1002" s="576"/>
      <c r="AN1002" s="576"/>
      <c r="AO1002" s="303" t="s">
        <v>175</v>
      </c>
      <c r="AP1002" s="378"/>
      <c r="AQ1002" s="237"/>
    </row>
    <row r="1003" spans="1:43" s="238" customFormat="1" ht="75" customHeight="1" x14ac:dyDescent="0.25">
      <c r="A1003" s="297" t="s">
        <v>1227</v>
      </c>
      <c r="B1003" s="627" t="str">
        <f>VLOOKUP(Table13[[#This Row],[Column1]],[1]Sheet1!$A:$AO,2,FALSE)</f>
        <v>CONSTRUCTION MATERIALS</v>
      </c>
      <c r="C1003" s="298" t="str">
        <f>VLOOKUP(Table13[[#This Row],[Column1]],[1]Sheet1!$A:$AO,3,FALSE)</f>
        <v>PGO</v>
      </c>
      <c r="D1003" s="298" t="s">
        <v>712</v>
      </c>
      <c r="E1003" s="402" t="str">
        <f>VLOOKUP(Table13[[#This Row],[Column1]],[1]Sheet1!$A:$AO,5,FALSE)</f>
        <v>Competitive Bidding</v>
      </c>
      <c r="F1003" s="446">
        <f>VLOOKUP(Table13[[#This Row],[Column1]],[1]Sheet1!$A:$AO,6,FALSE)</f>
        <v>45454</v>
      </c>
      <c r="G1003" s="402">
        <f>VLOOKUP(Table13[[#This Row],[Column1]],[1]Sheet1!$A:$AO,7,FALSE)</f>
        <v>45467</v>
      </c>
      <c r="H1003" s="374"/>
      <c r="I1003" s="402" t="str">
        <f>VLOOKUP(Table13[[#This Row],[Column1]],[1]Sheet1!$A:$AO,9,FALSE)</f>
        <v>N/A</v>
      </c>
      <c r="J1003" s="402"/>
      <c r="K1003" s="402"/>
      <c r="L1003" s="404"/>
      <c r="M1003" s="402"/>
      <c r="N1003" s="402"/>
      <c r="O1003" s="402"/>
      <c r="P1003" s="375"/>
      <c r="Q1003" s="375"/>
      <c r="R1003" s="376"/>
      <c r="S1003" s="583"/>
      <c r="T1003" s="583"/>
      <c r="U1003" s="583"/>
      <c r="V1003" s="376"/>
      <c r="W1003" s="376"/>
      <c r="X1003" s="402"/>
      <c r="Y1003" s="402"/>
      <c r="Z1003" s="610" t="s">
        <v>1478</v>
      </c>
      <c r="AA1003" s="454">
        <f>IF(Table13[[#This Row],[Column2]]="","",SUM(Table13[[#This Row],[Column28]]+Table13[[#This Row],[Column29]]))</f>
        <v>880620</v>
      </c>
      <c r="AB1003" s="455"/>
      <c r="AC1003" s="452">
        <v>880620</v>
      </c>
      <c r="AD1003" s="451">
        <f>IF(Table13[[#This Row],[Column2]]="","",SUM(Table13[[#This Row],[Column31]]+Table13[[#This Row],[Column32]]))</f>
        <v>0</v>
      </c>
      <c r="AE1003" s="453"/>
      <c r="AF1003" s="646"/>
      <c r="AG1003" s="405"/>
      <c r="AH1003" s="380" t="s">
        <v>1205</v>
      </c>
      <c r="AI1003" s="576"/>
      <c r="AJ1003" s="576"/>
      <c r="AK1003" s="576"/>
      <c r="AL1003" s="576"/>
      <c r="AM1003" s="576"/>
      <c r="AN1003" s="576"/>
      <c r="AO1003" s="303" t="s">
        <v>175</v>
      </c>
      <c r="AP1003" s="378"/>
      <c r="AQ1003" s="237"/>
    </row>
    <row r="1004" spans="1:43" s="238" customFormat="1" ht="75" customHeight="1" x14ac:dyDescent="0.25">
      <c r="A1004" s="297" t="s">
        <v>1228</v>
      </c>
      <c r="B1004" s="627" t="str">
        <f>VLOOKUP(Table13[[#This Row],[Column1]],[1]Sheet1!$A:$AO,2,FALSE)</f>
        <v>CONSTRUCTION MATERIALS</v>
      </c>
      <c r="C1004" s="298" t="str">
        <f>VLOOKUP(Table13[[#This Row],[Column1]],[1]Sheet1!$A:$AO,3,FALSE)</f>
        <v>PEO</v>
      </c>
      <c r="D1004" s="298" t="s">
        <v>712</v>
      </c>
      <c r="E1004" s="402" t="str">
        <f>VLOOKUP(Table13[[#This Row],[Column1]],[1]Sheet1!$A:$AO,5,FALSE)</f>
        <v>Competitive Bidding</v>
      </c>
      <c r="F1004" s="446">
        <f>VLOOKUP(Table13[[#This Row],[Column1]],[1]Sheet1!$A:$AO,6,FALSE)</f>
        <v>45454</v>
      </c>
      <c r="G1004" s="402">
        <f>VLOOKUP(Table13[[#This Row],[Column1]],[1]Sheet1!$A:$AO,7,FALSE)</f>
        <v>45462</v>
      </c>
      <c r="H1004" s="374"/>
      <c r="I1004" s="402" t="str">
        <f>VLOOKUP(Table13[[#This Row],[Column1]],[1]Sheet1!$A:$AO,9,FALSE)</f>
        <v>N/A</v>
      </c>
      <c r="J1004" s="402"/>
      <c r="K1004" s="402"/>
      <c r="L1004" s="404"/>
      <c r="M1004" s="402"/>
      <c r="N1004" s="402"/>
      <c r="O1004" s="402"/>
      <c r="P1004" s="375"/>
      <c r="Q1004" s="375"/>
      <c r="R1004" s="376"/>
      <c r="S1004" s="583"/>
      <c r="T1004" s="583"/>
      <c r="U1004" s="583"/>
      <c r="V1004" s="376"/>
      <c r="W1004" s="376"/>
      <c r="X1004" s="402"/>
      <c r="Y1004" s="402"/>
      <c r="Z1004" s="610" t="s">
        <v>1478</v>
      </c>
      <c r="AA1004" s="454">
        <f>IF(Table13[[#This Row],[Column2]]="","",SUM(Table13[[#This Row],[Column28]]+Table13[[#This Row],[Column29]]))</f>
        <v>452607.32</v>
      </c>
      <c r="AB1004" s="455"/>
      <c r="AC1004" s="452">
        <v>452607.32</v>
      </c>
      <c r="AD1004" s="451">
        <f>IF(Table13[[#This Row],[Column2]]="","",SUM(Table13[[#This Row],[Column31]]+Table13[[#This Row],[Column32]]))</f>
        <v>0</v>
      </c>
      <c r="AE1004" s="453"/>
      <c r="AF1004" s="646"/>
      <c r="AG1004" s="405"/>
      <c r="AH1004" s="380" t="s">
        <v>1205</v>
      </c>
      <c r="AI1004" s="576"/>
      <c r="AJ1004" s="576"/>
      <c r="AK1004" s="576"/>
      <c r="AL1004" s="576"/>
      <c r="AM1004" s="576"/>
      <c r="AN1004" s="576"/>
      <c r="AO1004" s="303" t="s">
        <v>175</v>
      </c>
      <c r="AP1004" s="378"/>
      <c r="AQ1004" s="237"/>
    </row>
    <row r="1005" spans="1:43" s="238" customFormat="1" ht="75" customHeight="1" x14ac:dyDescent="0.25">
      <c r="A1005" s="297" t="s">
        <v>1229</v>
      </c>
      <c r="B1005" s="627" t="str">
        <f>VLOOKUP(Table13[[#This Row],[Column1]],[1]Sheet1!$A:$AO,2,FALSE)</f>
        <v>MEALS AND SNACKS WITH ACCOMMODATION</v>
      </c>
      <c r="C1005" s="298" t="str">
        <f>VLOOKUP(Table13[[#This Row],[Column1]],[1]Sheet1!$A:$AO,3,FALSE)</f>
        <v>PLO</v>
      </c>
      <c r="D1005" s="298" t="s">
        <v>712</v>
      </c>
      <c r="E1005" s="402" t="str">
        <f>VLOOKUP(Table13[[#This Row],[Column1]],[1]Sheet1!$A:$AO,5,FALSE)</f>
        <v>Competitive Bidding</v>
      </c>
      <c r="F1005" s="446">
        <f>VLOOKUP(Table13[[#This Row],[Column1]],[1]Sheet1!$A:$AO,6,FALSE)</f>
        <v>45454</v>
      </c>
      <c r="G1005" s="402">
        <f>VLOOKUP(Table13[[#This Row],[Column1]],[1]Sheet1!$A:$AO,7,FALSE)</f>
        <v>45467</v>
      </c>
      <c r="H1005" s="374"/>
      <c r="I1005" s="402">
        <f>VLOOKUP(Table13[[#This Row],[Column1]],[1]Sheet1!$A:$AO,9,FALSE)</f>
        <v>45475</v>
      </c>
      <c r="J1005" s="402"/>
      <c r="K1005" s="402"/>
      <c r="L1005" s="404"/>
      <c r="M1005" s="402"/>
      <c r="N1005" s="402"/>
      <c r="O1005" s="402"/>
      <c r="P1005" s="375"/>
      <c r="Q1005" s="375"/>
      <c r="R1005" s="376"/>
      <c r="S1005" s="583"/>
      <c r="T1005" s="583"/>
      <c r="U1005" s="583"/>
      <c r="V1005" s="376"/>
      <c r="W1005" s="376"/>
      <c r="X1005" s="402"/>
      <c r="Y1005" s="402"/>
      <c r="Z1005" s="610" t="s">
        <v>1478</v>
      </c>
      <c r="AA1005" s="454">
        <f>IF(Table13[[#This Row],[Column2]]="","",SUM(Table13[[#This Row],[Column28]]+Table13[[#This Row],[Column29]]))</f>
        <v>3520000</v>
      </c>
      <c r="AB1005" s="455"/>
      <c r="AC1005" s="452">
        <v>3520000</v>
      </c>
      <c r="AD1005" s="451">
        <f>IF(Table13[[#This Row],[Column2]]="","",SUM(Table13[[#This Row],[Column31]]+Table13[[#This Row],[Column32]]))</f>
        <v>0</v>
      </c>
      <c r="AE1005" s="453"/>
      <c r="AF1005" s="646"/>
      <c r="AG1005" s="405"/>
      <c r="AH1005" s="380" t="s">
        <v>1205</v>
      </c>
      <c r="AI1005" s="576"/>
      <c r="AJ1005" s="576"/>
      <c r="AK1005" s="576"/>
      <c r="AL1005" s="576"/>
      <c r="AM1005" s="576"/>
      <c r="AN1005" s="576"/>
      <c r="AO1005" s="303" t="s">
        <v>175</v>
      </c>
      <c r="AP1005" s="378"/>
      <c r="AQ1005" s="237"/>
    </row>
    <row r="1006" spans="1:43" s="238" customFormat="1" ht="75" customHeight="1" x14ac:dyDescent="0.25">
      <c r="A1006" s="297" t="s">
        <v>1230</v>
      </c>
      <c r="B1006" s="627" t="str">
        <f>VLOOKUP(Table13[[#This Row],[Column1]],[1]Sheet1!$A:$AO,2,FALSE)</f>
        <v>MEALS AND SNACKS WITH VENUE</v>
      </c>
      <c r="C1006" s="298" t="str">
        <f>VLOOKUP(Table13[[#This Row],[Column1]],[1]Sheet1!$A:$AO,3,FALSE)</f>
        <v>PHO</v>
      </c>
      <c r="D1006" s="298" t="s">
        <v>712</v>
      </c>
      <c r="E1006" s="402" t="str">
        <f>VLOOKUP(Table13[[#This Row],[Column1]],[1]Sheet1!$A:$AO,5,FALSE)</f>
        <v>Competitive Bidding</v>
      </c>
      <c r="F1006" s="446">
        <f>VLOOKUP(Table13[[#This Row],[Column1]],[1]Sheet1!$A:$AO,6,FALSE)</f>
        <v>45454</v>
      </c>
      <c r="G1006" s="402">
        <f>VLOOKUP(Table13[[#This Row],[Column1]],[1]Sheet1!$A:$AO,7,FALSE)</f>
        <v>45462</v>
      </c>
      <c r="H1006" s="374"/>
      <c r="I1006" s="402">
        <f>VLOOKUP(Table13[[#This Row],[Column1]],[1]Sheet1!$A:$AO,9,FALSE)</f>
        <v>45475</v>
      </c>
      <c r="J1006" s="402"/>
      <c r="K1006" s="402"/>
      <c r="L1006" s="404"/>
      <c r="M1006" s="402"/>
      <c r="N1006" s="402"/>
      <c r="O1006" s="402"/>
      <c r="P1006" s="375"/>
      <c r="Q1006" s="375"/>
      <c r="R1006" s="376"/>
      <c r="S1006" s="583"/>
      <c r="T1006" s="583"/>
      <c r="U1006" s="583"/>
      <c r="V1006" s="376"/>
      <c r="W1006" s="376"/>
      <c r="X1006" s="402"/>
      <c r="Y1006" s="402"/>
      <c r="Z1006" s="610" t="s">
        <v>1478</v>
      </c>
      <c r="AA1006" s="454">
        <f>IF(Table13[[#This Row],[Column2]]="","",SUM(Table13[[#This Row],[Column28]]+Table13[[#This Row],[Column29]]))</f>
        <v>588590</v>
      </c>
      <c r="AB1006" s="455"/>
      <c r="AC1006" s="452">
        <v>588590</v>
      </c>
      <c r="AD1006" s="451">
        <f>IF(Table13[[#This Row],[Column2]]="","",SUM(Table13[[#This Row],[Column31]]+Table13[[#This Row],[Column32]]))</f>
        <v>0</v>
      </c>
      <c r="AE1006" s="453"/>
      <c r="AF1006" s="646"/>
      <c r="AG1006" s="405"/>
      <c r="AH1006" s="380" t="s">
        <v>1205</v>
      </c>
      <c r="AI1006" s="576"/>
      <c r="AJ1006" s="576"/>
      <c r="AK1006" s="576"/>
      <c r="AL1006" s="576"/>
      <c r="AM1006" s="576"/>
      <c r="AN1006" s="576"/>
      <c r="AO1006" s="303" t="s">
        <v>175</v>
      </c>
      <c r="AP1006" s="378"/>
      <c r="AQ1006" s="237"/>
    </row>
    <row r="1007" spans="1:43" s="238" customFormat="1" ht="75" customHeight="1" x14ac:dyDescent="0.25">
      <c r="A1007" s="297" t="s">
        <v>1231</v>
      </c>
      <c r="B1007" s="627" t="str">
        <f>VLOOKUP(Table13[[#This Row],[Column1]],[1]Sheet1!$A:$AO,2,FALSE)</f>
        <v>MEALS AND SNACKS WITH ACCOMMODATION</v>
      </c>
      <c r="C1007" s="298" t="str">
        <f>VLOOKUP(Table13[[#This Row],[Column1]],[1]Sheet1!$A:$AO,3,FALSE)</f>
        <v>PAO</v>
      </c>
      <c r="D1007" s="298" t="s">
        <v>712</v>
      </c>
      <c r="E1007" s="402" t="str">
        <f>VLOOKUP(Table13[[#This Row],[Column1]],[1]Sheet1!$A:$AO,5,FALSE)</f>
        <v>Competitive Bidding</v>
      </c>
      <c r="F1007" s="446" t="str">
        <f>VLOOKUP(Table13[[#This Row],[Column1]],[1]Sheet1!$A:$AO,6,FALSE)</f>
        <v>N/A</v>
      </c>
      <c r="G1007" s="402">
        <f>VLOOKUP(Table13[[#This Row],[Column1]],[1]Sheet1!$A:$AO,7,FALSE)</f>
        <v>45455</v>
      </c>
      <c r="H1007" s="374"/>
      <c r="I1007" s="402" t="str">
        <f>VLOOKUP(Table13[[#This Row],[Column1]],[1]Sheet1!$A:$AO,9,FALSE)</f>
        <v>N/A</v>
      </c>
      <c r="J1007" s="402">
        <f>VLOOKUP(Table13[[#This Row],[Column1]],[1]Sheet1!$A:$AO,10,FALSE)</f>
        <v>45468</v>
      </c>
      <c r="K1007" s="402"/>
      <c r="L1007" s="404"/>
      <c r="M1007" s="402"/>
      <c r="N1007" s="402"/>
      <c r="O1007" s="402"/>
      <c r="P1007" s="375"/>
      <c r="Q1007" s="375"/>
      <c r="R1007" s="376"/>
      <c r="S1007" s="583"/>
      <c r="T1007" s="583"/>
      <c r="U1007" s="583"/>
      <c r="V1007" s="376"/>
      <c r="W1007" s="376"/>
      <c r="X1007" s="402"/>
      <c r="Y1007" s="402"/>
      <c r="Z1007" s="610" t="s">
        <v>1478</v>
      </c>
      <c r="AA1007" s="454">
        <f>IF(Table13[[#This Row],[Column2]]="","",SUM(Table13[[#This Row],[Column28]]+Table13[[#This Row],[Column29]]))</f>
        <v>560000</v>
      </c>
      <c r="AB1007" s="455"/>
      <c r="AC1007" s="452">
        <v>560000</v>
      </c>
      <c r="AD1007" s="451">
        <f>IF(Table13[[#This Row],[Column2]]="","",SUM(Table13[[#This Row],[Column31]]+Table13[[#This Row],[Column32]]))</f>
        <v>0</v>
      </c>
      <c r="AE1007" s="453"/>
      <c r="AF1007" s="646"/>
      <c r="AG1007" s="405"/>
      <c r="AH1007" s="380" t="s">
        <v>1205</v>
      </c>
      <c r="AI1007" s="576" t="s">
        <v>713</v>
      </c>
      <c r="AJ1007" s="576">
        <v>45463</v>
      </c>
      <c r="AK1007" s="576">
        <v>45463</v>
      </c>
      <c r="AL1007" s="576">
        <v>45463</v>
      </c>
      <c r="AM1007" s="576" t="s">
        <v>713</v>
      </c>
      <c r="AN1007" s="576" t="s">
        <v>713</v>
      </c>
      <c r="AO1007" s="303" t="s">
        <v>175</v>
      </c>
      <c r="AP1007" s="378"/>
      <c r="AQ1007" s="237"/>
    </row>
    <row r="1008" spans="1:43" s="238" customFormat="1" ht="75" customHeight="1" x14ac:dyDescent="0.25">
      <c r="A1008" s="297" t="s">
        <v>1232</v>
      </c>
      <c r="B1008" s="627" t="str">
        <f>VLOOKUP(Table13[[#This Row],[Column1]],[1]Sheet1!$A:$AO,2,FALSE)</f>
        <v>LAPTOP (CLERICAL WORK)</v>
      </c>
      <c r="C1008" s="298" t="str">
        <f>VLOOKUP(Table13[[#This Row],[Column1]],[1]Sheet1!$A:$AO,3,FALSE)</f>
        <v>PGO</v>
      </c>
      <c r="D1008" s="298" t="s">
        <v>712</v>
      </c>
      <c r="E1008" s="402" t="str">
        <f>VLOOKUP(Table13[[#This Row],[Column1]],[1]Sheet1!$A:$AO,5,FALSE)</f>
        <v>Competitive Bidding</v>
      </c>
      <c r="F1008" s="446" t="str">
        <f>VLOOKUP(Table13[[#This Row],[Column1]],[1]Sheet1!$A:$AO,6,FALSE)</f>
        <v>N/A</v>
      </c>
      <c r="G1008" s="402">
        <f>VLOOKUP(Table13[[#This Row],[Column1]],[1]Sheet1!$A:$AO,7,FALSE)</f>
        <v>45462</v>
      </c>
      <c r="H1008" s="374"/>
      <c r="I1008" s="402"/>
      <c r="J1008" s="402"/>
      <c r="K1008" s="402"/>
      <c r="L1008" s="404"/>
      <c r="M1008" s="402"/>
      <c r="N1008" s="402"/>
      <c r="O1008" s="402"/>
      <c r="P1008" s="375"/>
      <c r="Q1008" s="375"/>
      <c r="R1008" s="376"/>
      <c r="S1008" s="583"/>
      <c r="T1008" s="583"/>
      <c r="U1008" s="583"/>
      <c r="V1008" s="376"/>
      <c r="W1008" s="376"/>
      <c r="X1008" s="402"/>
      <c r="Y1008" s="402"/>
      <c r="Z1008" s="610" t="s">
        <v>1478</v>
      </c>
      <c r="AA1008" s="454">
        <f>IF(Table13[[#This Row],[Column2]]="","",SUM(Table13[[#This Row],[Column28]]+Table13[[#This Row],[Column29]]))</f>
        <v>468000</v>
      </c>
      <c r="AB1008" s="455"/>
      <c r="AC1008" s="452">
        <v>468000</v>
      </c>
      <c r="AD1008" s="451">
        <f>IF(Table13[[#This Row],[Column2]]="","",SUM(Table13[[#This Row],[Column31]]+Table13[[#This Row],[Column32]]))</f>
        <v>0</v>
      </c>
      <c r="AE1008" s="453"/>
      <c r="AF1008" s="646"/>
      <c r="AG1008" s="405"/>
      <c r="AH1008" s="380" t="s">
        <v>1205</v>
      </c>
      <c r="AI1008" s="576"/>
      <c r="AJ1008" s="576"/>
      <c r="AK1008" s="576"/>
      <c r="AL1008" s="576"/>
      <c r="AM1008" s="576"/>
      <c r="AN1008" s="576"/>
      <c r="AO1008" s="303" t="s">
        <v>175</v>
      </c>
      <c r="AP1008" s="378"/>
      <c r="AQ1008" s="237"/>
    </row>
    <row r="1009" spans="1:43" s="238" customFormat="1" ht="75" customHeight="1" x14ac:dyDescent="0.25">
      <c r="A1009" s="297" t="s">
        <v>1233</v>
      </c>
      <c r="B1009" s="627" t="str">
        <f>VLOOKUP(Table13[[#This Row],[Column1]],[1]Sheet1!$A:$AO,2,FALSE)</f>
        <v>MEDICAL, DENTAL AND LABORATORY EQUIPMENT</v>
      </c>
      <c r="C1009" s="298" t="str">
        <f>VLOOKUP(Table13[[#This Row],[Column1]],[1]Sheet1!$A:$AO,3,FALSE)</f>
        <v>PHO</v>
      </c>
      <c r="D1009" s="298" t="s">
        <v>712</v>
      </c>
      <c r="E1009" s="402" t="str">
        <f>VLOOKUP(Table13[[#This Row],[Column1]],[1]Sheet1!$A:$AO,5,FALSE)</f>
        <v>Competitive Bidding</v>
      </c>
      <c r="F1009" s="446" t="str">
        <f>VLOOKUP(Table13[[#This Row],[Column1]],[1]Sheet1!$A:$AO,6,FALSE)</f>
        <v>N/A</v>
      </c>
      <c r="G1009" s="402">
        <f>VLOOKUP(Table13[[#This Row],[Column1]],[1]Sheet1!$A:$AO,7,FALSE)</f>
        <v>45462</v>
      </c>
      <c r="H1009" s="374"/>
      <c r="I1009" s="402" t="str">
        <f>VLOOKUP(Table13[[#This Row],[Column1]],[1]Sheet1!$A:$AO,9,FALSE)</f>
        <v>N/A</v>
      </c>
      <c r="J1009" s="402">
        <f>VLOOKUP(Table13[[#This Row],[Column1]],[1]Sheet1!$A:$AO,10,FALSE)</f>
        <v>45475</v>
      </c>
      <c r="K1009" s="402"/>
      <c r="L1009" s="404"/>
      <c r="M1009" s="402"/>
      <c r="N1009" s="402"/>
      <c r="O1009" s="402"/>
      <c r="P1009" s="375"/>
      <c r="Q1009" s="375"/>
      <c r="R1009" s="376"/>
      <c r="S1009" s="583"/>
      <c r="T1009" s="583"/>
      <c r="U1009" s="583"/>
      <c r="V1009" s="376"/>
      <c r="W1009" s="376"/>
      <c r="X1009" s="402"/>
      <c r="Y1009" s="402"/>
      <c r="Z1009" s="610" t="s">
        <v>1478</v>
      </c>
      <c r="AA1009" s="454">
        <f>IF(Table13[[#This Row],[Column2]]="","",SUM(Table13[[#This Row],[Column28]]+Table13[[#This Row],[Column29]]))</f>
        <v>827000</v>
      </c>
      <c r="AB1009" s="455"/>
      <c r="AC1009" s="452">
        <v>827000</v>
      </c>
      <c r="AD1009" s="451">
        <f>IF(Table13[[#This Row],[Column2]]="","",SUM(Table13[[#This Row],[Column31]]+Table13[[#This Row],[Column32]]))</f>
        <v>0</v>
      </c>
      <c r="AE1009" s="453"/>
      <c r="AF1009" s="646"/>
      <c r="AG1009" s="405"/>
      <c r="AH1009" s="380" t="s">
        <v>1205</v>
      </c>
      <c r="AI1009" s="576"/>
      <c r="AJ1009" s="576"/>
      <c r="AK1009" s="576"/>
      <c r="AL1009" s="576"/>
      <c r="AM1009" s="576"/>
      <c r="AN1009" s="576"/>
      <c r="AO1009" s="303" t="s">
        <v>175</v>
      </c>
      <c r="AP1009" s="378"/>
      <c r="AQ1009" s="237"/>
    </row>
    <row r="1010" spans="1:43" s="238" customFormat="1" ht="75" customHeight="1" x14ac:dyDescent="0.25">
      <c r="A1010" s="297" t="s">
        <v>1234</v>
      </c>
      <c r="B1010" s="627" t="str">
        <f>VLOOKUP(Table13[[#This Row],[Column1]],[1]Sheet1!$A:$AO,2,FALSE)</f>
        <v>MEDICAL SUPPLIES</v>
      </c>
      <c r="C1010" s="298" t="str">
        <f>VLOOKUP(Table13[[#This Row],[Column1]],[1]Sheet1!$A:$AO,3,FALSE)</f>
        <v>PDRRMO</v>
      </c>
      <c r="D1010" s="298" t="s">
        <v>712</v>
      </c>
      <c r="E1010" s="402" t="str">
        <f>VLOOKUP(Table13[[#This Row],[Column1]],[1]Sheet1!$A:$AO,5,FALSE)</f>
        <v>Competitive Bidding</v>
      </c>
      <c r="F1010" s="446" t="str">
        <f>VLOOKUP(Table13[[#This Row],[Column1]],[1]Sheet1!$A:$AO,6,FALSE)</f>
        <v>N/A</v>
      </c>
      <c r="G1010" s="402">
        <f>VLOOKUP(Table13[[#This Row],[Column1]],[1]Sheet1!$A:$AO,7,FALSE)</f>
        <v>45462</v>
      </c>
      <c r="H1010" s="374"/>
      <c r="I1010" s="402" t="str">
        <f>VLOOKUP(Table13[[#This Row],[Column1]],[1]Sheet1!$A:$AO,9,FALSE)</f>
        <v>N/A</v>
      </c>
      <c r="J1010" s="402">
        <f>VLOOKUP(Table13[[#This Row],[Column1]],[1]Sheet1!$A:$AO,10,FALSE)</f>
        <v>45475</v>
      </c>
      <c r="K1010" s="402"/>
      <c r="L1010" s="404"/>
      <c r="M1010" s="402"/>
      <c r="N1010" s="402"/>
      <c r="O1010" s="402"/>
      <c r="P1010" s="375"/>
      <c r="Q1010" s="375"/>
      <c r="R1010" s="376"/>
      <c r="S1010" s="583"/>
      <c r="T1010" s="583"/>
      <c r="U1010" s="583"/>
      <c r="V1010" s="376"/>
      <c r="W1010" s="376"/>
      <c r="X1010" s="402"/>
      <c r="Y1010" s="402"/>
      <c r="Z1010" s="610" t="s">
        <v>1478</v>
      </c>
      <c r="AA1010" s="454">
        <f>IF(Table13[[#This Row],[Column2]]="","",SUM(Table13[[#This Row],[Column28]]+Table13[[#This Row],[Column29]]))</f>
        <v>265105</v>
      </c>
      <c r="AB1010" s="455"/>
      <c r="AC1010" s="452">
        <v>265105</v>
      </c>
      <c r="AD1010" s="451">
        <f>IF(Table13[[#This Row],[Column2]]="","",SUM(Table13[[#This Row],[Column31]]+Table13[[#This Row],[Column32]]))</f>
        <v>0</v>
      </c>
      <c r="AE1010" s="453"/>
      <c r="AF1010" s="646"/>
      <c r="AG1010" s="405"/>
      <c r="AH1010" s="380" t="s">
        <v>1205</v>
      </c>
      <c r="AI1010" s="576"/>
      <c r="AJ1010" s="576"/>
      <c r="AK1010" s="576"/>
      <c r="AL1010" s="576"/>
      <c r="AM1010" s="576"/>
      <c r="AN1010" s="576"/>
      <c r="AO1010" s="303" t="s">
        <v>175</v>
      </c>
      <c r="AP1010" s="378"/>
      <c r="AQ1010" s="237"/>
    </row>
    <row r="1011" spans="1:43" s="238" customFormat="1" ht="75" customHeight="1" x14ac:dyDescent="0.25">
      <c r="A1011" s="297" t="s">
        <v>1235</v>
      </c>
      <c r="B1011" s="627" t="str">
        <f>VLOOKUP(Table13[[#This Row],[Column1]],[1]Sheet1!$A:$AO,2,FALSE)</f>
        <v xml:space="preserve">AGRICULTURAL SUPPLIES
</v>
      </c>
      <c r="C1011" s="298" t="str">
        <f>VLOOKUP(Table13[[#This Row],[Column1]],[1]Sheet1!$A:$AO,3,FALSE)</f>
        <v>PDRRMO</v>
      </c>
      <c r="D1011" s="298" t="s">
        <v>712</v>
      </c>
      <c r="E1011" s="402" t="str">
        <f>VLOOKUP(Table13[[#This Row],[Column1]],[1]Sheet1!$A:$AO,5,FALSE)</f>
        <v>Competitive Bidding</v>
      </c>
      <c r="F1011" s="446" t="str">
        <f>VLOOKUP(Table13[[#This Row],[Column1]],[1]Sheet1!$A:$AO,6,FALSE)</f>
        <v>N/A</v>
      </c>
      <c r="G1011" s="402">
        <f>VLOOKUP(Table13[[#This Row],[Column1]],[1]Sheet1!$A:$AO,7,FALSE)</f>
        <v>45462</v>
      </c>
      <c r="H1011" s="374"/>
      <c r="I1011" s="402" t="str">
        <f>VLOOKUP(Table13[[#This Row],[Column1]],[1]Sheet1!$A:$AO,9,FALSE)</f>
        <v>N/A</v>
      </c>
      <c r="J1011" s="402">
        <f>VLOOKUP(Table13[[#This Row],[Column1]],[1]Sheet1!$A:$AO,10,FALSE)</f>
        <v>45475</v>
      </c>
      <c r="K1011" s="402"/>
      <c r="L1011" s="404"/>
      <c r="M1011" s="402"/>
      <c r="N1011" s="402"/>
      <c r="O1011" s="402"/>
      <c r="P1011" s="375"/>
      <c r="Q1011" s="375"/>
      <c r="R1011" s="376"/>
      <c r="S1011" s="583"/>
      <c r="T1011" s="583"/>
      <c r="U1011" s="583"/>
      <c r="V1011" s="376"/>
      <c r="W1011" s="376"/>
      <c r="X1011" s="402"/>
      <c r="Y1011" s="402"/>
      <c r="Z1011" s="610" t="s">
        <v>1478</v>
      </c>
      <c r="AA1011" s="454">
        <f>IF(Table13[[#This Row],[Column2]]="","",SUM(Table13[[#This Row],[Column28]]+Table13[[#This Row],[Column29]]))</f>
        <v>385110</v>
      </c>
      <c r="AB1011" s="455"/>
      <c r="AC1011" s="452">
        <v>385110</v>
      </c>
      <c r="AD1011" s="451">
        <f>IF(Table13[[#This Row],[Column2]]="","",SUM(Table13[[#This Row],[Column31]]+Table13[[#This Row],[Column32]]))</f>
        <v>0</v>
      </c>
      <c r="AE1011" s="453"/>
      <c r="AF1011" s="646"/>
      <c r="AG1011" s="405"/>
      <c r="AH1011" s="380" t="s">
        <v>1205</v>
      </c>
      <c r="AI1011" s="576"/>
      <c r="AJ1011" s="576"/>
      <c r="AK1011" s="576"/>
      <c r="AL1011" s="576"/>
      <c r="AM1011" s="576"/>
      <c r="AN1011" s="576"/>
      <c r="AO1011" s="303" t="s">
        <v>175</v>
      </c>
      <c r="AP1011" s="378"/>
      <c r="AQ1011" s="237"/>
    </row>
    <row r="1012" spans="1:43" s="238" customFormat="1" ht="75" customHeight="1" x14ac:dyDescent="0.25">
      <c r="A1012" s="297" t="s">
        <v>1236</v>
      </c>
      <c r="B1012" s="627" t="str">
        <f>VLOOKUP(Table13[[#This Row],[Column1]],[1]Sheet1!$A:$AO,2,FALSE)</f>
        <v>RICE (WELL MILLED) 50KG/SACK</v>
      </c>
      <c r="C1012" s="298" t="str">
        <f>VLOOKUP(Table13[[#This Row],[Column1]],[1]Sheet1!$A:$AO,3,FALSE)</f>
        <v>PDRRMO</v>
      </c>
      <c r="D1012" s="298" t="s">
        <v>712</v>
      </c>
      <c r="E1012" s="402" t="str">
        <f>VLOOKUP(Table13[[#This Row],[Column1]],[1]Sheet1!$A:$AO,5,FALSE)</f>
        <v>Competitive Bidding</v>
      </c>
      <c r="F1012" s="446" t="str">
        <f>VLOOKUP(Table13[[#This Row],[Column1]],[1]Sheet1!$A:$AO,6,FALSE)</f>
        <v>N/A</v>
      </c>
      <c r="G1012" s="402">
        <f>VLOOKUP(Table13[[#This Row],[Column1]],[1]Sheet1!$A:$AO,7,FALSE)</f>
        <v>45462</v>
      </c>
      <c r="H1012" s="374"/>
      <c r="I1012" s="402" t="str">
        <f>VLOOKUP(Table13[[#This Row],[Column1]],[1]Sheet1!$A:$AO,9,FALSE)</f>
        <v>N/A</v>
      </c>
      <c r="J1012" s="402">
        <f>VLOOKUP(Table13[[#This Row],[Column1]],[1]Sheet1!$A:$AO,10,FALSE)</f>
        <v>45475</v>
      </c>
      <c r="K1012" s="402"/>
      <c r="L1012" s="404"/>
      <c r="M1012" s="402"/>
      <c r="N1012" s="402"/>
      <c r="O1012" s="402"/>
      <c r="P1012" s="375"/>
      <c r="Q1012" s="375"/>
      <c r="R1012" s="376"/>
      <c r="S1012" s="583"/>
      <c r="T1012" s="583"/>
      <c r="U1012" s="583"/>
      <c r="V1012" s="376"/>
      <c r="W1012" s="376"/>
      <c r="X1012" s="402"/>
      <c r="Y1012" s="402"/>
      <c r="Z1012" s="610" t="s">
        <v>1478</v>
      </c>
      <c r="AA1012" s="454">
        <f>IF(Table13[[#This Row],[Column2]]="","",SUM(Table13[[#This Row],[Column28]]+Table13[[#This Row],[Column29]]))</f>
        <v>300000</v>
      </c>
      <c r="AB1012" s="455"/>
      <c r="AC1012" s="452">
        <v>300000</v>
      </c>
      <c r="AD1012" s="451">
        <f>IF(Table13[[#This Row],[Column2]]="","",SUM(Table13[[#This Row],[Column31]]+Table13[[#This Row],[Column32]]))</f>
        <v>0</v>
      </c>
      <c r="AE1012" s="453"/>
      <c r="AF1012" s="646"/>
      <c r="AG1012" s="405"/>
      <c r="AH1012" s="380" t="s">
        <v>1205</v>
      </c>
      <c r="AI1012" s="576"/>
      <c r="AJ1012" s="576"/>
      <c r="AK1012" s="576"/>
      <c r="AL1012" s="576"/>
      <c r="AM1012" s="576"/>
      <c r="AN1012" s="576"/>
      <c r="AO1012" s="303" t="s">
        <v>175</v>
      </c>
      <c r="AP1012" s="378"/>
      <c r="AQ1012" s="237"/>
    </row>
    <row r="1013" spans="1:43" s="238" customFormat="1" ht="75" customHeight="1" x14ac:dyDescent="0.25">
      <c r="A1013" s="297" t="s">
        <v>1237</v>
      </c>
      <c r="B1013" s="627" t="str">
        <f>VLOOKUP(Table13[[#This Row],[Column1]],[1]Sheet1!$A:$AO,2,FALSE)</f>
        <v>MEALS AND SNACKS</v>
      </c>
      <c r="C1013" s="298" t="str">
        <f>VLOOKUP(Table13[[#This Row],[Column1]],[1]Sheet1!$A:$AO,3,FALSE)</f>
        <v>PDRRMO</v>
      </c>
      <c r="D1013" s="298" t="s">
        <v>712</v>
      </c>
      <c r="E1013" s="402" t="str">
        <f>VLOOKUP(Table13[[#This Row],[Column1]],[1]Sheet1!$A:$AO,5,FALSE)</f>
        <v>Competitive Bidding</v>
      </c>
      <c r="F1013" s="446" t="str">
        <f>VLOOKUP(Table13[[#This Row],[Column1]],[1]Sheet1!$A:$AO,6,FALSE)</f>
        <v>N/A</v>
      </c>
      <c r="G1013" s="402">
        <f>VLOOKUP(Table13[[#This Row],[Column1]],[1]Sheet1!$A:$AO,7,FALSE)</f>
        <v>45462</v>
      </c>
      <c r="H1013" s="374"/>
      <c r="I1013" s="402" t="str">
        <f>VLOOKUP(Table13[[#This Row],[Column1]],[1]Sheet1!$A:$AO,9,FALSE)</f>
        <v>N/A</v>
      </c>
      <c r="J1013" s="402">
        <f>VLOOKUP(Table13[[#This Row],[Column1]],[1]Sheet1!$A:$AO,10,FALSE)</f>
        <v>45475</v>
      </c>
      <c r="K1013" s="402"/>
      <c r="L1013" s="404"/>
      <c r="M1013" s="402"/>
      <c r="N1013" s="402"/>
      <c r="O1013" s="402"/>
      <c r="P1013" s="375"/>
      <c r="Q1013" s="375"/>
      <c r="R1013" s="376"/>
      <c r="S1013" s="583"/>
      <c r="T1013" s="583"/>
      <c r="U1013" s="583"/>
      <c r="V1013" s="376"/>
      <c r="W1013" s="376"/>
      <c r="X1013" s="402"/>
      <c r="Y1013" s="402"/>
      <c r="Z1013" s="610" t="s">
        <v>1478</v>
      </c>
      <c r="AA1013" s="454">
        <f>IF(Table13[[#This Row],[Column2]]="","",SUM(Table13[[#This Row],[Column28]]+Table13[[#This Row],[Column29]]))</f>
        <v>274580</v>
      </c>
      <c r="AB1013" s="455"/>
      <c r="AC1013" s="452">
        <v>274580</v>
      </c>
      <c r="AD1013" s="451">
        <f>IF(Table13[[#This Row],[Column2]]="","",SUM(Table13[[#This Row],[Column31]]+Table13[[#This Row],[Column32]]))</f>
        <v>0</v>
      </c>
      <c r="AE1013" s="453"/>
      <c r="AF1013" s="646"/>
      <c r="AG1013" s="405"/>
      <c r="AH1013" s="380" t="s">
        <v>1205</v>
      </c>
      <c r="AI1013" s="576"/>
      <c r="AJ1013" s="576"/>
      <c r="AK1013" s="576"/>
      <c r="AL1013" s="576"/>
      <c r="AM1013" s="576"/>
      <c r="AN1013" s="576"/>
      <c r="AO1013" s="303" t="s">
        <v>175</v>
      </c>
      <c r="AP1013" s="378"/>
      <c r="AQ1013" s="237"/>
    </row>
    <row r="1014" spans="1:43" s="238" customFormat="1" ht="75" customHeight="1" x14ac:dyDescent="0.25">
      <c r="A1014" s="297" t="s">
        <v>1238</v>
      </c>
      <c r="B1014" s="627" t="str">
        <f>VLOOKUP(Table13[[#This Row],[Column1]],[1]Sheet1!$A:$AO,2,FALSE)</f>
        <v>MEALS AND SNACKS</v>
      </c>
      <c r="C1014" s="298" t="str">
        <f>VLOOKUP(Table13[[#This Row],[Column1]],[1]Sheet1!$A:$AO,3,FALSE)</f>
        <v>PGO</v>
      </c>
      <c r="D1014" s="298" t="s">
        <v>712</v>
      </c>
      <c r="E1014" s="402" t="str">
        <f>VLOOKUP(Table13[[#This Row],[Column1]],[1]Sheet1!$A:$AO,5,FALSE)</f>
        <v>Competitive Bidding</v>
      </c>
      <c r="F1014" s="446" t="str">
        <f>VLOOKUP(Table13[[#This Row],[Column1]],[1]Sheet1!$A:$AO,6,FALSE)</f>
        <v>N/A</v>
      </c>
      <c r="G1014" s="402">
        <f>VLOOKUP(Table13[[#This Row],[Column1]],[1]Sheet1!$A:$AO,7,FALSE)</f>
        <v>45462</v>
      </c>
      <c r="H1014" s="374"/>
      <c r="I1014" s="402" t="str">
        <f>VLOOKUP(Table13[[#This Row],[Column1]],[1]Sheet1!$A:$AO,9,FALSE)</f>
        <v>N/A</v>
      </c>
      <c r="J1014" s="402">
        <f>VLOOKUP(Table13[[#This Row],[Column1]],[1]Sheet1!$A:$AO,10,FALSE)</f>
        <v>45475</v>
      </c>
      <c r="K1014" s="402"/>
      <c r="L1014" s="404"/>
      <c r="M1014" s="402"/>
      <c r="N1014" s="402"/>
      <c r="O1014" s="402"/>
      <c r="P1014" s="375"/>
      <c r="Q1014" s="375"/>
      <c r="R1014" s="376"/>
      <c r="S1014" s="583"/>
      <c r="T1014" s="583"/>
      <c r="U1014" s="583"/>
      <c r="V1014" s="376"/>
      <c r="W1014" s="376"/>
      <c r="X1014" s="402"/>
      <c r="Y1014" s="402"/>
      <c r="Z1014" s="610" t="s">
        <v>1478</v>
      </c>
      <c r="AA1014" s="454">
        <f>IF(Table13[[#This Row],[Column2]]="","",SUM(Table13[[#This Row],[Column28]]+Table13[[#This Row],[Column29]]))</f>
        <v>395000</v>
      </c>
      <c r="AB1014" s="455"/>
      <c r="AC1014" s="452">
        <v>395000</v>
      </c>
      <c r="AD1014" s="451">
        <f>IF(Table13[[#This Row],[Column2]]="","",SUM(Table13[[#This Row],[Column31]]+Table13[[#This Row],[Column32]]))</f>
        <v>0</v>
      </c>
      <c r="AE1014" s="453"/>
      <c r="AF1014" s="646"/>
      <c r="AG1014" s="405"/>
      <c r="AH1014" s="380" t="s">
        <v>1205</v>
      </c>
      <c r="AI1014" s="576"/>
      <c r="AJ1014" s="576"/>
      <c r="AK1014" s="576"/>
      <c r="AL1014" s="576"/>
      <c r="AM1014" s="576"/>
      <c r="AN1014" s="576"/>
      <c r="AO1014" s="303" t="s">
        <v>175</v>
      </c>
      <c r="AP1014" s="378"/>
      <c r="AQ1014" s="237"/>
    </row>
    <row r="1015" spans="1:43" s="238" customFormat="1" ht="75" customHeight="1" x14ac:dyDescent="0.25">
      <c r="A1015" s="297" t="s">
        <v>1239</v>
      </c>
      <c r="B1015" s="627" t="str">
        <f>VLOOKUP(Table13[[#This Row],[Column1]],[1]Sheet1!$A:$AO,2,FALSE)</f>
        <v>MEALS AND SNACKS</v>
      </c>
      <c r="C1015" s="298" t="str">
        <f>VLOOKUP(Table13[[#This Row],[Column1]],[1]Sheet1!$A:$AO,3,FALSE)</f>
        <v>PGO</v>
      </c>
      <c r="D1015" s="298" t="s">
        <v>712</v>
      </c>
      <c r="E1015" s="402" t="str">
        <f>VLOOKUP(Table13[[#This Row],[Column1]],[1]Sheet1!$A:$AO,5,FALSE)</f>
        <v>Competitive Bidding</v>
      </c>
      <c r="F1015" s="446" t="str">
        <f>VLOOKUP(Table13[[#This Row],[Column1]],[1]Sheet1!$A:$AO,6,FALSE)</f>
        <v>N/A</v>
      </c>
      <c r="G1015" s="402">
        <f>VLOOKUP(Table13[[#This Row],[Column1]],[1]Sheet1!$A:$AO,7,FALSE)</f>
        <v>45462</v>
      </c>
      <c r="H1015" s="374"/>
      <c r="I1015" s="402" t="str">
        <f>VLOOKUP(Table13[[#This Row],[Column1]],[1]Sheet1!$A:$AO,9,FALSE)</f>
        <v>N/A</v>
      </c>
      <c r="J1015" s="402">
        <f>VLOOKUP(Table13[[#This Row],[Column1]],[1]Sheet1!$A:$AO,10,FALSE)</f>
        <v>45475</v>
      </c>
      <c r="K1015" s="402"/>
      <c r="L1015" s="404"/>
      <c r="M1015" s="402"/>
      <c r="N1015" s="402"/>
      <c r="O1015" s="402"/>
      <c r="P1015" s="375"/>
      <c r="Q1015" s="375"/>
      <c r="R1015" s="376"/>
      <c r="S1015" s="583"/>
      <c r="T1015" s="583"/>
      <c r="U1015" s="583"/>
      <c r="V1015" s="376"/>
      <c r="W1015" s="376"/>
      <c r="X1015" s="402"/>
      <c r="Y1015" s="402"/>
      <c r="Z1015" s="610" t="s">
        <v>1478</v>
      </c>
      <c r="AA1015" s="454">
        <f>IF(Table13[[#This Row],[Column2]]="","",SUM(Table13[[#This Row],[Column28]]+Table13[[#This Row],[Column29]]))</f>
        <v>690590</v>
      </c>
      <c r="AB1015" s="455"/>
      <c r="AC1015" s="452">
        <v>690590</v>
      </c>
      <c r="AD1015" s="451">
        <f>IF(Table13[[#This Row],[Column2]]="","",SUM(Table13[[#This Row],[Column31]]+Table13[[#This Row],[Column32]]))</f>
        <v>0</v>
      </c>
      <c r="AE1015" s="453"/>
      <c r="AF1015" s="646"/>
      <c r="AG1015" s="405"/>
      <c r="AH1015" s="380" t="s">
        <v>1205</v>
      </c>
      <c r="AI1015" s="576"/>
      <c r="AJ1015" s="576"/>
      <c r="AK1015" s="576"/>
      <c r="AL1015" s="576"/>
      <c r="AM1015" s="576"/>
      <c r="AN1015" s="576"/>
      <c r="AO1015" s="303" t="s">
        <v>175</v>
      </c>
      <c r="AP1015" s="378"/>
      <c r="AQ1015" s="237"/>
    </row>
    <row r="1016" spans="1:43" s="238" customFormat="1" ht="75" customHeight="1" x14ac:dyDescent="0.25">
      <c r="A1016" s="297" t="s">
        <v>1240</v>
      </c>
      <c r="B1016" s="627" t="str">
        <f>VLOOKUP(Table13[[#This Row],[Column1]],[1]Sheet1!$A:$AO,2,FALSE)</f>
        <v>MEALS AND SNACKS WITH VENUE</v>
      </c>
      <c r="C1016" s="298" t="str">
        <f>VLOOKUP(Table13[[#This Row],[Column1]],[1]Sheet1!$A:$AO,3,FALSE)</f>
        <v>PGO</v>
      </c>
      <c r="D1016" s="298" t="s">
        <v>712</v>
      </c>
      <c r="E1016" s="402" t="str">
        <f>VLOOKUP(Table13[[#This Row],[Column1]],[1]Sheet1!$A:$AO,5,FALSE)</f>
        <v>Competitive Bidding</v>
      </c>
      <c r="F1016" s="446" t="str">
        <f>VLOOKUP(Table13[[#This Row],[Column1]],[1]Sheet1!$A:$AO,6,FALSE)</f>
        <v>N/A</v>
      </c>
      <c r="G1016" s="402">
        <f>VLOOKUP(Table13[[#This Row],[Column1]],[1]Sheet1!$A:$AO,7,FALSE)</f>
        <v>45462</v>
      </c>
      <c r="H1016" s="374"/>
      <c r="I1016" s="402" t="str">
        <f>VLOOKUP(Table13[[#This Row],[Column1]],[1]Sheet1!$A:$AO,9,FALSE)</f>
        <v>N/A</v>
      </c>
      <c r="J1016" s="402">
        <f>VLOOKUP(Table13[[#This Row],[Column1]],[1]Sheet1!$A:$AO,10,FALSE)</f>
        <v>45475</v>
      </c>
      <c r="K1016" s="402"/>
      <c r="L1016" s="404"/>
      <c r="M1016" s="402"/>
      <c r="N1016" s="402"/>
      <c r="O1016" s="402"/>
      <c r="P1016" s="375"/>
      <c r="Q1016" s="375"/>
      <c r="R1016" s="376"/>
      <c r="S1016" s="583"/>
      <c r="T1016" s="583"/>
      <c r="U1016" s="583"/>
      <c r="V1016" s="376"/>
      <c r="W1016" s="376"/>
      <c r="X1016" s="402"/>
      <c r="Y1016" s="402"/>
      <c r="Z1016" s="610" t="s">
        <v>1478</v>
      </c>
      <c r="AA1016" s="454">
        <f>IF(Table13[[#This Row],[Column2]]="","",SUM(Table13[[#This Row],[Column28]]+Table13[[#This Row],[Column29]]))</f>
        <v>404700</v>
      </c>
      <c r="AB1016" s="455"/>
      <c r="AC1016" s="452">
        <v>404700</v>
      </c>
      <c r="AD1016" s="451">
        <f>IF(Table13[[#This Row],[Column2]]="","",SUM(Table13[[#This Row],[Column31]]+Table13[[#This Row],[Column32]]))</f>
        <v>0</v>
      </c>
      <c r="AE1016" s="453"/>
      <c r="AF1016" s="646"/>
      <c r="AG1016" s="405"/>
      <c r="AH1016" s="380" t="s">
        <v>1205</v>
      </c>
      <c r="AI1016" s="576"/>
      <c r="AJ1016" s="576"/>
      <c r="AK1016" s="576"/>
      <c r="AL1016" s="576"/>
      <c r="AM1016" s="576"/>
      <c r="AN1016" s="576"/>
      <c r="AO1016" s="303" t="s">
        <v>175</v>
      </c>
      <c r="AP1016" s="378"/>
      <c r="AQ1016" s="237"/>
    </row>
    <row r="1017" spans="1:43" s="238" customFormat="1" ht="75" customHeight="1" x14ac:dyDescent="0.25">
      <c r="A1017" s="297" t="s">
        <v>1241</v>
      </c>
      <c r="B1017" s="627" t="str">
        <f>VLOOKUP(Table13[[#This Row],[Column1]],[1]Sheet1!$A:$AO,2,FALSE)</f>
        <v>MEALS AND SNACKS WITH VENUE</v>
      </c>
      <c r="C1017" s="298" t="str">
        <f>VLOOKUP(Table13[[#This Row],[Column1]],[1]Sheet1!$A:$AO,3,FALSE)</f>
        <v>PAGRO</v>
      </c>
      <c r="D1017" s="298" t="s">
        <v>712</v>
      </c>
      <c r="E1017" s="402" t="str">
        <f>VLOOKUP(Table13[[#This Row],[Column1]],[1]Sheet1!$A:$AO,5,FALSE)</f>
        <v>Competitive Bidding</v>
      </c>
      <c r="F1017" s="446" t="str">
        <f>VLOOKUP(Table13[[#This Row],[Column1]],[1]Sheet1!$A:$AO,6,FALSE)</f>
        <v>N/A</v>
      </c>
      <c r="G1017" s="402">
        <f>VLOOKUP(Table13[[#This Row],[Column1]],[1]Sheet1!$A:$AO,7,FALSE)</f>
        <v>45462</v>
      </c>
      <c r="H1017" s="374"/>
      <c r="I1017" s="402" t="str">
        <f>VLOOKUP(Table13[[#This Row],[Column1]],[1]Sheet1!$A:$AO,9,FALSE)</f>
        <v>N/A</v>
      </c>
      <c r="J1017" s="402">
        <f>VLOOKUP(Table13[[#This Row],[Column1]],[1]Sheet1!$A:$AO,10,FALSE)</f>
        <v>45475</v>
      </c>
      <c r="K1017" s="402"/>
      <c r="L1017" s="404"/>
      <c r="M1017" s="402"/>
      <c r="N1017" s="402"/>
      <c r="O1017" s="402"/>
      <c r="P1017" s="375"/>
      <c r="Q1017" s="375"/>
      <c r="R1017" s="376"/>
      <c r="S1017" s="583"/>
      <c r="T1017" s="583"/>
      <c r="U1017" s="583"/>
      <c r="V1017" s="376"/>
      <c r="W1017" s="376"/>
      <c r="X1017" s="402"/>
      <c r="Y1017" s="402"/>
      <c r="Z1017" s="610" t="s">
        <v>1478</v>
      </c>
      <c r="AA1017" s="454">
        <f>IF(Table13[[#This Row],[Column2]]="","",SUM(Table13[[#This Row],[Column28]]+Table13[[#This Row],[Column29]]))</f>
        <v>501280</v>
      </c>
      <c r="AB1017" s="455"/>
      <c r="AC1017" s="452">
        <v>501280</v>
      </c>
      <c r="AD1017" s="451">
        <f>IF(Table13[[#This Row],[Column2]]="","",SUM(Table13[[#This Row],[Column31]]+Table13[[#This Row],[Column32]]))</f>
        <v>0</v>
      </c>
      <c r="AE1017" s="453"/>
      <c r="AF1017" s="646"/>
      <c r="AG1017" s="405"/>
      <c r="AH1017" s="380" t="s">
        <v>1205</v>
      </c>
      <c r="AI1017" s="576"/>
      <c r="AJ1017" s="576"/>
      <c r="AK1017" s="576"/>
      <c r="AL1017" s="576"/>
      <c r="AM1017" s="576"/>
      <c r="AN1017" s="576"/>
      <c r="AO1017" s="303" t="s">
        <v>175</v>
      </c>
      <c r="AP1017" s="378"/>
      <c r="AQ1017" s="237"/>
    </row>
    <row r="1018" spans="1:43" s="238" customFormat="1" ht="75" customHeight="1" x14ac:dyDescent="0.25">
      <c r="A1018" s="297" t="s">
        <v>1242</v>
      </c>
      <c r="B1018" s="627" t="str">
        <f>VLOOKUP(Table13[[#This Row],[Column1]],[1]Sheet1!$A:$AO,2,FALSE)</f>
        <v>MEALS AND SNACKS WITH VENUE</v>
      </c>
      <c r="C1018" s="298" t="str">
        <f>VLOOKUP(Table13[[#This Row],[Column1]],[1]Sheet1!$A:$AO,3,FALSE)</f>
        <v>PHO</v>
      </c>
      <c r="D1018" s="298" t="s">
        <v>712</v>
      </c>
      <c r="E1018" s="402" t="str">
        <f>VLOOKUP(Table13[[#This Row],[Column1]],[1]Sheet1!$A:$AO,5,FALSE)</f>
        <v>Competitive Bidding</v>
      </c>
      <c r="F1018" s="446" t="str">
        <f>VLOOKUP(Table13[[#This Row],[Column1]],[1]Sheet1!$A:$AO,6,FALSE)</f>
        <v>N/A</v>
      </c>
      <c r="G1018" s="402">
        <f>VLOOKUP(Table13[[#This Row],[Column1]],[1]Sheet1!$A:$AO,7,FALSE)</f>
        <v>45462</v>
      </c>
      <c r="H1018" s="374"/>
      <c r="I1018" s="402" t="str">
        <f>VLOOKUP(Table13[[#This Row],[Column1]],[1]Sheet1!$A:$AO,9,FALSE)</f>
        <v>N/A</v>
      </c>
      <c r="J1018" s="402">
        <f>VLOOKUP(Table13[[#This Row],[Column1]],[1]Sheet1!$A:$AO,10,FALSE)</f>
        <v>45475</v>
      </c>
      <c r="K1018" s="402"/>
      <c r="L1018" s="404"/>
      <c r="M1018" s="402"/>
      <c r="N1018" s="402"/>
      <c r="O1018" s="402"/>
      <c r="P1018" s="375"/>
      <c r="Q1018" s="375"/>
      <c r="R1018" s="376"/>
      <c r="S1018" s="583"/>
      <c r="T1018" s="583"/>
      <c r="U1018" s="583"/>
      <c r="V1018" s="376"/>
      <c r="W1018" s="376"/>
      <c r="X1018" s="402"/>
      <c r="Y1018" s="402"/>
      <c r="Z1018" s="610" t="s">
        <v>1478</v>
      </c>
      <c r="AA1018" s="454">
        <f>IF(Table13[[#This Row],[Column2]]="","",SUM(Table13[[#This Row],[Column28]]+Table13[[#This Row],[Column29]]))</f>
        <v>268400</v>
      </c>
      <c r="AB1018" s="455"/>
      <c r="AC1018" s="452">
        <v>268400</v>
      </c>
      <c r="AD1018" s="451">
        <f>IF(Table13[[#This Row],[Column2]]="","",SUM(Table13[[#This Row],[Column31]]+Table13[[#This Row],[Column32]]))</f>
        <v>0</v>
      </c>
      <c r="AE1018" s="453"/>
      <c r="AF1018" s="646"/>
      <c r="AG1018" s="405"/>
      <c r="AH1018" s="380" t="s">
        <v>1205</v>
      </c>
      <c r="AI1018" s="576"/>
      <c r="AJ1018" s="576"/>
      <c r="AK1018" s="576"/>
      <c r="AL1018" s="576"/>
      <c r="AM1018" s="576"/>
      <c r="AN1018" s="576"/>
      <c r="AO1018" s="303" t="s">
        <v>175</v>
      </c>
      <c r="AP1018" s="378"/>
      <c r="AQ1018" s="237"/>
    </row>
    <row r="1019" spans="1:43" s="238" customFormat="1" ht="75" customHeight="1" x14ac:dyDescent="0.25">
      <c r="A1019" s="297" t="s">
        <v>1243</v>
      </c>
      <c r="B1019" s="627" t="str">
        <f>VLOOKUP(Table13[[#This Row],[Column1]],[1]Sheet1!$A:$AO,2,FALSE)</f>
        <v xml:space="preserve">MEALS AND SNACKS </v>
      </c>
      <c r="C1019" s="298" t="str">
        <f>VLOOKUP(Table13[[#This Row],[Column1]],[1]Sheet1!$A:$AO,3,FALSE)</f>
        <v>PGO</v>
      </c>
      <c r="D1019" s="298" t="s">
        <v>712</v>
      </c>
      <c r="E1019" s="402" t="str">
        <f>VLOOKUP(Table13[[#This Row],[Column1]],[1]Sheet1!$A:$AO,5,FALSE)</f>
        <v>Competitive Bidding</v>
      </c>
      <c r="F1019" s="446" t="str">
        <f>VLOOKUP(Table13[[#This Row],[Column1]],[1]Sheet1!$A:$AO,6,FALSE)</f>
        <v>N/A</v>
      </c>
      <c r="G1019" s="402">
        <f>VLOOKUP(Table13[[#This Row],[Column1]],[1]Sheet1!$A:$AO,7,FALSE)</f>
        <v>45462</v>
      </c>
      <c r="H1019" s="374"/>
      <c r="I1019" s="402" t="str">
        <f>VLOOKUP(Table13[[#This Row],[Column1]],[1]Sheet1!$A:$AO,9,FALSE)</f>
        <v>N/A</v>
      </c>
      <c r="J1019" s="402">
        <f>VLOOKUP(Table13[[#This Row],[Column1]],[1]Sheet1!$A:$AO,10,FALSE)</f>
        <v>45475</v>
      </c>
      <c r="K1019" s="402"/>
      <c r="L1019" s="404"/>
      <c r="M1019" s="402"/>
      <c r="N1019" s="402"/>
      <c r="O1019" s="402"/>
      <c r="P1019" s="375"/>
      <c r="Q1019" s="375"/>
      <c r="R1019" s="376"/>
      <c r="S1019" s="583"/>
      <c r="T1019" s="583"/>
      <c r="U1019" s="583"/>
      <c r="V1019" s="376"/>
      <c r="W1019" s="376"/>
      <c r="X1019" s="402"/>
      <c r="Y1019" s="402"/>
      <c r="Z1019" s="610" t="s">
        <v>1478</v>
      </c>
      <c r="AA1019" s="454">
        <f>IF(Table13[[#This Row],[Column2]]="","",SUM(Table13[[#This Row],[Column28]]+Table13[[#This Row],[Column29]]))</f>
        <v>455850</v>
      </c>
      <c r="AB1019" s="455"/>
      <c r="AC1019" s="452">
        <v>455850</v>
      </c>
      <c r="AD1019" s="451">
        <f>IF(Table13[[#This Row],[Column2]]="","",SUM(Table13[[#This Row],[Column31]]+Table13[[#This Row],[Column32]]))</f>
        <v>0</v>
      </c>
      <c r="AE1019" s="453"/>
      <c r="AF1019" s="646"/>
      <c r="AG1019" s="405"/>
      <c r="AH1019" s="380" t="s">
        <v>1205</v>
      </c>
      <c r="AI1019" s="576"/>
      <c r="AJ1019" s="576"/>
      <c r="AK1019" s="576"/>
      <c r="AL1019" s="576"/>
      <c r="AM1019" s="576"/>
      <c r="AN1019" s="576"/>
      <c r="AO1019" s="303" t="s">
        <v>175</v>
      </c>
      <c r="AP1019" s="378"/>
      <c r="AQ1019" s="237"/>
    </row>
    <row r="1020" spans="1:43" s="238" customFormat="1" ht="75" customHeight="1" x14ac:dyDescent="0.25">
      <c r="A1020" s="297" t="s">
        <v>1244</v>
      </c>
      <c r="B1020" s="627" t="str">
        <f>VLOOKUP(Table13[[#This Row],[Column1]],[1]Sheet1!$A:$AO,2,FALSE)</f>
        <v xml:space="preserve">JANITORIAL SUPPLIES </v>
      </c>
      <c r="C1020" s="298" t="str">
        <f>VLOOKUP(Table13[[#This Row],[Column1]],[1]Sheet1!$A:$AO,3,FALSE)</f>
        <v>PEEMO</v>
      </c>
      <c r="D1020" s="298" t="s">
        <v>712</v>
      </c>
      <c r="E1020" s="402" t="str">
        <f>VLOOKUP(Table13[[#This Row],[Column1]],[1]Sheet1!$A:$AO,5,FALSE)</f>
        <v>Competitive Bidding</v>
      </c>
      <c r="F1020" s="446" t="str">
        <f>VLOOKUP(Table13[[#This Row],[Column1]],[1]Sheet1!$A:$AO,6,FALSE)</f>
        <v>N/A</v>
      </c>
      <c r="G1020" s="402">
        <f>VLOOKUP(Table13[[#This Row],[Column1]],[1]Sheet1!$A:$AO,7,FALSE)</f>
        <v>45467</v>
      </c>
      <c r="H1020" s="374"/>
      <c r="I1020" s="402">
        <f>VLOOKUP(Table13[[#This Row],[Column1]],[1]Sheet1!$A:$AO,9,FALSE)</f>
        <v>45475</v>
      </c>
      <c r="J1020" s="402"/>
      <c r="K1020" s="402"/>
      <c r="L1020" s="404"/>
      <c r="M1020" s="402"/>
      <c r="N1020" s="402"/>
      <c r="O1020" s="402"/>
      <c r="P1020" s="375"/>
      <c r="Q1020" s="375"/>
      <c r="R1020" s="376"/>
      <c r="S1020" s="583"/>
      <c r="T1020" s="583"/>
      <c r="U1020" s="583"/>
      <c r="V1020" s="376"/>
      <c r="W1020" s="376"/>
      <c r="X1020" s="402"/>
      <c r="Y1020" s="402"/>
      <c r="Z1020" s="610" t="s">
        <v>1478</v>
      </c>
      <c r="AA1020" s="454">
        <f>IF(Table13[[#This Row],[Column2]]="","",SUM(Table13[[#This Row],[Column28]]+Table13[[#This Row],[Column29]]))</f>
        <v>1524630</v>
      </c>
      <c r="AB1020" s="455"/>
      <c r="AC1020" s="452">
        <v>1524630</v>
      </c>
      <c r="AD1020" s="451">
        <f>IF(Table13[[#This Row],[Column2]]="","",SUM(Table13[[#This Row],[Column31]]+Table13[[#This Row],[Column32]]))</f>
        <v>0</v>
      </c>
      <c r="AE1020" s="453"/>
      <c r="AF1020" s="646"/>
      <c r="AG1020" s="405"/>
      <c r="AH1020" s="380" t="s">
        <v>1205</v>
      </c>
      <c r="AI1020" s="576"/>
      <c r="AJ1020" s="576"/>
      <c r="AK1020" s="576"/>
      <c r="AL1020" s="576"/>
      <c r="AM1020" s="576"/>
      <c r="AN1020" s="576"/>
      <c r="AO1020" s="303" t="s">
        <v>175</v>
      </c>
      <c r="AP1020" s="378"/>
      <c r="AQ1020" s="237"/>
    </row>
    <row r="1021" spans="1:43" s="238" customFormat="1" ht="75" customHeight="1" x14ac:dyDescent="0.25">
      <c r="A1021" s="297" t="s">
        <v>1245</v>
      </c>
      <c r="B1021" s="627" t="str">
        <f>VLOOKUP(Table13[[#This Row],[Column1]],[1]Sheet1!$A:$AO,2,FALSE)</f>
        <v xml:space="preserve">JANITORIAL SUPPLIES </v>
      </c>
      <c r="C1021" s="298" t="str">
        <f>VLOOKUP(Table13[[#This Row],[Column1]],[1]Sheet1!$A:$AO,3,FALSE)</f>
        <v>PDRRMO</v>
      </c>
      <c r="D1021" s="298" t="s">
        <v>712</v>
      </c>
      <c r="E1021" s="402" t="str">
        <f>VLOOKUP(Table13[[#This Row],[Column1]],[1]Sheet1!$A:$AO,5,FALSE)</f>
        <v>Competitive Bidding</v>
      </c>
      <c r="F1021" s="446" t="str">
        <f>VLOOKUP(Table13[[#This Row],[Column1]],[1]Sheet1!$A:$AO,6,FALSE)</f>
        <v>N/A</v>
      </c>
      <c r="G1021" s="402">
        <f>VLOOKUP(Table13[[#This Row],[Column1]],[1]Sheet1!$A:$AO,7,FALSE)</f>
        <v>45467</v>
      </c>
      <c r="H1021" s="374"/>
      <c r="I1021" s="402">
        <f>VLOOKUP(Table13[[#This Row],[Column1]],[1]Sheet1!$A:$AO,9,FALSE)</f>
        <v>45475</v>
      </c>
      <c r="J1021" s="402"/>
      <c r="K1021" s="402"/>
      <c r="L1021" s="404"/>
      <c r="M1021" s="402"/>
      <c r="N1021" s="402"/>
      <c r="O1021" s="402"/>
      <c r="P1021" s="375"/>
      <c r="Q1021" s="375"/>
      <c r="R1021" s="376"/>
      <c r="S1021" s="583"/>
      <c r="T1021" s="583"/>
      <c r="U1021" s="583"/>
      <c r="V1021" s="376"/>
      <c r="W1021" s="376"/>
      <c r="X1021" s="402"/>
      <c r="Y1021" s="402"/>
      <c r="Z1021" s="610" t="s">
        <v>1478</v>
      </c>
      <c r="AA1021" s="454">
        <f>IF(Table13[[#This Row],[Column2]]="","",SUM(Table13[[#This Row],[Column28]]+Table13[[#This Row],[Column29]]))</f>
        <v>1044600</v>
      </c>
      <c r="AB1021" s="455"/>
      <c r="AC1021" s="452">
        <v>1044600</v>
      </c>
      <c r="AD1021" s="451">
        <f>IF(Table13[[#This Row],[Column2]]="","",SUM(Table13[[#This Row],[Column31]]+Table13[[#This Row],[Column32]]))</f>
        <v>0</v>
      </c>
      <c r="AE1021" s="453"/>
      <c r="AF1021" s="646"/>
      <c r="AG1021" s="405"/>
      <c r="AH1021" s="380" t="s">
        <v>1205</v>
      </c>
      <c r="AI1021" s="576"/>
      <c r="AJ1021" s="576"/>
      <c r="AK1021" s="576"/>
      <c r="AL1021" s="576"/>
      <c r="AM1021" s="576"/>
      <c r="AN1021" s="576"/>
      <c r="AO1021" s="303" t="s">
        <v>175</v>
      </c>
      <c r="AP1021" s="378"/>
      <c r="AQ1021" s="237"/>
    </row>
    <row r="1022" spans="1:43" s="238" customFormat="1" ht="75" customHeight="1" x14ac:dyDescent="0.25">
      <c r="A1022" s="297" t="s">
        <v>1246</v>
      </c>
      <c r="B1022" s="627" t="str">
        <f>VLOOKUP(Table13[[#This Row],[Column1]],[1]Sheet1!$A:$AO,2,FALSE)</f>
        <v xml:space="preserve">RICE (WELL MILLED) 50KG/SACK </v>
      </c>
      <c r="C1022" s="298" t="str">
        <f>VLOOKUP(Table13[[#This Row],[Column1]],[1]Sheet1!$A:$AO,3,FALSE)</f>
        <v>PEEMO</v>
      </c>
      <c r="D1022" s="298" t="s">
        <v>712</v>
      </c>
      <c r="E1022" s="402" t="str">
        <f>VLOOKUP(Table13[[#This Row],[Column1]],[1]Sheet1!$A:$AO,5,FALSE)</f>
        <v>Competitive Bidding</v>
      </c>
      <c r="F1022" s="446" t="str">
        <f>VLOOKUP(Table13[[#This Row],[Column1]],[1]Sheet1!$A:$AO,6,FALSE)</f>
        <v>N/A</v>
      </c>
      <c r="G1022" s="402">
        <f>VLOOKUP(Table13[[#This Row],[Column1]],[1]Sheet1!$A:$AO,7,FALSE)</f>
        <v>45467</v>
      </c>
      <c r="H1022" s="374"/>
      <c r="I1022" s="402">
        <f>VLOOKUP(Table13[[#This Row],[Column1]],[1]Sheet1!$A:$AO,9,FALSE)</f>
        <v>45475</v>
      </c>
      <c r="J1022" s="402"/>
      <c r="K1022" s="402"/>
      <c r="L1022" s="404"/>
      <c r="M1022" s="402"/>
      <c r="N1022" s="402"/>
      <c r="O1022" s="402"/>
      <c r="P1022" s="375"/>
      <c r="Q1022" s="375"/>
      <c r="R1022" s="376"/>
      <c r="S1022" s="583"/>
      <c r="T1022" s="583"/>
      <c r="U1022" s="583"/>
      <c r="V1022" s="376"/>
      <c r="W1022" s="376"/>
      <c r="X1022" s="402"/>
      <c r="Y1022" s="402"/>
      <c r="Z1022" s="610" t="s">
        <v>1478</v>
      </c>
      <c r="AA1022" s="454">
        <f>IF(Table13[[#This Row],[Column2]]="","",SUM(Table13[[#This Row],[Column28]]+Table13[[#This Row],[Column29]]))</f>
        <v>1083000</v>
      </c>
      <c r="AB1022" s="455"/>
      <c r="AC1022" s="452">
        <v>1083000</v>
      </c>
      <c r="AD1022" s="451">
        <f>IF(Table13[[#This Row],[Column2]]="","",SUM(Table13[[#This Row],[Column31]]+Table13[[#This Row],[Column32]]))</f>
        <v>0</v>
      </c>
      <c r="AE1022" s="453"/>
      <c r="AF1022" s="646"/>
      <c r="AG1022" s="405"/>
      <c r="AH1022" s="380" t="s">
        <v>1205</v>
      </c>
      <c r="AI1022" s="576"/>
      <c r="AJ1022" s="576"/>
      <c r="AK1022" s="576"/>
      <c r="AL1022" s="576"/>
      <c r="AM1022" s="576"/>
      <c r="AN1022" s="576"/>
      <c r="AO1022" s="303" t="s">
        <v>175</v>
      </c>
      <c r="AP1022" s="378"/>
      <c r="AQ1022" s="237"/>
    </row>
    <row r="1023" spans="1:43" s="238" customFormat="1" ht="75" customHeight="1" x14ac:dyDescent="0.25">
      <c r="A1023" s="297" t="s">
        <v>1247</v>
      </c>
      <c r="B1023" s="627" t="str">
        <f>VLOOKUP(Table13[[#This Row],[Column1]],[1]Sheet1!$A:$AO,2,FALSE)</f>
        <v xml:space="preserve">MEALS AND SNACKS WITH ACCOMMODATION </v>
      </c>
      <c r="C1023" s="298" t="str">
        <f>VLOOKUP(Table13[[#This Row],[Column1]],[1]Sheet1!$A:$AO,3,FALSE)</f>
        <v>PHO</v>
      </c>
      <c r="D1023" s="298" t="s">
        <v>712</v>
      </c>
      <c r="E1023" s="402" t="str">
        <f>VLOOKUP(Table13[[#This Row],[Column1]],[1]Sheet1!$A:$AO,5,FALSE)</f>
        <v>Competitive Bidding</v>
      </c>
      <c r="F1023" s="446" t="str">
        <f>VLOOKUP(Table13[[#This Row],[Column1]],[1]Sheet1!$A:$AO,6,FALSE)</f>
        <v>N/A</v>
      </c>
      <c r="G1023" s="402">
        <f>VLOOKUP(Table13[[#This Row],[Column1]],[1]Sheet1!$A:$AO,7,FALSE)</f>
        <v>45467</v>
      </c>
      <c r="H1023" s="374"/>
      <c r="I1023" s="402">
        <f>VLOOKUP(Table13[[#This Row],[Column1]],[1]Sheet1!$A:$AO,9,FALSE)</f>
        <v>45475</v>
      </c>
      <c r="J1023" s="402"/>
      <c r="K1023" s="402"/>
      <c r="L1023" s="404"/>
      <c r="M1023" s="402"/>
      <c r="N1023" s="402"/>
      <c r="O1023" s="402"/>
      <c r="P1023" s="375"/>
      <c r="Q1023" s="375"/>
      <c r="R1023" s="376"/>
      <c r="S1023" s="583"/>
      <c r="T1023" s="583"/>
      <c r="U1023" s="583"/>
      <c r="V1023" s="376"/>
      <c r="W1023" s="376"/>
      <c r="X1023" s="402"/>
      <c r="Y1023" s="402"/>
      <c r="Z1023" s="610" t="s">
        <v>1478</v>
      </c>
      <c r="AA1023" s="454">
        <f>IF(Table13[[#This Row],[Column2]]="","",SUM(Table13[[#This Row],[Column28]]+Table13[[#This Row],[Column29]]))</f>
        <v>1282500</v>
      </c>
      <c r="AB1023" s="455"/>
      <c r="AC1023" s="452">
        <v>1282500</v>
      </c>
      <c r="AD1023" s="451">
        <f>IF(Table13[[#This Row],[Column2]]="","",SUM(Table13[[#This Row],[Column31]]+Table13[[#This Row],[Column32]]))</f>
        <v>0</v>
      </c>
      <c r="AE1023" s="453"/>
      <c r="AF1023" s="646"/>
      <c r="AG1023" s="405"/>
      <c r="AH1023" s="380" t="s">
        <v>1205</v>
      </c>
      <c r="AI1023" s="576"/>
      <c r="AJ1023" s="576"/>
      <c r="AK1023" s="576"/>
      <c r="AL1023" s="576"/>
      <c r="AM1023" s="576"/>
      <c r="AN1023" s="576"/>
      <c r="AO1023" s="303" t="s">
        <v>175</v>
      </c>
      <c r="AP1023" s="378"/>
      <c r="AQ1023" s="237"/>
    </row>
    <row r="1024" spans="1:43" s="238" customFormat="1" ht="75" customHeight="1" x14ac:dyDescent="0.25">
      <c r="A1024" s="297" t="s">
        <v>1248</v>
      </c>
      <c r="B1024" s="627" t="str">
        <f>VLOOKUP(Table13[[#This Row],[Column1]],[1]Sheet1!$A:$AO,2,FALSE)</f>
        <v xml:space="preserve">MEALS AND SNACKS </v>
      </c>
      <c r="C1024" s="298" t="str">
        <f>VLOOKUP(Table13[[#This Row],[Column1]],[1]Sheet1!$A:$AO,3,FALSE)</f>
        <v>PHO</v>
      </c>
      <c r="D1024" s="298" t="s">
        <v>712</v>
      </c>
      <c r="E1024" s="402" t="str">
        <f>VLOOKUP(Table13[[#This Row],[Column1]],[1]Sheet1!$A:$AO,5,FALSE)</f>
        <v>Competitive Bidding</v>
      </c>
      <c r="F1024" s="446" t="str">
        <f>VLOOKUP(Table13[[#This Row],[Column1]],[1]Sheet1!$A:$AO,6,FALSE)</f>
        <v>N/A</v>
      </c>
      <c r="G1024" s="402">
        <f>VLOOKUP(Table13[[#This Row],[Column1]],[1]Sheet1!$A:$AO,7,FALSE)</f>
        <v>45467</v>
      </c>
      <c r="H1024" s="374"/>
      <c r="I1024" s="402">
        <f>VLOOKUP(Table13[[#This Row],[Column1]],[1]Sheet1!$A:$AO,9,FALSE)</f>
        <v>45475</v>
      </c>
      <c r="J1024" s="402"/>
      <c r="K1024" s="402"/>
      <c r="L1024" s="404"/>
      <c r="M1024" s="402"/>
      <c r="N1024" s="402"/>
      <c r="O1024" s="402"/>
      <c r="P1024" s="375"/>
      <c r="Q1024" s="375"/>
      <c r="R1024" s="376"/>
      <c r="S1024" s="583"/>
      <c r="T1024" s="583"/>
      <c r="U1024" s="583"/>
      <c r="V1024" s="376"/>
      <c r="W1024" s="376"/>
      <c r="X1024" s="402"/>
      <c r="Y1024" s="402"/>
      <c r="Z1024" s="610" t="s">
        <v>1478</v>
      </c>
      <c r="AA1024" s="454">
        <f>IF(Table13[[#This Row],[Column2]]="","",SUM(Table13[[#This Row],[Column28]]+Table13[[#This Row],[Column29]]))</f>
        <v>1418400</v>
      </c>
      <c r="AB1024" s="455"/>
      <c r="AC1024" s="452">
        <v>1418400</v>
      </c>
      <c r="AD1024" s="451">
        <f>IF(Table13[[#This Row],[Column2]]="","",SUM(Table13[[#This Row],[Column31]]+Table13[[#This Row],[Column32]]))</f>
        <v>0</v>
      </c>
      <c r="AE1024" s="453"/>
      <c r="AF1024" s="646"/>
      <c r="AG1024" s="405"/>
      <c r="AH1024" s="380" t="s">
        <v>1205</v>
      </c>
      <c r="AI1024" s="576"/>
      <c r="AJ1024" s="576"/>
      <c r="AK1024" s="576"/>
      <c r="AL1024" s="576"/>
      <c r="AM1024" s="576"/>
      <c r="AN1024" s="576"/>
      <c r="AO1024" s="303" t="s">
        <v>175</v>
      </c>
      <c r="AP1024" s="378"/>
      <c r="AQ1024" s="237"/>
    </row>
    <row r="1025" spans="1:43" s="238" customFormat="1" ht="75" customHeight="1" x14ac:dyDescent="0.25">
      <c r="A1025" s="297" t="s">
        <v>1249</v>
      </c>
      <c r="B1025" s="627" t="str">
        <f>VLOOKUP(Table13[[#This Row],[Column1]],[1]Sheet1!$A:$AO,2,FALSE)</f>
        <v>JOB ORDER: SUPPLY, LABOR AND INSTALLATION AT RADIO STATION (PHASE 1)</v>
      </c>
      <c r="C1025" s="298" t="str">
        <f>VLOOKUP(Table13[[#This Row],[Column1]],[1]Sheet1!$A:$AO,3,FALSE)</f>
        <v>PAO-
IPRD</v>
      </c>
      <c r="D1025" s="298" t="s">
        <v>712</v>
      </c>
      <c r="E1025" s="402" t="str">
        <f>VLOOKUP(Table13[[#This Row],[Column1]],[1]Sheet1!$A:$AO,5,FALSE)</f>
        <v>Competitive Bidding</v>
      </c>
      <c r="F1025" s="446" t="str">
        <f>VLOOKUP(Table13[[#This Row],[Column1]],[1]Sheet1!$A:$AO,6,FALSE)</f>
        <v>N/A</v>
      </c>
      <c r="G1025" s="402">
        <f>VLOOKUP(Table13[[#This Row],[Column1]],[1]Sheet1!$A:$AO,7,FALSE)</f>
        <v>45467</v>
      </c>
      <c r="H1025" s="374"/>
      <c r="I1025" s="402">
        <f>VLOOKUP(Table13[[#This Row],[Column1]],[1]Sheet1!$A:$AO,9,FALSE)</f>
        <v>45475</v>
      </c>
      <c r="J1025" s="402"/>
      <c r="K1025" s="402"/>
      <c r="L1025" s="404"/>
      <c r="M1025" s="402"/>
      <c r="N1025" s="402"/>
      <c r="O1025" s="402"/>
      <c r="P1025" s="375"/>
      <c r="Q1025" s="375"/>
      <c r="R1025" s="376"/>
      <c r="S1025" s="583"/>
      <c r="T1025" s="583"/>
      <c r="U1025" s="583"/>
      <c r="V1025" s="376"/>
      <c r="W1025" s="376"/>
      <c r="X1025" s="402"/>
      <c r="Y1025" s="402"/>
      <c r="Z1025" s="610" t="s">
        <v>1478</v>
      </c>
      <c r="AA1025" s="454">
        <f>IF(Table13[[#This Row],[Column2]]="","",SUM(Table13[[#This Row],[Column28]]+Table13[[#This Row],[Column29]]))</f>
        <v>3655000</v>
      </c>
      <c r="AB1025" s="455"/>
      <c r="AC1025" s="452">
        <v>3655000</v>
      </c>
      <c r="AD1025" s="451">
        <f>IF(Table13[[#This Row],[Column2]]="","",SUM(Table13[[#This Row],[Column31]]+Table13[[#This Row],[Column32]]))</f>
        <v>0</v>
      </c>
      <c r="AE1025" s="453"/>
      <c r="AF1025" s="646"/>
      <c r="AG1025" s="405"/>
      <c r="AH1025" s="380" t="s">
        <v>1205</v>
      </c>
      <c r="AI1025" s="576"/>
      <c r="AJ1025" s="576"/>
      <c r="AK1025" s="576"/>
      <c r="AL1025" s="576"/>
      <c r="AM1025" s="576"/>
      <c r="AN1025" s="576"/>
      <c r="AO1025" s="303" t="s">
        <v>175</v>
      </c>
      <c r="AP1025" s="378"/>
      <c r="AQ1025" s="237"/>
    </row>
    <row r="1026" spans="1:43" s="238" customFormat="1" ht="75" customHeight="1" x14ac:dyDescent="0.25">
      <c r="A1026" s="297" t="s">
        <v>1250</v>
      </c>
      <c r="B1026" s="627" t="str">
        <f>VLOOKUP(Table13[[#This Row],[Column1]],[1]Sheet1!$A:$AO,2,FALSE)</f>
        <v>COLORED PRINTER AND BINDING MACHINE</v>
      </c>
      <c r="C1026" s="298" t="str">
        <f>VLOOKUP(Table13[[#This Row],[Column1]],[1]Sheet1!$A:$AO,3,FALSE)</f>
        <v>PBO</v>
      </c>
      <c r="D1026" s="298" t="s">
        <v>712</v>
      </c>
      <c r="E1026" s="402" t="str">
        <f>VLOOKUP(Table13[[#This Row],[Column1]],[1]Sheet1!$A:$AO,5,FALSE)</f>
        <v>Competitive Bidding</v>
      </c>
      <c r="F1026" s="446">
        <f>VLOOKUP(Table13[[#This Row],[Column1]],[1]Sheet1!$A:$AO,6,FALSE)</f>
        <v>45461</v>
      </c>
      <c r="G1026" s="402">
        <f>VLOOKUP(Table13[[#This Row],[Column1]],[1]Sheet1!$A:$AO,7,FALSE)</f>
        <v>45467</v>
      </c>
      <c r="H1026" s="374"/>
      <c r="I1026" s="402" t="str">
        <f>VLOOKUP(Table13[[#This Row],[Column1]],[1]Sheet1!$A:$AO,9,FALSE)</f>
        <v>N/A</v>
      </c>
      <c r="J1026" s="402">
        <f>VLOOKUP(Table13[[#This Row],[Column1]],[1]Sheet1!$A:$AO,10,FALSE)</f>
        <v>45475</v>
      </c>
      <c r="K1026" s="402"/>
      <c r="L1026" s="404"/>
      <c r="M1026" s="402"/>
      <c r="N1026" s="402"/>
      <c r="O1026" s="402"/>
      <c r="P1026" s="375"/>
      <c r="Q1026" s="375"/>
      <c r="R1026" s="376"/>
      <c r="S1026" s="583"/>
      <c r="T1026" s="583"/>
      <c r="U1026" s="583"/>
      <c r="V1026" s="376"/>
      <c r="W1026" s="376"/>
      <c r="X1026" s="402"/>
      <c r="Y1026" s="402"/>
      <c r="Z1026" s="610" t="s">
        <v>1478</v>
      </c>
      <c r="AA1026" s="454">
        <f>IF(Table13[[#This Row],[Column2]]="","",SUM(Table13[[#This Row],[Column28]]+Table13[[#This Row],[Column29]]))</f>
        <v>291000</v>
      </c>
      <c r="AB1026" s="455"/>
      <c r="AC1026" s="452">
        <v>291000</v>
      </c>
      <c r="AD1026" s="451">
        <f>IF(Table13[[#This Row],[Column2]]="","",SUM(Table13[[#This Row],[Column31]]+Table13[[#This Row],[Column32]]))</f>
        <v>0</v>
      </c>
      <c r="AE1026" s="453"/>
      <c r="AF1026" s="646"/>
      <c r="AG1026" s="405"/>
      <c r="AH1026" s="380" t="s">
        <v>1205</v>
      </c>
      <c r="AI1026" s="576"/>
      <c r="AJ1026" s="576"/>
      <c r="AK1026" s="576"/>
      <c r="AL1026" s="576"/>
      <c r="AM1026" s="576"/>
      <c r="AN1026" s="576"/>
      <c r="AO1026" s="303" t="s">
        <v>175</v>
      </c>
      <c r="AP1026" s="378"/>
      <c r="AQ1026" s="237"/>
    </row>
    <row r="1027" spans="1:43" s="238" customFormat="1" ht="75" customHeight="1" x14ac:dyDescent="0.25">
      <c r="A1027" s="297" t="s">
        <v>1251</v>
      </c>
      <c r="B1027" s="627" t="str">
        <f>VLOOKUP(Table13[[#This Row],[Column1]],[1]Sheet1!$A:$AO,2,FALSE)</f>
        <v xml:space="preserve">FOOD SUPPLIES </v>
      </c>
      <c r="C1027" s="298" t="str">
        <f>VLOOKUP(Table13[[#This Row],[Column1]],[1]Sheet1!$A:$AO,3,FALSE)</f>
        <v>PGO</v>
      </c>
      <c r="D1027" s="298" t="s">
        <v>712</v>
      </c>
      <c r="E1027" s="402" t="str">
        <f>VLOOKUP(Table13[[#This Row],[Column1]],[1]Sheet1!$A:$AO,5,FALSE)</f>
        <v>Competitive Bidding</v>
      </c>
      <c r="F1027" s="446">
        <f>VLOOKUP(Table13[[#This Row],[Column1]],[1]Sheet1!$A:$AO,6,FALSE)</f>
        <v>45461</v>
      </c>
      <c r="G1027" s="402">
        <f>VLOOKUP(Table13[[#This Row],[Column1]],[1]Sheet1!$A:$AO,7,FALSE)</f>
        <v>45467</v>
      </c>
      <c r="H1027" s="374"/>
      <c r="I1027" s="402">
        <f>VLOOKUP(Table13[[#This Row],[Column1]],[1]Sheet1!$A:$AO,9,FALSE)</f>
        <v>45475</v>
      </c>
      <c r="J1027" s="402"/>
      <c r="K1027" s="402"/>
      <c r="L1027" s="404"/>
      <c r="M1027" s="402"/>
      <c r="N1027" s="402"/>
      <c r="O1027" s="402"/>
      <c r="P1027" s="375"/>
      <c r="Q1027" s="375"/>
      <c r="R1027" s="376"/>
      <c r="S1027" s="583"/>
      <c r="T1027" s="583"/>
      <c r="U1027" s="583"/>
      <c r="V1027" s="376"/>
      <c r="W1027" s="376"/>
      <c r="X1027" s="402"/>
      <c r="Y1027" s="402"/>
      <c r="Z1027" s="610" t="s">
        <v>1478</v>
      </c>
      <c r="AA1027" s="454">
        <f>IF(Table13[[#This Row],[Column2]]="","",SUM(Table13[[#This Row],[Column28]]+Table13[[#This Row],[Column29]]))</f>
        <v>3047840</v>
      </c>
      <c r="AB1027" s="455"/>
      <c r="AC1027" s="452">
        <v>3047840</v>
      </c>
      <c r="AD1027" s="451">
        <f>IF(Table13[[#This Row],[Column2]]="","",SUM(Table13[[#This Row],[Column31]]+Table13[[#This Row],[Column32]]))</f>
        <v>0</v>
      </c>
      <c r="AE1027" s="453"/>
      <c r="AF1027" s="646"/>
      <c r="AG1027" s="405"/>
      <c r="AH1027" s="380" t="s">
        <v>1205</v>
      </c>
      <c r="AI1027" s="576"/>
      <c r="AJ1027" s="576"/>
      <c r="AK1027" s="576"/>
      <c r="AL1027" s="576"/>
      <c r="AM1027" s="576"/>
      <c r="AN1027" s="576"/>
      <c r="AO1027" s="303" t="s">
        <v>175</v>
      </c>
      <c r="AP1027" s="378"/>
      <c r="AQ1027" s="237"/>
    </row>
    <row r="1028" spans="1:43" s="238" customFormat="1" ht="75" customHeight="1" x14ac:dyDescent="0.25">
      <c r="A1028" s="297" t="s">
        <v>1252</v>
      </c>
      <c r="B1028" s="627" t="str">
        <f>VLOOKUP(Table13[[#This Row],[Column1]],[1]Sheet1!$A:$AO,2,FALSE)</f>
        <v xml:space="preserve">FOOD SUPPLIES </v>
      </c>
      <c r="C1028" s="298" t="str">
        <f>VLOOKUP(Table13[[#This Row],[Column1]],[1]Sheet1!$A:$AO,3,FALSE)</f>
        <v>PSWDO</v>
      </c>
      <c r="D1028" s="298" t="s">
        <v>712</v>
      </c>
      <c r="E1028" s="402" t="str">
        <f>VLOOKUP(Table13[[#This Row],[Column1]],[1]Sheet1!$A:$AO,5,FALSE)</f>
        <v>Competitive Bidding</v>
      </c>
      <c r="F1028" s="446">
        <f>VLOOKUP(Table13[[#This Row],[Column1]],[1]Sheet1!$A:$AO,6,FALSE)</f>
        <v>45461</v>
      </c>
      <c r="G1028" s="402"/>
      <c r="H1028" s="374"/>
      <c r="I1028" s="402"/>
      <c r="J1028" s="402"/>
      <c r="K1028" s="402"/>
      <c r="L1028" s="404"/>
      <c r="M1028" s="402"/>
      <c r="N1028" s="402"/>
      <c r="O1028" s="402"/>
      <c r="P1028" s="375"/>
      <c r="Q1028" s="375"/>
      <c r="R1028" s="376"/>
      <c r="S1028" s="583"/>
      <c r="T1028" s="583"/>
      <c r="U1028" s="583"/>
      <c r="V1028" s="376"/>
      <c r="W1028" s="376"/>
      <c r="X1028" s="402"/>
      <c r="Y1028" s="402"/>
      <c r="Z1028" s="610" t="s">
        <v>1478</v>
      </c>
      <c r="AA1028" s="454">
        <f>IF(Table13[[#This Row],[Column2]]="","",SUM(Table13[[#This Row],[Column28]]+Table13[[#This Row],[Column29]]))</f>
        <v>2903840</v>
      </c>
      <c r="AB1028" s="455"/>
      <c r="AC1028" s="452">
        <v>2903840</v>
      </c>
      <c r="AD1028" s="451">
        <f>IF(Table13[[#This Row],[Column2]]="","",SUM(Table13[[#This Row],[Column31]]+Table13[[#This Row],[Column32]]))</f>
        <v>0</v>
      </c>
      <c r="AE1028" s="453"/>
      <c r="AF1028" s="646"/>
      <c r="AG1028" s="405"/>
      <c r="AH1028" s="380" t="s">
        <v>1205</v>
      </c>
      <c r="AI1028" s="576"/>
      <c r="AJ1028" s="576"/>
      <c r="AK1028" s="576"/>
      <c r="AL1028" s="576"/>
      <c r="AM1028" s="576"/>
      <c r="AN1028" s="576"/>
      <c r="AO1028" s="303" t="s">
        <v>175</v>
      </c>
      <c r="AP1028" s="378"/>
      <c r="AQ1028" s="237"/>
    </row>
    <row r="1029" spans="1:43" s="238" customFormat="1" ht="75" customHeight="1" x14ac:dyDescent="0.25">
      <c r="A1029" s="297" t="s">
        <v>1253</v>
      </c>
      <c r="B1029" s="627" t="str">
        <f>VLOOKUP(Table13[[#This Row],[Column1]],[1]Sheet1!$A:$AO,2,FALSE)</f>
        <v>COMPUTER SET WITH COMPLETE ACCESSORIES  AND LAPTOP</v>
      </c>
      <c r="C1029" s="298" t="str">
        <f>VLOOKUP(Table13[[#This Row],[Column1]],[1]Sheet1!$A:$AO,3,FALSE)</f>
        <v>PGO</v>
      </c>
      <c r="D1029" s="298" t="s">
        <v>712</v>
      </c>
      <c r="E1029" s="402" t="str">
        <f>VLOOKUP(Table13[[#This Row],[Column1]],[1]Sheet1!$A:$AO,5,FALSE)</f>
        <v>Competitive Bidding</v>
      </c>
      <c r="F1029" s="446">
        <f>VLOOKUP(Table13[[#This Row],[Column1]],[1]Sheet1!$A:$AO,6,FALSE)</f>
        <v>45461</v>
      </c>
      <c r="G1029" s="402"/>
      <c r="H1029" s="374"/>
      <c r="I1029" s="402"/>
      <c r="J1029" s="402"/>
      <c r="K1029" s="402"/>
      <c r="L1029" s="404"/>
      <c r="M1029" s="402"/>
      <c r="N1029" s="402"/>
      <c r="O1029" s="402"/>
      <c r="P1029" s="375"/>
      <c r="Q1029" s="375"/>
      <c r="R1029" s="376"/>
      <c r="S1029" s="583"/>
      <c r="T1029" s="583"/>
      <c r="U1029" s="583"/>
      <c r="V1029" s="376"/>
      <c r="W1029" s="376"/>
      <c r="X1029" s="402"/>
      <c r="Y1029" s="402"/>
      <c r="Z1029" s="610" t="s">
        <v>1478</v>
      </c>
      <c r="AA1029" s="454">
        <f>IF(Table13[[#This Row],[Column2]]="","",SUM(Table13[[#This Row],[Column28]]+Table13[[#This Row],[Column29]]))</f>
        <v>123000</v>
      </c>
      <c r="AB1029" s="455"/>
      <c r="AC1029" s="452">
        <v>123000</v>
      </c>
      <c r="AD1029" s="451">
        <f>IF(Table13[[#This Row],[Column2]]="","",SUM(Table13[[#This Row],[Column31]]+Table13[[#This Row],[Column32]]))</f>
        <v>0</v>
      </c>
      <c r="AE1029" s="453"/>
      <c r="AF1029" s="646"/>
      <c r="AG1029" s="405"/>
      <c r="AH1029" s="380" t="s">
        <v>1205</v>
      </c>
      <c r="AI1029" s="576"/>
      <c r="AJ1029" s="576"/>
      <c r="AK1029" s="576"/>
      <c r="AL1029" s="576"/>
      <c r="AM1029" s="576"/>
      <c r="AN1029" s="576"/>
      <c r="AO1029" s="303" t="s">
        <v>175</v>
      </c>
      <c r="AP1029" s="378"/>
      <c r="AQ1029" s="237"/>
    </row>
    <row r="1030" spans="1:43" s="238" customFormat="1" ht="75" customHeight="1" x14ac:dyDescent="0.25">
      <c r="A1030" s="297" t="s">
        <v>1254</v>
      </c>
      <c r="B1030" s="627" t="str">
        <f>VLOOKUP(Table13[[#This Row],[Column1]],[1]Sheet1!$A:$AO,2,FALSE)</f>
        <v>COMPUTER SET WITH COMPLETE ACCESSORIES  AND LAPTOP</v>
      </c>
      <c r="C1030" s="298" t="str">
        <f>VLOOKUP(Table13[[#This Row],[Column1]],[1]Sheet1!$A:$AO,3,FALSE)</f>
        <v>PSWDO</v>
      </c>
      <c r="D1030" s="298" t="s">
        <v>712</v>
      </c>
      <c r="E1030" s="402" t="str">
        <f>VLOOKUP(Table13[[#This Row],[Column1]],[1]Sheet1!$A:$AO,5,FALSE)</f>
        <v>Competitive Bidding</v>
      </c>
      <c r="F1030" s="446">
        <f>VLOOKUP(Table13[[#This Row],[Column1]],[1]Sheet1!$A:$AO,6,FALSE)</f>
        <v>45461</v>
      </c>
      <c r="G1030" s="402">
        <f>VLOOKUP(Table13[[#This Row],[Column1]],[1]Sheet1!$A:$AO,7,FALSE)</f>
        <v>45467</v>
      </c>
      <c r="H1030" s="374"/>
      <c r="I1030" s="402" t="str">
        <f>VLOOKUP(Table13[[#This Row],[Column1]],[1]Sheet1!$A:$AO,9,FALSE)</f>
        <v>N/A</v>
      </c>
      <c r="J1030" s="402">
        <f>VLOOKUP(Table13[[#This Row],[Column1]],[1]Sheet1!$A:$AO,10,FALSE)</f>
        <v>45475</v>
      </c>
      <c r="K1030" s="402"/>
      <c r="L1030" s="404"/>
      <c r="M1030" s="402"/>
      <c r="N1030" s="402"/>
      <c r="O1030" s="402"/>
      <c r="P1030" s="375"/>
      <c r="Q1030" s="375"/>
      <c r="R1030" s="376"/>
      <c r="S1030" s="583"/>
      <c r="T1030" s="583"/>
      <c r="U1030" s="583"/>
      <c r="V1030" s="376"/>
      <c r="W1030" s="376"/>
      <c r="X1030" s="402"/>
      <c r="Y1030" s="402"/>
      <c r="Z1030" s="610" t="s">
        <v>1478</v>
      </c>
      <c r="AA1030" s="454">
        <f>IF(Table13[[#This Row],[Column2]]="","",SUM(Table13[[#This Row],[Column28]]+Table13[[#This Row],[Column29]]))</f>
        <v>162000</v>
      </c>
      <c r="AB1030" s="455"/>
      <c r="AC1030" s="452">
        <v>162000</v>
      </c>
      <c r="AD1030" s="451">
        <f>IF(Table13[[#This Row],[Column2]]="","",SUM(Table13[[#This Row],[Column31]]+Table13[[#This Row],[Column32]]))</f>
        <v>0</v>
      </c>
      <c r="AE1030" s="453"/>
      <c r="AF1030" s="646"/>
      <c r="AG1030" s="405"/>
      <c r="AH1030" s="380" t="s">
        <v>1205</v>
      </c>
      <c r="AI1030" s="576"/>
      <c r="AJ1030" s="576"/>
      <c r="AK1030" s="576"/>
      <c r="AL1030" s="576"/>
      <c r="AM1030" s="576"/>
      <c r="AN1030" s="576"/>
      <c r="AO1030" s="303" t="s">
        <v>175</v>
      </c>
      <c r="AP1030" s="378"/>
      <c r="AQ1030" s="237"/>
    </row>
    <row r="1031" spans="1:43" s="238" customFormat="1" ht="75" customHeight="1" x14ac:dyDescent="0.25">
      <c r="A1031" s="297" t="s">
        <v>1255</v>
      </c>
      <c r="B1031" s="627" t="str">
        <f>VLOOKUP(Table13[[#This Row],[Column1]],[1]Sheet1!$A:$AO,2,FALSE)</f>
        <v>LIVE AMMUNITIION FOR 9MM CALIBER</v>
      </c>
      <c r="C1031" s="298" t="str">
        <f>VLOOKUP(Table13[[#This Row],[Column1]],[1]Sheet1!$A:$AO,3,FALSE)</f>
        <v>PGO-PS</v>
      </c>
      <c r="D1031" s="298" t="s">
        <v>712</v>
      </c>
      <c r="E1031" s="402" t="str">
        <f>VLOOKUP(Table13[[#This Row],[Column1]],[1]Sheet1!$A:$AO,5,FALSE)</f>
        <v>Competitive Bidding</v>
      </c>
      <c r="F1031" s="446">
        <f>VLOOKUP(Table13[[#This Row],[Column1]],[1]Sheet1!$A:$AO,6,FALSE)</f>
        <v>45461</v>
      </c>
      <c r="G1031" s="402"/>
      <c r="H1031" s="374"/>
      <c r="I1031" s="402"/>
      <c r="J1031" s="402"/>
      <c r="K1031" s="402"/>
      <c r="L1031" s="404"/>
      <c r="M1031" s="402"/>
      <c r="N1031" s="402"/>
      <c r="O1031" s="402"/>
      <c r="P1031" s="375"/>
      <c r="Q1031" s="375"/>
      <c r="R1031" s="376"/>
      <c r="S1031" s="583"/>
      <c r="T1031" s="583"/>
      <c r="U1031" s="583"/>
      <c r="V1031" s="376"/>
      <c r="W1031" s="376"/>
      <c r="X1031" s="402"/>
      <c r="Y1031" s="402"/>
      <c r="Z1031" s="610" t="s">
        <v>1478</v>
      </c>
      <c r="AA1031" s="454">
        <f>IF(Table13[[#This Row],[Column2]]="","",SUM(Table13[[#This Row],[Column28]]+Table13[[#This Row],[Column29]]))</f>
        <v>340560</v>
      </c>
      <c r="AB1031" s="455"/>
      <c r="AC1031" s="452">
        <v>340560</v>
      </c>
      <c r="AD1031" s="451">
        <f>IF(Table13[[#This Row],[Column2]]="","",SUM(Table13[[#This Row],[Column31]]+Table13[[#This Row],[Column32]]))</f>
        <v>0</v>
      </c>
      <c r="AE1031" s="453"/>
      <c r="AF1031" s="646"/>
      <c r="AG1031" s="405"/>
      <c r="AH1031" s="380" t="s">
        <v>1205</v>
      </c>
      <c r="AI1031" s="576"/>
      <c r="AJ1031" s="576"/>
      <c r="AK1031" s="576"/>
      <c r="AL1031" s="576"/>
      <c r="AM1031" s="576"/>
      <c r="AN1031" s="576"/>
      <c r="AO1031" s="303" t="s">
        <v>175</v>
      </c>
      <c r="AP1031" s="378"/>
      <c r="AQ1031" s="237"/>
    </row>
    <row r="1032" spans="1:43" s="238" customFormat="1" ht="75" customHeight="1" x14ac:dyDescent="0.25">
      <c r="A1032" s="297" t="s">
        <v>1256</v>
      </c>
      <c r="B1032" s="627" t="str">
        <f>VLOOKUP(Table13[[#This Row],[Column1]],[1]Sheet1!$A:$AO,2,FALSE)</f>
        <v>OFFICE EQUIPMENT</v>
      </c>
      <c r="C1032" s="298" t="str">
        <f>VLOOKUP(Table13[[#This Row],[Column1]],[1]Sheet1!$A:$AO,3,FALSE)</f>
        <v>PAGRO</v>
      </c>
      <c r="D1032" s="298" t="s">
        <v>712</v>
      </c>
      <c r="E1032" s="402" t="str">
        <f>VLOOKUP(Table13[[#This Row],[Column1]],[1]Sheet1!$A:$AO,5,FALSE)</f>
        <v>Competitive Bidding</v>
      </c>
      <c r="F1032" s="446">
        <f>VLOOKUP(Table13[[#This Row],[Column1]],[1]Sheet1!$A:$AO,6,FALSE)</f>
        <v>45461</v>
      </c>
      <c r="G1032" s="402">
        <f>VLOOKUP(Table13[[#This Row],[Column1]],[1]Sheet1!$A:$AO,7,FALSE)</f>
        <v>45467</v>
      </c>
      <c r="H1032" s="374"/>
      <c r="I1032" s="402" t="str">
        <f>VLOOKUP(Table13[[#This Row],[Column1]],[1]Sheet1!$A:$AO,9,FALSE)</f>
        <v>N/A</v>
      </c>
      <c r="J1032" s="402">
        <f>VLOOKUP(Table13[[#This Row],[Column1]],[1]Sheet1!$A:$AO,10,FALSE)</f>
        <v>45475</v>
      </c>
      <c r="K1032" s="402"/>
      <c r="L1032" s="404"/>
      <c r="M1032" s="402"/>
      <c r="N1032" s="402"/>
      <c r="O1032" s="402"/>
      <c r="P1032" s="375"/>
      <c r="Q1032" s="375"/>
      <c r="R1032" s="376"/>
      <c r="S1032" s="583"/>
      <c r="T1032" s="583"/>
      <c r="U1032" s="583"/>
      <c r="V1032" s="376"/>
      <c r="W1032" s="376"/>
      <c r="X1032" s="402"/>
      <c r="Y1032" s="402"/>
      <c r="Z1032" s="610" t="s">
        <v>1478</v>
      </c>
      <c r="AA1032" s="454">
        <f>IF(Table13[[#This Row],[Column2]]="","",SUM(Table13[[#This Row],[Column28]]+Table13[[#This Row],[Column29]]))</f>
        <v>131600</v>
      </c>
      <c r="AB1032" s="455"/>
      <c r="AC1032" s="452">
        <v>131600</v>
      </c>
      <c r="AD1032" s="451">
        <f>IF(Table13[[#This Row],[Column2]]="","",SUM(Table13[[#This Row],[Column31]]+Table13[[#This Row],[Column32]]))</f>
        <v>0</v>
      </c>
      <c r="AE1032" s="453"/>
      <c r="AF1032" s="646"/>
      <c r="AG1032" s="405"/>
      <c r="AH1032" s="380" t="s">
        <v>1205</v>
      </c>
      <c r="AI1032" s="576"/>
      <c r="AJ1032" s="576"/>
      <c r="AK1032" s="576"/>
      <c r="AL1032" s="576"/>
      <c r="AM1032" s="576"/>
      <c r="AN1032" s="576"/>
      <c r="AO1032" s="303" t="s">
        <v>175</v>
      </c>
      <c r="AP1032" s="378"/>
      <c r="AQ1032" s="237"/>
    </row>
    <row r="1033" spans="1:43" s="238" customFormat="1" ht="75" customHeight="1" x14ac:dyDescent="0.25">
      <c r="A1033" s="297" t="s">
        <v>1257</v>
      </c>
      <c r="B1033" s="627" t="str">
        <f>VLOOKUP(Table13[[#This Row],[Column1]],[1]Sheet1!$A:$AO,2,FALSE)</f>
        <v>MOBILE KITCHEN FACILITY (BRAND NEW)</v>
      </c>
      <c r="C1033" s="298" t="str">
        <f>VLOOKUP(Table13[[#This Row],[Column1]],[1]Sheet1!$A:$AO,3,FALSE)</f>
        <v>PDRRMO</v>
      </c>
      <c r="D1033" s="298" t="s">
        <v>712</v>
      </c>
      <c r="E1033" s="402" t="str">
        <f>VLOOKUP(Table13[[#This Row],[Column1]],[1]Sheet1!$A:$AO,5,FALSE)</f>
        <v>Competitive Bidding</v>
      </c>
      <c r="F1033" s="446">
        <f>VLOOKUP(Table13[[#This Row],[Column1]],[1]Sheet1!$A:$AO,6,FALSE)</f>
        <v>45461</v>
      </c>
      <c r="G1033" s="402">
        <f>VLOOKUP(Table13[[#This Row],[Column1]],[1]Sheet1!$A:$AO,7,FALSE)</f>
        <v>45467</v>
      </c>
      <c r="H1033" s="374"/>
      <c r="I1033" s="402">
        <f>VLOOKUP(Table13[[#This Row],[Column1]],[1]Sheet1!$A:$AO,9,FALSE)</f>
        <v>45475</v>
      </c>
      <c r="J1033" s="402"/>
      <c r="K1033" s="402"/>
      <c r="L1033" s="404"/>
      <c r="M1033" s="402"/>
      <c r="N1033" s="402"/>
      <c r="O1033" s="402"/>
      <c r="P1033" s="375"/>
      <c r="Q1033" s="375"/>
      <c r="R1033" s="376"/>
      <c r="S1033" s="583"/>
      <c r="T1033" s="583"/>
      <c r="U1033" s="583"/>
      <c r="V1033" s="376"/>
      <c r="W1033" s="376"/>
      <c r="X1033" s="402"/>
      <c r="Y1033" s="402"/>
      <c r="Z1033" s="610" t="s">
        <v>1478</v>
      </c>
      <c r="AA1033" s="454">
        <f>IF(Table13[[#This Row],[Column2]]="","",SUM(Table13[[#This Row],[Column28]]+Table13[[#This Row],[Column29]]))</f>
        <v>4482023.84</v>
      </c>
      <c r="AB1033" s="455"/>
      <c r="AC1033" s="452">
        <v>4482023.84</v>
      </c>
      <c r="AD1033" s="451">
        <f>IF(Table13[[#This Row],[Column2]]="","",SUM(Table13[[#This Row],[Column31]]+Table13[[#This Row],[Column32]]))</f>
        <v>0</v>
      </c>
      <c r="AE1033" s="453"/>
      <c r="AF1033" s="646"/>
      <c r="AG1033" s="405"/>
      <c r="AH1033" s="380" t="s">
        <v>1205</v>
      </c>
      <c r="AI1033" s="576"/>
      <c r="AJ1033" s="576"/>
      <c r="AK1033" s="576"/>
      <c r="AL1033" s="576"/>
      <c r="AM1033" s="576"/>
      <c r="AN1033" s="576"/>
      <c r="AO1033" s="303" t="s">
        <v>175</v>
      </c>
      <c r="AP1033" s="378"/>
      <c r="AQ1033" s="237"/>
    </row>
    <row r="1034" spans="1:43" s="238" customFormat="1" ht="75" customHeight="1" x14ac:dyDescent="0.25">
      <c r="A1034" s="297" t="s">
        <v>1258</v>
      </c>
      <c r="B1034" s="627" t="str">
        <f>VLOOKUP(Table13[[#This Row],[Column1]],[1]Sheet1!$A:$AO,2,FALSE)</f>
        <v>MINI DUMPTRUCK</v>
      </c>
      <c r="C1034" s="298" t="str">
        <f>VLOOKUP(Table13[[#This Row],[Column1]],[1]Sheet1!$A:$AO,3,FALSE)</f>
        <v>PDRRMO</v>
      </c>
      <c r="D1034" s="298" t="s">
        <v>712</v>
      </c>
      <c r="E1034" s="402" t="str">
        <f>VLOOKUP(Table13[[#This Row],[Column1]],[1]Sheet1!$A:$AO,5,FALSE)</f>
        <v>Competitive Bidding</v>
      </c>
      <c r="F1034" s="446">
        <f>VLOOKUP(Table13[[#This Row],[Column1]],[1]Sheet1!$A:$AO,6,FALSE)</f>
        <v>45461</v>
      </c>
      <c r="G1034" s="402">
        <f>VLOOKUP(Table13[[#This Row],[Column1]],[1]Sheet1!$A:$AO,7,FALSE)</f>
        <v>45467</v>
      </c>
      <c r="H1034" s="374"/>
      <c r="I1034" s="402">
        <f>VLOOKUP(Table13[[#This Row],[Column1]],[1]Sheet1!$A:$AO,9,FALSE)</f>
        <v>45475</v>
      </c>
      <c r="J1034" s="402"/>
      <c r="K1034" s="402"/>
      <c r="L1034" s="404"/>
      <c r="M1034" s="402"/>
      <c r="N1034" s="402"/>
      <c r="O1034" s="402"/>
      <c r="P1034" s="375"/>
      <c r="Q1034" s="375"/>
      <c r="R1034" s="376"/>
      <c r="S1034" s="583"/>
      <c r="T1034" s="583"/>
      <c r="U1034" s="583"/>
      <c r="V1034" s="376"/>
      <c r="W1034" s="376"/>
      <c r="X1034" s="402"/>
      <c r="Y1034" s="402"/>
      <c r="Z1034" s="610" t="s">
        <v>1478</v>
      </c>
      <c r="AA1034" s="454">
        <f>IF(Table13[[#This Row],[Column2]]="","",SUM(Table13[[#This Row],[Column28]]+Table13[[#This Row],[Column29]]))</f>
        <v>2000000</v>
      </c>
      <c r="AB1034" s="455"/>
      <c r="AC1034" s="452">
        <v>2000000</v>
      </c>
      <c r="AD1034" s="451">
        <f>IF(Table13[[#This Row],[Column2]]="","",SUM(Table13[[#This Row],[Column31]]+Table13[[#This Row],[Column32]]))</f>
        <v>0</v>
      </c>
      <c r="AE1034" s="453"/>
      <c r="AF1034" s="646"/>
      <c r="AG1034" s="405"/>
      <c r="AH1034" s="380" t="s">
        <v>1205</v>
      </c>
      <c r="AI1034" s="576"/>
      <c r="AJ1034" s="576"/>
      <c r="AK1034" s="576"/>
      <c r="AL1034" s="576"/>
      <c r="AM1034" s="576"/>
      <c r="AN1034" s="576"/>
      <c r="AO1034" s="303" t="s">
        <v>175</v>
      </c>
      <c r="AP1034" s="378"/>
      <c r="AQ1034" s="237"/>
    </row>
    <row r="1035" spans="1:43" s="238" customFormat="1" ht="75" customHeight="1" x14ac:dyDescent="0.25">
      <c r="A1035" s="297" t="s">
        <v>1259</v>
      </c>
      <c r="B1035" s="627" t="str">
        <f>VLOOKUP(Table13[[#This Row],[Column1]],[1]Sheet1!$A:$AO,2,FALSE)</f>
        <v>LIVESTOCK VEHICLE
(DUMP TRUCK)</v>
      </c>
      <c r="C1035" s="298" t="str">
        <f>VLOOKUP(Table13[[#This Row],[Column1]],[1]Sheet1!$A:$AO,3,FALSE)</f>
        <v>PDRRMO</v>
      </c>
      <c r="D1035" s="298" t="s">
        <v>712</v>
      </c>
      <c r="E1035" s="402" t="str">
        <f>VLOOKUP(Table13[[#This Row],[Column1]],[1]Sheet1!$A:$AO,5,FALSE)</f>
        <v>Competitive Bidding</v>
      </c>
      <c r="F1035" s="446">
        <f>VLOOKUP(Table13[[#This Row],[Column1]],[1]Sheet1!$A:$AO,6,FALSE)</f>
        <v>45461</v>
      </c>
      <c r="G1035" s="402">
        <f>VLOOKUP(Table13[[#This Row],[Column1]],[1]Sheet1!$A:$AO,7,FALSE)</f>
        <v>45467</v>
      </c>
      <c r="H1035" s="374"/>
      <c r="I1035" s="402">
        <f>VLOOKUP(Table13[[#This Row],[Column1]],[1]Sheet1!$A:$AO,9,FALSE)</f>
        <v>45475</v>
      </c>
      <c r="J1035" s="402"/>
      <c r="K1035" s="402"/>
      <c r="L1035" s="404"/>
      <c r="M1035" s="402"/>
      <c r="N1035" s="402"/>
      <c r="O1035" s="402"/>
      <c r="P1035" s="375"/>
      <c r="Q1035" s="375"/>
      <c r="R1035" s="376"/>
      <c r="S1035" s="583"/>
      <c r="T1035" s="583"/>
      <c r="U1035" s="583"/>
      <c r="V1035" s="376"/>
      <c r="W1035" s="376"/>
      <c r="X1035" s="402"/>
      <c r="Y1035" s="402"/>
      <c r="Z1035" s="610" t="s">
        <v>1478</v>
      </c>
      <c r="AA1035" s="454">
        <f>IF(Table13[[#This Row],[Column2]]="","",SUM(Table13[[#This Row],[Column28]]+Table13[[#This Row],[Column29]]))</f>
        <v>3700000</v>
      </c>
      <c r="AB1035" s="455"/>
      <c r="AC1035" s="452">
        <v>3700000</v>
      </c>
      <c r="AD1035" s="451">
        <f>IF(Table13[[#This Row],[Column2]]="","",SUM(Table13[[#This Row],[Column31]]+Table13[[#This Row],[Column32]]))</f>
        <v>0</v>
      </c>
      <c r="AE1035" s="453"/>
      <c r="AF1035" s="646"/>
      <c r="AG1035" s="405"/>
      <c r="AH1035" s="380" t="s">
        <v>1205</v>
      </c>
      <c r="AI1035" s="576"/>
      <c r="AJ1035" s="576"/>
      <c r="AK1035" s="576"/>
      <c r="AL1035" s="576"/>
      <c r="AM1035" s="576"/>
      <c r="AN1035" s="576"/>
      <c r="AO1035" s="303" t="s">
        <v>175</v>
      </c>
      <c r="AP1035" s="378"/>
      <c r="AQ1035" s="237"/>
    </row>
    <row r="1036" spans="1:43" s="238" customFormat="1" ht="75" customHeight="1" x14ac:dyDescent="0.25">
      <c r="A1036" s="297" t="s">
        <v>1260</v>
      </c>
      <c r="B1036" s="627" t="str">
        <f>VLOOKUP(Table13[[#This Row],[Column1]],[1]Sheet1!$A:$AO,2,FALSE)</f>
        <v>RICE (WELL MILLED) 50KG/SACK</v>
      </c>
      <c r="C1036" s="298" t="str">
        <f>VLOOKUP(Table13[[#This Row],[Column1]],[1]Sheet1!$A:$AO,3,FALSE)</f>
        <v>PGO</v>
      </c>
      <c r="D1036" s="298" t="s">
        <v>712</v>
      </c>
      <c r="E1036" s="402" t="str">
        <f>VLOOKUP(Table13[[#This Row],[Column1]],[1]Sheet1!$A:$AO,5,FALSE)</f>
        <v>Competitive Bidding</v>
      </c>
      <c r="F1036" s="446">
        <f>VLOOKUP(Table13[[#This Row],[Column1]],[1]Sheet1!$A:$AO,6,FALSE)</f>
        <v>45461</v>
      </c>
      <c r="G1036" s="402">
        <f>VLOOKUP(Table13[[#This Row],[Column1]],[1]Sheet1!$A:$AO,7,FALSE)</f>
        <v>45467</v>
      </c>
      <c r="H1036" s="374"/>
      <c r="I1036" s="402">
        <f>VLOOKUP(Table13[[#This Row],[Column1]],[1]Sheet1!$A:$AO,9,FALSE)</f>
        <v>45475</v>
      </c>
      <c r="J1036" s="402"/>
      <c r="K1036" s="402"/>
      <c r="L1036" s="404"/>
      <c r="M1036" s="402"/>
      <c r="N1036" s="402"/>
      <c r="O1036" s="402"/>
      <c r="P1036" s="375"/>
      <c r="Q1036" s="375"/>
      <c r="R1036" s="376"/>
      <c r="S1036" s="583"/>
      <c r="T1036" s="583"/>
      <c r="U1036" s="583"/>
      <c r="V1036" s="376"/>
      <c r="W1036" s="376"/>
      <c r="X1036" s="402"/>
      <c r="Y1036" s="402"/>
      <c r="Z1036" s="610" t="s">
        <v>1478</v>
      </c>
      <c r="AA1036" s="454">
        <f>IF(Table13[[#This Row],[Column2]]="","",SUM(Table13[[#This Row],[Column28]]+Table13[[#This Row],[Column29]]))</f>
        <v>3006000</v>
      </c>
      <c r="AB1036" s="455"/>
      <c r="AC1036" s="452">
        <v>3006000</v>
      </c>
      <c r="AD1036" s="451">
        <f>IF(Table13[[#This Row],[Column2]]="","",SUM(Table13[[#This Row],[Column31]]+Table13[[#This Row],[Column32]]))</f>
        <v>0</v>
      </c>
      <c r="AE1036" s="453"/>
      <c r="AF1036" s="646"/>
      <c r="AG1036" s="405"/>
      <c r="AH1036" s="380" t="s">
        <v>1205</v>
      </c>
      <c r="AI1036" s="576"/>
      <c r="AJ1036" s="576"/>
      <c r="AK1036" s="576"/>
      <c r="AL1036" s="576"/>
      <c r="AM1036" s="576"/>
      <c r="AN1036" s="576"/>
      <c r="AO1036" s="303" t="s">
        <v>175</v>
      </c>
      <c r="AP1036" s="378"/>
      <c r="AQ1036" s="237"/>
    </row>
    <row r="1037" spans="1:43" s="238" customFormat="1" ht="75" customHeight="1" x14ac:dyDescent="0.25">
      <c r="A1037" s="297" t="s">
        <v>1261</v>
      </c>
      <c r="B1037" s="627" t="str">
        <f>VLOOKUP(Table13[[#This Row],[Column1]],[1]Sheet1!$A:$AO,2,FALSE)</f>
        <v>MEALS AND SNACKS WITH ACCOMMODATION</v>
      </c>
      <c r="C1037" s="298" t="str">
        <f>VLOOKUP(Table13[[#This Row],[Column1]],[1]Sheet1!$A:$AO,3,FALSE)</f>
        <v>PHO</v>
      </c>
      <c r="D1037" s="298" t="s">
        <v>712</v>
      </c>
      <c r="E1037" s="402" t="str">
        <f>VLOOKUP(Table13[[#This Row],[Column1]],[1]Sheet1!$A:$AO,5,FALSE)</f>
        <v>Competitive Bidding</v>
      </c>
      <c r="F1037" s="446">
        <f>VLOOKUP(Table13[[#This Row],[Column1]],[1]Sheet1!$A:$AO,6,FALSE)</f>
        <v>45468</v>
      </c>
      <c r="G1037" s="402"/>
      <c r="H1037" s="374"/>
      <c r="I1037" s="402"/>
      <c r="J1037" s="402"/>
      <c r="K1037" s="402"/>
      <c r="L1037" s="404"/>
      <c r="M1037" s="402"/>
      <c r="N1037" s="402"/>
      <c r="O1037" s="402"/>
      <c r="P1037" s="375"/>
      <c r="Q1037" s="375"/>
      <c r="R1037" s="376"/>
      <c r="S1037" s="583"/>
      <c r="T1037" s="583"/>
      <c r="U1037" s="583"/>
      <c r="V1037" s="376"/>
      <c r="W1037" s="376"/>
      <c r="X1037" s="402"/>
      <c r="Y1037" s="402"/>
      <c r="Z1037" s="610" t="s">
        <v>1478</v>
      </c>
      <c r="AA1037" s="454">
        <f>IF(Table13[[#This Row],[Column2]]="","",SUM(Table13[[#This Row],[Column28]]+Table13[[#This Row],[Column29]]))</f>
        <v>364800</v>
      </c>
      <c r="AB1037" s="455"/>
      <c r="AC1037" s="452">
        <v>364800</v>
      </c>
      <c r="AD1037" s="451">
        <f>IF(Table13[[#This Row],[Column2]]="","",SUM(Table13[[#This Row],[Column31]]+Table13[[#This Row],[Column32]]))</f>
        <v>0</v>
      </c>
      <c r="AE1037" s="453"/>
      <c r="AF1037" s="646"/>
      <c r="AG1037" s="405"/>
      <c r="AH1037" s="380" t="s">
        <v>1205</v>
      </c>
      <c r="AI1037" s="576"/>
      <c r="AJ1037" s="576"/>
      <c r="AK1037" s="576"/>
      <c r="AL1037" s="576"/>
      <c r="AM1037" s="576"/>
      <c r="AN1037" s="576"/>
      <c r="AO1037" s="303" t="s">
        <v>175</v>
      </c>
      <c r="AP1037" s="378"/>
      <c r="AQ1037" s="237"/>
    </row>
    <row r="1038" spans="1:43" s="238" customFormat="1" ht="75" customHeight="1" x14ac:dyDescent="0.25">
      <c r="A1038" s="297" t="s">
        <v>1262</v>
      </c>
      <c r="B1038" s="627" t="str">
        <f>VLOOKUP(Table13[[#This Row],[Column1]],[1]Sheet1!$A:$AO,2,FALSE)</f>
        <v xml:space="preserve">SPAREPARTS (HEAVY EQUIPMENT) </v>
      </c>
      <c r="C1038" s="298" t="str">
        <f>VLOOKUP(Table13[[#This Row],[Column1]],[1]Sheet1!$A:$AO,3,FALSE)</f>
        <v>PEO</v>
      </c>
      <c r="D1038" s="298" t="s">
        <v>712</v>
      </c>
      <c r="E1038" s="402" t="str">
        <f>VLOOKUP(Table13[[#This Row],[Column1]],[1]Sheet1!$A:$AO,5,FALSE)</f>
        <v>Competitive Bidding</v>
      </c>
      <c r="F1038" s="446">
        <f>VLOOKUP(Table13[[#This Row],[Column1]],[1]Sheet1!$A:$AO,6,FALSE)</f>
        <v>45468</v>
      </c>
      <c r="G1038" s="402"/>
      <c r="H1038" s="374"/>
      <c r="I1038" s="402"/>
      <c r="J1038" s="402"/>
      <c r="K1038" s="402"/>
      <c r="L1038" s="404"/>
      <c r="M1038" s="402"/>
      <c r="N1038" s="402"/>
      <c r="O1038" s="402"/>
      <c r="P1038" s="375"/>
      <c r="Q1038" s="375"/>
      <c r="R1038" s="376"/>
      <c r="S1038" s="583"/>
      <c r="T1038" s="583"/>
      <c r="U1038" s="583"/>
      <c r="V1038" s="376"/>
      <c r="W1038" s="376"/>
      <c r="X1038" s="402"/>
      <c r="Y1038" s="402"/>
      <c r="Z1038" s="610" t="s">
        <v>1478</v>
      </c>
      <c r="AA1038" s="454">
        <f>IF(Table13[[#This Row],[Column2]]="","",SUM(Table13[[#This Row],[Column28]]+Table13[[#This Row],[Column29]]))</f>
        <v>3676700</v>
      </c>
      <c r="AB1038" s="455"/>
      <c r="AC1038" s="452">
        <v>3676700</v>
      </c>
      <c r="AD1038" s="451">
        <f>IF(Table13[[#This Row],[Column2]]="","",SUM(Table13[[#This Row],[Column31]]+Table13[[#This Row],[Column32]]))</f>
        <v>0</v>
      </c>
      <c r="AE1038" s="453"/>
      <c r="AF1038" s="646"/>
      <c r="AG1038" s="405"/>
      <c r="AH1038" s="380" t="s">
        <v>1205</v>
      </c>
      <c r="AI1038" s="576"/>
      <c r="AJ1038" s="576"/>
      <c r="AK1038" s="576"/>
      <c r="AL1038" s="576"/>
      <c r="AM1038" s="576"/>
      <c r="AN1038" s="576"/>
      <c r="AO1038" s="303" t="s">
        <v>175</v>
      </c>
      <c r="AP1038" s="378"/>
      <c r="AQ1038" s="237"/>
    </row>
    <row r="1039" spans="1:43" s="238" customFormat="1" ht="75" customHeight="1" x14ac:dyDescent="0.25">
      <c r="A1039" s="297" t="s">
        <v>1263</v>
      </c>
      <c r="B1039" s="627" t="str">
        <f>VLOOKUP(Table13[[#This Row],[Column1]],[1]Sheet1!$A:$AO,2,FALSE)</f>
        <v>MEALS AND SNACKS WITH ACCOMMODATION</v>
      </c>
      <c r="C1039" s="298" t="str">
        <f>VLOOKUP(Table13[[#This Row],[Column1]],[1]Sheet1!$A:$AO,3,FALSE)</f>
        <v>PGO</v>
      </c>
      <c r="D1039" s="298" t="s">
        <v>712</v>
      </c>
      <c r="E1039" s="402" t="str">
        <f>VLOOKUP(Table13[[#This Row],[Column1]],[1]Sheet1!$A:$AO,5,FALSE)</f>
        <v>Competitive Bidding</v>
      </c>
      <c r="F1039" s="446">
        <f>VLOOKUP(Table13[[#This Row],[Column1]],[1]Sheet1!$A:$AO,6,FALSE)</f>
        <v>45468</v>
      </c>
      <c r="G1039" s="402"/>
      <c r="H1039" s="374"/>
      <c r="I1039" s="402"/>
      <c r="J1039" s="402"/>
      <c r="K1039" s="402"/>
      <c r="L1039" s="404"/>
      <c r="M1039" s="402"/>
      <c r="N1039" s="402"/>
      <c r="O1039" s="402"/>
      <c r="P1039" s="375"/>
      <c r="Q1039" s="375"/>
      <c r="R1039" s="376"/>
      <c r="S1039" s="583"/>
      <c r="T1039" s="583"/>
      <c r="U1039" s="583"/>
      <c r="V1039" s="376"/>
      <c r="W1039" s="376"/>
      <c r="X1039" s="402"/>
      <c r="Y1039" s="402"/>
      <c r="Z1039" s="610" t="s">
        <v>1478</v>
      </c>
      <c r="AA1039" s="454">
        <f>IF(Table13[[#This Row],[Column2]]="","",SUM(Table13[[#This Row],[Column28]]+Table13[[#This Row],[Column29]]))</f>
        <v>460000</v>
      </c>
      <c r="AB1039" s="455"/>
      <c r="AC1039" s="452">
        <v>460000</v>
      </c>
      <c r="AD1039" s="451">
        <f>IF(Table13[[#This Row],[Column2]]="","",SUM(Table13[[#This Row],[Column31]]+Table13[[#This Row],[Column32]]))</f>
        <v>0</v>
      </c>
      <c r="AE1039" s="453"/>
      <c r="AF1039" s="646"/>
      <c r="AG1039" s="405"/>
      <c r="AH1039" s="380" t="s">
        <v>1205</v>
      </c>
      <c r="AI1039" s="576"/>
      <c r="AJ1039" s="576"/>
      <c r="AK1039" s="576"/>
      <c r="AL1039" s="576"/>
      <c r="AM1039" s="576"/>
      <c r="AN1039" s="576"/>
      <c r="AO1039" s="303" t="s">
        <v>175</v>
      </c>
      <c r="AP1039" s="378"/>
      <c r="AQ1039" s="237"/>
    </row>
    <row r="1040" spans="1:43" s="238" customFormat="1" ht="75" customHeight="1" x14ac:dyDescent="0.25">
      <c r="A1040" s="297" t="s">
        <v>1264</v>
      </c>
      <c r="B1040" s="627" t="str">
        <f>VLOOKUP(Table13[[#This Row],[Column1]],[1]Sheet1!$A:$AO,2,FALSE)</f>
        <v>LABORATORY SUPPLIES</v>
      </c>
      <c r="C1040" s="298" t="str">
        <f>VLOOKUP(Table13[[#This Row],[Column1]],[1]Sheet1!$A:$AO,3,FALSE)</f>
        <v>PDRRMO</v>
      </c>
      <c r="D1040" s="298" t="s">
        <v>712</v>
      </c>
      <c r="E1040" s="402" t="str">
        <f>VLOOKUP(Table13[[#This Row],[Column1]],[1]Sheet1!$A:$AO,5,FALSE)</f>
        <v>Competitive Bidding</v>
      </c>
      <c r="F1040" s="446">
        <f>VLOOKUP(Table13[[#This Row],[Column1]],[1]Sheet1!$A:$AO,6,FALSE)</f>
        <v>45468</v>
      </c>
      <c r="G1040" s="402"/>
      <c r="H1040" s="374"/>
      <c r="I1040" s="402"/>
      <c r="J1040" s="402"/>
      <c r="K1040" s="402"/>
      <c r="L1040" s="404"/>
      <c r="M1040" s="402"/>
      <c r="N1040" s="402"/>
      <c r="O1040" s="402"/>
      <c r="P1040" s="375"/>
      <c r="Q1040" s="375"/>
      <c r="R1040" s="376"/>
      <c r="S1040" s="583"/>
      <c r="T1040" s="583"/>
      <c r="U1040" s="583"/>
      <c r="V1040" s="376"/>
      <c r="W1040" s="376"/>
      <c r="X1040" s="402"/>
      <c r="Y1040" s="402"/>
      <c r="Z1040" s="610" t="s">
        <v>1478</v>
      </c>
      <c r="AA1040" s="454">
        <f>IF(Table13[[#This Row],[Column2]]="","",SUM(Table13[[#This Row],[Column28]]+Table13[[#This Row],[Column29]]))</f>
        <v>422941.6</v>
      </c>
      <c r="AB1040" s="455"/>
      <c r="AC1040" s="452">
        <v>422941.6</v>
      </c>
      <c r="AD1040" s="451">
        <f>IF(Table13[[#This Row],[Column2]]="","",SUM(Table13[[#This Row],[Column31]]+Table13[[#This Row],[Column32]]))</f>
        <v>0</v>
      </c>
      <c r="AE1040" s="453"/>
      <c r="AF1040" s="646"/>
      <c r="AG1040" s="405"/>
      <c r="AH1040" s="380" t="s">
        <v>1205</v>
      </c>
      <c r="AI1040" s="576"/>
      <c r="AJ1040" s="576"/>
      <c r="AK1040" s="576"/>
      <c r="AL1040" s="576"/>
      <c r="AM1040" s="576"/>
      <c r="AN1040" s="576"/>
      <c r="AO1040" s="303" t="s">
        <v>175</v>
      </c>
      <c r="AP1040" s="378"/>
      <c r="AQ1040" s="237"/>
    </row>
    <row r="1041" spans="1:43" s="238" customFormat="1" ht="75" customHeight="1" x14ac:dyDescent="0.25">
      <c r="A1041" s="297" t="s">
        <v>1265</v>
      </c>
      <c r="B1041" s="627" t="str">
        <f>VLOOKUP(Table13[[#This Row],[Column1]],[1]Sheet1!$A:$AO,2,FALSE)</f>
        <v>OFFICE EQUIPMENT</v>
      </c>
      <c r="C1041" s="298" t="str">
        <f>VLOOKUP(Table13[[#This Row],[Column1]],[1]Sheet1!$A:$AO,3,FALSE)</f>
        <v>PPDO</v>
      </c>
      <c r="D1041" s="298" t="s">
        <v>712</v>
      </c>
      <c r="E1041" s="402" t="str">
        <f>VLOOKUP(Table13[[#This Row],[Column1]],[1]Sheet1!$A:$AO,5,FALSE)</f>
        <v>Competitive Bidding</v>
      </c>
      <c r="F1041" s="446">
        <f>VLOOKUP(Table13[[#This Row],[Column1]],[1]Sheet1!$A:$AO,6,FALSE)</f>
        <v>45468</v>
      </c>
      <c r="G1041" s="402"/>
      <c r="H1041" s="374"/>
      <c r="I1041" s="402"/>
      <c r="J1041" s="402"/>
      <c r="K1041" s="402"/>
      <c r="L1041" s="404"/>
      <c r="M1041" s="402"/>
      <c r="N1041" s="402"/>
      <c r="O1041" s="402"/>
      <c r="P1041" s="375"/>
      <c r="Q1041" s="375"/>
      <c r="R1041" s="376"/>
      <c r="S1041" s="583"/>
      <c r="T1041" s="583"/>
      <c r="U1041" s="583"/>
      <c r="V1041" s="376"/>
      <c r="W1041" s="376"/>
      <c r="X1041" s="402"/>
      <c r="Y1041" s="402"/>
      <c r="Z1041" s="610" t="s">
        <v>1478</v>
      </c>
      <c r="AA1041" s="454">
        <f>IF(Table13[[#This Row],[Column2]]="","",SUM(Table13[[#This Row],[Column28]]+Table13[[#This Row],[Column29]]))</f>
        <v>215900</v>
      </c>
      <c r="AB1041" s="455"/>
      <c r="AC1041" s="452">
        <v>215900</v>
      </c>
      <c r="AD1041" s="451">
        <f>IF(Table13[[#This Row],[Column2]]="","",SUM(Table13[[#This Row],[Column31]]+Table13[[#This Row],[Column32]]))</f>
        <v>0</v>
      </c>
      <c r="AE1041" s="453"/>
      <c r="AF1041" s="646"/>
      <c r="AG1041" s="405"/>
      <c r="AH1041" s="380" t="s">
        <v>1205</v>
      </c>
      <c r="AI1041" s="576"/>
      <c r="AJ1041" s="576"/>
      <c r="AK1041" s="576"/>
      <c r="AL1041" s="576"/>
      <c r="AM1041" s="576"/>
      <c r="AN1041" s="576"/>
      <c r="AO1041" s="303" t="s">
        <v>175</v>
      </c>
      <c r="AP1041" s="378"/>
      <c r="AQ1041" s="237"/>
    </row>
    <row r="1042" spans="1:43" s="238" customFormat="1" ht="75" customHeight="1" x14ac:dyDescent="0.25">
      <c r="A1042" s="297" t="s">
        <v>1266</v>
      </c>
      <c r="B1042" s="627" t="str">
        <f>VLOOKUP(Table13[[#This Row],[Column1]],[1]Sheet1!$A:$AO,2,FALSE)</f>
        <v>RICE (WELL-MILLED) 50KG/SACK</v>
      </c>
      <c r="C1042" s="298" t="str">
        <f>VLOOKUP(Table13[[#This Row],[Column1]],[1]Sheet1!$A:$AO,3,FALSE)</f>
        <v>PGO</v>
      </c>
      <c r="D1042" s="298" t="s">
        <v>712</v>
      </c>
      <c r="E1042" s="402" t="str">
        <f>VLOOKUP(Table13[[#This Row],[Column1]],[1]Sheet1!$A:$AO,5,FALSE)</f>
        <v>Competitive Bidding</v>
      </c>
      <c r="F1042" s="446">
        <f>VLOOKUP(Table13[[#This Row],[Column1]],[1]Sheet1!$A:$AO,6,FALSE)</f>
        <v>45468</v>
      </c>
      <c r="G1042" s="402"/>
      <c r="H1042" s="374"/>
      <c r="I1042" s="402"/>
      <c r="J1042" s="402"/>
      <c r="K1042" s="402"/>
      <c r="L1042" s="404"/>
      <c r="M1042" s="402"/>
      <c r="N1042" s="402"/>
      <c r="O1042" s="402"/>
      <c r="P1042" s="375"/>
      <c r="Q1042" s="375"/>
      <c r="R1042" s="376"/>
      <c r="S1042" s="583"/>
      <c r="T1042" s="583"/>
      <c r="U1042" s="583"/>
      <c r="V1042" s="376"/>
      <c r="W1042" s="376"/>
      <c r="X1042" s="402"/>
      <c r="Y1042" s="402"/>
      <c r="Z1042" s="610" t="s">
        <v>1478</v>
      </c>
      <c r="AA1042" s="454">
        <f>IF(Table13[[#This Row],[Column2]]="","",SUM(Table13[[#This Row],[Column28]]+Table13[[#This Row],[Column29]]))</f>
        <v>462000</v>
      </c>
      <c r="AB1042" s="455"/>
      <c r="AC1042" s="452">
        <v>462000</v>
      </c>
      <c r="AD1042" s="451">
        <f>IF(Table13[[#This Row],[Column2]]="","",SUM(Table13[[#This Row],[Column31]]+Table13[[#This Row],[Column32]]))</f>
        <v>0</v>
      </c>
      <c r="AE1042" s="453"/>
      <c r="AF1042" s="646"/>
      <c r="AG1042" s="405"/>
      <c r="AH1042" s="380" t="s">
        <v>1205</v>
      </c>
      <c r="AI1042" s="576"/>
      <c r="AJ1042" s="576"/>
      <c r="AK1042" s="576"/>
      <c r="AL1042" s="576"/>
      <c r="AM1042" s="576"/>
      <c r="AN1042" s="576"/>
      <c r="AO1042" s="303" t="s">
        <v>175</v>
      </c>
      <c r="AP1042" s="378"/>
      <c r="AQ1042" s="237"/>
    </row>
    <row r="1043" spans="1:43" s="238" customFormat="1" ht="75" customHeight="1" x14ac:dyDescent="0.25">
      <c r="A1043" s="297" t="s">
        <v>1267</v>
      </c>
      <c r="B1043" s="627" t="str">
        <f>VLOOKUP(Table13[[#This Row],[Column1]],[1]Sheet1!$A:$AO,2,FALSE)</f>
        <v>FUEL, OIL AND LUBRICANTS</v>
      </c>
      <c r="C1043" s="298" t="str">
        <f>VLOOKUP(Table13[[#This Row],[Column1]],[1]Sheet1!$A:$AO,3,FALSE)</f>
        <v>PGSO</v>
      </c>
      <c r="D1043" s="298" t="s">
        <v>712</v>
      </c>
      <c r="E1043" s="402" t="str">
        <f>VLOOKUP(Table13[[#This Row],[Column1]],[1]Sheet1!$A:$AO,5,FALSE)</f>
        <v>Competitive Bidding</v>
      </c>
      <c r="F1043" s="446">
        <f>VLOOKUP(Table13[[#This Row],[Column1]],[1]Sheet1!$A:$AO,6,FALSE)</f>
        <v>45468</v>
      </c>
      <c r="G1043" s="402"/>
      <c r="H1043" s="374"/>
      <c r="I1043" s="402"/>
      <c r="J1043" s="402"/>
      <c r="K1043" s="402"/>
      <c r="L1043" s="404"/>
      <c r="M1043" s="402"/>
      <c r="N1043" s="402"/>
      <c r="O1043" s="402"/>
      <c r="P1043" s="375"/>
      <c r="Q1043" s="375"/>
      <c r="R1043" s="376"/>
      <c r="S1043" s="583"/>
      <c r="T1043" s="583"/>
      <c r="U1043" s="583"/>
      <c r="V1043" s="376"/>
      <c r="W1043" s="376"/>
      <c r="X1043" s="402"/>
      <c r="Y1043" s="402"/>
      <c r="Z1043" s="610" t="s">
        <v>1478</v>
      </c>
      <c r="AA1043" s="454">
        <f>IF(Table13[[#This Row],[Column2]]="","",SUM(Table13[[#This Row],[Column28]]+Table13[[#This Row],[Column29]]))</f>
        <v>2788919.67</v>
      </c>
      <c r="AB1043" s="455"/>
      <c r="AC1043" s="452">
        <v>2788919.67</v>
      </c>
      <c r="AD1043" s="451">
        <f>IF(Table13[[#This Row],[Column2]]="","",SUM(Table13[[#This Row],[Column31]]+Table13[[#This Row],[Column32]]))</f>
        <v>0</v>
      </c>
      <c r="AE1043" s="453"/>
      <c r="AF1043" s="646"/>
      <c r="AG1043" s="405"/>
      <c r="AH1043" s="380" t="s">
        <v>1205</v>
      </c>
      <c r="AI1043" s="576"/>
      <c r="AJ1043" s="576"/>
      <c r="AK1043" s="576"/>
      <c r="AL1043" s="576"/>
      <c r="AM1043" s="576"/>
      <c r="AN1043" s="576"/>
      <c r="AO1043" s="303" t="s">
        <v>175</v>
      </c>
      <c r="AP1043" s="378"/>
      <c r="AQ1043" s="237"/>
    </row>
    <row r="1044" spans="1:43" s="238" customFormat="1" ht="75" customHeight="1" x14ac:dyDescent="0.25">
      <c r="A1044" s="297" t="s">
        <v>1268</v>
      </c>
      <c r="B1044" s="627" t="str">
        <f>VLOOKUP(Table13[[#This Row],[Column1]],[1]Sheet1!$A:$AO,2,FALSE)</f>
        <v>STAINLESS STEEL COFFEE BEAN SORTER</v>
      </c>
      <c r="C1044" s="298" t="str">
        <f>VLOOKUP(Table13[[#This Row],[Column1]],[1]Sheet1!$A:$AO,3,FALSE)</f>
        <v>PAGRO</v>
      </c>
      <c r="D1044" s="298" t="s">
        <v>712</v>
      </c>
      <c r="E1044" s="402" t="str">
        <f>VLOOKUP(Table13[[#This Row],[Column1]],[1]Sheet1!$A:$AO,5,FALSE)</f>
        <v>Competitive Bidding</v>
      </c>
      <c r="F1044" s="446">
        <f>VLOOKUP(Table13[[#This Row],[Column1]],[1]Sheet1!$A:$AO,6,FALSE)</f>
        <v>45468</v>
      </c>
      <c r="G1044" s="402"/>
      <c r="H1044" s="374"/>
      <c r="I1044" s="402"/>
      <c r="J1044" s="402"/>
      <c r="K1044" s="402"/>
      <c r="L1044" s="404"/>
      <c r="M1044" s="402"/>
      <c r="N1044" s="402"/>
      <c r="O1044" s="402"/>
      <c r="P1044" s="375"/>
      <c r="Q1044" s="375"/>
      <c r="R1044" s="376"/>
      <c r="S1044" s="583"/>
      <c r="T1044" s="583"/>
      <c r="U1044" s="583"/>
      <c r="V1044" s="376"/>
      <c r="W1044" s="376"/>
      <c r="X1044" s="402"/>
      <c r="Y1044" s="402"/>
      <c r="Z1044" s="610" t="s">
        <v>1478</v>
      </c>
      <c r="AA1044" s="454">
        <f>IF(Table13[[#This Row],[Column2]]="","",SUM(Table13[[#This Row],[Column28]]+Table13[[#This Row],[Column29]]))</f>
        <v>291500</v>
      </c>
      <c r="AB1044" s="455"/>
      <c r="AC1044" s="452">
        <v>291500</v>
      </c>
      <c r="AD1044" s="451">
        <f>IF(Table13[[#This Row],[Column2]]="","",SUM(Table13[[#This Row],[Column31]]+Table13[[#This Row],[Column32]]))</f>
        <v>0</v>
      </c>
      <c r="AE1044" s="453"/>
      <c r="AF1044" s="646"/>
      <c r="AG1044" s="405"/>
      <c r="AH1044" s="380" t="s">
        <v>1205</v>
      </c>
      <c r="AI1044" s="576"/>
      <c r="AJ1044" s="576"/>
      <c r="AK1044" s="576"/>
      <c r="AL1044" s="576"/>
      <c r="AM1044" s="576"/>
      <c r="AN1044" s="576"/>
      <c r="AO1044" s="303" t="s">
        <v>175</v>
      </c>
      <c r="AP1044" s="378"/>
      <c r="AQ1044" s="237"/>
    </row>
    <row r="1045" spans="1:43" s="238" customFormat="1" ht="75" customHeight="1" x14ac:dyDescent="0.25">
      <c r="A1045" s="297" t="s">
        <v>1269</v>
      </c>
      <c r="B1045" s="627" t="str">
        <f>VLOOKUP(Table13[[#This Row],[Column1]],[1]Sheet1!$A:$AO,2,FALSE)</f>
        <v>CU 5060I INCLINED CUTTER WITH 720 BAR WORKING PRESSURE, 205MM CUTIING OPENING, 1765KN CUTTING FORCE, 19.8 KG WEIGHT, 820 X 342 X 285 MM DIMENSIONS,  47MM ROUND BAR, EN13204</v>
      </c>
      <c r="C1045" s="298" t="str">
        <f>VLOOKUP(Table13[[#This Row],[Column1]],[1]Sheet1!$A:$AO,3,FALSE)</f>
        <v>PDRRMO</v>
      </c>
      <c r="D1045" s="298" t="s">
        <v>712</v>
      </c>
      <c r="E1045" s="402" t="str">
        <f>VLOOKUP(Table13[[#This Row],[Column1]],[1]Sheet1!$A:$AO,5,FALSE)</f>
        <v>Competitive Bidding</v>
      </c>
      <c r="F1045" s="446">
        <f>VLOOKUP(Table13[[#This Row],[Column1]],[1]Sheet1!$A:$AO,6,FALSE)</f>
        <v>45468</v>
      </c>
      <c r="G1045" s="402"/>
      <c r="H1045" s="374"/>
      <c r="I1045" s="402"/>
      <c r="J1045" s="402"/>
      <c r="K1045" s="402"/>
      <c r="L1045" s="404"/>
      <c r="M1045" s="402"/>
      <c r="N1045" s="402"/>
      <c r="O1045" s="402"/>
      <c r="P1045" s="375"/>
      <c r="Q1045" s="375"/>
      <c r="R1045" s="376"/>
      <c r="S1045" s="583"/>
      <c r="T1045" s="583"/>
      <c r="U1045" s="583"/>
      <c r="V1045" s="376"/>
      <c r="W1045" s="376"/>
      <c r="X1045" s="402"/>
      <c r="Y1045" s="402"/>
      <c r="Z1045" s="610" t="s">
        <v>1478</v>
      </c>
      <c r="AA1045" s="454">
        <f>IF(Table13[[#This Row],[Column2]]="","",SUM(Table13[[#This Row],[Column28]]+Table13[[#This Row],[Column29]]))</f>
        <v>1489000</v>
      </c>
      <c r="AB1045" s="455"/>
      <c r="AC1045" s="452">
        <v>1489000</v>
      </c>
      <c r="AD1045" s="451">
        <f>IF(Table13[[#This Row],[Column2]]="","",SUM(Table13[[#This Row],[Column31]]+Table13[[#This Row],[Column32]]))</f>
        <v>0</v>
      </c>
      <c r="AE1045" s="453"/>
      <c r="AF1045" s="646"/>
      <c r="AG1045" s="405"/>
      <c r="AH1045" s="380" t="s">
        <v>1205</v>
      </c>
      <c r="AI1045" s="576"/>
      <c r="AJ1045" s="576"/>
      <c r="AK1045" s="576"/>
      <c r="AL1045" s="576"/>
      <c r="AM1045" s="576"/>
      <c r="AN1045" s="576"/>
      <c r="AO1045" s="303" t="s">
        <v>175</v>
      </c>
      <c r="AP1045" s="378"/>
      <c r="AQ1045" s="237"/>
    </row>
    <row r="1046" spans="1:43" s="238" customFormat="1" ht="75" customHeight="1" x14ac:dyDescent="0.25">
      <c r="A1046" s="297" t="s">
        <v>1270</v>
      </c>
      <c r="B1046" s="627" t="str">
        <f>VLOOKUP(Table13[[#This Row],[Column1]],[1]Sheet1!$A:$AO,2,FALSE)</f>
        <v>LUBRICANTS</v>
      </c>
      <c r="C1046" s="298" t="str">
        <f>VLOOKUP(Table13[[#This Row],[Column1]],[1]Sheet1!$A:$AO,3,FALSE)</f>
        <v>PEO</v>
      </c>
      <c r="D1046" s="298" t="s">
        <v>712</v>
      </c>
      <c r="E1046" s="402" t="str">
        <f>VLOOKUP(Table13[[#This Row],[Column1]],[1]Sheet1!$A:$AO,5,FALSE)</f>
        <v>Competitive Bidding</v>
      </c>
      <c r="F1046" s="446">
        <f>VLOOKUP(Table13[[#This Row],[Column1]],[1]Sheet1!$A:$AO,6,FALSE)</f>
        <v>45468</v>
      </c>
      <c r="G1046" s="402"/>
      <c r="H1046" s="374"/>
      <c r="I1046" s="402"/>
      <c r="J1046" s="402"/>
      <c r="K1046" s="402"/>
      <c r="L1046" s="404"/>
      <c r="M1046" s="402"/>
      <c r="N1046" s="402"/>
      <c r="O1046" s="402"/>
      <c r="P1046" s="375"/>
      <c r="Q1046" s="375"/>
      <c r="R1046" s="376"/>
      <c r="S1046" s="583"/>
      <c r="T1046" s="583"/>
      <c r="U1046" s="583"/>
      <c r="V1046" s="376"/>
      <c r="W1046" s="376"/>
      <c r="X1046" s="402"/>
      <c r="Y1046" s="402"/>
      <c r="Z1046" s="610" t="s">
        <v>1478</v>
      </c>
      <c r="AA1046" s="454">
        <f>IF(Table13[[#This Row],[Column2]]="","",SUM(Table13[[#This Row],[Column28]]+Table13[[#This Row],[Column29]]))</f>
        <v>2644808</v>
      </c>
      <c r="AB1046" s="455"/>
      <c r="AC1046" s="452">
        <v>2644808</v>
      </c>
      <c r="AD1046" s="451">
        <f>IF(Table13[[#This Row],[Column2]]="","",SUM(Table13[[#This Row],[Column31]]+Table13[[#This Row],[Column32]]))</f>
        <v>0</v>
      </c>
      <c r="AE1046" s="453"/>
      <c r="AF1046" s="646"/>
      <c r="AG1046" s="405"/>
      <c r="AH1046" s="380" t="s">
        <v>1205</v>
      </c>
      <c r="AI1046" s="576"/>
      <c r="AJ1046" s="576"/>
      <c r="AK1046" s="576"/>
      <c r="AL1046" s="576"/>
      <c r="AM1046" s="576"/>
      <c r="AN1046" s="576"/>
      <c r="AO1046" s="303" t="s">
        <v>175</v>
      </c>
      <c r="AP1046" s="378"/>
      <c r="AQ1046" s="237"/>
    </row>
    <row r="1047" spans="1:43" s="238" customFormat="1" ht="75" customHeight="1" x14ac:dyDescent="0.25">
      <c r="A1047" s="297" t="s">
        <v>1271</v>
      </c>
      <c r="B1047" s="627" t="str">
        <f>VLOOKUP(Table13[[#This Row],[Column1]],[1]Sheet1!$A:$AO,2,FALSE)</f>
        <v>GROCERY SUPPLIES</v>
      </c>
      <c r="C1047" s="298" t="str">
        <f>VLOOKUP(Table13[[#This Row],[Column1]],[1]Sheet1!$A:$AO,3,FALSE)</f>
        <v>PDRRMO</v>
      </c>
      <c r="D1047" s="298" t="s">
        <v>712</v>
      </c>
      <c r="E1047" s="402" t="str">
        <f>VLOOKUP(Table13[[#This Row],[Column1]],[1]Sheet1!$A:$AO,5,FALSE)</f>
        <v>Competitive Bidding</v>
      </c>
      <c r="F1047" s="446">
        <f>VLOOKUP(Table13[[#This Row],[Column1]],[1]Sheet1!$A:$AO,6,FALSE)</f>
        <v>45468</v>
      </c>
      <c r="G1047" s="402"/>
      <c r="H1047" s="374"/>
      <c r="I1047" s="402"/>
      <c r="J1047" s="402"/>
      <c r="K1047" s="402"/>
      <c r="L1047" s="404"/>
      <c r="M1047" s="402"/>
      <c r="N1047" s="402"/>
      <c r="O1047" s="402"/>
      <c r="P1047" s="375"/>
      <c r="Q1047" s="375"/>
      <c r="R1047" s="376"/>
      <c r="S1047" s="583"/>
      <c r="T1047" s="583"/>
      <c r="U1047" s="583"/>
      <c r="V1047" s="376"/>
      <c r="W1047" s="376"/>
      <c r="X1047" s="402"/>
      <c r="Y1047" s="402"/>
      <c r="Z1047" s="610" t="s">
        <v>1478</v>
      </c>
      <c r="AA1047" s="454">
        <f>IF(Table13[[#This Row],[Column2]]="","",SUM(Table13[[#This Row],[Column28]]+Table13[[#This Row],[Column29]]))</f>
        <v>392436</v>
      </c>
      <c r="AB1047" s="455"/>
      <c r="AC1047" s="452">
        <v>392436</v>
      </c>
      <c r="AD1047" s="451">
        <f>IF(Table13[[#This Row],[Column2]]="","",SUM(Table13[[#This Row],[Column31]]+Table13[[#This Row],[Column32]]))</f>
        <v>0</v>
      </c>
      <c r="AE1047" s="453"/>
      <c r="AF1047" s="646"/>
      <c r="AG1047" s="405"/>
      <c r="AH1047" s="380" t="s">
        <v>1205</v>
      </c>
      <c r="AI1047" s="576"/>
      <c r="AJ1047" s="576"/>
      <c r="AK1047" s="576"/>
      <c r="AL1047" s="576"/>
      <c r="AM1047" s="576"/>
      <c r="AN1047" s="576"/>
      <c r="AO1047" s="303" t="s">
        <v>175</v>
      </c>
      <c r="AP1047" s="378"/>
      <c r="AQ1047" s="237"/>
    </row>
    <row r="1048" spans="1:43" s="238" customFormat="1" ht="75" customHeight="1" x14ac:dyDescent="0.25">
      <c r="A1048" s="297" t="s">
        <v>1272</v>
      </c>
      <c r="B1048" s="627" t="str">
        <f>VLOOKUP(Table13[[#This Row],[Column1]],[1]Sheet1!$A:$AO,2,FALSE)</f>
        <v>GEMELINA LUMBER OR EQUIVALENT</v>
      </c>
      <c r="C1048" s="298" t="str">
        <f>VLOOKUP(Table13[[#This Row],[Column1]],[1]Sheet1!$A:$AO,3,FALSE)</f>
        <v>PEO</v>
      </c>
      <c r="D1048" s="298" t="s">
        <v>712</v>
      </c>
      <c r="E1048" s="402" t="str">
        <f>VLOOKUP(Table13[[#This Row],[Column1]],[1]Sheet1!$A:$AO,5,FALSE)</f>
        <v>Competitive Bidding</v>
      </c>
      <c r="F1048" s="446">
        <f>VLOOKUP(Table13[[#This Row],[Column1]],[1]Sheet1!$A:$AO,6,FALSE)</f>
        <v>45468</v>
      </c>
      <c r="G1048" s="402"/>
      <c r="H1048" s="374"/>
      <c r="I1048" s="402"/>
      <c r="J1048" s="402"/>
      <c r="K1048" s="402"/>
      <c r="L1048" s="404"/>
      <c r="M1048" s="402"/>
      <c r="N1048" s="402"/>
      <c r="O1048" s="402"/>
      <c r="P1048" s="375"/>
      <c r="Q1048" s="375"/>
      <c r="R1048" s="376"/>
      <c r="S1048" s="583"/>
      <c r="T1048" s="583"/>
      <c r="U1048" s="583"/>
      <c r="V1048" s="376"/>
      <c r="W1048" s="376"/>
      <c r="X1048" s="402"/>
      <c r="Y1048" s="402"/>
      <c r="Z1048" s="610" t="s">
        <v>1478</v>
      </c>
      <c r="AA1048" s="454">
        <f>IF(Table13[[#This Row],[Column2]]="","",SUM(Table13[[#This Row],[Column28]]+Table13[[#This Row],[Column29]]))</f>
        <v>859222.98</v>
      </c>
      <c r="AB1048" s="455"/>
      <c r="AC1048" s="452">
        <v>859222.98</v>
      </c>
      <c r="AD1048" s="451">
        <f>IF(Table13[[#This Row],[Column2]]="","",SUM(Table13[[#This Row],[Column31]]+Table13[[#This Row],[Column32]]))</f>
        <v>0</v>
      </c>
      <c r="AE1048" s="453"/>
      <c r="AF1048" s="646"/>
      <c r="AG1048" s="405"/>
      <c r="AH1048" s="380" t="s">
        <v>1205</v>
      </c>
      <c r="AI1048" s="576"/>
      <c r="AJ1048" s="576"/>
      <c r="AK1048" s="576"/>
      <c r="AL1048" s="576"/>
      <c r="AM1048" s="576"/>
      <c r="AN1048" s="576"/>
      <c r="AO1048" s="303" t="s">
        <v>175</v>
      </c>
      <c r="AP1048" s="378"/>
      <c r="AQ1048" s="237"/>
    </row>
    <row r="1049" spans="1:43" s="238" customFormat="1" ht="75" customHeight="1" x14ac:dyDescent="0.25">
      <c r="A1049" s="297" t="s">
        <v>1273</v>
      </c>
      <c r="B1049" s="627" t="str">
        <f>VLOOKUP(Table13[[#This Row],[Column1]],[1]Sheet1!$A:$AO,2,FALSE)</f>
        <v>FLUIDS</v>
      </c>
      <c r="C1049" s="298" t="str">
        <f>VLOOKUP(Table13[[#This Row],[Column1]],[1]Sheet1!$A:$AO,3,FALSE)</f>
        <v>PEEMO</v>
      </c>
      <c r="D1049" s="298" t="s">
        <v>712</v>
      </c>
      <c r="E1049" s="402" t="str">
        <f>VLOOKUP(Table13[[#This Row],[Column1]],[1]Sheet1!$A:$AO,5,FALSE)</f>
        <v>Competitive Bidding</v>
      </c>
      <c r="F1049" s="446" t="str">
        <f>VLOOKUP(Table13[[#This Row],[Column1]],[1]Sheet1!$A:$AO,6,FALSE)</f>
        <v>N/A</v>
      </c>
      <c r="G1049" s="402">
        <f>VLOOKUP(Table13[[#This Row],[Column1]],[1]Sheet1!$A:$AO,7,FALSE)</f>
        <v>45467</v>
      </c>
      <c r="H1049" s="374"/>
      <c r="I1049" s="402" t="str">
        <f>VLOOKUP(Table13[[#This Row],[Column1]],[1]Sheet1!$A:$AO,9,FALSE)</f>
        <v>N/A</v>
      </c>
      <c r="J1049" s="402">
        <f>VLOOKUP(Table13[[#This Row],[Column1]],[1]Sheet1!$A:$AO,10,FALSE)</f>
        <v>45475</v>
      </c>
      <c r="K1049" s="402"/>
      <c r="L1049" s="404"/>
      <c r="M1049" s="402"/>
      <c r="N1049" s="402"/>
      <c r="O1049" s="402"/>
      <c r="P1049" s="375"/>
      <c r="Q1049" s="375"/>
      <c r="R1049" s="376"/>
      <c r="S1049" s="583"/>
      <c r="T1049" s="583"/>
      <c r="U1049" s="583"/>
      <c r="V1049" s="376"/>
      <c r="W1049" s="376"/>
      <c r="X1049" s="402"/>
      <c r="Y1049" s="402"/>
      <c r="Z1049" s="610" t="s">
        <v>1478</v>
      </c>
      <c r="AA1049" s="454">
        <f>IF(Table13[[#This Row],[Column2]]="","",SUM(Table13[[#This Row],[Column28]]+Table13[[#This Row],[Column29]]))</f>
        <v>425620</v>
      </c>
      <c r="AB1049" s="455"/>
      <c r="AC1049" s="452">
        <v>425620</v>
      </c>
      <c r="AD1049" s="451">
        <f>IF(Table13[[#This Row],[Column2]]="","",SUM(Table13[[#This Row],[Column31]]+Table13[[#This Row],[Column32]]))</f>
        <v>0</v>
      </c>
      <c r="AE1049" s="453"/>
      <c r="AF1049" s="646"/>
      <c r="AG1049" s="405"/>
      <c r="AH1049" s="380" t="s">
        <v>1205</v>
      </c>
      <c r="AI1049" s="576"/>
      <c r="AJ1049" s="576"/>
      <c r="AK1049" s="576"/>
      <c r="AL1049" s="576"/>
      <c r="AM1049" s="576"/>
      <c r="AN1049" s="576"/>
      <c r="AO1049" s="303" t="s">
        <v>175</v>
      </c>
      <c r="AP1049" s="378"/>
      <c r="AQ1049" s="237"/>
    </row>
    <row r="1050" spans="1:43" s="238" customFormat="1" ht="75" customHeight="1" x14ac:dyDescent="0.25">
      <c r="A1050" s="297" t="s">
        <v>1274</v>
      </c>
      <c r="B1050" s="627" t="str">
        <f>VLOOKUP(Table13[[#This Row],[Column1]],[1]Sheet1!$A:$AO,2,FALSE)</f>
        <v>LABORATORY SUPPLIES</v>
      </c>
      <c r="C1050" s="298" t="str">
        <f>VLOOKUP(Table13[[#This Row],[Column1]],[1]Sheet1!$A:$AO,3,FALSE)</f>
        <v>PEEMO</v>
      </c>
      <c r="D1050" s="298" t="s">
        <v>712</v>
      </c>
      <c r="E1050" s="402" t="str">
        <f>VLOOKUP(Table13[[#This Row],[Column1]],[1]Sheet1!$A:$AO,5,FALSE)</f>
        <v>Competitive Bidding</v>
      </c>
      <c r="F1050" s="446" t="str">
        <f>VLOOKUP(Table13[[#This Row],[Column1]],[1]Sheet1!$A:$AO,6,FALSE)</f>
        <v>N/A</v>
      </c>
      <c r="G1050" s="402">
        <f>VLOOKUP(Table13[[#This Row],[Column1]],[1]Sheet1!$A:$AO,7,FALSE)</f>
        <v>45467</v>
      </c>
      <c r="H1050" s="374"/>
      <c r="I1050" s="402" t="str">
        <f>VLOOKUP(Table13[[#This Row],[Column1]],[1]Sheet1!$A:$AO,9,FALSE)</f>
        <v>N/A</v>
      </c>
      <c r="J1050" s="402">
        <f>VLOOKUP(Table13[[#This Row],[Column1]],[1]Sheet1!$A:$AO,10,FALSE)</f>
        <v>45475</v>
      </c>
      <c r="K1050" s="402"/>
      <c r="L1050" s="404"/>
      <c r="M1050" s="402"/>
      <c r="N1050" s="402"/>
      <c r="O1050" s="402"/>
      <c r="P1050" s="375"/>
      <c r="Q1050" s="375"/>
      <c r="R1050" s="376"/>
      <c r="S1050" s="583"/>
      <c r="T1050" s="583"/>
      <c r="U1050" s="583"/>
      <c r="V1050" s="376"/>
      <c r="W1050" s="376"/>
      <c r="X1050" s="402"/>
      <c r="Y1050" s="402"/>
      <c r="Z1050" s="610" t="s">
        <v>1478</v>
      </c>
      <c r="AA1050" s="454">
        <f>IF(Table13[[#This Row],[Column2]]="","",SUM(Table13[[#This Row],[Column28]]+Table13[[#This Row],[Column29]]))</f>
        <v>976294</v>
      </c>
      <c r="AB1050" s="455"/>
      <c r="AC1050" s="452">
        <v>976294</v>
      </c>
      <c r="AD1050" s="451">
        <f>IF(Table13[[#This Row],[Column2]]="","",SUM(Table13[[#This Row],[Column31]]+Table13[[#This Row],[Column32]]))</f>
        <v>0</v>
      </c>
      <c r="AE1050" s="453"/>
      <c r="AF1050" s="646"/>
      <c r="AG1050" s="405"/>
      <c r="AH1050" s="380" t="s">
        <v>1205</v>
      </c>
      <c r="AI1050" s="576"/>
      <c r="AJ1050" s="576"/>
      <c r="AK1050" s="576"/>
      <c r="AL1050" s="576"/>
      <c r="AM1050" s="576"/>
      <c r="AN1050" s="576"/>
      <c r="AO1050" s="303" t="s">
        <v>175</v>
      </c>
      <c r="AP1050" s="378"/>
      <c r="AQ1050" s="237"/>
    </row>
    <row r="1051" spans="1:43" s="238" customFormat="1" ht="75" customHeight="1" x14ac:dyDescent="0.25">
      <c r="A1051" s="297" t="s">
        <v>1275</v>
      </c>
      <c r="B1051" s="627" t="str">
        <f>VLOOKUP(Table13[[#This Row],[Column1]],[1]Sheet1!$A:$AO,2,FALSE)</f>
        <v>VEHICLE SPAREPARTS</v>
      </c>
      <c r="C1051" s="298" t="str">
        <f>VLOOKUP(Table13[[#This Row],[Column1]],[1]Sheet1!$A:$AO,3,FALSE)</f>
        <v>PEO</v>
      </c>
      <c r="D1051" s="298" t="s">
        <v>712</v>
      </c>
      <c r="E1051" s="402" t="str">
        <f>VLOOKUP(Table13[[#This Row],[Column1]],[1]Sheet1!$A:$AO,5,FALSE)</f>
        <v>Competitive Bidding</v>
      </c>
      <c r="F1051" s="446" t="str">
        <f>VLOOKUP(Table13[[#This Row],[Column1]],[1]Sheet1!$A:$AO,6,FALSE)</f>
        <v>N/A</v>
      </c>
      <c r="G1051" s="402">
        <f>VLOOKUP(Table13[[#This Row],[Column1]],[1]Sheet1!$A:$AO,7,FALSE)</f>
        <v>45467</v>
      </c>
      <c r="H1051" s="374"/>
      <c r="I1051" s="402" t="str">
        <f>VLOOKUP(Table13[[#This Row],[Column1]],[1]Sheet1!$A:$AO,9,FALSE)</f>
        <v>N/A</v>
      </c>
      <c r="J1051" s="402">
        <f>VLOOKUP(Table13[[#This Row],[Column1]],[1]Sheet1!$A:$AO,10,FALSE)</f>
        <v>45475</v>
      </c>
      <c r="K1051" s="402"/>
      <c r="L1051" s="404"/>
      <c r="M1051" s="402"/>
      <c r="N1051" s="402"/>
      <c r="O1051" s="402"/>
      <c r="P1051" s="375"/>
      <c r="Q1051" s="375"/>
      <c r="R1051" s="376"/>
      <c r="S1051" s="583"/>
      <c r="T1051" s="583"/>
      <c r="U1051" s="583"/>
      <c r="V1051" s="376"/>
      <c r="W1051" s="376"/>
      <c r="X1051" s="402"/>
      <c r="Y1051" s="402"/>
      <c r="Z1051" s="610" t="s">
        <v>1478</v>
      </c>
      <c r="AA1051" s="454">
        <f>IF(Table13[[#This Row],[Column2]]="","",SUM(Table13[[#This Row],[Column28]]+Table13[[#This Row],[Column29]]))</f>
        <v>600600</v>
      </c>
      <c r="AB1051" s="455"/>
      <c r="AC1051" s="452">
        <v>600600</v>
      </c>
      <c r="AD1051" s="451">
        <f>IF(Table13[[#This Row],[Column2]]="","",SUM(Table13[[#This Row],[Column31]]+Table13[[#This Row],[Column32]]))</f>
        <v>0</v>
      </c>
      <c r="AE1051" s="453"/>
      <c r="AF1051" s="646"/>
      <c r="AG1051" s="405"/>
      <c r="AH1051" s="380" t="s">
        <v>1205</v>
      </c>
      <c r="AI1051" s="576"/>
      <c r="AJ1051" s="576"/>
      <c r="AK1051" s="576"/>
      <c r="AL1051" s="576"/>
      <c r="AM1051" s="576"/>
      <c r="AN1051" s="576"/>
      <c r="AO1051" s="303" t="s">
        <v>175</v>
      </c>
      <c r="AP1051" s="378"/>
      <c r="AQ1051" s="237"/>
    </row>
    <row r="1052" spans="1:43" s="238" customFormat="1" ht="75" customHeight="1" x14ac:dyDescent="0.25">
      <c r="A1052" s="297" t="s">
        <v>1276</v>
      </c>
      <c r="B1052" s="627" t="str">
        <f>VLOOKUP(Table13[[#This Row],[Column1]],[1]Sheet1!$A:$AO,2,FALSE)</f>
        <v>SPAREPARTS (LIGHT VEHICLE)</v>
      </c>
      <c r="C1052" s="298" t="str">
        <f>VLOOKUP(Table13[[#This Row],[Column1]],[1]Sheet1!$A:$AO,3,FALSE)</f>
        <v>PGSO</v>
      </c>
      <c r="D1052" s="298" t="s">
        <v>712</v>
      </c>
      <c r="E1052" s="402" t="str">
        <f>VLOOKUP(Table13[[#This Row],[Column1]],[1]Sheet1!$A:$AO,5,FALSE)</f>
        <v>Competitive Bidding</v>
      </c>
      <c r="F1052" s="446" t="str">
        <f>VLOOKUP(Table13[[#This Row],[Column1]],[1]Sheet1!$A:$AO,6,FALSE)</f>
        <v>N/A</v>
      </c>
      <c r="G1052" s="402">
        <f>VLOOKUP(Table13[[#This Row],[Column1]],[1]Sheet1!$A:$AO,7,FALSE)</f>
        <v>45467</v>
      </c>
      <c r="H1052" s="374"/>
      <c r="I1052" s="402" t="str">
        <f>VLOOKUP(Table13[[#This Row],[Column1]],[1]Sheet1!$A:$AO,9,FALSE)</f>
        <v>N/A</v>
      </c>
      <c r="J1052" s="402">
        <f>VLOOKUP(Table13[[#This Row],[Column1]],[1]Sheet1!$A:$AO,10,FALSE)</f>
        <v>45475</v>
      </c>
      <c r="K1052" s="402"/>
      <c r="L1052" s="404"/>
      <c r="M1052" s="402"/>
      <c r="N1052" s="402"/>
      <c r="O1052" s="402"/>
      <c r="P1052" s="375"/>
      <c r="Q1052" s="375"/>
      <c r="R1052" s="376"/>
      <c r="S1052" s="583"/>
      <c r="T1052" s="583"/>
      <c r="U1052" s="583"/>
      <c r="V1052" s="376"/>
      <c r="W1052" s="376"/>
      <c r="X1052" s="402"/>
      <c r="Y1052" s="402"/>
      <c r="Z1052" s="610" t="s">
        <v>1478</v>
      </c>
      <c r="AA1052" s="454">
        <f>IF(Table13[[#This Row],[Column2]]="","",SUM(Table13[[#This Row],[Column28]]+Table13[[#This Row],[Column29]]))</f>
        <v>920686</v>
      </c>
      <c r="AB1052" s="455"/>
      <c r="AC1052" s="452">
        <v>920686</v>
      </c>
      <c r="AD1052" s="451">
        <f>IF(Table13[[#This Row],[Column2]]="","",SUM(Table13[[#This Row],[Column31]]+Table13[[#This Row],[Column32]]))</f>
        <v>0</v>
      </c>
      <c r="AE1052" s="453"/>
      <c r="AF1052" s="646"/>
      <c r="AG1052" s="405"/>
      <c r="AH1052" s="380" t="s">
        <v>1205</v>
      </c>
      <c r="AI1052" s="576"/>
      <c r="AJ1052" s="576"/>
      <c r="AK1052" s="576"/>
      <c r="AL1052" s="576"/>
      <c r="AM1052" s="576"/>
      <c r="AN1052" s="576"/>
      <c r="AO1052" s="303" t="s">
        <v>175</v>
      </c>
      <c r="AP1052" s="378"/>
      <c r="AQ1052" s="237"/>
    </row>
    <row r="1053" spans="1:43" s="238" customFormat="1" ht="75" customHeight="1" x14ac:dyDescent="0.25">
      <c r="A1053" s="297" t="s">
        <v>1277</v>
      </c>
      <c r="B1053" s="627" t="str">
        <f>VLOOKUP(Table13[[#This Row],[Column1]],[1]Sheet1!$A:$AO,2,FALSE)</f>
        <v>SPAREPARTS (HEAVY EQUIPMENT)</v>
      </c>
      <c r="C1053" s="298" t="str">
        <f>VLOOKUP(Table13[[#This Row],[Column1]],[1]Sheet1!$A:$AO,3,FALSE)</f>
        <v>PGSO</v>
      </c>
      <c r="D1053" s="298" t="s">
        <v>712</v>
      </c>
      <c r="E1053" s="402" t="str">
        <f>VLOOKUP(Table13[[#This Row],[Column1]],[1]Sheet1!$A:$AO,5,FALSE)</f>
        <v>Competitive Bidding</v>
      </c>
      <c r="F1053" s="446" t="str">
        <f>VLOOKUP(Table13[[#This Row],[Column1]],[1]Sheet1!$A:$AO,6,FALSE)</f>
        <v>N/A</v>
      </c>
      <c r="G1053" s="402">
        <f>VLOOKUP(Table13[[#This Row],[Column1]],[1]Sheet1!$A:$AO,7,FALSE)</f>
        <v>45467</v>
      </c>
      <c r="H1053" s="374"/>
      <c r="I1053" s="402" t="str">
        <f>VLOOKUP(Table13[[#This Row],[Column1]],[1]Sheet1!$A:$AO,9,FALSE)</f>
        <v>N/A</v>
      </c>
      <c r="J1053" s="402">
        <f>VLOOKUP(Table13[[#This Row],[Column1]],[1]Sheet1!$A:$AO,10,FALSE)</f>
        <v>45475</v>
      </c>
      <c r="K1053" s="402"/>
      <c r="L1053" s="404"/>
      <c r="M1053" s="402"/>
      <c r="N1053" s="402"/>
      <c r="O1053" s="402"/>
      <c r="P1053" s="375"/>
      <c r="Q1053" s="375"/>
      <c r="R1053" s="376"/>
      <c r="S1053" s="583"/>
      <c r="T1053" s="583"/>
      <c r="U1053" s="583"/>
      <c r="V1053" s="376"/>
      <c r="W1053" s="376"/>
      <c r="X1053" s="402"/>
      <c r="Y1053" s="402"/>
      <c r="Z1053" s="610" t="s">
        <v>1478</v>
      </c>
      <c r="AA1053" s="454">
        <f>IF(Table13[[#This Row],[Column2]]="","",SUM(Table13[[#This Row],[Column28]]+Table13[[#This Row],[Column29]]))</f>
        <v>547615</v>
      </c>
      <c r="AB1053" s="455"/>
      <c r="AC1053" s="452">
        <v>547615</v>
      </c>
      <c r="AD1053" s="451">
        <f>IF(Table13[[#This Row],[Column2]]="","",SUM(Table13[[#This Row],[Column31]]+Table13[[#This Row],[Column32]]))</f>
        <v>0</v>
      </c>
      <c r="AE1053" s="453"/>
      <c r="AF1053" s="646"/>
      <c r="AG1053" s="405"/>
      <c r="AH1053" s="380" t="s">
        <v>1205</v>
      </c>
      <c r="AI1053" s="576"/>
      <c r="AJ1053" s="576"/>
      <c r="AK1053" s="576"/>
      <c r="AL1053" s="576"/>
      <c r="AM1053" s="576"/>
      <c r="AN1053" s="576"/>
      <c r="AO1053" s="303" t="s">
        <v>175</v>
      </c>
      <c r="AP1053" s="378"/>
      <c r="AQ1053" s="237"/>
    </row>
    <row r="1054" spans="1:43" s="238" customFormat="1" ht="75" customHeight="1" x14ac:dyDescent="0.25">
      <c r="A1054" s="297" t="s">
        <v>1278</v>
      </c>
      <c r="B1054" s="627" t="str">
        <f>VLOOKUP(Table13[[#This Row],[Column1]],[1]Sheet1!$A:$AO,2,FALSE)</f>
        <v>SPAREPARTS (HEAVY EQUIPMENT)</v>
      </c>
      <c r="C1054" s="298" t="str">
        <f>VLOOKUP(Table13[[#This Row],[Column1]],[1]Sheet1!$A:$AO,3,FALSE)</f>
        <v>PEO</v>
      </c>
      <c r="D1054" s="298" t="s">
        <v>712</v>
      </c>
      <c r="E1054" s="402" t="str">
        <f>VLOOKUP(Table13[[#This Row],[Column1]],[1]Sheet1!$A:$AO,5,FALSE)</f>
        <v>Competitive Bidding</v>
      </c>
      <c r="F1054" s="446" t="str">
        <f>VLOOKUP(Table13[[#This Row],[Column1]],[1]Sheet1!$A:$AO,6,FALSE)</f>
        <v>N/A</v>
      </c>
      <c r="G1054" s="402">
        <f>VLOOKUP(Table13[[#This Row],[Column1]],[1]Sheet1!$A:$AO,7,FALSE)</f>
        <v>45467</v>
      </c>
      <c r="H1054" s="374"/>
      <c r="I1054" s="402" t="str">
        <f>VLOOKUP(Table13[[#This Row],[Column1]],[1]Sheet1!$A:$AO,9,FALSE)</f>
        <v>N/A</v>
      </c>
      <c r="J1054" s="402">
        <f>VLOOKUP(Table13[[#This Row],[Column1]],[1]Sheet1!$A:$AO,10,FALSE)</f>
        <v>45475</v>
      </c>
      <c r="K1054" s="402"/>
      <c r="L1054" s="404"/>
      <c r="M1054" s="402"/>
      <c r="N1054" s="402"/>
      <c r="O1054" s="402"/>
      <c r="P1054" s="375"/>
      <c r="Q1054" s="375"/>
      <c r="R1054" s="376"/>
      <c r="S1054" s="583"/>
      <c r="T1054" s="583"/>
      <c r="U1054" s="583"/>
      <c r="V1054" s="376"/>
      <c r="W1054" s="376"/>
      <c r="X1054" s="402"/>
      <c r="Y1054" s="402"/>
      <c r="Z1054" s="610" t="s">
        <v>1478</v>
      </c>
      <c r="AA1054" s="454">
        <f>IF(Table13[[#This Row],[Column2]]="","",SUM(Table13[[#This Row],[Column28]]+Table13[[#This Row],[Column29]]))</f>
        <v>851481</v>
      </c>
      <c r="AB1054" s="455"/>
      <c r="AC1054" s="452">
        <v>851481</v>
      </c>
      <c r="AD1054" s="451">
        <f>IF(Table13[[#This Row],[Column2]]="","",SUM(Table13[[#This Row],[Column31]]+Table13[[#This Row],[Column32]]))</f>
        <v>0</v>
      </c>
      <c r="AE1054" s="453"/>
      <c r="AF1054" s="646"/>
      <c r="AG1054" s="405"/>
      <c r="AH1054" s="380" t="s">
        <v>1205</v>
      </c>
      <c r="AI1054" s="576"/>
      <c r="AJ1054" s="576"/>
      <c r="AK1054" s="576"/>
      <c r="AL1054" s="576"/>
      <c r="AM1054" s="576"/>
      <c r="AN1054" s="576"/>
      <c r="AO1054" s="303" t="s">
        <v>175</v>
      </c>
      <c r="AP1054" s="378"/>
      <c r="AQ1054" s="237"/>
    </row>
    <row r="1055" spans="1:43" s="238" customFormat="1" ht="75" customHeight="1" x14ac:dyDescent="0.25">
      <c r="A1055" s="297" t="s">
        <v>1279</v>
      </c>
      <c r="B1055" s="627" t="str">
        <f>VLOOKUP(Table13[[#This Row],[Column1]],[1]Sheet1!$A:$AO,2,FALSE)</f>
        <v>DRUGS AND MEDICINES</v>
      </c>
      <c r="C1055" s="298" t="str">
        <f>VLOOKUP(Table13[[#This Row],[Column1]],[1]Sheet1!$A:$AO,3,FALSE)</f>
        <v>PDRRMO</v>
      </c>
      <c r="D1055" s="298" t="s">
        <v>712</v>
      </c>
      <c r="E1055" s="402" t="str">
        <f>VLOOKUP(Table13[[#This Row],[Column1]],[1]Sheet1!$A:$AO,5,FALSE)</f>
        <v>Competitive Bidding</v>
      </c>
      <c r="F1055" s="446" t="str">
        <f>VLOOKUP(Table13[[#This Row],[Column1]],[1]Sheet1!$A:$AO,6,FALSE)</f>
        <v>N/A</v>
      </c>
      <c r="G1055" s="402">
        <f>VLOOKUP(Table13[[#This Row],[Column1]],[1]Sheet1!$A:$AO,7,FALSE)</f>
        <v>45467</v>
      </c>
      <c r="H1055" s="374"/>
      <c r="I1055" s="402">
        <f>VLOOKUP(Table13[[#This Row],[Column1]],[1]Sheet1!$A:$AO,9,FALSE)</f>
        <v>45475</v>
      </c>
      <c r="J1055" s="402"/>
      <c r="K1055" s="402"/>
      <c r="L1055" s="404"/>
      <c r="M1055" s="402"/>
      <c r="N1055" s="402"/>
      <c r="O1055" s="402"/>
      <c r="P1055" s="375"/>
      <c r="Q1055" s="375"/>
      <c r="R1055" s="376"/>
      <c r="S1055" s="583"/>
      <c r="T1055" s="583"/>
      <c r="U1055" s="583"/>
      <c r="V1055" s="376"/>
      <c r="W1055" s="376"/>
      <c r="X1055" s="402"/>
      <c r="Y1055" s="402"/>
      <c r="Z1055" s="610" t="s">
        <v>1478</v>
      </c>
      <c r="AA1055" s="454">
        <f>IF(Table13[[#This Row],[Column2]]="","",SUM(Table13[[#This Row],[Column28]]+Table13[[#This Row],[Column29]]))</f>
        <v>1545471.8</v>
      </c>
      <c r="AB1055" s="455"/>
      <c r="AC1055" s="452">
        <v>1545471.8</v>
      </c>
      <c r="AD1055" s="451">
        <f>IF(Table13[[#This Row],[Column2]]="","",SUM(Table13[[#This Row],[Column31]]+Table13[[#This Row],[Column32]]))</f>
        <v>0</v>
      </c>
      <c r="AE1055" s="453"/>
      <c r="AF1055" s="646"/>
      <c r="AG1055" s="405"/>
      <c r="AH1055" s="380" t="s">
        <v>1205</v>
      </c>
      <c r="AI1055" s="576"/>
      <c r="AJ1055" s="576"/>
      <c r="AK1055" s="576"/>
      <c r="AL1055" s="576"/>
      <c r="AM1055" s="576"/>
      <c r="AN1055" s="576"/>
      <c r="AO1055" s="303" t="s">
        <v>175</v>
      </c>
      <c r="AP1055" s="378"/>
      <c r="AQ1055" s="237"/>
    </row>
    <row r="1056" spans="1:43" s="238" customFormat="1" ht="75" customHeight="1" x14ac:dyDescent="0.25">
      <c r="A1056" s="297" t="s">
        <v>1280</v>
      </c>
      <c r="B1056" s="627" t="str">
        <f>VLOOKUP(Table13[[#This Row],[Column1]],[1]Sheet1!$A:$AO,2,FALSE)</f>
        <v>MEALS AND SNACKS WITH ACCOMMODATION</v>
      </c>
      <c r="C1056" s="298" t="str">
        <f>VLOOKUP(Table13[[#This Row],[Column1]],[1]Sheet1!$A:$AO,3,FALSE)</f>
        <v>PSWDO</v>
      </c>
      <c r="D1056" s="298" t="s">
        <v>712</v>
      </c>
      <c r="E1056" s="402" t="str">
        <f>VLOOKUP(Table13[[#This Row],[Column1]],[1]Sheet1!$A:$AO,5,FALSE)</f>
        <v>Competitive Bidding</v>
      </c>
      <c r="F1056" s="446" t="str">
        <f>VLOOKUP(Table13[[#This Row],[Column1]],[1]Sheet1!$A:$AO,6,FALSE)</f>
        <v>N/A</v>
      </c>
      <c r="G1056" s="402">
        <f>VLOOKUP(Table13[[#This Row],[Column1]],[1]Sheet1!$A:$AO,7,FALSE)</f>
        <v>45467</v>
      </c>
      <c r="H1056" s="374"/>
      <c r="I1056" s="402">
        <f>VLOOKUP(Table13[[#This Row],[Column1]],[1]Sheet1!$A:$AO,9,FALSE)</f>
        <v>45475</v>
      </c>
      <c r="J1056" s="402"/>
      <c r="K1056" s="402"/>
      <c r="L1056" s="404"/>
      <c r="M1056" s="402"/>
      <c r="N1056" s="402"/>
      <c r="O1056" s="402"/>
      <c r="P1056" s="375"/>
      <c r="Q1056" s="375"/>
      <c r="R1056" s="376"/>
      <c r="S1056" s="583"/>
      <c r="T1056" s="583"/>
      <c r="U1056" s="583"/>
      <c r="V1056" s="376"/>
      <c r="W1056" s="376"/>
      <c r="X1056" s="402"/>
      <c r="Y1056" s="402"/>
      <c r="Z1056" s="610" t="s">
        <v>1478</v>
      </c>
      <c r="AA1056" s="454">
        <f>IF(Table13[[#This Row],[Column2]]="","",SUM(Table13[[#This Row],[Column28]]+Table13[[#This Row],[Column29]]))</f>
        <v>1150000</v>
      </c>
      <c r="AB1056" s="455"/>
      <c r="AC1056" s="452">
        <v>1150000</v>
      </c>
      <c r="AD1056" s="451">
        <f>IF(Table13[[#This Row],[Column2]]="","",SUM(Table13[[#This Row],[Column31]]+Table13[[#This Row],[Column32]]))</f>
        <v>0</v>
      </c>
      <c r="AE1056" s="453"/>
      <c r="AF1056" s="646"/>
      <c r="AG1056" s="405"/>
      <c r="AH1056" s="380" t="s">
        <v>1205</v>
      </c>
      <c r="AI1056" s="576"/>
      <c r="AJ1056" s="576"/>
      <c r="AK1056" s="576"/>
      <c r="AL1056" s="576"/>
      <c r="AM1056" s="576"/>
      <c r="AN1056" s="576"/>
      <c r="AO1056" s="303" t="s">
        <v>175</v>
      </c>
      <c r="AP1056" s="378"/>
      <c r="AQ1056" s="237"/>
    </row>
    <row r="1057" spans="1:43" s="238" customFormat="1" ht="75" customHeight="1" x14ac:dyDescent="0.25">
      <c r="A1057" s="297" t="s">
        <v>1281</v>
      </c>
      <c r="B1057" s="627" t="str">
        <f>VLOOKUP(Table13[[#This Row],[Column1]],[1]Sheet1!$A:$AO,2,FALSE)</f>
        <v>MEALS AND SNACKS WITH ACCOMMODATION</v>
      </c>
      <c r="C1057" s="298" t="str">
        <f>VLOOKUP(Table13[[#This Row],[Column1]],[1]Sheet1!$A:$AO,3,FALSE)</f>
        <v>PSWDO</v>
      </c>
      <c r="D1057" s="298" t="s">
        <v>712</v>
      </c>
      <c r="E1057" s="402" t="str">
        <f>VLOOKUP(Table13[[#This Row],[Column1]],[1]Sheet1!$A:$AO,5,FALSE)</f>
        <v>Competitive Bidding</v>
      </c>
      <c r="F1057" s="446" t="str">
        <f>VLOOKUP(Table13[[#This Row],[Column1]],[1]Sheet1!$A:$AO,6,FALSE)</f>
        <v>N/A</v>
      </c>
      <c r="G1057" s="402">
        <f>VLOOKUP(Table13[[#This Row],[Column1]],[1]Sheet1!$A:$AO,7,FALSE)</f>
        <v>45467</v>
      </c>
      <c r="H1057" s="374"/>
      <c r="I1057" s="402">
        <f>VLOOKUP(Table13[[#This Row],[Column1]],[1]Sheet1!$A:$AO,9,FALSE)</f>
        <v>45475</v>
      </c>
      <c r="J1057" s="402"/>
      <c r="K1057" s="402"/>
      <c r="L1057" s="404"/>
      <c r="M1057" s="402"/>
      <c r="N1057" s="402"/>
      <c r="O1057" s="402"/>
      <c r="P1057" s="375"/>
      <c r="Q1057" s="375"/>
      <c r="R1057" s="376"/>
      <c r="S1057" s="583"/>
      <c r="T1057" s="583"/>
      <c r="U1057" s="583"/>
      <c r="V1057" s="376"/>
      <c r="W1057" s="376"/>
      <c r="X1057" s="402"/>
      <c r="Y1057" s="402"/>
      <c r="Z1057" s="610" t="s">
        <v>1478</v>
      </c>
      <c r="AA1057" s="454">
        <f>IF(Table13[[#This Row],[Column2]]="","",SUM(Table13[[#This Row],[Column28]]+Table13[[#This Row],[Column29]]))</f>
        <v>1472000</v>
      </c>
      <c r="AB1057" s="455"/>
      <c r="AC1057" s="452">
        <v>1472000</v>
      </c>
      <c r="AD1057" s="451">
        <f>IF(Table13[[#This Row],[Column2]]="","",SUM(Table13[[#This Row],[Column31]]+Table13[[#This Row],[Column32]]))</f>
        <v>0</v>
      </c>
      <c r="AE1057" s="453"/>
      <c r="AF1057" s="646"/>
      <c r="AG1057" s="405"/>
      <c r="AH1057" s="380" t="s">
        <v>1205</v>
      </c>
      <c r="AI1057" s="576"/>
      <c r="AJ1057" s="576"/>
      <c r="AK1057" s="576"/>
      <c r="AL1057" s="576"/>
      <c r="AM1057" s="576"/>
      <c r="AN1057" s="576"/>
      <c r="AO1057" s="303" t="s">
        <v>175</v>
      </c>
      <c r="AP1057" s="378"/>
      <c r="AQ1057" s="237"/>
    </row>
    <row r="1058" spans="1:43" s="238" customFormat="1" ht="75" customHeight="1" x14ac:dyDescent="0.25">
      <c r="A1058" s="297" t="s">
        <v>1282</v>
      </c>
      <c r="B1058" s="627" t="str">
        <f>VLOOKUP(Table13[[#This Row],[Column1]],[1]Sheet1!$A:$AO,2,FALSE)</f>
        <v>BRAND NEW DUMP TRUCK; IMPORTED COMPLETE BUILT-UP UNIT; FORWARD CONTROL, LEFT HAND DRIVE, 4X4, 6 WHEELER, AIR CONDITIONED</v>
      </c>
      <c r="C1058" s="298" t="str">
        <f>VLOOKUP(Table13[[#This Row],[Column1]],[1]Sheet1!$A:$AO,3,FALSE)</f>
        <v>PEO</v>
      </c>
      <c r="D1058" s="298" t="s">
        <v>712</v>
      </c>
      <c r="E1058" s="402" t="str">
        <f>VLOOKUP(Table13[[#This Row],[Column1]],[1]Sheet1!$A:$AO,5,FALSE)</f>
        <v>Competitive Bidding</v>
      </c>
      <c r="F1058" s="446">
        <f>VLOOKUP(Table13[[#This Row],[Column1]],[1]Sheet1!$A:$AO,6,FALSE)</f>
        <v>45387</v>
      </c>
      <c r="G1058" s="402">
        <f>VLOOKUP(Table13[[#This Row],[Column1]],[1]Sheet1!$A:$AO,7,FALSE)</f>
        <v>45404</v>
      </c>
      <c r="H1058" s="374"/>
      <c r="I1058" s="402">
        <f>VLOOKUP(Table13[[#This Row],[Column1]],[1]Sheet1!$A:$AO,9,FALSE)</f>
        <v>45412</v>
      </c>
      <c r="J1058" s="402">
        <f>VLOOKUP(Table13[[#This Row],[Column1]],[1]Sheet1!$A:$AO,10,FALSE)</f>
        <v>45426</v>
      </c>
      <c r="K1058" s="402">
        <v>45426</v>
      </c>
      <c r="L1058" s="404"/>
      <c r="M1058" s="402">
        <v>45426</v>
      </c>
      <c r="N1058" s="402"/>
      <c r="O1058" s="402"/>
      <c r="P1058" s="375"/>
      <c r="Q1058" s="375"/>
      <c r="R1058" s="376"/>
      <c r="S1058" s="583"/>
      <c r="T1058" s="583"/>
      <c r="U1058" s="583"/>
      <c r="V1058" s="376"/>
      <c r="W1058" s="376"/>
      <c r="X1058" s="402"/>
      <c r="Y1058" s="402"/>
      <c r="Z1058" s="610" t="s">
        <v>1478</v>
      </c>
      <c r="AA1058" s="454">
        <f>IF(Table13[[#This Row],[Column2]]="","",SUM(Table13[[#This Row],[Column28]]+Table13[[#This Row],[Column29]]))</f>
        <v>14850000</v>
      </c>
      <c r="AB1058" s="455"/>
      <c r="AC1058" s="452">
        <v>14850000</v>
      </c>
      <c r="AD1058" s="451">
        <f>IF(Table13[[#This Row],[Column2]]="","",SUM(Table13[[#This Row],[Column31]]+Table13[[#This Row],[Column32]]))</f>
        <v>0</v>
      </c>
      <c r="AE1058" s="453"/>
      <c r="AF1058" s="646"/>
      <c r="AG1058" s="405"/>
      <c r="AH1058" s="380" t="s">
        <v>1205</v>
      </c>
      <c r="AI1058" s="576"/>
      <c r="AJ1058" s="576"/>
      <c r="AK1058" s="576"/>
      <c r="AL1058" s="576"/>
      <c r="AM1058" s="576"/>
      <c r="AN1058" s="576"/>
      <c r="AO1058" s="303" t="s">
        <v>175</v>
      </c>
      <c r="AP1058" s="378"/>
      <c r="AQ1058" s="237"/>
    </row>
    <row r="1059" spans="1:43" s="238" customFormat="1" ht="75" customHeight="1" x14ac:dyDescent="0.25">
      <c r="A1059" s="297" t="s">
        <v>1283</v>
      </c>
      <c r="B1059" s="627" t="str">
        <f>VLOOKUP(Table13[[#This Row],[Column1]],[1]Sheet1!$A:$AO,2,FALSE)</f>
        <v>LUMBER</v>
      </c>
      <c r="C1059" s="298" t="str">
        <f>VLOOKUP(Table13[[#This Row],[Column1]],[1]Sheet1!$A:$AO,3,FALSE)</f>
        <v>PEO</v>
      </c>
      <c r="D1059" s="298" t="s">
        <v>712</v>
      </c>
      <c r="E1059" s="450" t="str">
        <f>VLOOKUP(Table13[[#This Row],[Column1]],[1]Sheet1!$A:$AO,5,FALSE)</f>
        <v>NP-53.9 - Small Value Procurement</v>
      </c>
      <c r="F1059" s="446" t="str">
        <f>VLOOKUP(Table13[[#This Row],[Column1]],[1]Sheet1!$A:$AO,6,FALSE)</f>
        <v>N/A</v>
      </c>
      <c r="G1059" s="402">
        <f>VLOOKUP(Table13[[#This Row],[Column1]],[1]Sheet1!$A:$AO,7,FALSE)</f>
        <v>45461</v>
      </c>
      <c r="H1059" s="374"/>
      <c r="I1059" s="402"/>
      <c r="J1059" s="402"/>
      <c r="K1059" s="402"/>
      <c r="L1059" s="404"/>
      <c r="M1059" s="402"/>
      <c r="N1059" s="402"/>
      <c r="O1059" s="402"/>
      <c r="P1059" s="375"/>
      <c r="Q1059" s="375"/>
      <c r="R1059" s="376"/>
      <c r="S1059" s="583"/>
      <c r="T1059" s="583"/>
      <c r="U1059" s="583"/>
      <c r="V1059" s="376"/>
      <c r="W1059" s="376"/>
      <c r="X1059" s="402"/>
      <c r="Y1059" s="402"/>
      <c r="Z1059" s="610" t="s">
        <v>1478</v>
      </c>
      <c r="AA1059" s="454">
        <f>IF(Table13[[#This Row],[Column2]]="","",SUM(Table13[[#This Row],[Column28]]+Table13[[#This Row],[Column29]]))</f>
        <v>77500</v>
      </c>
      <c r="AB1059" s="466"/>
      <c r="AC1059" s="502">
        <v>77500</v>
      </c>
      <c r="AD1059" s="451">
        <f>IF(Table13[[#This Row],[Column2]]="","",SUM(Table13[[#This Row],[Column31]]+Table13[[#This Row],[Column32]]))</f>
        <v>0</v>
      </c>
      <c r="AE1059" s="453"/>
      <c r="AF1059" s="646"/>
      <c r="AG1059" s="405"/>
      <c r="AH1059" s="380" t="s">
        <v>1205</v>
      </c>
      <c r="AI1059" s="576"/>
      <c r="AJ1059" s="576"/>
      <c r="AK1059" s="576"/>
      <c r="AL1059" s="576"/>
      <c r="AM1059" s="576"/>
      <c r="AN1059" s="576"/>
      <c r="AO1059" s="303" t="s">
        <v>175</v>
      </c>
      <c r="AP1059" s="378"/>
      <c r="AQ1059" s="237"/>
    </row>
    <row r="1060" spans="1:43" s="238" customFormat="1" ht="75" customHeight="1" x14ac:dyDescent="0.25">
      <c r="A1060" s="297" t="s">
        <v>1284</v>
      </c>
      <c r="B1060" s="627" t="str">
        <f>VLOOKUP(Table13[[#This Row],[Column1]],[1]Sheet1!$A:$AO,2,FALSE)</f>
        <v>GUITAR AND MICROPHONE</v>
      </c>
      <c r="C1060" s="298" t="str">
        <f>VLOOKUP(Table13[[#This Row],[Column1]],[1]Sheet1!$A:$AO,3,FALSE)</f>
        <v>PGO</v>
      </c>
      <c r="D1060" s="298" t="s">
        <v>712</v>
      </c>
      <c r="E1060" s="450" t="str">
        <f>VLOOKUP(Table13[[#This Row],[Column1]],[1]Sheet1!$A:$AO,5,FALSE)</f>
        <v>NP-53.9 - Small Value Procurement</v>
      </c>
      <c r="F1060" s="446" t="str">
        <f>VLOOKUP(Table13[[#This Row],[Column1]],[1]Sheet1!$A:$AO,6,FALSE)</f>
        <v>N/A</v>
      </c>
      <c r="G1060" s="402">
        <f>VLOOKUP(Table13[[#This Row],[Column1]],[1]Sheet1!$A:$AO,7,FALSE)</f>
        <v>45422</v>
      </c>
      <c r="H1060" s="374"/>
      <c r="I1060" s="402"/>
      <c r="J1060" s="402"/>
      <c r="K1060" s="402"/>
      <c r="L1060" s="404"/>
      <c r="M1060" s="402"/>
      <c r="N1060" s="402"/>
      <c r="O1060" s="402"/>
      <c r="P1060" s="375"/>
      <c r="Q1060" s="375"/>
      <c r="R1060" s="376"/>
      <c r="S1060" s="583"/>
      <c r="T1060" s="583"/>
      <c r="U1060" s="583"/>
      <c r="V1060" s="376"/>
      <c r="W1060" s="376"/>
      <c r="X1060" s="402"/>
      <c r="Y1060" s="402"/>
      <c r="Z1060" s="610" t="s">
        <v>1478</v>
      </c>
      <c r="AA1060" s="454">
        <f>IF(Table13[[#This Row],[Column2]]="","",SUM(Table13[[#This Row],[Column28]]+Table13[[#This Row],[Column29]]))</f>
        <v>13850</v>
      </c>
      <c r="AB1060" s="466"/>
      <c r="AC1060" s="502">
        <v>13850</v>
      </c>
      <c r="AD1060" s="451">
        <f>IF(Table13[[#This Row],[Column2]]="","",SUM(Table13[[#This Row],[Column31]]+Table13[[#This Row],[Column32]]))</f>
        <v>0</v>
      </c>
      <c r="AE1060" s="453"/>
      <c r="AF1060" s="646"/>
      <c r="AG1060" s="405"/>
      <c r="AH1060" s="380" t="s">
        <v>1205</v>
      </c>
      <c r="AI1060" s="576"/>
      <c r="AJ1060" s="576"/>
      <c r="AK1060" s="576"/>
      <c r="AL1060" s="576"/>
      <c r="AM1060" s="576"/>
      <c r="AN1060" s="576"/>
      <c r="AO1060" s="303" t="s">
        <v>175</v>
      </c>
      <c r="AP1060" s="378"/>
      <c r="AQ1060" s="237"/>
    </row>
    <row r="1061" spans="1:43" s="238" customFormat="1" ht="75" customHeight="1" x14ac:dyDescent="0.25">
      <c r="A1061" s="297" t="s">
        <v>1285</v>
      </c>
      <c r="B1061" s="627" t="str">
        <f>VLOOKUP(Table13[[#This Row],[Column1]],[1]Sheet1!$A:$AO,2,FALSE)</f>
        <v xml:space="preserve">GROUP INSURANCE </v>
      </c>
      <c r="C1061" s="298" t="str">
        <f>VLOOKUP(Table13[[#This Row],[Column1]],[1]Sheet1!$A:$AO,3,FALSE)</f>
        <v>PDRRMO</v>
      </c>
      <c r="D1061" s="298" t="s">
        <v>712</v>
      </c>
      <c r="E1061" s="450" t="str">
        <f>VLOOKUP(Table13[[#This Row],[Column1]],[1]Sheet1!$A:$AO,5,FALSE)</f>
        <v>NP-53.9 - Small Value Procurement</v>
      </c>
      <c r="F1061" s="446" t="str">
        <f>VLOOKUP(Table13[[#This Row],[Column1]],[1]Sheet1!$A:$AO,6,FALSE)</f>
        <v>N/A</v>
      </c>
      <c r="G1061" s="402">
        <f>VLOOKUP(Table13[[#This Row],[Column1]],[1]Sheet1!$A:$AO,7,FALSE)</f>
        <v>45422</v>
      </c>
      <c r="H1061" s="374"/>
      <c r="I1061" s="402"/>
      <c r="J1061" s="402"/>
      <c r="K1061" s="402"/>
      <c r="L1061" s="404"/>
      <c r="M1061" s="402"/>
      <c r="N1061" s="402"/>
      <c r="O1061" s="402"/>
      <c r="P1061" s="375"/>
      <c r="Q1061" s="375"/>
      <c r="R1061" s="376"/>
      <c r="S1061" s="583"/>
      <c r="T1061" s="583"/>
      <c r="U1061" s="583"/>
      <c r="V1061" s="376"/>
      <c r="W1061" s="376"/>
      <c r="X1061" s="402"/>
      <c r="Y1061" s="402"/>
      <c r="Z1061" s="610" t="s">
        <v>1478</v>
      </c>
      <c r="AA1061" s="454">
        <f>IF(Table13[[#This Row],[Column2]]="","",SUM(Table13[[#This Row],[Column28]]+Table13[[#This Row],[Column29]]))</f>
        <v>108000</v>
      </c>
      <c r="AB1061" s="466"/>
      <c r="AC1061" s="502">
        <v>108000</v>
      </c>
      <c r="AD1061" s="451">
        <f>IF(Table13[[#This Row],[Column2]]="","",SUM(Table13[[#This Row],[Column31]]+Table13[[#This Row],[Column32]]))</f>
        <v>0</v>
      </c>
      <c r="AE1061" s="453"/>
      <c r="AF1061" s="646"/>
      <c r="AG1061" s="405"/>
      <c r="AH1061" s="380" t="s">
        <v>1205</v>
      </c>
      <c r="AI1061" s="576"/>
      <c r="AJ1061" s="576"/>
      <c r="AK1061" s="576"/>
      <c r="AL1061" s="576"/>
      <c r="AM1061" s="576"/>
      <c r="AN1061" s="576"/>
      <c r="AO1061" s="303" t="s">
        <v>175</v>
      </c>
      <c r="AP1061" s="378"/>
      <c r="AQ1061" s="237"/>
    </row>
    <row r="1062" spans="1:43" s="238" customFormat="1" ht="75" customHeight="1" x14ac:dyDescent="0.25">
      <c r="A1062" s="297" t="s">
        <v>1286</v>
      </c>
      <c r="B1062" s="627" t="str">
        <f>VLOOKUP(Table13[[#This Row],[Column1]],[1]Sheet1!$A:$AO,2,FALSE)</f>
        <v>Medical Kit</v>
      </c>
      <c r="C1062" s="298" t="str">
        <f>VLOOKUP(Table13[[#This Row],[Column1]],[1]Sheet1!$A:$AO,3,FALSE)</f>
        <v>SEF</v>
      </c>
      <c r="D1062" s="298" t="s">
        <v>712</v>
      </c>
      <c r="E1062" s="450" t="str">
        <f>VLOOKUP(Table13[[#This Row],[Column1]],[1]Sheet1!$A:$AO,5,FALSE)</f>
        <v>NP-53.9 - Small Value Procurement</v>
      </c>
      <c r="F1062" s="446">
        <f>VLOOKUP(Table13[[#This Row],[Column1]],[1]Sheet1!$A:$AO,6,FALSE)</f>
        <v>45426</v>
      </c>
      <c r="G1062" s="402">
        <f>VLOOKUP(Table13[[#This Row],[Column1]],[1]Sheet1!$A:$AO,7,FALSE)</f>
        <v>45429</v>
      </c>
      <c r="H1062" s="374"/>
      <c r="I1062" s="402"/>
      <c r="J1062" s="402"/>
      <c r="K1062" s="402"/>
      <c r="L1062" s="404"/>
      <c r="M1062" s="402"/>
      <c r="N1062" s="402"/>
      <c r="O1062" s="402"/>
      <c r="P1062" s="375"/>
      <c r="Q1062" s="375"/>
      <c r="R1062" s="376"/>
      <c r="S1062" s="583"/>
      <c r="T1062" s="583"/>
      <c r="U1062" s="583"/>
      <c r="V1062" s="376"/>
      <c r="W1062" s="376"/>
      <c r="X1062" s="402"/>
      <c r="Y1062" s="402"/>
      <c r="Z1062" s="610" t="s">
        <v>1478</v>
      </c>
      <c r="AA1062" s="454">
        <f>IF(Table13[[#This Row],[Column2]]="","",SUM(Table13[[#This Row],[Column28]]+Table13[[#This Row],[Column29]]))</f>
        <v>1925</v>
      </c>
      <c r="AB1062" s="466"/>
      <c r="AC1062" s="502">
        <v>1925</v>
      </c>
      <c r="AD1062" s="451">
        <f>IF(Table13[[#This Row],[Column2]]="","",SUM(Table13[[#This Row],[Column31]]+Table13[[#This Row],[Column32]]))</f>
        <v>0</v>
      </c>
      <c r="AE1062" s="453"/>
      <c r="AF1062" s="646"/>
      <c r="AG1062" s="405"/>
      <c r="AH1062" s="380" t="s">
        <v>1205</v>
      </c>
      <c r="AI1062" s="576"/>
      <c r="AJ1062" s="576"/>
      <c r="AK1062" s="576"/>
      <c r="AL1062" s="576"/>
      <c r="AM1062" s="576"/>
      <c r="AN1062" s="576"/>
      <c r="AO1062" s="303" t="s">
        <v>175</v>
      </c>
      <c r="AP1062" s="378"/>
      <c r="AQ1062" s="237"/>
    </row>
    <row r="1063" spans="1:43" s="238" customFormat="1" ht="75" customHeight="1" x14ac:dyDescent="0.25">
      <c r="A1063" s="297" t="s">
        <v>1287</v>
      </c>
      <c r="B1063" s="627" t="str">
        <f>VLOOKUP(Table13[[#This Row],[Column1]],[1]Sheet1!$A:$AO,2,FALSE)</f>
        <v>SPAREPARTS(MOTORCYLE)</v>
      </c>
      <c r="C1063" s="298" t="str">
        <f>VLOOKUP(Table13[[#This Row],[Column1]],[1]Sheet1!$A:$AO,3,FALSE)</f>
        <v>PGSO</v>
      </c>
      <c r="D1063" s="298" t="s">
        <v>712</v>
      </c>
      <c r="E1063" s="450" t="str">
        <f>VLOOKUP(Table13[[#This Row],[Column1]],[1]Sheet1!$A:$AO,5,FALSE)</f>
        <v>Shopping 52.1(a) - Unforeseen Contingency</v>
      </c>
      <c r="F1063" s="446">
        <f>VLOOKUP(Table13[[#This Row],[Column1]],[1]Sheet1!$A:$AO,6,FALSE)</f>
        <v>45440</v>
      </c>
      <c r="G1063" s="402">
        <f>VLOOKUP(Table13[[#This Row],[Column1]],[1]Sheet1!$A:$AO,7,FALSE)</f>
        <v>45442</v>
      </c>
      <c r="H1063" s="374"/>
      <c r="I1063" s="402"/>
      <c r="J1063" s="402"/>
      <c r="K1063" s="402"/>
      <c r="L1063" s="404"/>
      <c r="M1063" s="402"/>
      <c r="N1063" s="402"/>
      <c r="O1063" s="402"/>
      <c r="P1063" s="375"/>
      <c r="Q1063" s="375"/>
      <c r="R1063" s="376"/>
      <c r="S1063" s="583"/>
      <c r="T1063" s="583"/>
      <c r="U1063" s="583"/>
      <c r="V1063" s="376"/>
      <c r="W1063" s="376"/>
      <c r="X1063" s="402"/>
      <c r="Y1063" s="402"/>
      <c r="Z1063" s="610" t="s">
        <v>1478</v>
      </c>
      <c r="AA1063" s="454">
        <f>IF(Table13[[#This Row],[Column2]]="","",SUM(Table13[[#This Row],[Column28]]+Table13[[#This Row],[Column29]]))</f>
        <v>14420</v>
      </c>
      <c r="AB1063" s="466"/>
      <c r="AC1063" s="502">
        <v>14420</v>
      </c>
      <c r="AD1063" s="451">
        <f>IF(Table13[[#This Row],[Column2]]="","",SUM(Table13[[#This Row],[Column31]]+Table13[[#This Row],[Column32]]))</f>
        <v>0</v>
      </c>
      <c r="AE1063" s="453"/>
      <c r="AF1063" s="646"/>
      <c r="AG1063" s="405"/>
      <c r="AH1063" s="380" t="s">
        <v>1205</v>
      </c>
      <c r="AI1063" s="576"/>
      <c r="AJ1063" s="576"/>
      <c r="AK1063" s="576"/>
      <c r="AL1063" s="576"/>
      <c r="AM1063" s="576"/>
      <c r="AN1063" s="576"/>
      <c r="AO1063" s="303" t="s">
        <v>175</v>
      </c>
      <c r="AP1063" s="378"/>
      <c r="AQ1063" s="237"/>
    </row>
    <row r="1064" spans="1:43" s="238" customFormat="1" ht="75" customHeight="1" x14ac:dyDescent="0.25">
      <c r="A1064" s="297" t="s">
        <v>1288</v>
      </c>
      <c r="B1064" s="627" t="str">
        <f>VLOOKUP(Table13[[#This Row],[Column1]],[1]Sheet1!$A:$AO,2,FALSE)</f>
        <v>GEMELINA LUMBER OR EQUIVALENT</v>
      </c>
      <c r="C1064" s="298" t="str">
        <f>VLOOKUP(Table13[[#This Row],[Column1]],[1]Sheet1!$A:$AO,3,FALSE)</f>
        <v>SEF</v>
      </c>
      <c r="D1064" s="298" t="s">
        <v>712</v>
      </c>
      <c r="E1064" s="450" t="str">
        <f>VLOOKUP(Table13[[#This Row],[Column1]],[1]Sheet1!$A:$AO,5,FALSE)</f>
        <v>NP-53.9 - Small Value Procurement</v>
      </c>
      <c r="F1064" s="446">
        <f>VLOOKUP(Table13[[#This Row],[Column1]],[1]Sheet1!$A:$AO,6,FALSE)</f>
        <v>45440</v>
      </c>
      <c r="G1064" s="402">
        <f>VLOOKUP(Table13[[#This Row],[Column1]],[1]Sheet1!$A:$AO,7,FALSE)</f>
        <v>45442</v>
      </c>
      <c r="H1064" s="374"/>
      <c r="I1064" s="402"/>
      <c r="J1064" s="402"/>
      <c r="K1064" s="402"/>
      <c r="L1064" s="404"/>
      <c r="M1064" s="402"/>
      <c r="N1064" s="402"/>
      <c r="O1064" s="402"/>
      <c r="P1064" s="375"/>
      <c r="Q1064" s="375"/>
      <c r="R1064" s="376"/>
      <c r="S1064" s="583"/>
      <c r="T1064" s="583"/>
      <c r="U1064" s="583"/>
      <c r="V1064" s="376"/>
      <c r="W1064" s="376"/>
      <c r="X1064" s="402"/>
      <c r="Y1064" s="402"/>
      <c r="Z1064" s="610" t="s">
        <v>1478</v>
      </c>
      <c r="AA1064" s="454">
        <f>IF(Table13[[#This Row],[Column2]]="","",SUM(Table13[[#This Row],[Column28]]+Table13[[#This Row],[Column29]]))</f>
        <v>4136</v>
      </c>
      <c r="AB1064" s="466"/>
      <c r="AC1064" s="502">
        <v>4136</v>
      </c>
      <c r="AD1064" s="451">
        <f>IF(Table13[[#This Row],[Column2]]="","",SUM(Table13[[#This Row],[Column31]]+Table13[[#This Row],[Column32]]))</f>
        <v>0</v>
      </c>
      <c r="AE1064" s="453"/>
      <c r="AF1064" s="646"/>
      <c r="AG1064" s="405"/>
      <c r="AH1064" s="380" t="s">
        <v>1205</v>
      </c>
      <c r="AI1064" s="576"/>
      <c r="AJ1064" s="576"/>
      <c r="AK1064" s="576"/>
      <c r="AL1064" s="576"/>
      <c r="AM1064" s="576"/>
      <c r="AN1064" s="576"/>
      <c r="AO1064" s="303" t="s">
        <v>175</v>
      </c>
      <c r="AP1064" s="378"/>
      <c r="AQ1064" s="237"/>
    </row>
    <row r="1065" spans="1:43" s="238" customFormat="1" ht="75" customHeight="1" x14ac:dyDescent="0.25">
      <c r="A1065" s="297" t="s">
        <v>1289</v>
      </c>
      <c r="B1065" s="627" t="str">
        <f>VLOOKUP(Table13[[#This Row],[Column1]],[1]Sheet1!$A:$AO,2,FALSE)</f>
        <v>GEMELINA LUMBER OR EQUIVALENT</v>
      </c>
      <c r="C1065" s="298" t="str">
        <f>VLOOKUP(Table13[[#This Row],[Column1]],[1]Sheet1!$A:$AO,3,FALSE)</f>
        <v>SEF</v>
      </c>
      <c r="D1065" s="298" t="s">
        <v>712</v>
      </c>
      <c r="E1065" s="450" t="str">
        <f>VLOOKUP(Table13[[#This Row],[Column1]],[1]Sheet1!$A:$AO,5,FALSE)</f>
        <v>NP-53.9 - Small Value Procurement</v>
      </c>
      <c r="F1065" s="446">
        <f>VLOOKUP(Table13[[#This Row],[Column1]],[1]Sheet1!$A:$AO,6,FALSE)</f>
        <v>45440</v>
      </c>
      <c r="G1065" s="402">
        <f>VLOOKUP(Table13[[#This Row],[Column1]],[1]Sheet1!$A:$AO,7,FALSE)</f>
        <v>45442</v>
      </c>
      <c r="H1065" s="374"/>
      <c r="I1065" s="402"/>
      <c r="J1065" s="402"/>
      <c r="K1065" s="402"/>
      <c r="L1065" s="404"/>
      <c r="M1065" s="402"/>
      <c r="N1065" s="402"/>
      <c r="O1065" s="402"/>
      <c r="P1065" s="375"/>
      <c r="Q1065" s="375"/>
      <c r="R1065" s="376"/>
      <c r="S1065" s="583"/>
      <c r="T1065" s="583"/>
      <c r="U1065" s="583"/>
      <c r="V1065" s="376"/>
      <c r="W1065" s="376"/>
      <c r="X1065" s="402"/>
      <c r="Y1065" s="402"/>
      <c r="Z1065" s="610" t="s">
        <v>1478</v>
      </c>
      <c r="AA1065" s="454">
        <f>IF(Table13[[#This Row],[Column2]]="","",SUM(Table13[[#This Row],[Column28]]+Table13[[#This Row],[Column29]]))</f>
        <v>33472.49</v>
      </c>
      <c r="AB1065" s="466"/>
      <c r="AC1065" s="502">
        <v>33472.49</v>
      </c>
      <c r="AD1065" s="451">
        <f>IF(Table13[[#This Row],[Column2]]="","",SUM(Table13[[#This Row],[Column31]]+Table13[[#This Row],[Column32]]))</f>
        <v>0</v>
      </c>
      <c r="AE1065" s="453"/>
      <c r="AF1065" s="646"/>
      <c r="AG1065" s="405"/>
      <c r="AH1065" s="380" t="s">
        <v>1205</v>
      </c>
      <c r="AI1065" s="576"/>
      <c r="AJ1065" s="576"/>
      <c r="AK1065" s="576"/>
      <c r="AL1065" s="576"/>
      <c r="AM1065" s="576"/>
      <c r="AN1065" s="576"/>
      <c r="AO1065" s="303" t="s">
        <v>175</v>
      </c>
      <c r="AP1065" s="378"/>
      <c r="AQ1065" s="237"/>
    </row>
    <row r="1066" spans="1:43" s="238" customFormat="1" ht="75" customHeight="1" x14ac:dyDescent="0.25">
      <c r="A1066" s="297" t="s">
        <v>1290</v>
      </c>
      <c r="B1066" s="627" t="str">
        <f>VLOOKUP(Table13[[#This Row],[Column1]],[1]Sheet1!$A:$AO,2,FALSE)</f>
        <v>GEMELINA LUMBER OR EQUIVALENT</v>
      </c>
      <c r="C1066" s="298" t="str">
        <f>VLOOKUP(Table13[[#This Row],[Column1]],[1]Sheet1!$A:$AO,3,FALSE)</f>
        <v>PDRRMO</v>
      </c>
      <c r="D1066" s="298" t="s">
        <v>712</v>
      </c>
      <c r="E1066" s="450" t="str">
        <f>VLOOKUP(Table13[[#This Row],[Column1]],[1]Sheet1!$A:$AO,5,FALSE)</f>
        <v>NP-53.9 - Small Value Procurement</v>
      </c>
      <c r="F1066" s="446">
        <f>VLOOKUP(Table13[[#This Row],[Column1]],[1]Sheet1!$A:$AO,6,FALSE)</f>
        <v>45440</v>
      </c>
      <c r="G1066" s="402">
        <f>VLOOKUP(Table13[[#This Row],[Column1]],[1]Sheet1!$A:$AO,7,FALSE)</f>
        <v>45442</v>
      </c>
      <c r="H1066" s="374"/>
      <c r="I1066" s="402"/>
      <c r="J1066" s="402"/>
      <c r="K1066" s="402"/>
      <c r="L1066" s="404"/>
      <c r="M1066" s="402"/>
      <c r="N1066" s="402"/>
      <c r="O1066" s="402"/>
      <c r="P1066" s="375"/>
      <c r="Q1066" s="375"/>
      <c r="R1066" s="376"/>
      <c r="S1066" s="583"/>
      <c r="T1066" s="583"/>
      <c r="U1066" s="583"/>
      <c r="V1066" s="376"/>
      <c r="W1066" s="376"/>
      <c r="X1066" s="402"/>
      <c r="Y1066" s="402"/>
      <c r="Z1066" s="610" t="s">
        <v>1478</v>
      </c>
      <c r="AA1066" s="454">
        <f>IF(Table13[[#This Row],[Column2]]="","",SUM(Table13[[#This Row],[Column28]]+Table13[[#This Row],[Column29]]))</f>
        <v>135187.51</v>
      </c>
      <c r="AB1066" s="466"/>
      <c r="AC1066" s="502">
        <v>135187.51</v>
      </c>
      <c r="AD1066" s="451">
        <f>IF(Table13[[#This Row],[Column2]]="","",SUM(Table13[[#This Row],[Column31]]+Table13[[#This Row],[Column32]]))</f>
        <v>0</v>
      </c>
      <c r="AE1066" s="453"/>
      <c r="AF1066" s="646"/>
      <c r="AG1066" s="405"/>
      <c r="AH1066" s="380" t="s">
        <v>1205</v>
      </c>
      <c r="AI1066" s="576"/>
      <c r="AJ1066" s="576"/>
      <c r="AK1066" s="576"/>
      <c r="AL1066" s="576"/>
      <c r="AM1066" s="576"/>
      <c r="AN1066" s="576"/>
      <c r="AO1066" s="303" t="s">
        <v>175</v>
      </c>
      <c r="AP1066" s="378"/>
      <c r="AQ1066" s="237"/>
    </row>
    <row r="1067" spans="1:43" s="238" customFormat="1" ht="75" customHeight="1" x14ac:dyDescent="0.25">
      <c r="A1067" s="297" t="s">
        <v>1291</v>
      </c>
      <c r="B1067" s="627" t="str">
        <f>VLOOKUP(Table13[[#This Row],[Column1]],[1]Sheet1!$A:$AO,2,FALSE)</f>
        <v>GEMELINA LUMBER OR EQUIVALENT</v>
      </c>
      <c r="C1067" s="298" t="str">
        <f>VLOOKUP(Table13[[#This Row],[Column1]],[1]Sheet1!$A:$AO,3,FALSE)</f>
        <v>PDRRMO</v>
      </c>
      <c r="D1067" s="298" t="s">
        <v>712</v>
      </c>
      <c r="E1067" s="450" t="str">
        <f>VLOOKUP(Table13[[#This Row],[Column1]],[1]Sheet1!$A:$AO,5,FALSE)</f>
        <v>NP-53.9 - Small Value Procurement</v>
      </c>
      <c r="F1067" s="446">
        <f>VLOOKUP(Table13[[#This Row],[Column1]],[1]Sheet1!$A:$AO,6,FALSE)</f>
        <v>45440</v>
      </c>
      <c r="G1067" s="402">
        <f>VLOOKUP(Table13[[#This Row],[Column1]],[1]Sheet1!$A:$AO,7,FALSE)</f>
        <v>45442</v>
      </c>
      <c r="H1067" s="374"/>
      <c r="I1067" s="402"/>
      <c r="J1067" s="402"/>
      <c r="K1067" s="402"/>
      <c r="L1067" s="404"/>
      <c r="M1067" s="402"/>
      <c r="N1067" s="402"/>
      <c r="O1067" s="402"/>
      <c r="P1067" s="375"/>
      <c r="Q1067" s="375"/>
      <c r="R1067" s="376"/>
      <c r="S1067" s="583"/>
      <c r="T1067" s="583"/>
      <c r="U1067" s="583"/>
      <c r="V1067" s="376"/>
      <c r="W1067" s="376"/>
      <c r="X1067" s="402"/>
      <c r="Y1067" s="402"/>
      <c r="Z1067" s="610" t="s">
        <v>1478</v>
      </c>
      <c r="AA1067" s="454">
        <f>IF(Table13[[#This Row],[Column2]]="","",SUM(Table13[[#This Row],[Column28]]+Table13[[#This Row],[Column29]]))</f>
        <v>31787.51</v>
      </c>
      <c r="AB1067" s="466"/>
      <c r="AC1067" s="502">
        <v>31787.51</v>
      </c>
      <c r="AD1067" s="451">
        <f>IF(Table13[[#This Row],[Column2]]="","",SUM(Table13[[#This Row],[Column31]]+Table13[[#This Row],[Column32]]))</f>
        <v>0</v>
      </c>
      <c r="AE1067" s="453"/>
      <c r="AF1067" s="646"/>
      <c r="AG1067" s="405"/>
      <c r="AH1067" s="380" t="s">
        <v>1205</v>
      </c>
      <c r="AI1067" s="576"/>
      <c r="AJ1067" s="576"/>
      <c r="AK1067" s="576"/>
      <c r="AL1067" s="576"/>
      <c r="AM1067" s="576"/>
      <c r="AN1067" s="576"/>
      <c r="AO1067" s="303" t="s">
        <v>175</v>
      </c>
      <c r="AP1067" s="378"/>
      <c r="AQ1067" s="237"/>
    </row>
    <row r="1068" spans="1:43" s="238" customFormat="1" ht="75" customHeight="1" x14ac:dyDescent="0.25">
      <c r="A1068" s="297" t="s">
        <v>1292</v>
      </c>
      <c r="B1068" s="627" t="str">
        <f>VLOOKUP(Table13[[#This Row],[Column1]],[1]Sheet1!$A:$AO,2,FALSE)</f>
        <v>GEMELINA LUMBER OR EQUIVALENT</v>
      </c>
      <c r="C1068" s="298" t="str">
        <f>VLOOKUP(Table13[[#This Row],[Column1]],[1]Sheet1!$A:$AO,3,FALSE)</f>
        <v>PEO</v>
      </c>
      <c r="D1068" s="298" t="s">
        <v>712</v>
      </c>
      <c r="E1068" s="450" t="str">
        <f>VLOOKUP(Table13[[#This Row],[Column1]],[1]Sheet1!$A:$AO,5,FALSE)</f>
        <v>NP-53.9 - Small Value Procurement</v>
      </c>
      <c r="F1068" s="446">
        <f>VLOOKUP(Table13[[#This Row],[Column1]],[1]Sheet1!$A:$AO,6,FALSE)</f>
        <v>45440</v>
      </c>
      <c r="G1068" s="402">
        <f>VLOOKUP(Table13[[#This Row],[Column1]],[1]Sheet1!$A:$AO,7,FALSE)</f>
        <v>45442</v>
      </c>
      <c r="H1068" s="374"/>
      <c r="I1068" s="402"/>
      <c r="J1068" s="402"/>
      <c r="K1068" s="402"/>
      <c r="L1068" s="404"/>
      <c r="M1068" s="402"/>
      <c r="N1068" s="402"/>
      <c r="O1068" s="402"/>
      <c r="P1068" s="375"/>
      <c r="Q1068" s="375"/>
      <c r="R1068" s="376"/>
      <c r="S1068" s="583"/>
      <c r="T1068" s="583"/>
      <c r="U1068" s="583"/>
      <c r="V1068" s="376"/>
      <c r="W1068" s="376"/>
      <c r="X1068" s="402"/>
      <c r="Y1068" s="402"/>
      <c r="Z1068" s="610" t="s">
        <v>1478</v>
      </c>
      <c r="AA1068" s="454">
        <f>IF(Table13[[#This Row],[Column2]]="","",SUM(Table13[[#This Row],[Column28]]+Table13[[#This Row],[Column29]]))</f>
        <v>13222.98</v>
      </c>
      <c r="AB1068" s="466"/>
      <c r="AC1068" s="502">
        <v>13222.98</v>
      </c>
      <c r="AD1068" s="451">
        <f>IF(Table13[[#This Row],[Column2]]="","",SUM(Table13[[#This Row],[Column31]]+Table13[[#This Row],[Column32]]))</f>
        <v>0</v>
      </c>
      <c r="AE1068" s="453"/>
      <c r="AF1068" s="646"/>
      <c r="AG1068" s="405"/>
      <c r="AH1068" s="380" t="s">
        <v>1205</v>
      </c>
      <c r="AI1068" s="576"/>
      <c r="AJ1068" s="576"/>
      <c r="AK1068" s="576"/>
      <c r="AL1068" s="576"/>
      <c r="AM1068" s="576"/>
      <c r="AN1068" s="576"/>
      <c r="AO1068" s="303" t="s">
        <v>175</v>
      </c>
      <c r="AP1068" s="378"/>
      <c r="AQ1068" s="237"/>
    </row>
    <row r="1069" spans="1:43" s="238" customFormat="1" ht="75" customHeight="1" x14ac:dyDescent="0.25">
      <c r="A1069" s="297" t="s">
        <v>1293</v>
      </c>
      <c r="B1069" s="627" t="str">
        <f>VLOOKUP(Table13[[#This Row],[Column1]],[1]Sheet1!$A:$AO,2,FALSE)</f>
        <v>GEMELINA LUMBER OR EQUIVALENT</v>
      </c>
      <c r="C1069" s="298" t="str">
        <f>VLOOKUP(Table13[[#This Row],[Column1]],[1]Sheet1!$A:$AO,3,FALSE)</f>
        <v>PEO</v>
      </c>
      <c r="D1069" s="298" t="s">
        <v>712</v>
      </c>
      <c r="E1069" s="450" t="str">
        <f>VLOOKUP(Table13[[#This Row],[Column1]],[1]Sheet1!$A:$AO,5,FALSE)</f>
        <v>NP-53.9 - Small Value Procurement</v>
      </c>
      <c r="F1069" s="446">
        <f>VLOOKUP(Table13[[#This Row],[Column1]],[1]Sheet1!$A:$AO,6,FALSE)</f>
        <v>45440</v>
      </c>
      <c r="G1069" s="402">
        <f>VLOOKUP(Table13[[#This Row],[Column1]],[1]Sheet1!$A:$AO,7,FALSE)</f>
        <v>45442</v>
      </c>
      <c r="H1069" s="374"/>
      <c r="I1069" s="402"/>
      <c r="J1069" s="402"/>
      <c r="K1069" s="402"/>
      <c r="L1069" s="404"/>
      <c r="M1069" s="402"/>
      <c r="N1069" s="402"/>
      <c r="O1069" s="402"/>
      <c r="P1069" s="375"/>
      <c r="Q1069" s="375"/>
      <c r="R1069" s="376"/>
      <c r="S1069" s="583"/>
      <c r="T1069" s="583"/>
      <c r="U1069" s="583"/>
      <c r="V1069" s="376"/>
      <c r="W1069" s="376"/>
      <c r="X1069" s="402"/>
      <c r="Y1069" s="402"/>
      <c r="Z1069" s="610" t="s">
        <v>1478</v>
      </c>
      <c r="AA1069" s="454">
        <f>IF(Table13[[#This Row],[Column2]]="","",SUM(Table13[[#This Row],[Column28]]+Table13[[#This Row],[Column29]]))</f>
        <v>135187.51</v>
      </c>
      <c r="AB1069" s="466"/>
      <c r="AC1069" s="502">
        <v>135187.51</v>
      </c>
      <c r="AD1069" s="451">
        <f>IF(Table13[[#This Row],[Column2]]="","",SUM(Table13[[#This Row],[Column31]]+Table13[[#This Row],[Column32]]))</f>
        <v>0</v>
      </c>
      <c r="AE1069" s="453"/>
      <c r="AF1069" s="646"/>
      <c r="AG1069" s="405"/>
      <c r="AH1069" s="380" t="s">
        <v>1205</v>
      </c>
      <c r="AI1069" s="576"/>
      <c r="AJ1069" s="576"/>
      <c r="AK1069" s="576"/>
      <c r="AL1069" s="576"/>
      <c r="AM1069" s="576"/>
      <c r="AN1069" s="576"/>
      <c r="AO1069" s="303" t="s">
        <v>175</v>
      </c>
      <c r="AP1069" s="378"/>
      <c r="AQ1069" s="237"/>
    </row>
    <row r="1070" spans="1:43" s="238" customFormat="1" ht="75" customHeight="1" x14ac:dyDescent="0.25">
      <c r="A1070" s="297" t="s">
        <v>1294</v>
      </c>
      <c r="B1070" s="627" t="str">
        <f>VLOOKUP(Table13[[#This Row],[Column1]],[1]Sheet1!$A:$AO,2,FALSE)</f>
        <v>OFFICE SUPPLIES</v>
      </c>
      <c r="C1070" s="298" t="str">
        <f>VLOOKUP(Table13[[#This Row],[Column1]],[1]Sheet1!$A:$AO,3,FALSE)</f>
        <v>PEO</v>
      </c>
      <c r="D1070" s="298" t="s">
        <v>712</v>
      </c>
      <c r="E1070" s="450" t="str">
        <f>VLOOKUP(Table13[[#This Row],[Column1]],[1]Sheet1!$A:$AO,5,FALSE)</f>
        <v>Shopping 52.1(b) - Regular Office Supplies and Equipment no available in PS</v>
      </c>
      <c r="F1070" s="446">
        <f>VLOOKUP(Table13[[#This Row],[Column1]],[1]Sheet1!$A:$AO,6,FALSE)</f>
        <v>45440</v>
      </c>
      <c r="G1070" s="402">
        <f>VLOOKUP(Table13[[#This Row],[Column1]],[1]Sheet1!$A:$AO,7,FALSE)</f>
        <v>45442</v>
      </c>
      <c r="H1070" s="374"/>
      <c r="I1070" s="402"/>
      <c r="J1070" s="402"/>
      <c r="K1070" s="402"/>
      <c r="L1070" s="404"/>
      <c r="M1070" s="402"/>
      <c r="N1070" s="402"/>
      <c r="O1070" s="402"/>
      <c r="P1070" s="375"/>
      <c r="Q1070" s="375"/>
      <c r="R1070" s="376"/>
      <c r="S1070" s="583"/>
      <c r="T1070" s="583"/>
      <c r="U1070" s="583"/>
      <c r="V1070" s="376"/>
      <c r="W1070" s="376"/>
      <c r="X1070" s="402"/>
      <c r="Y1070" s="402"/>
      <c r="Z1070" s="610" t="s">
        <v>1478</v>
      </c>
      <c r="AA1070" s="454">
        <f>IF(Table13[[#This Row],[Column2]]="","",SUM(Table13[[#This Row],[Column28]]+Table13[[#This Row],[Column29]]))</f>
        <v>8885</v>
      </c>
      <c r="AB1070" s="466"/>
      <c r="AC1070" s="502">
        <v>8885</v>
      </c>
      <c r="AD1070" s="451">
        <f>IF(Table13[[#This Row],[Column2]]="","",SUM(Table13[[#This Row],[Column31]]+Table13[[#This Row],[Column32]]))</f>
        <v>0</v>
      </c>
      <c r="AE1070" s="453"/>
      <c r="AF1070" s="646"/>
      <c r="AG1070" s="405"/>
      <c r="AH1070" s="380" t="s">
        <v>1205</v>
      </c>
      <c r="AI1070" s="576"/>
      <c r="AJ1070" s="576"/>
      <c r="AK1070" s="576"/>
      <c r="AL1070" s="576"/>
      <c r="AM1070" s="576"/>
      <c r="AN1070" s="576"/>
      <c r="AO1070" s="303" t="s">
        <v>175</v>
      </c>
      <c r="AP1070" s="378"/>
      <c r="AQ1070" s="237"/>
    </row>
    <row r="1071" spans="1:43" s="238" customFormat="1" ht="75" customHeight="1" x14ac:dyDescent="0.25">
      <c r="A1071" s="297" t="s">
        <v>1295</v>
      </c>
      <c r="B1071" s="627" t="str">
        <f>VLOOKUP(Table13[[#This Row],[Column1]],[1]Sheet1!$A:$AO,2,FALSE)</f>
        <v>BLENDER (HEAVY DUTY)</v>
      </c>
      <c r="C1071" s="298" t="str">
        <f>VLOOKUP(Table13[[#This Row],[Column1]],[1]Sheet1!$A:$AO,3,FALSE)</f>
        <v>PAGRO</v>
      </c>
      <c r="D1071" s="298" t="s">
        <v>712</v>
      </c>
      <c r="E1071" s="450" t="str">
        <f>VLOOKUP(Table13[[#This Row],[Column1]],[1]Sheet1!$A:$AO,5,FALSE)</f>
        <v>NP-53.9 - Small Value Procurement</v>
      </c>
      <c r="F1071" s="446" t="str">
        <f>VLOOKUP(Table13[[#This Row],[Column1]],[1]Sheet1!$A:$AO,6,FALSE)</f>
        <v>N/A</v>
      </c>
      <c r="G1071" s="402">
        <f>VLOOKUP(Table13[[#This Row],[Column1]],[1]Sheet1!$A:$AO,7,FALSE)</f>
        <v>45442</v>
      </c>
      <c r="H1071" s="374"/>
      <c r="I1071" s="402"/>
      <c r="J1071" s="402"/>
      <c r="K1071" s="402"/>
      <c r="L1071" s="404"/>
      <c r="M1071" s="402"/>
      <c r="N1071" s="402"/>
      <c r="O1071" s="402"/>
      <c r="P1071" s="375"/>
      <c r="Q1071" s="375"/>
      <c r="R1071" s="376"/>
      <c r="S1071" s="583"/>
      <c r="T1071" s="583"/>
      <c r="U1071" s="583"/>
      <c r="V1071" s="376"/>
      <c r="W1071" s="376"/>
      <c r="X1071" s="402"/>
      <c r="Y1071" s="402"/>
      <c r="Z1071" s="610" t="s">
        <v>1478</v>
      </c>
      <c r="AA1071" s="454">
        <f>IF(Table13[[#This Row],[Column2]]="","",SUM(Table13[[#This Row],[Column28]]+Table13[[#This Row],[Column29]]))</f>
        <v>15000</v>
      </c>
      <c r="AB1071" s="466"/>
      <c r="AC1071" s="502">
        <v>15000</v>
      </c>
      <c r="AD1071" s="451">
        <f>IF(Table13[[#This Row],[Column2]]="","",SUM(Table13[[#This Row],[Column31]]+Table13[[#This Row],[Column32]]))</f>
        <v>0</v>
      </c>
      <c r="AE1071" s="453"/>
      <c r="AF1071" s="646"/>
      <c r="AG1071" s="405"/>
      <c r="AH1071" s="380" t="s">
        <v>1205</v>
      </c>
      <c r="AI1071" s="576"/>
      <c r="AJ1071" s="576"/>
      <c r="AK1071" s="576"/>
      <c r="AL1071" s="576"/>
      <c r="AM1071" s="576"/>
      <c r="AN1071" s="576"/>
      <c r="AO1071" s="303" t="s">
        <v>175</v>
      </c>
      <c r="AP1071" s="378"/>
      <c r="AQ1071" s="237"/>
    </row>
    <row r="1072" spans="1:43" s="238" customFormat="1" ht="75" customHeight="1" x14ac:dyDescent="0.25">
      <c r="A1072" s="297" t="s">
        <v>1296</v>
      </c>
      <c r="B1072" s="627" t="str">
        <f>VLOOKUP(Table13[[#This Row],[Column1]],[1]Sheet1!$A:$AO,2,FALSE)</f>
        <v>UTILITY PLASTIC BOX (20 L)</v>
      </c>
      <c r="C1072" s="298" t="str">
        <f>VLOOKUP(Table13[[#This Row],[Column1]],[1]Sheet1!$A:$AO,3,FALSE)</f>
        <v>PACCO</v>
      </c>
      <c r="D1072" s="298" t="s">
        <v>712</v>
      </c>
      <c r="E1072" s="450" t="str">
        <f>VLOOKUP(Table13[[#This Row],[Column1]],[1]Sheet1!$A:$AO,5,FALSE)</f>
        <v>NP-53.9 - Small Value Procurement</v>
      </c>
      <c r="F1072" s="446" t="str">
        <f>VLOOKUP(Table13[[#This Row],[Column1]],[1]Sheet1!$A:$AO,6,FALSE)</f>
        <v>N/A</v>
      </c>
      <c r="G1072" s="402">
        <f>VLOOKUP(Table13[[#This Row],[Column1]],[1]Sheet1!$A:$AO,7,FALSE)</f>
        <v>45442</v>
      </c>
      <c r="H1072" s="374"/>
      <c r="I1072" s="402"/>
      <c r="J1072" s="402"/>
      <c r="K1072" s="402"/>
      <c r="L1072" s="404"/>
      <c r="M1072" s="402"/>
      <c r="N1072" s="402"/>
      <c r="O1072" s="402"/>
      <c r="P1072" s="375"/>
      <c r="Q1072" s="375"/>
      <c r="R1072" s="376"/>
      <c r="S1072" s="583"/>
      <c r="T1072" s="583"/>
      <c r="U1072" s="583"/>
      <c r="V1072" s="376"/>
      <c r="W1072" s="376"/>
      <c r="X1072" s="402"/>
      <c r="Y1072" s="402"/>
      <c r="Z1072" s="610" t="s">
        <v>1478</v>
      </c>
      <c r="AA1072" s="454">
        <f>IF(Table13[[#This Row],[Column2]]="","",SUM(Table13[[#This Row],[Column28]]+Table13[[#This Row],[Column29]]))</f>
        <v>82500</v>
      </c>
      <c r="AB1072" s="466"/>
      <c r="AC1072" s="502">
        <v>82500</v>
      </c>
      <c r="AD1072" s="451">
        <f>IF(Table13[[#This Row],[Column2]]="","",SUM(Table13[[#This Row],[Column31]]+Table13[[#This Row],[Column32]]))</f>
        <v>0</v>
      </c>
      <c r="AE1072" s="453"/>
      <c r="AF1072" s="646"/>
      <c r="AG1072" s="405"/>
      <c r="AH1072" s="380" t="s">
        <v>1205</v>
      </c>
      <c r="AI1072" s="576"/>
      <c r="AJ1072" s="576"/>
      <c r="AK1072" s="576"/>
      <c r="AL1072" s="576"/>
      <c r="AM1072" s="576"/>
      <c r="AN1072" s="576"/>
      <c r="AO1072" s="303" t="s">
        <v>175</v>
      </c>
      <c r="AP1072" s="378"/>
      <c r="AQ1072" s="237"/>
    </row>
    <row r="1073" spans="1:43" s="238" customFormat="1" ht="75" customHeight="1" x14ac:dyDescent="0.25">
      <c r="A1073" s="297" t="s">
        <v>1297</v>
      </c>
      <c r="B1073" s="627" t="str">
        <f>VLOOKUP(Table13[[#This Row],[Column1]],[1]Sheet1!$A:$AO,2,FALSE)</f>
        <v>PRINTING</v>
      </c>
      <c r="C1073" s="298" t="str">
        <f>VLOOKUP(Table13[[#This Row],[Column1]],[1]Sheet1!$A:$AO,3,FALSE)</f>
        <v>PAO-ADMIN</v>
      </c>
      <c r="D1073" s="298" t="s">
        <v>712</v>
      </c>
      <c r="E1073" s="450" t="str">
        <f>VLOOKUP(Table13[[#This Row],[Column1]],[1]Sheet1!$A:$AO,5,FALSE)</f>
        <v>NP-53.9 - Small Value Procurement</v>
      </c>
      <c r="F1073" s="446" t="str">
        <f>VLOOKUP(Table13[[#This Row],[Column1]],[1]Sheet1!$A:$AO,6,FALSE)</f>
        <v>N/A</v>
      </c>
      <c r="G1073" s="402">
        <f>VLOOKUP(Table13[[#This Row],[Column1]],[1]Sheet1!$A:$AO,7,FALSE)</f>
        <v>45457</v>
      </c>
      <c r="H1073" s="374"/>
      <c r="I1073" s="402"/>
      <c r="J1073" s="402"/>
      <c r="K1073" s="402"/>
      <c r="L1073" s="404"/>
      <c r="M1073" s="402"/>
      <c r="N1073" s="402"/>
      <c r="O1073" s="402"/>
      <c r="P1073" s="375"/>
      <c r="Q1073" s="375"/>
      <c r="R1073" s="376"/>
      <c r="S1073" s="583"/>
      <c r="T1073" s="583"/>
      <c r="U1073" s="583"/>
      <c r="V1073" s="376"/>
      <c r="W1073" s="376"/>
      <c r="X1073" s="402"/>
      <c r="Y1073" s="402"/>
      <c r="Z1073" s="610" t="s">
        <v>1478</v>
      </c>
      <c r="AA1073" s="454">
        <f>IF(Table13[[#This Row],[Column2]]="","",SUM(Table13[[#This Row],[Column28]]+Table13[[#This Row],[Column29]]))</f>
        <v>120000</v>
      </c>
      <c r="AB1073" s="466"/>
      <c r="AC1073" s="502">
        <v>120000</v>
      </c>
      <c r="AD1073" s="451">
        <f>IF(Table13[[#This Row],[Column2]]="","",SUM(Table13[[#This Row],[Column31]]+Table13[[#This Row],[Column32]]))</f>
        <v>0</v>
      </c>
      <c r="AE1073" s="453"/>
      <c r="AF1073" s="646"/>
      <c r="AG1073" s="405"/>
      <c r="AH1073" s="380" t="s">
        <v>1205</v>
      </c>
      <c r="AI1073" s="576"/>
      <c r="AJ1073" s="576"/>
      <c r="AK1073" s="576"/>
      <c r="AL1073" s="576"/>
      <c r="AM1073" s="576"/>
      <c r="AN1073" s="576"/>
      <c r="AO1073" s="303" t="s">
        <v>175</v>
      </c>
      <c r="AP1073" s="378"/>
      <c r="AQ1073" s="237"/>
    </row>
    <row r="1074" spans="1:43" s="238" customFormat="1" ht="75" customHeight="1" x14ac:dyDescent="0.25">
      <c r="A1074" s="297" t="s">
        <v>1298</v>
      </c>
      <c r="B1074" s="627" t="str">
        <f>VLOOKUP(Table13[[#This Row],[Column1]],[1]Sheet1!$A:$AO,2,FALSE)</f>
        <v>WATER DISPENSER</v>
      </c>
      <c r="C1074" s="298" t="str">
        <f>VLOOKUP(Table13[[#This Row],[Column1]],[1]Sheet1!$A:$AO,3,FALSE)</f>
        <v>PGSO</v>
      </c>
      <c r="D1074" s="298" t="s">
        <v>712</v>
      </c>
      <c r="E1074" s="450" t="str">
        <f>VLOOKUP(Table13[[#This Row],[Column1]],[1]Sheet1!$A:$AO,5,FALSE)</f>
        <v>NP-53.9 - Small Value Procurement</v>
      </c>
      <c r="F1074" s="446" t="str">
        <f>VLOOKUP(Table13[[#This Row],[Column1]],[1]Sheet1!$A:$AO,6,FALSE)</f>
        <v>N/A</v>
      </c>
      <c r="G1074" s="402">
        <f>VLOOKUP(Table13[[#This Row],[Column1]],[1]Sheet1!$A:$AO,7,FALSE)</f>
        <v>45442</v>
      </c>
      <c r="H1074" s="374"/>
      <c r="I1074" s="402"/>
      <c r="J1074" s="402"/>
      <c r="K1074" s="402"/>
      <c r="L1074" s="404"/>
      <c r="M1074" s="402"/>
      <c r="N1074" s="402"/>
      <c r="O1074" s="402"/>
      <c r="P1074" s="375"/>
      <c r="Q1074" s="375"/>
      <c r="R1074" s="376"/>
      <c r="S1074" s="583"/>
      <c r="T1074" s="583"/>
      <c r="U1074" s="583"/>
      <c r="V1074" s="376"/>
      <c r="W1074" s="376"/>
      <c r="X1074" s="402"/>
      <c r="Y1074" s="402"/>
      <c r="Z1074" s="610" t="s">
        <v>1478</v>
      </c>
      <c r="AA1074" s="454">
        <f>IF(Table13[[#This Row],[Column2]]="","",SUM(Table13[[#This Row],[Column28]]+Table13[[#This Row],[Column29]]))</f>
        <v>60000</v>
      </c>
      <c r="AB1074" s="466"/>
      <c r="AC1074" s="502">
        <v>60000</v>
      </c>
      <c r="AD1074" s="451">
        <f>IF(Table13[[#This Row],[Column2]]="","",SUM(Table13[[#This Row],[Column31]]+Table13[[#This Row],[Column32]]))</f>
        <v>0</v>
      </c>
      <c r="AE1074" s="453"/>
      <c r="AF1074" s="646"/>
      <c r="AG1074" s="405"/>
      <c r="AH1074" s="380" t="s">
        <v>1205</v>
      </c>
      <c r="AI1074" s="576"/>
      <c r="AJ1074" s="576"/>
      <c r="AK1074" s="576"/>
      <c r="AL1074" s="576"/>
      <c r="AM1074" s="576"/>
      <c r="AN1074" s="576"/>
      <c r="AO1074" s="303" t="s">
        <v>175</v>
      </c>
      <c r="AP1074" s="378"/>
      <c r="AQ1074" s="237"/>
    </row>
    <row r="1075" spans="1:43" s="238" customFormat="1" ht="75" customHeight="1" x14ac:dyDescent="0.25">
      <c r="A1075" s="297" t="s">
        <v>1299</v>
      </c>
      <c r="B1075" s="627" t="str">
        <f>VLOOKUP(Table13[[#This Row],[Column1]],[1]Sheet1!$A:$AO,2,FALSE)</f>
        <v>COMPUTER SUPPLIES/SPAREPARTS</v>
      </c>
      <c r="C1075" s="298" t="str">
        <f>VLOOKUP(Table13[[#This Row],[Column1]],[1]Sheet1!$A:$AO,3,FALSE)</f>
        <v>PSWDO</v>
      </c>
      <c r="D1075" s="298" t="s">
        <v>712</v>
      </c>
      <c r="E1075" s="450" t="str">
        <f>VLOOKUP(Table13[[#This Row],[Column1]],[1]Sheet1!$A:$AO,5,FALSE)</f>
        <v>NP-53.9 - Small Value Procurement</v>
      </c>
      <c r="F1075" s="446" t="str">
        <f>VLOOKUP(Table13[[#This Row],[Column1]],[1]Sheet1!$A:$AO,6,FALSE)</f>
        <v>N/A</v>
      </c>
      <c r="G1075" s="402">
        <f>VLOOKUP(Table13[[#This Row],[Column1]],[1]Sheet1!$A:$AO,7,FALSE)</f>
        <v>45442</v>
      </c>
      <c r="H1075" s="374"/>
      <c r="I1075" s="402"/>
      <c r="J1075" s="402"/>
      <c r="K1075" s="402"/>
      <c r="L1075" s="404"/>
      <c r="M1075" s="402"/>
      <c r="N1075" s="402"/>
      <c r="O1075" s="402"/>
      <c r="P1075" s="375"/>
      <c r="Q1075" s="375"/>
      <c r="R1075" s="376"/>
      <c r="S1075" s="583"/>
      <c r="T1075" s="583"/>
      <c r="U1075" s="583"/>
      <c r="V1075" s="376"/>
      <c r="W1075" s="376"/>
      <c r="X1075" s="402"/>
      <c r="Y1075" s="402"/>
      <c r="Z1075" s="610" t="s">
        <v>1478</v>
      </c>
      <c r="AA1075" s="454">
        <f>IF(Table13[[#This Row],[Column2]]="","",SUM(Table13[[#This Row],[Column28]]+Table13[[#This Row],[Column29]]))</f>
        <v>5436</v>
      </c>
      <c r="AB1075" s="466"/>
      <c r="AC1075" s="502">
        <v>5436</v>
      </c>
      <c r="AD1075" s="451">
        <f>IF(Table13[[#This Row],[Column2]]="","",SUM(Table13[[#This Row],[Column31]]+Table13[[#This Row],[Column32]]))</f>
        <v>0</v>
      </c>
      <c r="AE1075" s="453"/>
      <c r="AF1075" s="646"/>
      <c r="AG1075" s="405"/>
      <c r="AH1075" s="380" t="s">
        <v>1205</v>
      </c>
      <c r="AI1075" s="576"/>
      <c r="AJ1075" s="576"/>
      <c r="AK1075" s="576"/>
      <c r="AL1075" s="576"/>
      <c r="AM1075" s="576"/>
      <c r="AN1075" s="576"/>
      <c r="AO1075" s="303" t="s">
        <v>175</v>
      </c>
      <c r="AP1075" s="378"/>
      <c r="AQ1075" s="237"/>
    </row>
    <row r="1076" spans="1:43" s="238" customFormat="1" ht="75" customHeight="1" x14ac:dyDescent="0.25">
      <c r="A1076" s="297" t="s">
        <v>1300</v>
      </c>
      <c r="B1076" s="627" t="str">
        <f>VLOOKUP(Table13[[#This Row],[Column1]],[1]Sheet1!$A:$AO,2,FALSE)</f>
        <v>LAPTOP (CLERICAL WORK)</v>
      </c>
      <c r="C1076" s="298" t="str">
        <f>VLOOKUP(Table13[[#This Row],[Column1]],[1]Sheet1!$A:$AO,3,FALSE)</f>
        <v>PSWDO</v>
      </c>
      <c r="D1076" s="298" t="s">
        <v>712</v>
      </c>
      <c r="E1076" s="450" t="str">
        <f>VLOOKUP(Table13[[#This Row],[Column1]],[1]Sheet1!$A:$AO,5,FALSE)</f>
        <v>NP-53.9 - Small Value Procurement</v>
      </c>
      <c r="F1076" s="446" t="str">
        <f>VLOOKUP(Table13[[#This Row],[Column1]],[1]Sheet1!$A:$AO,6,FALSE)</f>
        <v>N/A</v>
      </c>
      <c r="G1076" s="402">
        <f>VLOOKUP(Table13[[#This Row],[Column1]],[1]Sheet1!$A:$AO,7,FALSE)</f>
        <v>45457</v>
      </c>
      <c r="H1076" s="374"/>
      <c r="I1076" s="402"/>
      <c r="J1076" s="402"/>
      <c r="K1076" s="402"/>
      <c r="L1076" s="404"/>
      <c r="M1076" s="402"/>
      <c r="N1076" s="402"/>
      <c r="O1076" s="402"/>
      <c r="P1076" s="375"/>
      <c r="Q1076" s="375"/>
      <c r="R1076" s="376"/>
      <c r="S1076" s="583"/>
      <c r="T1076" s="583"/>
      <c r="U1076" s="583"/>
      <c r="V1076" s="376"/>
      <c r="W1076" s="376"/>
      <c r="X1076" s="402"/>
      <c r="Y1076" s="402"/>
      <c r="Z1076" s="610" t="s">
        <v>1478</v>
      </c>
      <c r="AA1076" s="454">
        <f>IF(Table13[[#This Row],[Column2]]="","",SUM(Table13[[#This Row],[Column28]]+Table13[[#This Row],[Column29]]))</f>
        <v>39000</v>
      </c>
      <c r="AB1076" s="466"/>
      <c r="AC1076" s="502">
        <v>39000</v>
      </c>
      <c r="AD1076" s="451">
        <f>IF(Table13[[#This Row],[Column2]]="","",SUM(Table13[[#This Row],[Column31]]+Table13[[#This Row],[Column32]]))</f>
        <v>0</v>
      </c>
      <c r="AE1076" s="453"/>
      <c r="AF1076" s="646"/>
      <c r="AG1076" s="405"/>
      <c r="AH1076" s="380" t="s">
        <v>1205</v>
      </c>
      <c r="AI1076" s="576"/>
      <c r="AJ1076" s="576"/>
      <c r="AK1076" s="576"/>
      <c r="AL1076" s="576"/>
      <c r="AM1076" s="576"/>
      <c r="AN1076" s="576"/>
      <c r="AO1076" s="303" t="s">
        <v>175</v>
      </c>
      <c r="AP1076" s="378"/>
      <c r="AQ1076" s="237"/>
    </row>
    <row r="1077" spans="1:43" s="238" customFormat="1" ht="75" customHeight="1" x14ac:dyDescent="0.25">
      <c r="A1077" s="297" t="s">
        <v>1301</v>
      </c>
      <c r="B1077" s="627" t="str">
        <f>VLOOKUP(Table13[[#This Row],[Column1]],[1]Sheet1!$A:$AO,2,FALSE)</f>
        <v>MEALS AND SNACKS</v>
      </c>
      <c r="C1077" s="298" t="str">
        <f>VLOOKUP(Table13[[#This Row],[Column1]],[1]Sheet1!$A:$AO,3,FALSE)</f>
        <v>VGO</v>
      </c>
      <c r="D1077" s="298" t="s">
        <v>712</v>
      </c>
      <c r="E1077" s="450" t="str">
        <f>VLOOKUP(Table13[[#This Row],[Column1]],[1]Sheet1!$A:$AO,5,FALSE)</f>
        <v>NP-53.9 - Small Value Procurement</v>
      </c>
      <c r="F1077" s="446" t="str">
        <f>VLOOKUP(Table13[[#This Row],[Column1]],[1]Sheet1!$A:$AO,6,FALSE)</f>
        <v>N/A</v>
      </c>
      <c r="G1077" s="402">
        <f>VLOOKUP(Table13[[#This Row],[Column1]],[1]Sheet1!$A:$AO,7,FALSE)</f>
        <v>45448</v>
      </c>
      <c r="H1077" s="374"/>
      <c r="I1077" s="402"/>
      <c r="J1077" s="402"/>
      <c r="K1077" s="402"/>
      <c r="L1077" s="404"/>
      <c r="M1077" s="402"/>
      <c r="N1077" s="402"/>
      <c r="O1077" s="402"/>
      <c r="P1077" s="375"/>
      <c r="Q1077" s="375"/>
      <c r="R1077" s="376"/>
      <c r="S1077" s="583"/>
      <c r="T1077" s="583"/>
      <c r="U1077" s="583"/>
      <c r="V1077" s="376"/>
      <c r="W1077" s="376"/>
      <c r="X1077" s="402"/>
      <c r="Y1077" s="402"/>
      <c r="Z1077" s="610" t="s">
        <v>1478</v>
      </c>
      <c r="AA1077" s="454">
        <f>IF(Table13[[#This Row],[Column2]]="","",SUM(Table13[[#This Row],[Column28]]+Table13[[#This Row],[Column29]]))</f>
        <v>99960</v>
      </c>
      <c r="AB1077" s="466"/>
      <c r="AC1077" s="502">
        <v>99960</v>
      </c>
      <c r="AD1077" s="451">
        <f>IF(Table13[[#This Row],[Column2]]="","",SUM(Table13[[#This Row],[Column31]]+Table13[[#This Row],[Column32]]))</f>
        <v>0</v>
      </c>
      <c r="AE1077" s="453"/>
      <c r="AF1077" s="646"/>
      <c r="AG1077" s="405"/>
      <c r="AH1077" s="380" t="s">
        <v>1205</v>
      </c>
      <c r="AI1077" s="576"/>
      <c r="AJ1077" s="576"/>
      <c r="AK1077" s="576"/>
      <c r="AL1077" s="576"/>
      <c r="AM1077" s="576"/>
      <c r="AN1077" s="576"/>
      <c r="AO1077" s="303" t="s">
        <v>175</v>
      </c>
      <c r="AP1077" s="378"/>
      <c r="AQ1077" s="237"/>
    </row>
    <row r="1078" spans="1:43" s="238" customFormat="1" ht="75" customHeight="1" x14ac:dyDescent="0.25">
      <c r="A1078" s="297" t="s">
        <v>1302</v>
      </c>
      <c r="B1078" s="627" t="str">
        <f>VLOOKUP(Table13[[#This Row],[Column1]],[1]Sheet1!$A:$AO,2,FALSE)</f>
        <v>GEMELINA LUMBER OR EQUIVALENT</v>
      </c>
      <c r="C1078" s="298" t="str">
        <f>VLOOKUP(Table13[[#This Row],[Column1]],[1]Sheet1!$A:$AO,3,FALSE)</f>
        <v>PEO</v>
      </c>
      <c r="D1078" s="298" t="s">
        <v>712</v>
      </c>
      <c r="E1078" s="450" t="str">
        <f>VLOOKUP(Table13[[#This Row],[Column1]],[1]Sheet1!$A:$AO,5,FALSE)</f>
        <v>NP-53.9 - Small Value Procurement</v>
      </c>
      <c r="F1078" s="446">
        <f>VLOOKUP(Table13[[#This Row],[Column1]],[1]Sheet1!$A:$AO,6,FALSE)</f>
        <v>45454</v>
      </c>
      <c r="G1078" s="402">
        <f>VLOOKUP(Table13[[#This Row],[Column1]],[1]Sheet1!$A:$AO,7,FALSE)</f>
        <v>45457</v>
      </c>
      <c r="H1078" s="374"/>
      <c r="I1078" s="402"/>
      <c r="J1078" s="402"/>
      <c r="K1078" s="402"/>
      <c r="L1078" s="404"/>
      <c r="M1078" s="402"/>
      <c r="N1078" s="402"/>
      <c r="O1078" s="402"/>
      <c r="P1078" s="375"/>
      <c r="Q1078" s="375"/>
      <c r="R1078" s="376"/>
      <c r="S1078" s="583"/>
      <c r="T1078" s="583"/>
      <c r="U1078" s="583"/>
      <c r="V1078" s="376"/>
      <c r="W1078" s="376"/>
      <c r="X1078" s="402"/>
      <c r="Y1078" s="402"/>
      <c r="Z1078" s="610" t="s">
        <v>1478</v>
      </c>
      <c r="AA1078" s="454">
        <f>IF(Table13[[#This Row],[Column2]]="","",SUM(Table13[[#This Row],[Column28]]+Table13[[#This Row],[Column29]]))</f>
        <v>24972.98</v>
      </c>
      <c r="AB1078" s="466"/>
      <c r="AC1078" s="502">
        <v>24972.98</v>
      </c>
      <c r="AD1078" s="451">
        <f>IF(Table13[[#This Row],[Column2]]="","",SUM(Table13[[#This Row],[Column31]]+Table13[[#This Row],[Column32]]))</f>
        <v>0</v>
      </c>
      <c r="AE1078" s="453"/>
      <c r="AF1078" s="646"/>
      <c r="AG1078" s="405"/>
      <c r="AH1078" s="380" t="s">
        <v>1205</v>
      </c>
      <c r="AI1078" s="576"/>
      <c r="AJ1078" s="576"/>
      <c r="AK1078" s="576"/>
      <c r="AL1078" s="576"/>
      <c r="AM1078" s="576"/>
      <c r="AN1078" s="576"/>
      <c r="AO1078" s="303" t="s">
        <v>175</v>
      </c>
      <c r="AP1078" s="378"/>
      <c r="AQ1078" s="237"/>
    </row>
    <row r="1079" spans="1:43" s="238" customFormat="1" ht="75" customHeight="1" x14ac:dyDescent="0.25">
      <c r="A1079" s="297" t="s">
        <v>1303</v>
      </c>
      <c r="B1079" s="627" t="str">
        <f>VLOOKUP(Table13[[#This Row],[Column1]],[1]Sheet1!$A:$AO,2,FALSE)</f>
        <v>GEMELINA LUMBER OR EQUIVALENT</v>
      </c>
      <c r="C1079" s="298" t="str">
        <f>VLOOKUP(Table13[[#This Row],[Column1]],[1]Sheet1!$A:$AO,3,FALSE)</f>
        <v>PEO</v>
      </c>
      <c r="D1079" s="298" t="s">
        <v>712</v>
      </c>
      <c r="E1079" s="450" t="str">
        <f>VLOOKUP(Table13[[#This Row],[Column1]],[1]Sheet1!$A:$AO,5,FALSE)</f>
        <v>NP-53.9 - Small Value Procurement</v>
      </c>
      <c r="F1079" s="446">
        <f>VLOOKUP(Table13[[#This Row],[Column1]],[1]Sheet1!$A:$AO,6,FALSE)</f>
        <v>45454</v>
      </c>
      <c r="G1079" s="402">
        <f>VLOOKUP(Table13[[#This Row],[Column1]],[1]Sheet1!$A:$AO,7,FALSE)</f>
        <v>45457</v>
      </c>
      <c r="H1079" s="374"/>
      <c r="I1079" s="402"/>
      <c r="J1079" s="402"/>
      <c r="K1079" s="402"/>
      <c r="L1079" s="404"/>
      <c r="M1079" s="402"/>
      <c r="N1079" s="402"/>
      <c r="O1079" s="402"/>
      <c r="P1079" s="375"/>
      <c r="Q1079" s="375"/>
      <c r="R1079" s="376"/>
      <c r="S1079" s="583"/>
      <c r="T1079" s="583"/>
      <c r="U1079" s="583"/>
      <c r="V1079" s="376"/>
      <c r="W1079" s="376"/>
      <c r="X1079" s="402"/>
      <c r="Y1079" s="402"/>
      <c r="Z1079" s="610" t="s">
        <v>1478</v>
      </c>
      <c r="AA1079" s="454">
        <f>IF(Table13[[#This Row],[Column2]]="","",SUM(Table13[[#This Row],[Column28]]+Table13[[#This Row],[Column29]]))</f>
        <v>55852</v>
      </c>
      <c r="AB1079" s="466"/>
      <c r="AC1079" s="502">
        <v>55852</v>
      </c>
      <c r="AD1079" s="451">
        <f>IF(Table13[[#This Row],[Column2]]="","",SUM(Table13[[#This Row],[Column31]]+Table13[[#This Row],[Column32]]))</f>
        <v>0</v>
      </c>
      <c r="AE1079" s="453"/>
      <c r="AF1079" s="646"/>
      <c r="AG1079" s="405"/>
      <c r="AH1079" s="380" t="s">
        <v>1205</v>
      </c>
      <c r="AI1079" s="576"/>
      <c r="AJ1079" s="576"/>
      <c r="AK1079" s="576"/>
      <c r="AL1079" s="576"/>
      <c r="AM1079" s="576"/>
      <c r="AN1079" s="576"/>
      <c r="AO1079" s="303" t="s">
        <v>175</v>
      </c>
      <c r="AP1079" s="378"/>
      <c r="AQ1079" s="237"/>
    </row>
    <row r="1080" spans="1:43" s="238" customFormat="1" ht="75" customHeight="1" x14ac:dyDescent="0.25">
      <c r="A1080" s="297" t="s">
        <v>1304</v>
      </c>
      <c r="B1080" s="627" t="str">
        <f>VLOOKUP(Table13[[#This Row],[Column1]],[1]Sheet1!$A:$AO,2,FALSE)</f>
        <v>MEDICAL KIT</v>
      </c>
      <c r="C1080" s="298" t="str">
        <f>VLOOKUP(Table13[[#This Row],[Column1]],[1]Sheet1!$A:$AO,3,FALSE)</f>
        <v>PEO</v>
      </c>
      <c r="D1080" s="298" t="s">
        <v>712</v>
      </c>
      <c r="E1080" s="450" t="str">
        <f>VLOOKUP(Table13[[#This Row],[Column1]],[1]Sheet1!$A:$AO,5,FALSE)</f>
        <v>NP-53.9 - Small Value Procurement</v>
      </c>
      <c r="F1080" s="446">
        <f>VLOOKUP(Table13[[#This Row],[Column1]],[1]Sheet1!$A:$AO,6,FALSE)</f>
        <v>45454</v>
      </c>
      <c r="G1080" s="402">
        <f>VLOOKUP(Table13[[#This Row],[Column1]],[1]Sheet1!$A:$AO,7,FALSE)</f>
        <v>45457</v>
      </c>
      <c r="H1080" s="374"/>
      <c r="I1080" s="402"/>
      <c r="J1080" s="402"/>
      <c r="K1080" s="402"/>
      <c r="L1080" s="404"/>
      <c r="M1080" s="402"/>
      <c r="N1080" s="402"/>
      <c r="O1080" s="402"/>
      <c r="P1080" s="375"/>
      <c r="Q1080" s="375"/>
      <c r="R1080" s="376"/>
      <c r="S1080" s="583"/>
      <c r="T1080" s="583"/>
      <c r="U1080" s="583"/>
      <c r="V1080" s="376"/>
      <c r="W1080" s="376"/>
      <c r="X1080" s="402"/>
      <c r="Y1080" s="402"/>
      <c r="Z1080" s="610" t="s">
        <v>1478</v>
      </c>
      <c r="AA1080" s="454">
        <f>IF(Table13[[#This Row],[Column2]]="","",SUM(Table13[[#This Row],[Column28]]+Table13[[#This Row],[Column29]]))</f>
        <v>1925</v>
      </c>
      <c r="AB1080" s="466"/>
      <c r="AC1080" s="502">
        <v>1925</v>
      </c>
      <c r="AD1080" s="451">
        <f>IF(Table13[[#This Row],[Column2]]="","",SUM(Table13[[#This Row],[Column31]]+Table13[[#This Row],[Column32]]))</f>
        <v>0</v>
      </c>
      <c r="AE1080" s="453"/>
      <c r="AF1080" s="646"/>
      <c r="AG1080" s="405"/>
      <c r="AH1080" s="380" t="s">
        <v>1205</v>
      </c>
      <c r="AI1080" s="576"/>
      <c r="AJ1080" s="576"/>
      <c r="AK1080" s="576"/>
      <c r="AL1080" s="576"/>
      <c r="AM1080" s="576"/>
      <c r="AN1080" s="576"/>
      <c r="AO1080" s="303" t="s">
        <v>175</v>
      </c>
      <c r="AP1080" s="378"/>
      <c r="AQ1080" s="237"/>
    </row>
    <row r="1081" spans="1:43" s="238" customFormat="1" ht="75" customHeight="1" x14ac:dyDescent="0.25">
      <c r="A1081" s="297" t="s">
        <v>1305</v>
      </c>
      <c r="B1081" s="627" t="str">
        <f>VLOOKUP(Table13[[#This Row],[Column1]],[1]Sheet1!$A:$AO,2,FALSE)</f>
        <v>MEDICAL KIT</v>
      </c>
      <c r="C1081" s="298" t="str">
        <f>VLOOKUP(Table13[[#This Row],[Column1]],[1]Sheet1!$A:$AO,3,FALSE)</f>
        <v>PEO</v>
      </c>
      <c r="D1081" s="298" t="s">
        <v>712</v>
      </c>
      <c r="E1081" s="450" t="str">
        <f>VLOOKUP(Table13[[#This Row],[Column1]],[1]Sheet1!$A:$AO,5,FALSE)</f>
        <v>NP-53.9 - Small Value Procurement</v>
      </c>
      <c r="F1081" s="446">
        <f>VLOOKUP(Table13[[#This Row],[Column1]],[1]Sheet1!$A:$AO,6,FALSE)</f>
        <v>45454</v>
      </c>
      <c r="G1081" s="402">
        <f>VLOOKUP(Table13[[#This Row],[Column1]],[1]Sheet1!$A:$AO,7,FALSE)</f>
        <v>45457</v>
      </c>
      <c r="H1081" s="374"/>
      <c r="I1081" s="402"/>
      <c r="J1081" s="402"/>
      <c r="K1081" s="402"/>
      <c r="L1081" s="404"/>
      <c r="M1081" s="402"/>
      <c r="N1081" s="402"/>
      <c r="O1081" s="402"/>
      <c r="P1081" s="375"/>
      <c r="Q1081" s="375"/>
      <c r="R1081" s="376"/>
      <c r="S1081" s="583"/>
      <c r="T1081" s="583"/>
      <c r="U1081" s="583"/>
      <c r="V1081" s="376"/>
      <c r="W1081" s="376"/>
      <c r="X1081" s="402"/>
      <c r="Y1081" s="402"/>
      <c r="Z1081" s="610" t="s">
        <v>1478</v>
      </c>
      <c r="AA1081" s="454">
        <f>IF(Table13[[#This Row],[Column2]]="","",SUM(Table13[[#This Row],[Column28]]+Table13[[#This Row],[Column29]]))</f>
        <v>1925</v>
      </c>
      <c r="AB1081" s="466"/>
      <c r="AC1081" s="502">
        <v>1925</v>
      </c>
      <c r="AD1081" s="451">
        <f>IF(Table13[[#This Row],[Column2]]="","",SUM(Table13[[#This Row],[Column31]]+Table13[[#This Row],[Column32]]))</f>
        <v>0</v>
      </c>
      <c r="AE1081" s="453"/>
      <c r="AF1081" s="646"/>
      <c r="AG1081" s="405"/>
      <c r="AH1081" s="380" t="s">
        <v>1205</v>
      </c>
      <c r="AI1081" s="576"/>
      <c r="AJ1081" s="576"/>
      <c r="AK1081" s="576"/>
      <c r="AL1081" s="576"/>
      <c r="AM1081" s="576"/>
      <c r="AN1081" s="576"/>
      <c r="AO1081" s="303" t="s">
        <v>175</v>
      </c>
      <c r="AP1081" s="378"/>
      <c r="AQ1081" s="237"/>
    </row>
    <row r="1082" spans="1:43" s="238" customFormat="1" ht="75" customHeight="1" x14ac:dyDescent="0.25">
      <c r="A1082" s="297" t="s">
        <v>1306</v>
      </c>
      <c r="B1082" s="627" t="str">
        <f>VLOOKUP(Table13[[#This Row],[Column1]],[1]Sheet1!$A:$AO,2,FALSE)</f>
        <v>MEDICAL KIT</v>
      </c>
      <c r="C1082" s="298" t="str">
        <f>VLOOKUP(Table13[[#This Row],[Column1]],[1]Sheet1!$A:$AO,3,FALSE)</f>
        <v>PEO</v>
      </c>
      <c r="D1082" s="298" t="s">
        <v>712</v>
      </c>
      <c r="E1082" s="450" t="str">
        <f>VLOOKUP(Table13[[#This Row],[Column1]],[1]Sheet1!$A:$AO,5,FALSE)</f>
        <v>NP-53.9 - Small Value Procurement</v>
      </c>
      <c r="F1082" s="446">
        <f>VLOOKUP(Table13[[#This Row],[Column1]],[1]Sheet1!$A:$AO,6,FALSE)</f>
        <v>45454</v>
      </c>
      <c r="G1082" s="402">
        <f>VLOOKUP(Table13[[#This Row],[Column1]],[1]Sheet1!$A:$AO,7,FALSE)</f>
        <v>45457</v>
      </c>
      <c r="H1082" s="374"/>
      <c r="I1082" s="402"/>
      <c r="J1082" s="402"/>
      <c r="K1082" s="402"/>
      <c r="L1082" s="404"/>
      <c r="M1082" s="402"/>
      <c r="N1082" s="402"/>
      <c r="O1082" s="402"/>
      <c r="P1082" s="375"/>
      <c r="Q1082" s="375"/>
      <c r="R1082" s="376"/>
      <c r="S1082" s="583"/>
      <c r="T1082" s="583"/>
      <c r="U1082" s="583"/>
      <c r="V1082" s="376"/>
      <c r="W1082" s="376"/>
      <c r="X1082" s="402"/>
      <c r="Y1082" s="402"/>
      <c r="Z1082" s="610" t="s">
        <v>1478</v>
      </c>
      <c r="AA1082" s="454">
        <f>IF(Table13[[#This Row],[Column2]]="","",SUM(Table13[[#This Row],[Column28]]+Table13[[#This Row],[Column29]]))</f>
        <v>1925</v>
      </c>
      <c r="AB1082" s="466"/>
      <c r="AC1082" s="502">
        <v>1925</v>
      </c>
      <c r="AD1082" s="451">
        <f>IF(Table13[[#This Row],[Column2]]="","",SUM(Table13[[#This Row],[Column31]]+Table13[[#This Row],[Column32]]))</f>
        <v>0</v>
      </c>
      <c r="AE1082" s="453"/>
      <c r="AF1082" s="646"/>
      <c r="AG1082" s="405"/>
      <c r="AH1082" s="380" t="s">
        <v>1205</v>
      </c>
      <c r="AI1082" s="576"/>
      <c r="AJ1082" s="576"/>
      <c r="AK1082" s="576"/>
      <c r="AL1082" s="576"/>
      <c r="AM1082" s="576"/>
      <c r="AN1082" s="576"/>
      <c r="AO1082" s="303" t="s">
        <v>175</v>
      </c>
      <c r="AP1082" s="378"/>
      <c r="AQ1082" s="237"/>
    </row>
    <row r="1083" spans="1:43" s="238" customFormat="1" ht="75" customHeight="1" x14ac:dyDescent="0.25">
      <c r="A1083" s="297" t="s">
        <v>1307</v>
      </c>
      <c r="B1083" s="627" t="str">
        <f>VLOOKUP(Table13[[#This Row],[Column1]],[1]Sheet1!$A:$AO,2,FALSE)</f>
        <v>OFFICE CHAIR</v>
      </c>
      <c r="C1083" s="298" t="str">
        <f>VLOOKUP(Table13[[#This Row],[Column1]],[1]Sheet1!$A:$AO,3,FALSE)</f>
        <v>PICTO</v>
      </c>
      <c r="D1083" s="298" t="s">
        <v>712</v>
      </c>
      <c r="E1083" s="450" t="str">
        <f>VLOOKUP(Table13[[#This Row],[Column1]],[1]Sheet1!$A:$AO,5,FALSE)</f>
        <v>NP-53.9 - Small Value Procurement</v>
      </c>
      <c r="F1083" s="446">
        <f>VLOOKUP(Table13[[#This Row],[Column1]],[1]Sheet1!$A:$AO,6,FALSE)</f>
        <v>45454</v>
      </c>
      <c r="G1083" s="402">
        <f>VLOOKUP(Table13[[#This Row],[Column1]],[1]Sheet1!$A:$AO,7,FALSE)</f>
        <v>45457</v>
      </c>
      <c r="H1083" s="374"/>
      <c r="I1083" s="402"/>
      <c r="J1083" s="402"/>
      <c r="K1083" s="402"/>
      <c r="L1083" s="404"/>
      <c r="M1083" s="402"/>
      <c r="N1083" s="402"/>
      <c r="O1083" s="402"/>
      <c r="P1083" s="375"/>
      <c r="Q1083" s="375"/>
      <c r="R1083" s="376"/>
      <c r="S1083" s="583"/>
      <c r="T1083" s="583"/>
      <c r="U1083" s="583"/>
      <c r="V1083" s="376"/>
      <c r="W1083" s="376"/>
      <c r="X1083" s="402"/>
      <c r="Y1083" s="402"/>
      <c r="Z1083" s="610" t="s">
        <v>1478</v>
      </c>
      <c r="AA1083" s="454">
        <f>IF(Table13[[#This Row],[Column2]]="","",SUM(Table13[[#This Row],[Column28]]+Table13[[#This Row],[Column29]]))</f>
        <v>108800</v>
      </c>
      <c r="AB1083" s="466"/>
      <c r="AC1083" s="502">
        <v>108800</v>
      </c>
      <c r="AD1083" s="451">
        <f>IF(Table13[[#This Row],[Column2]]="","",SUM(Table13[[#This Row],[Column31]]+Table13[[#This Row],[Column32]]))</f>
        <v>0</v>
      </c>
      <c r="AE1083" s="453"/>
      <c r="AF1083" s="646"/>
      <c r="AG1083" s="405"/>
      <c r="AH1083" s="380" t="s">
        <v>1205</v>
      </c>
      <c r="AI1083" s="576"/>
      <c r="AJ1083" s="576"/>
      <c r="AK1083" s="576"/>
      <c r="AL1083" s="576"/>
      <c r="AM1083" s="576"/>
      <c r="AN1083" s="576"/>
      <c r="AO1083" s="303" t="s">
        <v>175</v>
      </c>
      <c r="AP1083" s="378"/>
      <c r="AQ1083" s="237"/>
    </row>
    <row r="1084" spans="1:43" s="238" customFormat="1" ht="75" customHeight="1" x14ac:dyDescent="0.25">
      <c r="A1084" s="297" t="s">
        <v>1308</v>
      </c>
      <c r="B1084" s="627" t="str">
        <f>VLOOKUP(Table13[[#This Row],[Column1]],[1]Sheet1!$A:$AO,2,FALSE)</f>
        <v>COMMUNICATION EQUIPMENT</v>
      </c>
      <c r="C1084" s="298" t="str">
        <f>VLOOKUP(Table13[[#This Row],[Column1]],[1]Sheet1!$A:$AO,3,FALSE)</f>
        <v>PICTO</v>
      </c>
      <c r="D1084" s="298" t="s">
        <v>712</v>
      </c>
      <c r="E1084" s="450" t="str">
        <f>VLOOKUP(Table13[[#This Row],[Column1]],[1]Sheet1!$A:$AO,5,FALSE)</f>
        <v>NP-53.9 - Small Value Procurement</v>
      </c>
      <c r="F1084" s="446">
        <f>VLOOKUP(Table13[[#This Row],[Column1]],[1]Sheet1!$A:$AO,6,FALSE)</f>
        <v>45454</v>
      </c>
      <c r="G1084" s="402">
        <f>VLOOKUP(Table13[[#This Row],[Column1]],[1]Sheet1!$A:$AO,7,FALSE)</f>
        <v>45457</v>
      </c>
      <c r="H1084" s="374"/>
      <c r="I1084" s="402"/>
      <c r="J1084" s="402"/>
      <c r="K1084" s="402"/>
      <c r="L1084" s="404"/>
      <c r="M1084" s="402"/>
      <c r="N1084" s="402"/>
      <c r="O1084" s="402"/>
      <c r="P1084" s="375"/>
      <c r="Q1084" s="375"/>
      <c r="R1084" s="376"/>
      <c r="S1084" s="583"/>
      <c r="T1084" s="583"/>
      <c r="U1084" s="583"/>
      <c r="V1084" s="376"/>
      <c r="W1084" s="376"/>
      <c r="X1084" s="402"/>
      <c r="Y1084" s="402"/>
      <c r="Z1084" s="610" t="s">
        <v>1478</v>
      </c>
      <c r="AA1084" s="454">
        <f>IF(Table13[[#This Row],[Column2]]="","",SUM(Table13[[#This Row],[Column28]]+Table13[[#This Row],[Column29]]))</f>
        <v>191040</v>
      </c>
      <c r="AB1084" s="466"/>
      <c r="AC1084" s="502">
        <v>191040</v>
      </c>
      <c r="AD1084" s="451">
        <f>IF(Table13[[#This Row],[Column2]]="","",SUM(Table13[[#This Row],[Column31]]+Table13[[#This Row],[Column32]]))</f>
        <v>0</v>
      </c>
      <c r="AE1084" s="453"/>
      <c r="AF1084" s="646"/>
      <c r="AG1084" s="405"/>
      <c r="AH1084" s="380" t="s">
        <v>1205</v>
      </c>
      <c r="AI1084" s="576"/>
      <c r="AJ1084" s="576"/>
      <c r="AK1084" s="576"/>
      <c r="AL1084" s="576"/>
      <c r="AM1084" s="576"/>
      <c r="AN1084" s="576"/>
      <c r="AO1084" s="303" t="s">
        <v>175</v>
      </c>
      <c r="AP1084" s="378"/>
      <c r="AQ1084" s="237"/>
    </row>
    <row r="1085" spans="1:43" s="238" customFormat="1" ht="75" customHeight="1" x14ac:dyDescent="0.25">
      <c r="A1085" s="297" t="s">
        <v>1309</v>
      </c>
      <c r="B1085" s="627" t="str">
        <f>VLOOKUP(Table13[[#This Row],[Column1]],[1]Sheet1!$A:$AO,2,FALSE)</f>
        <v>COMPUTER SUPPLIES</v>
      </c>
      <c r="C1085" s="298" t="str">
        <f>VLOOKUP(Table13[[#This Row],[Column1]],[1]Sheet1!$A:$AO,3,FALSE)</f>
        <v>PICTO</v>
      </c>
      <c r="D1085" s="298" t="s">
        <v>712</v>
      </c>
      <c r="E1085" s="450" t="str">
        <f>VLOOKUP(Table13[[#This Row],[Column1]],[1]Sheet1!$A:$AO,5,FALSE)</f>
        <v>NP-53.9 - Small Value Procurement</v>
      </c>
      <c r="F1085" s="446">
        <f>VLOOKUP(Table13[[#This Row],[Column1]],[1]Sheet1!$A:$AO,6,FALSE)</f>
        <v>45454</v>
      </c>
      <c r="G1085" s="402">
        <f>VLOOKUP(Table13[[#This Row],[Column1]],[1]Sheet1!$A:$AO,7,FALSE)</f>
        <v>45457</v>
      </c>
      <c r="H1085" s="374"/>
      <c r="I1085" s="402"/>
      <c r="J1085" s="402"/>
      <c r="K1085" s="402"/>
      <c r="L1085" s="404"/>
      <c r="M1085" s="402"/>
      <c r="N1085" s="402"/>
      <c r="O1085" s="402"/>
      <c r="P1085" s="375"/>
      <c r="Q1085" s="375"/>
      <c r="R1085" s="376"/>
      <c r="S1085" s="583"/>
      <c r="T1085" s="583"/>
      <c r="U1085" s="583"/>
      <c r="V1085" s="376"/>
      <c r="W1085" s="376"/>
      <c r="X1085" s="402"/>
      <c r="Y1085" s="402"/>
      <c r="Z1085" s="610" t="s">
        <v>1478</v>
      </c>
      <c r="AA1085" s="454">
        <f>IF(Table13[[#This Row],[Column2]]="","",SUM(Table13[[#This Row],[Column28]]+Table13[[#This Row],[Column29]]))</f>
        <v>81996</v>
      </c>
      <c r="AB1085" s="466"/>
      <c r="AC1085" s="502">
        <v>81996</v>
      </c>
      <c r="AD1085" s="451">
        <f>IF(Table13[[#This Row],[Column2]]="","",SUM(Table13[[#This Row],[Column31]]+Table13[[#This Row],[Column32]]))</f>
        <v>0</v>
      </c>
      <c r="AE1085" s="453"/>
      <c r="AF1085" s="646"/>
      <c r="AG1085" s="405"/>
      <c r="AH1085" s="380" t="s">
        <v>1205</v>
      </c>
      <c r="AI1085" s="576"/>
      <c r="AJ1085" s="576"/>
      <c r="AK1085" s="576"/>
      <c r="AL1085" s="576"/>
      <c r="AM1085" s="576"/>
      <c r="AN1085" s="576"/>
      <c r="AO1085" s="303" t="s">
        <v>175</v>
      </c>
      <c r="AP1085" s="378"/>
      <c r="AQ1085" s="237"/>
    </row>
    <row r="1086" spans="1:43" s="238" customFormat="1" ht="75" customHeight="1" x14ac:dyDescent="0.25">
      <c r="A1086" s="297" t="s">
        <v>1310</v>
      </c>
      <c r="B1086" s="627" t="str">
        <f>VLOOKUP(Table13[[#This Row],[Column1]],[1]Sheet1!$A:$AO,2,FALSE)</f>
        <v>CONSTRUCTION MATERIALS</v>
      </c>
      <c r="C1086" s="298" t="str">
        <f>VLOOKUP(Table13[[#This Row],[Column1]],[1]Sheet1!$A:$AO,3,FALSE)</f>
        <v>PDRRMO</v>
      </c>
      <c r="D1086" s="298" t="s">
        <v>712</v>
      </c>
      <c r="E1086" s="450" t="str">
        <f>VLOOKUP(Table13[[#This Row],[Column1]],[1]Sheet1!$A:$AO,5,FALSE)</f>
        <v>NP-53.9 - Small Value Procurement</v>
      </c>
      <c r="F1086" s="446">
        <f>VLOOKUP(Table13[[#This Row],[Column1]],[1]Sheet1!$A:$AO,6,FALSE)</f>
        <v>45454</v>
      </c>
      <c r="G1086" s="402">
        <f>VLOOKUP(Table13[[#This Row],[Column1]],[1]Sheet1!$A:$AO,7,FALSE)</f>
        <v>45457</v>
      </c>
      <c r="H1086" s="374"/>
      <c r="I1086" s="402"/>
      <c r="J1086" s="402"/>
      <c r="K1086" s="402"/>
      <c r="L1086" s="404"/>
      <c r="M1086" s="402"/>
      <c r="N1086" s="402"/>
      <c r="O1086" s="402"/>
      <c r="P1086" s="375"/>
      <c r="Q1086" s="375"/>
      <c r="R1086" s="376"/>
      <c r="S1086" s="583"/>
      <c r="T1086" s="583"/>
      <c r="U1086" s="583"/>
      <c r="V1086" s="376"/>
      <c r="W1086" s="376"/>
      <c r="X1086" s="402"/>
      <c r="Y1086" s="402"/>
      <c r="Z1086" s="610" t="s">
        <v>1478</v>
      </c>
      <c r="AA1086" s="454">
        <f>IF(Table13[[#This Row],[Column2]]="","",SUM(Table13[[#This Row],[Column28]]+Table13[[#This Row],[Column29]]))</f>
        <v>1961</v>
      </c>
      <c r="AB1086" s="466"/>
      <c r="AC1086" s="502">
        <v>1961</v>
      </c>
      <c r="AD1086" s="451">
        <f>IF(Table13[[#This Row],[Column2]]="","",SUM(Table13[[#This Row],[Column31]]+Table13[[#This Row],[Column32]]))</f>
        <v>0</v>
      </c>
      <c r="AE1086" s="453"/>
      <c r="AF1086" s="646"/>
      <c r="AG1086" s="405"/>
      <c r="AH1086" s="380" t="s">
        <v>1205</v>
      </c>
      <c r="AI1086" s="576"/>
      <c r="AJ1086" s="576"/>
      <c r="AK1086" s="576"/>
      <c r="AL1086" s="576"/>
      <c r="AM1086" s="576"/>
      <c r="AN1086" s="576"/>
      <c r="AO1086" s="303" t="s">
        <v>175</v>
      </c>
      <c r="AP1086" s="378"/>
      <c r="AQ1086" s="237"/>
    </row>
    <row r="1087" spans="1:43" s="238" customFormat="1" ht="75" customHeight="1" x14ac:dyDescent="0.25">
      <c r="A1087" s="297" t="s">
        <v>1311</v>
      </c>
      <c r="B1087" s="627" t="str">
        <f>VLOOKUP(Table13[[#This Row],[Column1]],[1]Sheet1!$A:$AO,2,FALSE)</f>
        <v>COCO LUMBER OR EQUIVALENT</v>
      </c>
      <c r="C1087" s="298" t="str">
        <f>VLOOKUP(Table13[[#This Row],[Column1]],[1]Sheet1!$A:$AO,3,FALSE)</f>
        <v>PDRRMO</v>
      </c>
      <c r="D1087" s="298" t="s">
        <v>712</v>
      </c>
      <c r="E1087" s="450" t="str">
        <f>VLOOKUP(Table13[[#This Row],[Column1]],[1]Sheet1!$A:$AO,5,FALSE)</f>
        <v>NP-53.9 - Small Value Procurement</v>
      </c>
      <c r="F1087" s="446">
        <f>VLOOKUP(Table13[[#This Row],[Column1]],[1]Sheet1!$A:$AO,6,FALSE)</f>
        <v>45454</v>
      </c>
      <c r="G1087" s="402">
        <f>VLOOKUP(Table13[[#This Row],[Column1]],[1]Sheet1!$A:$AO,7,FALSE)</f>
        <v>45457</v>
      </c>
      <c r="H1087" s="374"/>
      <c r="I1087" s="402"/>
      <c r="J1087" s="402"/>
      <c r="K1087" s="402"/>
      <c r="L1087" s="404"/>
      <c r="M1087" s="402"/>
      <c r="N1087" s="402"/>
      <c r="O1087" s="402"/>
      <c r="P1087" s="375"/>
      <c r="Q1087" s="375"/>
      <c r="R1087" s="376"/>
      <c r="S1087" s="583"/>
      <c r="T1087" s="583"/>
      <c r="U1087" s="583"/>
      <c r="V1087" s="376"/>
      <c r="W1087" s="376"/>
      <c r="X1087" s="402"/>
      <c r="Y1087" s="402"/>
      <c r="Z1087" s="610" t="s">
        <v>1478</v>
      </c>
      <c r="AA1087" s="454">
        <f>IF(Table13[[#This Row],[Column2]]="","",SUM(Table13[[#This Row],[Column28]]+Table13[[#This Row],[Column29]]))</f>
        <v>1152</v>
      </c>
      <c r="AB1087" s="466"/>
      <c r="AC1087" s="502">
        <v>1152</v>
      </c>
      <c r="AD1087" s="451">
        <f>IF(Table13[[#This Row],[Column2]]="","",SUM(Table13[[#This Row],[Column31]]+Table13[[#This Row],[Column32]]))</f>
        <v>0</v>
      </c>
      <c r="AE1087" s="453"/>
      <c r="AF1087" s="646"/>
      <c r="AG1087" s="405"/>
      <c r="AH1087" s="380" t="s">
        <v>1205</v>
      </c>
      <c r="AI1087" s="576"/>
      <c r="AJ1087" s="576"/>
      <c r="AK1087" s="576"/>
      <c r="AL1087" s="576"/>
      <c r="AM1087" s="576"/>
      <c r="AN1087" s="576"/>
      <c r="AO1087" s="303" t="s">
        <v>175</v>
      </c>
      <c r="AP1087" s="378"/>
      <c r="AQ1087" s="237"/>
    </row>
    <row r="1088" spans="1:43" s="238" customFormat="1" ht="75" customHeight="1" x14ac:dyDescent="0.25">
      <c r="A1088" s="297" t="s">
        <v>1312</v>
      </c>
      <c r="B1088" s="627" t="str">
        <f>VLOOKUP(Table13[[#This Row],[Column1]],[1]Sheet1!$A:$AO,2,FALSE)</f>
        <v>AIRCON WINDOWS TYPE 2.0 hp</v>
      </c>
      <c r="C1088" s="298" t="str">
        <f>VLOOKUP(Table13[[#This Row],[Column1]],[1]Sheet1!$A:$AO,3,FALSE)</f>
        <v>PENRO</v>
      </c>
      <c r="D1088" s="298" t="s">
        <v>712</v>
      </c>
      <c r="E1088" s="450" t="str">
        <f>VLOOKUP(Table13[[#This Row],[Column1]],[1]Sheet1!$A:$AO,5,FALSE)</f>
        <v>NP-53.9 - Small Value Procurement</v>
      </c>
      <c r="F1088" s="446">
        <f>VLOOKUP(Table13[[#This Row],[Column1]],[1]Sheet1!$A:$AO,6,FALSE)</f>
        <v>45454</v>
      </c>
      <c r="G1088" s="402">
        <f>VLOOKUP(Table13[[#This Row],[Column1]],[1]Sheet1!$A:$AO,7,FALSE)</f>
        <v>45457</v>
      </c>
      <c r="H1088" s="374"/>
      <c r="I1088" s="402"/>
      <c r="J1088" s="402"/>
      <c r="K1088" s="402"/>
      <c r="L1088" s="404"/>
      <c r="M1088" s="402"/>
      <c r="N1088" s="402"/>
      <c r="O1088" s="402"/>
      <c r="P1088" s="375"/>
      <c r="Q1088" s="375"/>
      <c r="R1088" s="376"/>
      <c r="S1088" s="583"/>
      <c r="T1088" s="583"/>
      <c r="U1088" s="583"/>
      <c r="V1088" s="376"/>
      <c r="W1088" s="376"/>
      <c r="X1088" s="402"/>
      <c r="Y1088" s="402"/>
      <c r="Z1088" s="610" t="s">
        <v>1478</v>
      </c>
      <c r="AA1088" s="454">
        <f>IF(Table13[[#This Row],[Column2]]="","",SUM(Table13[[#This Row],[Column28]]+Table13[[#This Row],[Column29]]))</f>
        <v>99000</v>
      </c>
      <c r="AB1088" s="466"/>
      <c r="AC1088" s="502">
        <v>99000</v>
      </c>
      <c r="AD1088" s="451">
        <f>IF(Table13[[#This Row],[Column2]]="","",SUM(Table13[[#This Row],[Column31]]+Table13[[#This Row],[Column32]]))</f>
        <v>0</v>
      </c>
      <c r="AE1088" s="453"/>
      <c r="AF1088" s="646"/>
      <c r="AG1088" s="405"/>
      <c r="AH1088" s="380" t="s">
        <v>1205</v>
      </c>
      <c r="AI1088" s="576"/>
      <c r="AJ1088" s="576"/>
      <c r="AK1088" s="576"/>
      <c r="AL1088" s="576"/>
      <c r="AM1088" s="576"/>
      <c r="AN1088" s="576"/>
      <c r="AO1088" s="303" t="s">
        <v>175</v>
      </c>
      <c r="AP1088" s="378"/>
      <c r="AQ1088" s="237"/>
    </row>
    <row r="1089" spans="1:43" s="238" customFormat="1" ht="75" customHeight="1" x14ac:dyDescent="0.25">
      <c r="A1089" s="297" t="s">
        <v>1313</v>
      </c>
      <c r="B1089" s="627" t="str">
        <f>VLOOKUP(Table13[[#This Row],[Column1]],[1]Sheet1!$A:$AO,2,FALSE)</f>
        <v>OFFICE SUPPLIES</v>
      </c>
      <c r="C1089" s="298" t="str">
        <f>VLOOKUP(Table13[[#This Row],[Column1]],[1]Sheet1!$A:$AO,3,FALSE)</f>
        <v>PTO</v>
      </c>
      <c r="D1089" s="298" t="s">
        <v>712</v>
      </c>
      <c r="E1089" s="450" t="str">
        <f>VLOOKUP(Table13[[#This Row],[Column1]],[1]Sheet1!$A:$AO,5,FALSE)</f>
        <v>Shopping 52.1(b) - Regular Office Supplies and Equipment no available in PS</v>
      </c>
      <c r="F1089" s="446">
        <f>VLOOKUP(Table13[[#This Row],[Column1]],[1]Sheet1!$A:$AO,6,FALSE)</f>
        <v>45454</v>
      </c>
      <c r="G1089" s="402">
        <f>VLOOKUP(Table13[[#This Row],[Column1]],[1]Sheet1!$A:$AO,7,FALSE)</f>
        <v>45457</v>
      </c>
      <c r="H1089" s="374"/>
      <c r="I1089" s="402"/>
      <c r="J1089" s="402"/>
      <c r="K1089" s="402"/>
      <c r="L1089" s="404"/>
      <c r="M1089" s="402"/>
      <c r="N1089" s="402"/>
      <c r="O1089" s="402"/>
      <c r="P1089" s="375"/>
      <c r="Q1089" s="375"/>
      <c r="R1089" s="376"/>
      <c r="S1089" s="583"/>
      <c r="T1089" s="583"/>
      <c r="U1089" s="583"/>
      <c r="V1089" s="376"/>
      <c r="W1089" s="376"/>
      <c r="X1089" s="402"/>
      <c r="Y1089" s="402"/>
      <c r="Z1089" s="610" t="s">
        <v>1478</v>
      </c>
      <c r="AA1089" s="454">
        <f>IF(Table13[[#This Row],[Column2]]="","",SUM(Table13[[#This Row],[Column28]]+Table13[[#This Row],[Column29]]))</f>
        <v>14090</v>
      </c>
      <c r="AB1089" s="466"/>
      <c r="AC1089" s="502">
        <v>14090</v>
      </c>
      <c r="AD1089" s="451">
        <f>IF(Table13[[#This Row],[Column2]]="","",SUM(Table13[[#This Row],[Column31]]+Table13[[#This Row],[Column32]]))</f>
        <v>0</v>
      </c>
      <c r="AE1089" s="453"/>
      <c r="AF1089" s="646"/>
      <c r="AG1089" s="405"/>
      <c r="AH1089" s="380" t="s">
        <v>1205</v>
      </c>
      <c r="AI1089" s="576"/>
      <c r="AJ1089" s="576"/>
      <c r="AK1089" s="576"/>
      <c r="AL1089" s="576"/>
      <c r="AM1089" s="576"/>
      <c r="AN1089" s="576"/>
      <c r="AO1089" s="303" t="s">
        <v>175</v>
      </c>
      <c r="AP1089" s="378"/>
      <c r="AQ1089" s="237"/>
    </row>
    <row r="1090" spans="1:43" s="238" customFormat="1" ht="75" customHeight="1" x14ac:dyDescent="0.25">
      <c r="A1090" s="297" t="s">
        <v>1314</v>
      </c>
      <c r="B1090" s="627" t="str">
        <f>VLOOKUP(Table13[[#This Row],[Column1]],[1]Sheet1!$A:$AO,2,FALSE)</f>
        <v>CASING, SELF INKING STAMP</v>
      </c>
      <c r="C1090" s="298" t="str">
        <f>VLOOKUP(Table13[[#This Row],[Column1]],[1]Sheet1!$A:$AO,3,FALSE)</f>
        <v>PAO-ADMIN</v>
      </c>
      <c r="D1090" s="298" t="s">
        <v>712</v>
      </c>
      <c r="E1090" s="450" t="str">
        <f>VLOOKUP(Table13[[#This Row],[Column1]],[1]Sheet1!$A:$AO,5,FALSE)</f>
        <v>NP-53.9 - Small Value Procurement</v>
      </c>
      <c r="F1090" s="446">
        <f>VLOOKUP(Table13[[#This Row],[Column1]],[1]Sheet1!$A:$AO,6,FALSE)</f>
        <v>45454</v>
      </c>
      <c r="G1090" s="402">
        <f>VLOOKUP(Table13[[#This Row],[Column1]],[1]Sheet1!$A:$AO,7,FALSE)</f>
        <v>45457</v>
      </c>
      <c r="H1090" s="374"/>
      <c r="I1090" s="402"/>
      <c r="J1090" s="402"/>
      <c r="K1090" s="402"/>
      <c r="L1090" s="404"/>
      <c r="M1090" s="402"/>
      <c r="N1090" s="402"/>
      <c r="O1090" s="402"/>
      <c r="P1090" s="375"/>
      <c r="Q1090" s="375"/>
      <c r="R1090" s="376"/>
      <c r="S1090" s="583"/>
      <c r="T1090" s="583"/>
      <c r="U1090" s="583"/>
      <c r="V1090" s="376"/>
      <c r="W1090" s="376"/>
      <c r="X1090" s="402"/>
      <c r="Y1090" s="402"/>
      <c r="Z1090" s="610" t="s">
        <v>1478</v>
      </c>
      <c r="AA1090" s="454">
        <f>IF(Table13[[#This Row],[Column2]]="","",SUM(Table13[[#This Row],[Column28]]+Table13[[#This Row],[Column29]]))</f>
        <v>682</v>
      </c>
      <c r="AB1090" s="466"/>
      <c r="AC1090" s="502">
        <v>682</v>
      </c>
      <c r="AD1090" s="451">
        <f>IF(Table13[[#This Row],[Column2]]="","",SUM(Table13[[#This Row],[Column31]]+Table13[[#This Row],[Column32]]))</f>
        <v>0</v>
      </c>
      <c r="AE1090" s="453"/>
      <c r="AF1090" s="646"/>
      <c r="AG1090" s="405"/>
      <c r="AH1090" s="380" t="s">
        <v>1205</v>
      </c>
      <c r="AI1090" s="576"/>
      <c r="AJ1090" s="576"/>
      <c r="AK1090" s="576"/>
      <c r="AL1090" s="576"/>
      <c r="AM1090" s="576"/>
      <c r="AN1090" s="576"/>
      <c r="AO1090" s="303" t="s">
        <v>175</v>
      </c>
      <c r="AP1090" s="378"/>
      <c r="AQ1090" s="237"/>
    </row>
    <row r="1091" spans="1:43" s="238" customFormat="1" ht="75" customHeight="1" x14ac:dyDescent="0.25">
      <c r="A1091" s="297" t="s">
        <v>1315</v>
      </c>
      <c r="B1091" s="627" t="str">
        <f>VLOOKUP(Table13[[#This Row],[Column1]],[1]Sheet1!$A:$AO,2,FALSE)</f>
        <v>CONSTRUCTION MATERIALS</v>
      </c>
      <c r="C1091" s="298" t="str">
        <f>VLOOKUP(Table13[[#This Row],[Column1]],[1]Sheet1!$A:$AO,3,FALSE)</f>
        <v>PEO</v>
      </c>
      <c r="D1091" s="298" t="s">
        <v>712</v>
      </c>
      <c r="E1091" s="450" t="str">
        <f>VLOOKUP(Table13[[#This Row],[Column1]],[1]Sheet1!$A:$AO,5,FALSE)</f>
        <v>NP-53.9 - Small Value Procurement</v>
      </c>
      <c r="F1091" s="446">
        <f>VLOOKUP(Table13[[#This Row],[Column1]],[1]Sheet1!$A:$AO,6,FALSE)</f>
        <v>45454</v>
      </c>
      <c r="G1091" s="402">
        <f>VLOOKUP(Table13[[#This Row],[Column1]],[1]Sheet1!$A:$AO,7,FALSE)</f>
        <v>45457</v>
      </c>
      <c r="H1091" s="374"/>
      <c r="I1091" s="402"/>
      <c r="J1091" s="402"/>
      <c r="K1091" s="402"/>
      <c r="L1091" s="404"/>
      <c r="M1091" s="402"/>
      <c r="N1091" s="402"/>
      <c r="O1091" s="402"/>
      <c r="P1091" s="375"/>
      <c r="Q1091" s="375"/>
      <c r="R1091" s="376"/>
      <c r="S1091" s="583"/>
      <c r="T1091" s="583"/>
      <c r="U1091" s="583"/>
      <c r="V1091" s="376"/>
      <c r="W1091" s="376"/>
      <c r="X1091" s="402"/>
      <c r="Y1091" s="402"/>
      <c r="Z1091" s="610" t="s">
        <v>1478</v>
      </c>
      <c r="AA1091" s="454">
        <f>IF(Table13[[#This Row],[Column2]]="","",SUM(Table13[[#This Row],[Column28]]+Table13[[#This Row],[Column29]]))</f>
        <v>1961</v>
      </c>
      <c r="AB1091" s="466"/>
      <c r="AC1091" s="502">
        <v>1961</v>
      </c>
      <c r="AD1091" s="451">
        <f>IF(Table13[[#This Row],[Column2]]="","",SUM(Table13[[#This Row],[Column31]]+Table13[[#This Row],[Column32]]))</f>
        <v>0</v>
      </c>
      <c r="AE1091" s="453"/>
      <c r="AF1091" s="646"/>
      <c r="AG1091" s="405"/>
      <c r="AH1091" s="380" t="s">
        <v>1205</v>
      </c>
      <c r="AI1091" s="576"/>
      <c r="AJ1091" s="576"/>
      <c r="AK1091" s="576"/>
      <c r="AL1091" s="576"/>
      <c r="AM1091" s="576"/>
      <c r="AN1091" s="576"/>
      <c r="AO1091" s="303" t="s">
        <v>175</v>
      </c>
      <c r="AP1091" s="378"/>
      <c r="AQ1091" s="237"/>
    </row>
    <row r="1092" spans="1:43" s="238" customFormat="1" ht="75" customHeight="1" x14ac:dyDescent="0.25">
      <c r="A1092" s="297" t="s">
        <v>1316</v>
      </c>
      <c r="B1092" s="627" t="str">
        <f>VLOOKUP(Table13[[#This Row],[Column1]],[1]Sheet1!$A:$AO,2,FALSE)</f>
        <v>GEMELINA LUMBER OR EQUIVALENT</v>
      </c>
      <c r="C1092" s="298" t="str">
        <f>VLOOKUP(Table13[[#This Row],[Column1]],[1]Sheet1!$A:$AO,3,FALSE)</f>
        <v>PEO</v>
      </c>
      <c r="D1092" s="298" t="s">
        <v>712</v>
      </c>
      <c r="E1092" s="450" t="str">
        <f>VLOOKUP(Table13[[#This Row],[Column1]],[1]Sheet1!$A:$AO,5,FALSE)</f>
        <v>NP-53.9 - Small Value Procurement</v>
      </c>
      <c r="F1092" s="446">
        <f>VLOOKUP(Table13[[#This Row],[Column1]],[1]Sheet1!$A:$AO,6,FALSE)</f>
        <v>45454</v>
      </c>
      <c r="G1092" s="402">
        <f>VLOOKUP(Table13[[#This Row],[Column1]],[1]Sheet1!$A:$AO,7,FALSE)</f>
        <v>45457</v>
      </c>
      <c r="H1092" s="374"/>
      <c r="I1092" s="402"/>
      <c r="J1092" s="402"/>
      <c r="K1092" s="402"/>
      <c r="L1092" s="404"/>
      <c r="M1092" s="402"/>
      <c r="N1092" s="402"/>
      <c r="O1092" s="402"/>
      <c r="P1092" s="375"/>
      <c r="Q1092" s="375"/>
      <c r="R1092" s="376"/>
      <c r="S1092" s="583"/>
      <c r="T1092" s="583"/>
      <c r="U1092" s="583"/>
      <c r="V1092" s="376"/>
      <c r="W1092" s="376"/>
      <c r="X1092" s="402"/>
      <c r="Y1092" s="402"/>
      <c r="Z1092" s="610" t="s">
        <v>1478</v>
      </c>
      <c r="AA1092" s="454">
        <f>IF(Table13[[#This Row],[Column2]]="","",SUM(Table13[[#This Row],[Column28]]+Table13[[#This Row],[Column29]]))</f>
        <v>2256</v>
      </c>
      <c r="AB1092" s="466"/>
      <c r="AC1092" s="502">
        <v>2256</v>
      </c>
      <c r="AD1092" s="451">
        <f>IF(Table13[[#This Row],[Column2]]="","",SUM(Table13[[#This Row],[Column31]]+Table13[[#This Row],[Column32]]))</f>
        <v>0</v>
      </c>
      <c r="AE1092" s="453"/>
      <c r="AF1092" s="646"/>
      <c r="AG1092" s="405"/>
      <c r="AH1092" s="380" t="s">
        <v>1205</v>
      </c>
      <c r="AI1092" s="576"/>
      <c r="AJ1092" s="576"/>
      <c r="AK1092" s="576"/>
      <c r="AL1092" s="576"/>
      <c r="AM1092" s="576"/>
      <c r="AN1092" s="576"/>
      <c r="AO1092" s="303" t="s">
        <v>175</v>
      </c>
      <c r="AP1092" s="378"/>
      <c r="AQ1092" s="237"/>
    </row>
    <row r="1093" spans="1:43" s="238" customFormat="1" ht="75" customHeight="1" x14ac:dyDescent="0.25">
      <c r="A1093" s="297" t="s">
        <v>1317</v>
      </c>
      <c r="B1093" s="627" t="str">
        <f>VLOOKUP(Table13[[#This Row],[Column1]],[1]Sheet1!$A:$AO,2,FALSE)</f>
        <v>CONSTRUCTION MATERIALS</v>
      </c>
      <c r="C1093" s="298" t="str">
        <f>VLOOKUP(Table13[[#This Row],[Column1]],[1]Sheet1!$A:$AO,3,FALSE)</f>
        <v>PEO</v>
      </c>
      <c r="D1093" s="298" t="s">
        <v>712</v>
      </c>
      <c r="E1093" s="450" t="str">
        <f>VLOOKUP(Table13[[#This Row],[Column1]],[1]Sheet1!$A:$AO,5,FALSE)</f>
        <v>NP-53.9 - Small Value Procurement</v>
      </c>
      <c r="F1093" s="446">
        <f>VLOOKUP(Table13[[#This Row],[Column1]],[1]Sheet1!$A:$AO,6,FALSE)</f>
        <v>45454</v>
      </c>
      <c r="G1093" s="402">
        <f>VLOOKUP(Table13[[#This Row],[Column1]],[1]Sheet1!$A:$AO,7,FALSE)</f>
        <v>45457</v>
      </c>
      <c r="H1093" s="374"/>
      <c r="I1093" s="402"/>
      <c r="J1093" s="402"/>
      <c r="K1093" s="402"/>
      <c r="L1093" s="404"/>
      <c r="M1093" s="402"/>
      <c r="N1093" s="402"/>
      <c r="O1093" s="402"/>
      <c r="P1093" s="375"/>
      <c r="Q1093" s="375"/>
      <c r="R1093" s="376"/>
      <c r="S1093" s="583"/>
      <c r="T1093" s="583"/>
      <c r="U1093" s="583"/>
      <c r="V1093" s="376"/>
      <c r="W1093" s="376"/>
      <c r="X1093" s="402"/>
      <c r="Y1093" s="402"/>
      <c r="Z1093" s="610" t="s">
        <v>1478</v>
      </c>
      <c r="AA1093" s="454">
        <f>IF(Table13[[#This Row],[Column2]]="","",SUM(Table13[[#This Row],[Column28]]+Table13[[#This Row],[Column29]]))</f>
        <v>147219</v>
      </c>
      <c r="AB1093" s="466"/>
      <c r="AC1093" s="502">
        <v>147219</v>
      </c>
      <c r="AD1093" s="451">
        <f>IF(Table13[[#This Row],[Column2]]="","",SUM(Table13[[#This Row],[Column31]]+Table13[[#This Row],[Column32]]))</f>
        <v>0</v>
      </c>
      <c r="AE1093" s="453"/>
      <c r="AF1093" s="646"/>
      <c r="AG1093" s="405"/>
      <c r="AH1093" s="380" t="s">
        <v>1205</v>
      </c>
      <c r="AI1093" s="576"/>
      <c r="AJ1093" s="576"/>
      <c r="AK1093" s="576"/>
      <c r="AL1093" s="576"/>
      <c r="AM1093" s="576"/>
      <c r="AN1093" s="576"/>
      <c r="AO1093" s="303" t="s">
        <v>175</v>
      </c>
      <c r="AP1093" s="378"/>
      <c r="AQ1093" s="237"/>
    </row>
    <row r="1094" spans="1:43" s="238" customFormat="1" ht="75" customHeight="1" x14ac:dyDescent="0.25">
      <c r="A1094" s="297" t="s">
        <v>1318</v>
      </c>
      <c r="B1094" s="627" t="str">
        <f>VLOOKUP(Table13[[#This Row],[Column1]],[1]Sheet1!$A:$AO,2,FALSE)</f>
        <v>OIL AND LUBRICANTS</v>
      </c>
      <c r="C1094" s="298" t="str">
        <f>VLOOKUP(Table13[[#This Row],[Column1]],[1]Sheet1!$A:$AO,3,FALSE)</f>
        <v>PEO</v>
      </c>
      <c r="D1094" s="298" t="s">
        <v>712</v>
      </c>
      <c r="E1094" s="450" t="str">
        <f>VLOOKUP(Table13[[#This Row],[Column1]],[1]Sheet1!$A:$AO,5,FALSE)</f>
        <v>NP-53.9 - Small Value Procurement</v>
      </c>
      <c r="F1094" s="446">
        <f>VLOOKUP(Table13[[#This Row],[Column1]],[1]Sheet1!$A:$AO,6,FALSE)</f>
        <v>45454</v>
      </c>
      <c r="G1094" s="402">
        <f>VLOOKUP(Table13[[#This Row],[Column1]],[1]Sheet1!$A:$AO,7,FALSE)</f>
        <v>45457</v>
      </c>
      <c r="H1094" s="374"/>
      <c r="I1094" s="402"/>
      <c r="J1094" s="402"/>
      <c r="K1094" s="402"/>
      <c r="L1094" s="404"/>
      <c r="M1094" s="402"/>
      <c r="N1094" s="402"/>
      <c r="O1094" s="402"/>
      <c r="P1094" s="375"/>
      <c r="Q1094" s="375"/>
      <c r="R1094" s="376"/>
      <c r="S1094" s="583"/>
      <c r="T1094" s="583"/>
      <c r="U1094" s="583"/>
      <c r="V1094" s="376"/>
      <c r="W1094" s="376"/>
      <c r="X1094" s="402"/>
      <c r="Y1094" s="402"/>
      <c r="Z1094" s="610" t="s">
        <v>1478</v>
      </c>
      <c r="AA1094" s="454">
        <f>IF(Table13[[#This Row],[Column2]]="","",SUM(Table13[[#This Row],[Column28]]+Table13[[#This Row],[Column29]]))</f>
        <v>38056</v>
      </c>
      <c r="AB1094" s="466"/>
      <c r="AC1094" s="502">
        <v>38056</v>
      </c>
      <c r="AD1094" s="451">
        <f>IF(Table13[[#This Row],[Column2]]="","",SUM(Table13[[#This Row],[Column31]]+Table13[[#This Row],[Column32]]))</f>
        <v>0</v>
      </c>
      <c r="AE1094" s="453"/>
      <c r="AF1094" s="646"/>
      <c r="AG1094" s="405"/>
      <c r="AH1094" s="380" t="s">
        <v>1205</v>
      </c>
      <c r="AI1094" s="576"/>
      <c r="AJ1094" s="576"/>
      <c r="AK1094" s="576"/>
      <c r="AL1094" s="576"/>
      <c r="AM1094" s="576"/>
      <c r="AN1094" s="576"/>
      <c r="AO1094" s="303" t="s">
        <v>175</v>
      </c>
      <c r="AP1094" s="378"/>
      <c r="AQ1094" s="237"/>
    </row>
    <row r="1095" spans="1:43" s="238" customFormat="1" ht="75" customHeight="1" x14ac:dyDescent="0.25">
      <c r="A1095" s="297" t="s">
        <v>1319</v>
      </c>
      <c r="B1095" s="627" t="str">
        <f>VLOOKUP(Table13[[#This Row],[Column1]],[1]Sheet1!$A:$AO,2,FALSE)</f>
        <v>SPAREPARTS (LIGHT VEHICLE)</v>
      </c>
      <c r="C1095" s="298" t="str">
        <f>VLOOKUP(Table13[[#This Row],[Column1]],[1]Sheet1!$A:$AO,3,FALSE)</f>
        <v>PGO</v>
      </c>
      <c r="D1095" s="298" t="s">
        <v>712</v>
      </c>
      <c r="E1095" s="450" t="str">
        <f>VLOOKUP(Table13[[#This Row],[Column1]],[1]Sheet1!$A:$AO,5,FALSE)</f>
        <v>Shopping 52.1(a) - Unforeseen Contingency</v>
      </c>
      <c r="F1095" s="446">
        <f>VLOOKUP(Table13[[#This Row],[Column1]],[1]Sheet1!$A:$AO,6,FALSE)</f>
        <v>45454</v>
      </c>
      <c r="G1095" s="402">
        <f>VLOOKUP(Table13[[#This Row],[Column1]],[1]Sheet1!$A:$AO,7,FALSE)</f>
        <v>45471</v>
      </c>
      <c r="H1095" s="374"/>
      <c r="I1095" s="402"/>
      <c r="J1095" s="402"/>
      <c r="K1095" s="402"/>
      <c r="L1095" s="404"/>
      <c r="M1095" s="402"/>
      <c r="N1095" s="402"/>
      <c r="O1095" s="402"/>
      <c r="P1095" s="375"/>
      <c r="Q1095" s="375"/>
      <c r="R1095" s="376"/>
      <c r="S1095" s="583"/>
      <c r="T1095" s="583"/>
      <c r="U1095" s="583"/>
      <c r="V1095" s="376"/>
      <c r="W1095" s="376"/>
      <c r="X1095" s="402"/>
      <c r="Y1095" s="402"/>
      <c r="Z1095" s="610" t="s">
        <v>1478</v>
      </c>
      <c r="AA1095" s="454">
        <f>IF(Table13[[#This Row],[Column2]]="","",SUM(Table13[[#This Row],[Column28]]+Table13[[#This Row],[Column29]]))</f>
        <v>66200</v>
      </c>
      <c r="AB1095" s="466"/>
      <c r="AC1095" s="502">
        <v>66200</v>
      </c>
      <c r="AD1095" s="451">
        <f>IF(Table13[[#This Row],[Column2]]="","",SUM(Table13[[#This Row],[Column31]]+Table13[[#This Row],[Column32]]))</f>
        <v>0</v>
      </c>
      <c r="AE1095" s="453"/>
      <c r="AF1095" s="646"/>
      <c r="AG1095" s="405"/>
      <c r="AH1095" s="380" t="s">
        <v>1205</v>
      </c>
      <c r="AI1095" s="576"/>
      <c r="AJ1095" s="576"/>
      <c r="AK1095" s="576"/>
      <c r="AL1095" s="576"/>
      <c r="AM1095" s="576"/>
      <c r="AN1095" s="576"/>
      <c r="AO1095" s="303" t="s">
        <v>175</v>
      </c>
      <c r="AP1095" s="378"/>
      <c r="AQ1095" s="237"/>
    </row>
    <row r="1096" spans="1:43" s="238" customFormat="1" ht="75" customHeight="1" x14ac:dyDescent="0.25">
      <c r="A1096" s="297" t="s">
        <v>1320</v>
      </c>
      <c r="B1096" s="627" t="str">
        <f>VLOOKUP(Table13[[#This Row],[Column1]],[1]Sheet1!$A:$AO,2,FALSE)</f>
        <v>MEALS AND SNACKS</v>
      </c>
      <c r="C1096" s="298" t="str">
        <f>VLOOKUP(Table13[[#This Row],[Column1]],[1]Sheet1!$A:$AO,3,FALSE)</f>
        <v>PLO</v>
      </c>
      <c r="D1096" s="298" t="s">
        <v>712</v>
      </c>
      <c r="E1096" s="450" t="str">
        <f>VLOOKUP(Table13[[#This Row],[Column1]],[1]Sheet1!$A:$AO,5,FALSE)</f>
        <v>NP-53.9 - Small Value Procurement</v>
      </c>
      <c r="F1096" s="446">
        <f>VLOOKUP(Table13[[#This Row],[Column1]],[1]Sheet1!$A:$AO,6,FALSE)</f>
        <v>45457</v>
      </c>
      <c r="G1096" s="402">
        <f>VLOOKUP(Table13[[#This Row],[Column1]],[1]Sheet1!$A:$AO,7,FALSE)</f>
        <v>45460</v>
      </c>
      <c r="H1096" s="374"/>
      <c r="I1096" s="402"/>
      <c r="J1096" s="402"/>
      <c r="K1096" s="402"/>
      <c r="L1096" s="404"/>
      <c r="M1096" s="402"/>
      <c r="N1096" s="402"/>
      <c r="O1096" s="402"/>
      <c r="P1096" s="375"/>
      <c r="Q1096" s="375"/>
      <c r="R1096" s="376"/>
      <c r="S1096" s="583"/>
      <c r="T1096" s="583"/>
      <c r="U1096" s="583"/>
      <c r="V1096" s="376"/>
      <c r="W1096" s="376"/>
      <c r="X1096" s="402"/>
      <c r="Y1096" s="402"/>
      <c r="Z1096" s="610" t="s">
        <v>1478</v>
      </c>
      <c r="AA1096" s="454">
        <f>IF(Table13[[#This Row],[Column2]]="","",SUM(Table13[[#This Row],[Column28]]+Table13[[#This Row],[Column29]]))</f>
        <v>10200</v>
      </c>
      <c r="AB1096" s="466"/>
      <c r="AC1096" s="502">
        <v>10200</v>
      </c>
      <c r="AD1096" s="451">
        <f>IF(Table13[[#This Row],[Column2]]="","",SUM(Table13[[#This Row],[Column31]]+Table13[[#This Row],[Column32]]))</f>
        <v>0</v>
      </c>
      <c r="AE1096" s="453"/>
      <c r="AF1096" s="646"/>
      <c r="AG1096" s="405"/>
      <c r="AH1096" s="380" t="s">
        <v>1205</v>
      </c>
      <c r="AI1096" s="576"/>
      <c r="AJ1096" s="576"/>
      <c r="AK1096" s="576"/>
      <c r="AL1096" s="576"/>
      <c r="AM1096" s="576"/>
      <c r="AN1096" s="576"/>
      <c r="AO1096" s="303" t="s">
        <v>175</v>
      </c>
      <c r="AP1096" s="378"/>
      <c r="AQ1096" s="237"/>
    </row>
    <row r="1097" spans="1:43" s="238" customFormat="1" ht="75" customHeight="1" x14ac:dyDescent="0.25">
      <c r="A1097" s="297" t="s">
        <v>1321</v>
      </c>
      <c r="B1097" s="627" t="str">
        <f>VLOOKUP(Table13[[#This Row],[Column1]],[1]Sheet1!$A:$AO,2,FALSE)</f>
        <v>HEMATOLOGY ANALYZER</v>
      </c>
      <c r="C1097" s="298" t="str">
        <f>VLOOKUP(Table13[[#This Row],[Column1]],[1]Sheet1!$A:$AO,3,FALSE)</f>
        <v>PEEMO</v>
      </c>
      <c r="D1097" s="298" t="s">
        <v>712</v>
      </c>
      <c r="E1097" s="450" t="str">
        <f>VLOOKUP(Table13[[#This Row],[Column1]],[1]Sheet1!$A:$AO,5,FALSE)</f>
        <v>Direct Contracting</v>
      </c>
      <c r="F1097" s="446" t="str">
        <f>VLOOKUP(Table13[[#This Row],[Column1]],[1]Sheet1!$A:$AO,6,FALSE)</f>
        <v>N/A</v>
      </c>
      <c r="G1097" s="402">
        <f>VLOOKUP(Table13[[#This Row],[Column1]],[1]Sheet1!$A:$AO,7,FALSE)</f>
        <v>45457</v>
      </c>
      <c r="H1097" s="374"/>
      <c r="I1097" s="402"/>
      <c r="J1097" s="402"/>
      <c r="K1097" s="402"/>
      <c r="L1097" s="404"/>
      <c r="M1097" s="402"/>
      <c r="N1097" s="402"/>
      <c r="O1097" s="402"/>
      <c r="P1097" s="375"/>
      <c r="Q1097" s="375"/>
      <c r="R1097" s="376"/>
      <c r="S1097" s="583"/>
      <c r="T1097" s="583"/>
      <c r="U1097" s="583"/>
      <c r="V1097" s="376"/>
      <c r="W1097" s="376"/>
      <c r="X1097" s="402"/>
      <c r="Y1097" s="402"/>
      <c r="Z1097" s="610" t="s">
        <v>1478</v>
      </c>
      <c r="AA1097" s="454">
        <f>IF(Table13[[#This Row],[Column2]]="","",SUM(Table13[[#This Row],[Column28]]+Table13[[#This Row],[Column29]]))</f>
        <v>1976000</v>
      </c>
      <c r="AB1097" s="466"/>
      <c r="AC1097" s="502">
        <v>1976000</v>
      </c>
      <c r="AD1097" s="451">
        <f>IF(Table13[[#This Row],[Column2]]="","",SUM(Table13[[#This Row],[Column31]]+Table13[[#This Row],[Column32]]))</f>
        <v>0</v>
      </c>
      <c r="AE1097" s="453"/>
      <c r="AF1097" s="646"/>
      <c r="AG1097" s="405"/>
      <c r="AH1097" s="380" t="s">
        <v>1205</v>
      </c>
      <c r="AI1097" s="576"/>
      <c r="AJ1097" s="576"/>
      <c r="AK1097" s="576"/>
      <c r="AL1097" s="576"/>
      <c r="AM1097" s="576"/>
      <c r="AN1097" s="576"/>
      <c r="AO1097" s="303" t="s">
        <v>175</v>
      </c>
      <c r="AP1097" s="378"/>
      <c r="AQ1097" s="237"/>
    </row>
    <row r="1098" spans="1:43" s="238" customFormat="1" ht="75" customHeight="1" x14ac:dyDescent="0.25">
      <c r="A1098" s="297" t="s">
        <v>1322</v>
      </c>
      <c r="B1098" s="627" t="str">
        <f>VLOOKUP(Table13[[#This Row],[Column1]],[1]Sheet1!$A:$AO,2,FALSE)</f>
        <v>MEALS AND SNACKS WITH ACCOMMODATION</v>
      </c>
      <c r="C1098" s="298" t="str">
        <f>VLOOKUP(Table13[[#This Row],[Column1]],[1]Sheet1!$A:$AO,3,FALSE)</f>
        <v>PGO</v>
      </c>
      <c r="D1098" s="298" t="s">
        <v>712</v>
      </c>
      <c r="E1098" s="450" t="str">
        <f>VLOOKUP(Table13[[#This Row],[Column1]],[1]Sheet1!$A:$AO,5,FALSE)</f>
        <v>NP-53.9 - Small Value Procurement</v>
      </c>
      <c r="F1098" s="446" t="str">
        <f>VLOOKUP(Table13[[#This Row],[Column1]],[1]Sheet1!$A:$AO,6,FALSE)</f>
        <v>N/A</v>
      </c>
      <c r="G1098" s="402">
        <f>VLOOKUP(Table13[[#This Row],[Column1]],[1]Sheet1!$A:$AO,7,FALSE)</f>
        <v>45457</v>
      </c>
      <c r="H1098" s="374"/>
      <c r="I1098" s="402"/>
      <c r="J1098" s="402"/>
      <c r="K1098" s="402"/>
      <c r="L1098" s="404"/>
      <c r="M1098" s="402"/>
      <c r="N1098" s="402"/>
      <c r="O1098" s="402"/>
      <c r="P1098" s="375"/>
      <c r="Q1098" s="375"/>
      <c r="R1098" s="376"/>
      <c r="S1098" s="583"/>
      <c r="T1098" s="583"/>
      <c r="U1098" s="583"/>
      <c r="V1098" s="376"/>
      <c r="W1098" s="376"/>
      <c r="X1098" s="402"/>
      <c r="Y1098" s="402"/>
      <c r="Z1098" s="610" t="s">
        <v>1478</v>
      </c>
      <c r="AA1098" s="454">
        <f>IF(Table13[[#This Row],[Column2]]="","",SUM(Table13[[#This Row],[Column28]]+Table13[[#This Row],[Column29]]))</f>
        <v>299000</v>
      </c>
      <c r="AB1098" s="466"/>
      <c r="AC1098" s="502">
        <v>299000</v>
      </c>
      <c r="AD1098" s="451">
        <f>IF(Table13[[#This Row],[Column2]]="","",SUM(Table13[[#This Row],[Column31]]+Table13[[#This Row],[Column32]]))</f>
        <v>0</v>
      </c>
      <c r="AE1098" s="453"/>
      <c r="AF1098" s="646"/>
      <c r="AG1098" s="405"/>
      <c r="AH1098" s="380" t="s">
        <v>1205</v>
      </c>
      <c r="AI1098" s="576"/>
      <c r="AJ1098" s="576"/>
      <c r="AK1098" s="576"/>
      <c r="AL1098" s="576"/>
      <c r="AM1098" s="576"/>
      <c r="AN1098" s="576"/>
      <c r="AO1098" s="303" t="s">
        <v>175</v>
      </c>
      <c r="AP1098" s="378"/>
      <c r="AQ1098" s="237"/>
    </row>
    <row r="1099" spans="1:43" s="238" customFormat="1" ht="75" customHeight="1" x14ac:dyDescent="0.25">
      <c r="A1099" s="297" t="s">
        <v>1323</v>
      </c>
      <c r="B1099" s="627" t="str">
        <f>VLOOKUP(Table13[[#This Row],[Column1]],[1]Sheet1!$A:$AO,2,FALSE)</f>
        <v>MEALS AND SNACKS WITH ACCOMMODATION</v>
      </c>
      <c r="C1099" s="298" t="str">
        <f>VLOOKUP(Table13[[#This Row],[Column1]],[1]Sheet1!$A:$AO,3,FALSE)</f>
        <v>PAO-ADMIN</v>
      </c>
      <c r="D1099" s="298" t="s">
        <v>712</v>
      </c>
      <c r="E1099" s="450" t="str">
        <f>VLOOKUP(Table13[[#This Row],[Column1]],[1]Sheet1!$A:$AO,5,FALSE)</f>
        <v>NP-53.9 - Small Value Procurement</v>
      </c>
      <c r="F1099" s="446" t="str">
        <f>VLOOKUP(Table13[[#This Row],[Column1]],[1]Sheet1!$A:$AO,6,FALSE)</f>
        <v>N/A</v>
      </c>
      <c r="G1099" s="402">
        <f>VLOOKUP(Table13[[#This Row],[Column1]],[1]Sheet1!$A:$AO,7,FALSE)</f>
        <v>45457</v>
      </c>
      <c r="H1099" s="374"/>
      <c r="I1099" s="402"/>
      <c r="J1099" s="402"/>
      <c r="K1099" s="402"/>
      <c r="L1099" s="404"/>
      <c r="M1099" s="402"/>
      <c r="N1099" s="402"/>
      <c r="O1099" s="402"/>
      <c r="P1099" s="375"/>
      <c r="Q1099" s="375"/>
      <c r="R1099" s="376"/>
      <c r="S1099" s="583"/>
      <c r="T1099" s="583"/>
      <c r="U1099" s="583"/>
      <c r="V1099" s="376"/>
      <c r="W1099" s="376"/>
      <c r="X1099" s="402"/>
      <c r="Y1099" s="402"/>
      <c r="Z1099" s="610" t="s">
        <v>1478</v>
      </c>
      <c r="AA1099" s="454">
        <f>IF(Table13[[#This Row],[Column2]]="","",SUM(Table13[[#This Row],[Column28]]+Table13[[#This Row],[Column29]]))</f>
        <v>43700</v>
      </c>
      <c r="AB1099" s="466"/>
      <c r="AC1099" s="502">
        <v>43700</v>
      </c>
      <c r="AD1099" s="451">
        <f>IF(Table13[[#This Row],[Column2]]="","",SUM(Table13[[#This Row],[Column31]]+Table13[[#This Row],[Column32]]))</f>
        <v>0</v>
      </c>
      <c r="AE1099" s="453"/>
      <c r="AF1099" s="646"/>
      <c r="AG1099" s="405"/>
      <c r="AH1099" s="380" t="s">
        <v>1205</v>
      </c>
      <c r="AI1099" s="576"/>
      <c r="AJ1099" s="576"/>
      <c r="AK1099" s="576"/>
      <c r="AL1099" s="576"/>
      <c r="AM1099" s="576"/>
      <c r="AN1099" s="576"/>
      <c r="AO1099" s="303" t="s">
        <v>175</v>
      </c>
      <c r="AP1099" s="378"/>
      <c r="AQ1099" s="237"/>
    </row>
    <row r="1100" spans="1:43" s="238" customFormat="1" ht="75" customHeight="1" x14ac:dyDescent="0.25">
      <c r="A1100" s="297" t="s">
        <v>1324</v>
      </c>
      <c r="B1100" s="627" t="str">
        <f>VLOOKUP(Table13[[#This Row],[Column1]],[1]Sheet1!$A:$AO,2,FALSE)</f>
        <v>MASSAGE THERAPHY KIT B</v>
      </c>
      <c r="C1100" s="298" t="str">
        <f>VLOOKUP(Table13[[#This Row],[Column1]],[1]Sheet1!$A:$AO,3,FALSE)</f>
        <v>PAO-ADMIN</v>
      </c>
      <c r="D1100" s="298" t="s">
        <v>712</v>
      </c>
      <c r="E1100" s="450" t="str">
        <f>VLOOKUP(Table13[[#This Row],[Column1]],[1]Sheet1!$A:$AO,5,FALSE)</f>
        <v>NP-53.9 - Small Value Procurement</v>
      </c>
      <c r="F1100" s="446" t="str">
        <f>VLOOKUP(Table13[[#This Row],[Column1]],[1]Sheet1!$A:$AO,6,FALSE)</f>
        <v>N/A</v>
      </c>
      <c r="G1100" s="402">
        <f>VLOOKUP(Table13[[#This Row],[Column1]],[1]Sheet1!$A:$AO,7,FALSE)</f>
        <v>45457</v>
      </c>
      <c r="H1100" s="374"/>
      <c r="I1100" s="402"/>
      <c r="J1100" s="402"/>
      <c r="K1100" s="402"/>
      <c r="L1100" s="404"/>
      <c r="M1100" s="402"/>
      <c r="N1100" s="402"/>
      <c r="O1100" s="402"/>
      <c r="P1100" s="375"/>
      <c r="Q1100" s="375"/>
      <c r="R1100" s="376"/>
      <c r="S1100" s="583"/>
      <c r="T1100" s="583"/>
      <c r="U1100" s="583"/>
      <c r="V1100" s="376"/>
      <c r="W1100" s="376"/>
      <c r="X1100" s="402"/>
      <c r="Y1100" s="402"/>
      <c r="Z1100" s="610" t="s">
        <v>1478</v>
      </c>
      <c r="AA1100" s="454">
        <f>IF(Table13[[#This Row],[Column2]]="","",SUM(Table13[[#This Row],[Column28]]+Table13[[#This Row],[Column29]]))</f>
        <v>15000</v>
      </c>
      <c r="AB1100" s="466"/>
      <c r="AC1100" s="502">
        <v>15000</v>
      </c>
      <c r="AD1100" s="451">
        <f>IF(Table13[[#This Row],[Column2]]="","",SUM(Table13[[#This Row],[Column31]]+Table13[[#This Row],[Column32]]))</f>
        <v>0</v>
      </c>
      <c r="AE1100" s="453"/>
      <c r="AF1100" s="646"/>
      <c r="AG1100" s="405"/>
      <c r="AH1100" s="380" t="s">
        <v>1205</v>
      </c>
      <c r="AI1100" s="576"/>
      <c r="AJ1100" s="576"/>
      <c r="AK1100" s="576"/>
      <c r="AL1100" s="576"/>
      <c r="AM1100" s="576"/>
      <c r="AN1100" s="576"/>
      <c r="AO1100" s="303" t="s">
        <v>175</v>
      </c>
      <c r="AP1100" s="378"/>
      <c r="AQ1100" s="237"/>
    </row>
    <row r="1101" spans="1:43" s="238" customFormat="1" ht="75" customHeight="1" x14ac:dyDescent="0.25">
      <c r="A1101" s="297" t="s">
        <v>1325</v>
      </c>
      <c r="B1101" s="627" t="str">
        <f>VLOOKUP(Table13[[#This Row],[Column1]],[1]Sheet1!$A:$AO,2,FALSE)</f>
        <v>COMPLETE  14-14-14  FERTILIZER (50KG/BAG)</v>
      </c>
      <c r="C1101" s="298" t="str">
        <f>VLOOKUP(Table13[[#This Row],[Column1]],[1]Sheet1!$A:$AO,3,FALSE)</f>
        <v>PENRO</v>
      </c>
      <c r="D1101" s="298" t="s">
        <v>712</v>
      </c>
      <c r="E1101" s="450" t="str">
        <f>VLOOKUP(Table13[[#This Row],[Column1]],[1]Sheet1!$A:$AO,5,FALSE)</f>
        <v>NP-53.9 - Small Value Procurement</v>
      </c>
      <c r="F1101" s="446" t="str">
        <f>VLOOKUP(Table13[[#This Row],[Column1]],[1]Sheet1!$A:$AO,6,FALSE)</f>
        <v>N/A</v>
      </c>
      <c r="G1101" s="402">
        <f>VLOOKUP(Table13[[#This Row],[Column1]],[1]Sheet1!$A:$AO,7,FALSE)</f>
        <v>45457</v>
      </c>
      <c r="H1101" s="374"/>
      <c r="I1101" s="402"/>
      <c r="J1101" s="402"/>
      <c r="K1101" s="402"/>
      <c r="L1101" s="404"/>
      <c r="M1101" s="402"/>
      <c r="N1101" s="402"/>
      <c r="O1101" s="402"/>
      <c r="P1101" s="375"/>
      <c r="Q1101" s="375"/>
      <c r="R1101" s="376"/>
      <c r="S1101" s="583"/>
      <c r="T1101" s="583"/>
      <c r="U1101" s="583"/>
      <c r="V1101" s="376"/>
      <c r="W1101" s="376"/>
      <c r="X1101" s="402"/>
      <c r="Y1101" s="402"/>
      <c r="Z1101" s="610" t="s">
        <v>1478</v>
      </c>
      <c r="AA1101" s="454">
        <f>IF(Table13[[#This Row],[Column2]]="","",SUM(Table13[[#This Row],[Column28]]+Table13[[#This Row],[Column29]]))</f>
        <v>20000</v>
      </c>
      <c r="AB1101" s="466"/>
      <c r="AC1101" s="502">
        <v>20000</v>
      </c>
      <c r="AD1101" s="451"/>
      <c r="AE1101" s="453"/>
      <c r="AF1101" s="646"/>
      <c r="AG1101" s="405"/>
      <c r="AH1101" s="380" t="s">
        <v>1205</v>
      </c>
      <c r="AI1101" s="576"/>
      <c r="AJ1101" s="576"/>
      <c r="AK1101" s="576"/>
      <c r="AL1101" s="576"/>
      <c r="AM1101" s="576"/>
      <c r="AN1101" s="576"/>
      <c r="AO1101" s="303" t="s">
        <v>175</v>
      </c>
      <c r="AP1101" s="378"/>
      <c r="AQ1101" s="237"/>
    </row>
    <row r="1102" spans="1:43" s="238" customFormat="1" ht="75" customHeight="1" x14ac:dyDescent="0.25">
      <c r="A1102" s="297" t="s">
        <v>1326</v>
      </c>
      <c r="B1102" s="627" t="str">
        <f>VLOOKUP(Table13[[#This Row],[Column1]],[1]Sheet1!$A:$AO,2,FALSE)</f>
        <v>AGRICULTURAL SUPPLIES</v>
      </c>
      <c r="C1102" s="298" t="str">
        <f>VLOOKUP(Table13[[#This Row],[Column1]],[1]Sheet1!$A:$AO,3,FALSE)</f>
        <v>PENRO</v>
      </c>
      <c r="D1102" s="298" t="s">
        <v>712</v>
      </c>
      <c r="E1102" s="450" t="str">
        <f>VLOOKUP(Table13[[#This Row],[Column1]],[1]Sheet1!$A:$AO,5,FALSE)</f>
        <v>NP-53.9 - Small Value Procurement</v>
      </c>
      <c r="F1102" s="446" t="str">
        <f>VLOOKUP(Table13[[#This Row],[Column1]],[1]Sheet1!$A:$AO,6,FALSE)</f>
        <v>N/A</v>
      </c>
      <c r="G1102" s="402">
        <f>VLOOKUP(Table13[[#This Row],[Column1]],[1]Sheet1!$A:$AO,7,FALSE)</f>
        <v>45457</v>
      </c>
      <c r="H1102" s="374"/>
      <c r="I1102" s="402"/>
      <c r="J1102" s="402"/>
      <c r="K1102" s="402"/>
      <c r="L1102" s="404"/>
      <c r="M1102" s="402"/>
      <c r="N1102" s="402"/>
      <c r="O1102" s="402"/>
      <c r="P1102" s="375"/>
      <c r="Q1102" s="375"/>
      <c r="R1102" s="376"/>
      <c r="S1102" s="583"/>
      <c r="T1102" s="583"/>
      <c r="U1102" s="583"/>
      <c r="V1102" s="376"/>
      <c r="W1102" s="376"/>
      <c r="X1102" s="402"/>
      <c r="Y1102" s="402"/>
      <c r="Z1102" s="610" t="s">
        <v>1478</v>
      </c>
      <c r="AA1102" s="454">
        <f>IF(Table13[[#This Row],[Column2]]="","",SUM(Table13[[#This Row],[Column28]]+Table13[[#This Row],[Column29]]))</f>
        <v>434950</v>
      </c>
      <c r="AB1102" s="466"/>
      <c r="AC1102" s="502">
        <v>434950</v>
      </c>
      <c r="AD1102" s="451">
        <f>IF(Table13[[#This Row],[Column2]]="","",SUM(Table13[[#This Row],[Column31]]+Table13[[#This Row],[Column32]]))</f>
        <v>0</v>
      </c>
      <c r="AE1102" s="453"/>
      <c r="AF1102" s="646"/>
      <c r="AG1102" s="405"/>
      <c r="AH1102" s="380" t="s">
        <v>1205</v>
      </c>
      <c r="AI1102" s="576"/>
      <c r="AJ1102" s="576"/>
      <c r="AK1102" s="576"/>
      <c r="AL1102" s="576"/>
      <c r="AM1102" s="576"/>
      <c r="AN1102" s="576"/>
      <c r="AO1102" s="303" t="s">
        <v>175</v>
      </c>
      <c r="AP1102" s="378"/>
      <c r="AQ1102" s="237"/>
    </row>
    <row r="1103" spans="1:43" s="238" customFormat="1" ht="75" customHeight="1" x14ac:dyDescent="0.25">
      <c r="A1103" s="297" t="s">
        <v>1327</v>
      </c>
      <c r="B1103" s="627" t="str">
        <f>VLOOKUP(Table13[[#This Row],[Column1]],[1]Sheet1!$A:$AO,2,FALSE)</f>
        <v>AQUARIUM (24x12x12 INCHES)</v>
      </c>
      <c r="C1103" s="298" t="str">
        <f>VLOOKUP(Table13[[#This Row],[Column1]],[1]Sheet1!$A:$AO,3,FALSE)</f>
        <v>PAGRO</v>
      </c>
      <c r="D1103" s="298" t="s">
        <v>712</v>
      </c>
      <c r="E1103" s="450" t="str">
        <f>VLOOKUP(Table13[[#This Row],[Column1]],[1]Sheet1!$A:$AO,5,FALSE)</f>
        <v>NP-53.9 - Small Value Procurement</v>
      </c>
      <c r="F1103" s="446" t="str">
        <f>VLOOKUP(Table13[[#This Row],[Column1]],[1]Sheet1!$A:$AO,6,FALSE)</f>
        <v>N/A</v>
      </c>
      <c r="G1103" s="402">
        <f>VLOOKUP(Table13[[#This Row],[Column1]],[1]Sheet1!$A:$AO,7,FALSE)</f>
        <v>45457</v>
      </c>
      <c r="H1103" s="374"/>
      <c r="I1103" s="402"/>
      <c r="J1103" s="402"/>
      <c r="K1103" s="402"/>
      <c r="L1103" s="404"/>
      <c r="M1103" s="402"/>
      <c r="N1103" s="402"/>
      <c r="O1103" s="402"/>
      <c r="P1103" s="375"/>
      <c r="Q1103" s="375"/>
      <c r="R1103" s="376"/>
      <c r="S1103" s="583"/>
      <c r="T1103" s="583"/>
      <c r="U1103" s="583"/>
      <c r="V1103" s="376"/>
      <c r="W1103" s="376"/>
      <c r="X1103" s="402"/>
      <c r="Y1103" s="402"/>
      <c r="Z1103" s="610" t="s">
        <v>1478</v>
      </c>
      <c r="AA1103" s="454">
        <f>IF(Table13[[#This Row],[Column2]]="","",SUM(Table13[[#This Row],[Column28]]+Table13[[#This Row],[Column29]]))</f>
        <v>11550</v>
      </c>
      <c r="AB1103" s="466"/>
      <c r="AC1103" s="502">
        <v>11550</v>
      </c>
      <c r="AD1103" s="451">
        <f>IF(Table13[[#This Row],[Column2]]="","",SUM(Table13[[#This Row],[Column31]]+Table13[[#This Row],[Column32]]))</f>
        <v>0</v>
      </c>
      <c r="AE1103" s="453"/>
      <c r="AF1103" s="646"/>
      <c r="AG1103" s="405"/>
      <c r="AH1103" s="380" t="s">
        <v>1205</v>
      </c>
      <c r="AI1103" s="576"/>
      <c r="AJ1103" s="576"/>
      <c r="AK1103" s="576"/>
      <c r="AL1103" s="576"/>
      <c r="AM1103" s="576"/>
      <c r="AN1103" s="576"/>
      <c r="AO1103" s="303" t="s">
        <v>175</v>
      </c>
      <c r="AP1103" s="378"/>
      <c r="AQ1103" s="237"/>
    </row>
    <row r="1104" spans="1:43" s="238" customFormat="1" ht="75" customHeight="1" x14ac:dyDescent="0.25">
      <c r="A1104" s="297" t="s">
        <v>1328</v>
      </c>
      <c r="B1104" s="627" t="str">
        <f>VLOOKUP(Table13[[#This Row],[Column1]],[1]Sheet1!$A:$AO,2,FALSE)</f>
        <v>LABORATORY INSTRUMENT</v>
      </c>
      <c r="C1104" s="298" t="str">
        <f>VLOOKUP(Table13[[#This Row],[Column1]],[1]Sheet1!$A:$AO,3,FALSE)</f>
        <v>PAGRO</v>
      </c>
      <c r="D1104" s="298" t="s">
        <v>712</v>
      </c>
      <c r="E1104" s="450" t="str">
        <f>VLOOKUP(Table13[[#This Row],[Column1]],[1]Sheet1!$A:$AO,5,FALSE)</f>
        <v>NP-53.9 - Small Value Procurement</v>
      </c>
      <c r="F1104" s="446" t="str">
        <f>VLOOKUP(Table13[[#This Row],[Column1]],[1]Sheet1!$A:$AO,6,FALSE)</f>
        <v>N/A</v>
      </c>
      <c r="G1104" s="402">
        <f>VLOOKUP(Table13[[#This Row],[Column1]],[1]Sheet1!$A:$AO,7,FALSE)</f>
        <v>45457</v>
      </c>
      <c r="H1104" s="374"/>
      <c r="I1104" s="402"/>
      <c r="J1104" s="402"/>
      <c r="K1104" s="402"/>
      <c r="L1104" s="404"/>
      <c r="M1104" s="402"/>
      <c r="N1104" s="402"/>
      <c r="O1104" s="402"/>
      <c r="P1104" s="375"/>
      <c r="Q1104" s="375"/>
      <c r="R1104" s="376"/>
      <c r="S1104" s="583"/>
      <c r="T1104" s="583"/>
      <c r="U1104" s="583"/>
      <c r="V1104" s="376"/>
      <c r="W1104" s="376"/>
      <c r="X1104" s="402"/>
      <c r="Y1104" s="402"/>
      <c r="Z1104" s="610" t="s">
        <v>1478</v>
      </c>
      <c r="AA1104" s="454">
        <f>IF(Table13[[#This Row],[Column2]]="","",SUM(Table13[[#This Row],[Column28]]+Table13[[#This Row],[Column29]]))</f>
        <v>40590</v>
      </c>
      <c r="AB1104" s="466"/>
      <c r="AC1104" s="502">
        <v>40590</v>
      </c>
      <c r="AD1104" s="451">
        <f>IF(Table13[[#This Row],[Column2]]="","",SUM(Table13[[#This Row],[Column31]]+Table13[[#This Row],[Column32]]))</f>
        <v>0</v>
      </c>
      <c r="AE1104" s="453"/>
      <c r="AF1104" s="646"/>
      <c r="AG1104" s="405"/>
      <c r="AH1104" s="380" t="s">
        <v>1205</v>
      </c>
      <c r="AI1104" s="576"/>
      <c r="AJ1104" s="576"/>
      <c r="AK1104" s="576"/>
      <c r="AL1104" s="576"/>
      <c r="AM1104" s="576"/>
      <c r="AN1104" s="576"/>
      <c r="AO1104" s="303" t="s">
        <v>175</v>
      </c>
      <c r="AP1104" s="378"/>
      <c r="AQ1104" s="237"/>
    </row>
    <row r="1105" spans="1:43" s="238" customFormat="1" ht="75" customHeight="1" x14ac:dyDescent="0.25">
      <c r="A1105" s="297" t="s">
        <v>1329</v>
      </c>
      <c r="B1105" s="627" t="str">
        <f>VLOOKUP(Table13[[#This Row],[Column1]],[1]Sheet1!$A:$AO,2,FALSE)</f>
        <v>CONSTRUCTION SUPPLIES</v>
      </c>
      <c r="C1105" s="298" t="str">
        <f>VLOOKUP(Table13[[#This Row],[Column1]],[1]Sheet1!$A:$AO,3,FALSE)</f>
        <v>PDRRMO</v>
      </c>
      <c r="D1105" s="298" t="s">
        <v>712</v>
      </c>
      <c r="E1105" s="450" t="str">
        <f>VLOOKUP(Table13[[#This Row],[Column1]],[1]Sheet1!$A:$AO,5,FALSE)</f>
        <v>NP-53.9 - Small Value Procurement</v>
      </c>
      <c r="F1105" s="446" t="str">
        <f>VLOOKUP(Table13[[#This Row],[Column1]],[1]Sheet1!$A:$AO,6,FALSE)</f>
        <v>N/A</v>
      </c>
      <c r="G1105" s="402">
        <f>VLOOKUP(Table13[[#This Row],[Column1]],[1]Sheet1!$A:$AO,7,FALSE)</f>
        <v>45457</v>
      </c>
      <c r="H1105" s="374"/>
      <c r="I1105" s="402"/>
      <c r="J1105" s="402"/>
      <c r="K1105" s="402"/>
      <c r="L1105" s="404"/>
      <c r="M1105" s="402"/>
      <c r="N1105" s="402"/>
      <c r="O1105" s="402"/>
      <c r="P1105" s="375"/>
      <c r="Q1105" s="375"/>
      <c r="R1105" s="376"/>
      <c r="S1105" s="583"/>
      <c r="T1105" s="583"/>
      <c r="U1105" s="583"/>
      <c r="V1105" s="376"/>
      <c r="W1105" s="376"/>
      <c r="X1105" s="402"/>
      <c r="Y1105" s="402"/>
      <c r="Z1105" s="610" t="s">
        <v>1478</v>
      </c>
      <c r="AA1105" s="454">
        <f>IF(Table13[[#This Row],[Column2]]="","",SUM(Table13[[#This Row],[Column28]]+Table13[[#This Row],[Column29]]))</f>
        <v>15070</v>
      </c>
      <c r="AB1105" s="466"/>
      <c r="AC1105" s="502">
        <v>15070</v>
      </c>
      <c r="AD1105" s="451">
        <f>IF(Table13[[#This Row],[Column2]]="","",SUM(Table13[[#This Row],[Column31]]+Table13[[#This Row],[Column32]]))</f>
        <v>0</v>
      </c>
      <c r="AE1105" s="453"/>
      <c r="AF1105" s="646"/>
      <c r="AG1105" s="405"/>
      <c r="AH1105" s="380" t="s">
        <v>1205</v>
      </c>
      <c r="AI1105" s="576"/>
      <c r="AJ1105" s="576"/>
      <c r="AK1105" s="576"/>
      <c r="AL1105" s="576"/>
      <c r="AM1105" s="576"/>
      <c r="AN1105" s="576"/>
      <c r="AO1105" s="303" t="s">
        <v>175</v>
      </c>
      <c r="AP1105" s="378"/>
      <c r="AQ1105" s="237"/>
    </row>
    <row r="1106" spans="1:43" s="238" customFormat="1" ht="75" customHeight="1" x14ac:dyDescent="0.25">
      <c r="A1106" s="297" t="s">
        <v>1330</v>
      </c>
      <c r="B1106" s="627" t="str">
        <f>VLOOKUP(Table13[[#This Row],[Column1]],[1]Sheet1!$A:$AO,2,FALSE)</f>
        <v>DRAFTED DURIAN</v>
      </c>
      <c r="C1106" s="298" t="str">
        <f>VLOOKUP(Table13[[#This Row],[Column1]],[1]Sheet1!$A:$AO,3,FALSE)</f>
        <v>PDRRMO</v>
      </c>
      <c r="D1106" s="298" t="s">
        <v>712</v>
      </c>
      <c r="E1106" s="450" t="str">
        <f>VLOOKUP(Table13[[#This Row],[Column1]],[1]Sheet1!$A:$AO,5,FALSE)</f>
        <v>NP-53.9 - Small Value Procurement</v>
      </c>
      <c r="F1106" s="446" t="str">
        <f>VLOOKUP(Table13[[#This Row],[Column1]],[1]Sheet1!$A:$AO,6,FALSE)</f>
        <v>N/A</v>
      </c>
      <c r="G1106" s="402">
        <f>VLOOKUP(Table13[[#This Row],[Column1]],[1]Sheet1!$A:$AO,7,FALSE)</f>
        <v>45457</v>
      </c>
      <c r="H1106" s="374"/>
      <c r="I1106" s="402"/>
      <c r="J1106" s="402"/>
      <c r="K1106" s="402"/>
      <c r="L1106" s="404"/>
      <c r="M1106" s="402"/>
      <c r="N1106" s="402"/>
      <c r="O1106" s="402"/>
      <c r="P1106" s="375"/>
      <c r="Q1106" s="375"/>
      <c r="R1106" s="376"/>
      <c r="S1106" s="583"/>
      <c r="T1106" s="583"/>
      <c r="U1106" s="583"/>
      <c r="V1106" s="376"/>
      <c r="W1106" s="376"/>
      <c r="X1106" s="402"/>
      <c r="Y1106" s="402"/>
      <c r="Z1106" s="610" t="s">
        <v>1478</v>
      </c>
      <c r="AA1106" s="454">
        <f>IF(Table13[[#This Row],[Column2]]="","",SUM(Table13[[#This Row],[Column28]]+Table13[[#This Row],[Column29]]))</f>
        <v>132000</v>
      </c>
      <c r="AB1106" s="466"/>
      <c r="AC1106" s="502">
        <v>132000</v>
      </c>
      <c r="AD1106" s="451">
        <f>IF(Table13[[#This Row],[Column2]]="","",SUM(Table13[[#This Row],[Column31]]+Table13[[#This Row],[Column32]]))</f>
        <v>0</v>
      </c>
      <c r="AE1106" s="453"/>
      <c r="AF1106" s="646"/>
      <c r="AG1106" s="405"/>
      <c r="AH1106" s="380" t="s">
        <v>1205</v>
      </c>
      <c r="AI1106" s="576"/>
      <c r="AJ1106" s="576"/>
      <c r="AK1106" s="576"/>
      <c r="AL1106" s="576"/>
      <c r="AM1106" s="576"/>
      <c r="AN1106" s="576"/>
      <c r="AO1106" s="303" t="s">
        <v>175</v>
      </c>
      <c r="AP1106" s="378"/>
      <c r="AQ1106" s="237"/>
    </row>
    <row r="1107" spans="1:43" s="238" customFormat="1" ht="75" customHeight="1" x14ac:dyDescent="0.25">
      <c r="A1107" s="297" t="s">
        <v>1331</v>
      </c>
      <c r="B1107" s="627" t="str">
        <f>VLOOKUP(Table13[[#This Row],[Column1]],[1]Sheet1!$A:$AO,2,FALSE)</f>
        <v>SPAREPARTS (FARM MACHINERIES)</v>
      </c>
      <c r="C1107" s="298" t="str">
        <f>VLOOKUP(Table13[[#This Row],[Column1]],[1]Sheet1!$A:$AO,3,FALSE)</f>
        <v>PAGRO</v>
      </c>
      <c r="D1107" s="298" t="s">
        <v>712</v>
      </c>
      <c r="E1107" s="450" t="str">
        <f>VLOOKUP(Table13[[#This Row],[Column1]],[1]Sheet1!$A:$AO,5,FALSE)</f>
        <v>NP-53.9 - Small Value Procurement</v>
      </c>
      <c r="F1107" s="446" t="str">
        <f>VLOOKUP(Table13[[#This Row],[Column1]],[1]Sheet1!$A:$AO,6,FALSE)</f>
        <v>N/A</v>
      </c>
      <c r="G1107" s="402">
        <f>VLOOKUP(Table13[[#This Row],[Column1]],[1]Sheet1!$A:$AO,7,FALSE)</f>
        <v>45457</v>
      </c>
      <c r="H1107" s="374"/>
      <c r="I1107" s="402"/>
      <c r="J1107" s="402"/>
      <c r="K1107" s="402"/>
      <c r="L1107" s="404"/>
      <c r="M1107" s="402"/>
      <c r="N1107" s="402"/>
      <c r="O1107" s="402"/>
      <c r="P1107" s="375"/>
      <c r="Q1107" s="375"/>
      <c r="R1107" s="376"/>
      <c r="S1107" s="583"/>
      <c r="T1107" s="583"/>
      <c r="U1107" s="583"/>
      <c r="V1107" s="376"/>
      <c r="W1107" s="376"/>
      <c r="X1107" s="402"/>
      <c r="Y1107" s="402"/>
      <c r="Z1107" s="610" t="s">
        <v>1478</v>
      </c>
      <c r="AA1107" s="454">
        <f>IF(Table13[[#This Row],[Column2]]="","",SUM(Table13[[#This Row],[Column28]]+Table13[[#This Row],[Column29]]))</f>
        <v>32352</v>
      </c>
      <c r="AB1107" s="466"/>
      <c r="AC1107" s="502">
        <v>32352</v>
      </c>
      <c r="AD1107" s="451">
        <f>IF(Table13[[#This Row],[Column2]]="","",SUM(Table13[[#This Row],[Column31]]+Table13[[#This Row],[Column32]]))</f>
        <v>0</v>
      </c>
      <c r="AE1107" s="453"/>
      <c r="AF1107" s="646"/>
      <c r="AG1107" s="405"/>
      <c r="AH1107" s="380" t="s">
        <v>1205</v>
      </c>
      <c r="AI1107" s="576"/>
      <c r="AJ1107" s="576"/>
      <c r="AK1107" s="576"/>
      <c r="AL1107" s="576"/>
      <c r="AM1107" s="576"/>
      <c r="AN1107" s="576"/>
      <c r="AO1107" s="303" t="s">
        <v>175</v>
      </c>
      <c r="AP1107" s="378"/>
      <c r="AQ1107" s="237"/>
    </row>
    <row r="1108" spans="1:43" s="238" customFormat="1" ht="75" customHeight="1" x14ac:dyDescent="0.25">
      <c r="A1108" s="297" t="s">
        <v>1332</v>
      </c>
      <c r="B1108" s="627" t="str">
        <f>VLOOKUP(Table13[[#This Row],[Column1]],[1]Sheet1!$A:$AO,2,FALSE)</f>
        <v>MEALS AND SNACKS</v>
      </c>
      <c r="C1108" s="298" t="str">
        <f>VLOOKUP(Table13[[#This Row],[Column1]],[1]Sheet1!$A:$AO,3,FALSE)</f>
        <v>PBO</v>
      </c>
      <c r="D1108" s="298" t="s">
        <v>712</v>
      </c>
      <c r="E1108" s="450" t="str">
        <f>VLOOKUP(Table13[[#This Row],[Column1]],[1]Sheet1!$A:$AO,5,FALSE)</f>
        <v>NP-53.9 - Small Value Procurement</v>
      </c>
      <c r="F1108" s="446" t="str">
        <f>VLOOKUP(Table13[[#This Row],[Column1]],[1]Sheet1!$A:$AO,6,FALSE)</f>
        <v>N/A</v>
      </c>
      <c r="G1108" s="402">
        <f>VLOOKUP(Table13[[#This Row],[Column1]],[1]Sheet1!$A:$AO,7,FALSE)</f>
        <v>45457</v>
      </c>
      <c r="H1108" s="374"/>
      <c r="I1108" s="402"/>
      <c r="J1108" s="402"/>
      <c r="K1108" s="402"/>
      <c r="L1108" s="404"/>
      <c r="M1108" s="402"/>
      <c r="N1108" s="402"/>
      <c r="O1108" s="402"/>
      <c r="P1108" s="375"/>
      <c r="Q1108" s="375"/>
      <c r="R1108" s="376"/>
      <c r="S1108" s="583"/>
      <c r="T1108" s="583"/>
      <c r="U1108" s="583"/>
      <c r="V1108" s="376"/>
      <c r="W1108" s="376"/>
      <c r="X1108" s="402"/>
      <c r="Y1108" s="402"/>
      <c r="Z1108" s="610" t="s">
        <v>1478</v>
      </c>
      <c r="AA1108" s="454">
        <f>IF(Table13[[#This Row],[Column2]]="","",SUM(Table13[[#This Row],[Column28]]+Table13[[#This Row],[Column29]]))</f>
        <v>53105</v>
      </c>
      <c r="AB1108" s="466"/>
      <c r="AC1108" s="502">
        <v>53105</v>
      </c>
      <c r="AD1108" s="451">
        <f>IF(Table13[[#This Row],[Column2]]="","",SUM(Table13[[#This Row],[Column31]]+Table13[[#This Row],[Column32]]))</f>
        <v>0</v>
      </c>
      <c r="AE1108" s="453"/>
      <c r="AF1108" s="646"/>
      <c r="AG1108" s="405"/>
      <c r="AH1108" s="380" t="s">
        <v>1205</v>
      </c>
      <c r="AI1108" s="576"/>
      <c r="AJ1108" s="576"/>
      <c r="AK1108" s="576"/>
      <c r="AL1108" s="576"/>
      <c r="AM1108" s="576"/>
      <c r="AN1108" s="576"/>
      <c r="AO1108" s="303" t="s">
        <v>175</v>
      </c>
      <c r="AP1108" s="378"/>
      <c r="AQ1108" s="237"/>
    </row>
    <row r="1109" spans="1:43" s="238" customFormat="1" ht="75" customHeight="1" x14ac:dyDescent="0.25">
      <c r="A1109" s="297" t="s">
        <v>1333</v>
      </c>
      <c r="B1109" s="627" t="str">
        <f>VLOOKUP(Table13[[#This Row],[Column1]],[1]Sheet1!$A:$AO,2,FALSE)</f>
        <v>CABINET MOBILE (BI-STEEL ) 3 DRAWERS</v>
      </c>
      <c r="C1109" s="298" t="str">
        <f>VLOOKUP(Table13[[#This Row],[Column1]],[1]Sheet1!$A:$AO,3,FALSE)</f>
        <v>PAO-ADMIN</v>
      </c>
      <c r="D1109" s="298" t="s">
        <v>712</v>
      </c>
      <c r="E1109" s="450" t="str">
        <f>VLOOKUP(Table13[[#This Row],[Column1]],[1]Sheet1!$A:$AO,5,FALSE)</f>
        <v>NP-53.9 - Small Value Procurement</v>
      </c>
      <c r="F1109" s="446" t="str">
        <f>VLOOKUP(Table13[[#This Row],[Column1]],[1]Sheet1!$A:$AO,6,FALSE)</f>
        <v>N/A</v>
      </c>
      <c r="G1109" s="402">
        <f>VLOOKUP(Table13[[#This Row],[Column1]],[1]Sheet1!$A:$AO,7,FALSE)</f>
        <v>45457</v>
      </c>
      <c r="H1109" s="374"/>
      <c r="I1109" s="402"/>
      <c r="J1109" s="402"/>
      <c r="K1109" s="402"/>
      <c r="L1109" s="404"/>
      <c r="M1109" s="402"/>
      <c r="N1109" s="402"/>
      <c r="O1109" s="402"/>
      <c r="P1109" s="375"/>
      <c r="Q1109" s="375"/>
      <c r="R1109" s="376"/>
      <c r="S1109" s="583"/>
      <c r="T1109" s="583"/>
      <c r="U1109" s="583"/>
      <c r="V1109" s="376"/>
      <c r="W1109" s="376"/>
      <c r="X1109" s="402"/>
      <c r="Y1109" s="402"/>
      <c r="Z1109" s="610" t="s">
        <v>1478</v>
      </c>
      <c r="AA1109" s="454">
        <f>IF(Table13[[#This Row],[Column2]]="","",SUM(Table13[[#This Row],[Column28]]+Table13[[#This Row],[Column29]]))</f>
        <v>9900</v>
      </c>
      <c r="AB1109" s="466"/>
      <c r="AC1109" s="502">
        <v>9900</v>
      </c>
      <c r="AD1109" s="451">
        <f>IF(Table13[[#This Row],[Column2]]="","",SUM(Table13[[#This Row],[Column31]]+Table13[[#This Row],[Column32]]))</f>
        <v>0</v>
      </c>
      <c r="AE1109" s="453"/>
      <c r="AF1109" s="646"/>
      <c r="AG1109" s="405"/>
      <c r="AH1109" s="380" t="s">
        <v>1205</v>
      </c>
      <c r="AI1109" s="576"/>
      <c r="AJ1109" s="576"/>
      <c r="AK1109" s="576"/>
      <c r="AL1109" s="576"/>
      <c r="AM1109" s="576"/>
      <c r="AN1109" s="576"/>
      <c r="AO1109" s="303" t="s">
        <v>175</v>
      </c>
      <c r="AP1109" s="378"/>
      <c r="AQ1109" s="237"/>
    </row>
    <row r="1110" spans="1:43" s="238" customFormat="1" ht="75" customHeight="1" x14ac:dyDescent="0.25">
      <c r="A1110" s="297" t="s">
        <v>1334</v>
      </c>
      <c r="B1110" s="627" t="str">
        <f>VLOOKUP(Table13[[#This Row],[Column1]],[1]Sheet1!$A:$AO,2,FALSE)</f>
        <v>MINERAL WATER (5 GAL.)</v>
      </c>
      <c r="C1110" s="298" t="str">
        <f>VLOOKUP(Table13[[#This Row],[Column1]],[1]Sheet1!$A:$AO,3,FALSE)</f>
        <v>PAO-ADMIN</v>
      </c>
      <c r="D1110" s="298" t="s">
        <v>712</v>
      </c>
      <c r="E1110" s="450" t="str">
        <f>VLOOKUP(Table13[[#This Row],[Column1]],[1]Sheet1!$A:$AO,5,FALSE)</f>
        <v>NP-53.9 - Small Value Procurement</v>
      </c>
      <c r="F1110" s="446" t="str">
        <f>VLOOKUP(Table13[[#This Row],[Column1]],[1]Sheet1!$A:$AO,6,FALSE)</f>
        <v>N/A</v>
      </c>
      <c r="G1110" s="402">
        <f>VLOOKUP(Table13[[#This Row],[Column1]],[1]Sheet1!$A:$AO,7,FALSE)</f>
        <v>45457</v>
      </c>
      <c r="H1110" s="374"/>
      <c r="I1110" s="402"/>
      <c r="J1110" s="402"/>
      <c r="K1110" s="402"/>
      <c r="L1110" s="404"/>
      <c r="M1110" s="402"/>
      <c r="N1110" s="402"/>
      <c r="O1110" s="402"/>
      <c r="P1110" s="375"/>
      <c r="Q1110" s="375"/>
      <c r="R1110" s="376"/>
      <c r="S1110" s="583"/>
      <c r="T1110" s="583"/>
      <c r="U1110" s="583"/>
      <c r="V1110" s="376"/>
      <c r="W1110" s="376"/>
      <c r="X1110" s="402"/>
      <c r="Y1110" s="402"/>
      <c r="Z1110" s="610" t="s">
        <v>1478</v>
      </c>
      <c r="AA1110" s="454">
        <f>IF(Table13[[#This Row],[Column2]]="","",SUM(Table13[[#This Row],[Column28]]+Table13[[#This Row],[Column29]]))</f>
        <v>2665</v>
      </c>
      <c r="AB1110" s="466"/>
      <c r="AC1110" s="502">
        <v>2665</v>
      </c>
      <c r="AD1110" s="451">
        <f>IF(Table13[[#This Row],[Column2]]="","",SUM(Table13[[#This Row],[Column31]]+Table13[[#This Row],[Column32]]))</f>
        <v>0</v>
      </c>
      <c r="AE1110" s="453"/>
      <c r="AF1110" s="646"/>
      <c r="AG1110" s="405"/>
      <c r="AH1110" s="380" t="s">
        <v>1205</v>
      </c>
      <c r="AI1110" s="576"/>
      <c r="AJ1110" s="576"/>
      <c r="AK1110" s="576"/>
      <c r="AL1110" s="576"/>
      <c r="AM1110" s="576"/>
      <c r="AN1110" s="576"/>
      <c r="AO1110" s="303" t="s">
        <v>175</v>
      </c>
      <c r="AP1110" s="378"/>
      <c r="AQ1110" s="237"/>
    </row>
    <row r="1111" spans="1:43" s="238" customFormat="1" ht="75" customHeight="1" x14ac:dyDescent="0.25">
      <c r="A1111" s="297" t="s">
        <v>1335</v>
      </c>
      <c r="B1111" s="627" t="str">
        <f>VLOOKUP(Table13[[#This Row],[Column1]],[1]Sheet1!$A:$AO,2,FALSE)</f>
        <v>MINERAL WATER (5 GAL.)</v>
      </c>
      <c r="C1111" s="298" t="str">
        <f>VLOOKUP(Table13[[#This Row],[Column1]],[1]Sheet1!$A:$AO,3,FALSE)</f>
        <v>PDRRMO</v>
      </c>
      <c r="D1111" s="298" t="s">
        <v>712</v>
      </c>
      <c r="E1111" s="450" t="str">
        <f>VLOOKUP(Table13[[#This Row],[Column1]],[1]Sheet1!$A:$AO,5,FALSE)</f>
        <v>NP-53.9 - Small Value Procurement</v>
      </c>
      <c r="F1111" s="446" t="str">
        <f>VLOOKUP(Table13[[#This Row],[Column1]],[1]Sheet1!$A:$AO,6,FALSE)</f>
        <v>N/A</v>
      </c>
      <c r="G1111" s="402">
        <f>VLOOKUP(Table13[[#This Row],[Column1]],[1]Sheet1!$A:$AO,7,FALSE)</f>
        <v>45457</v>
      </c>
      <c r="H1111" s="374"/>
      <c r="I1111" s="402"/>
      <c r="J1111" s="402"/>
      <c r="K1111" s="402"/>
      <c r="L1111" s="404"/>
      <c r="M1111" s="402"/>
      <c r="N1111" s="402"/>
      <c r="O1111" s="402"/>
      <c r="P1111" s="375"/>
      <c r="Q1111" s="375"/>
      <c r="R1111" s="376"/>
      <c r="S1111" s="583"/>
      <c r="T1111" s="583"/>
      <c r="U1111" s="583"/>
      <c r="V1111" s="376"/>
      <c r="W1111" s="376"/>
      <c r="X1111" s="402"/>
      <c r="Y1111" s="402"/>
      <c r="Z1111" s="610" t="s">
        <v>1478</v>
      </c>
      <c r="AA1111" s="454">
        <f>IF(Table13[[#This Row],[Column2]]="","",SUM(Table13[[#This Row],[Column28]]+Table13[[#This Row],[Column29]]))</f>
        <v>36244</v>
      </c>
      <c r="AB1111" s="466"/>
      <c r="AC1111" s="502">
        <v>36244</v>
      </c>
      <c r="AD1111" s="451">
        <f>IF(Table13[[#This Row],[Column2]]="","",SUM(Table13[[#This Row],[Column31]]+Table13[[#This Row],[Column32]]))</f>
        <v>0</v>
      </c>
      <c r="AE1111" s="453"/>
      <c r="AF1111" s="646"/>
      <c r="AG1111" s="405"/>
      <c r="AH1111" s="380" t="s">
        <v>1205</v>
      </c>
      <c r="AI1111" s="576"/>
      <c r="AJ1111" s="576"/>
      <c r="AK1111" s="576"/>
      <c r="AL1111" s="576"/>
      <c r="AM1111" s="576"/>
      <c r="AN1111" s="576"/>
      <c r="AO1111" s="303" t="s">
        <v>175</v>
      </c>
      <c r="AP1111" s="378"/>
      <c r="AQ1111" s="237"/>
    </row>
    <row r="1112" spans="1:43" s="238" customFormat="1" ht="75" customHeight="1" x14ac:dyDescent="0.25">
      <c r="A1112" s="297" t="s">
        <v>1336</v>
      </c>
      <c r="B1112" s="627" t="str">
        <f>VLOOKUP(Table13[[#This Row],[Column1]],[1]Sheet1!$A:$AO,2,FALSE)</f>
        <v xml:space="preserve">FOOD SUPPLIES </v>
      </c>
      <c r="C1112" s="298" t="str">
        <f>VLOOKUP(Table13[[#This Row],[Column1]],[1]Sheet1!$A:$AO,3,FALSE)</f>
        <v>VGO</v>
      </c>
      <c r="D1112" s="298" t="s">
        <v>712</v>
      </c>
      <c r="E1112" s="450" t="str">
        <f>VLOOKUP(Table13[[#This Row],[Column1]],[1]Sheet1!$A:$AO,5,FALSE)</f>
        <v>NP-53.9 - Small Value Procurement</v>
      </c>
      <c r="F1112" s="446" t="str">
        <f>VLOOKUP(Table13[[#This Row],[Column1]],[1]Sheet1!$A:$AO,6,FALSE)</f>
        <v>N/A</v>
      </c>
      <c r="G1112" s="402">
        <f>VLOOKUP(Table13[[#This Row],[Column1]],[1]Sheet1!$A:$AO,7,FALSE)</f>
        <v>45457</v>
      </c>
      <c r="H1112" s="374"/>
      <c r="I1112" s="402"/>
      <c r="J1112" s="402"/>
      <c r="K1112" s="402"/>
      <c r="L1112" s="404"/>
      <c r="M1112" s="402"/>
      <c r="N1112" s="402"/>
      <c r="O1112" s="402"/>
      <c r="P1112" s="375"/>
      <c r="Q1112" s="375"/>
      <c r="R1112" s="376"/>
      <c r="S1112" s="583"/>
      <c r="T1112" s="583"/>
      <c r="U1112" s="583"/>
      <c r="V1112" s="376"/>
      <c r="W1112" s="376"/>
      <c r="X1112" s="402"/>
      <c r="Y1112" s="402"/>
      <c r="Z1112" s="610" t="s">
        <v>1478</v>
      </c>
      <c r="AA1112" s="454">
        <f>IF(Table13[[#This Row],[Column2]]="","",SUM(Table13[[#This Row],[Column28]]+Table13[[#This Row],[Column29]]))</f>
        <v>50032</v>
      </c>
      <c r="AB1112" s="466"/>
      <c r="AC1112" s="502">
        <v>50032</v>
      </c>
      <c r="AD1112" s="451">
        <f>IF(Table13[[#This Row],[Column2]]="","",SUM(Table13[[#This Row],[Column31]]+Table13[[#This Row],[Column32]]))</f>
        <v>0</v>
      </c>
      <c r="AE1112" s="453"/>
      <c r="AF1112" s="646"/>
      <c r="AG1112" s="405"/>
      <c r="AH1112" s="380" t="s">
        <v>1205</v>
      </c>
      <c r="AI1112" s="576"/>
      <c r="AJ1112" s="576"/>
      <c r="AK1112" s="576"/>
      <c r="AL1112" s="576"/>
      <c r="AM1112" s="576"/>
      <c r="AN1112" s="576"/>
      <c r="AO1112" s="303" t="s">
        <v>175</v>
      </c>
      <c r="AP1112" s="378"/>
      <c r="AQ1112" s="237"/>
    </row>
    <row r="1113" spans="1:43" s="238" customFormat="1" ht="75" customHeight="1" x14ac:dyDescent="0.25">
      <c r="A1113" s="297" t="s">
        <v>1337</v>
      </c>
      <c r="B1113" s="627" t="str">
        <f>VLOOKUP(Table13[[#This Row],[Column1]],[1]Sheet1!$A:$AO,2,FALSE)</f>
        <v>FUJI DRUM  FOR S2520</v>
      </c>
      <c r="C1113" s="298" t="str">
        <f>VLOOKUP(Table13[[#This Row],[Column1]],[1]Sheet1!$A:$AO,3,FALSE)</f>
        <v>PHRMDO</v>
      </c>
      <c r="D1113" s="298" t="s">
        <v>712</v>
      </c>
      <c r="E1113" s="450" t="str">
        <f>VLOOKUP(Table13[[#This Row],[Column1]],[1]Sheet1!$A:$AO,5,FALSE)</f>
        <v>NP-53.9 - Small Value Procurement</v>
      </c>
      <c r="F1113" s="446" t="str">
        <f>VLOOKUP(Table13[[#This Row],[Column1]],[1]Sheet1!$A:$AO,6,FALSE)</f>
        <v>N/A</v>
      </c>
      <c r="G1113" s="402">
        <f>VLOOKUP(Table13[[#This Row],[Column1]],[1]Sheet1!$A:$AO,7,FALSE)</f>
        <v>45457</v>
      </c>
      <c r="H1113" s="374"/>
      <c r="I1113" s="402"/>
      <c r="J1113" s="402"/>
      <c r="K1113" s="402"/>
      <c r="L1113" s="404"/>
      <c r="M1113" s="402"/>
      <c r="N1113" s="402"/>
      <c r="O1113" s="402"/>
      <c r="P1113" s="375"/>
      <c r="Q1113" s="375"/>
      <c r="R1113" s="376"/>
      <c r="S1113" s="583"/>
      <c r="T1113" s="583"/>
      <c r="U1113" s="583"/>
      <c r="V1113" s="376"/>
      <c r="W1113" s="376"/>
      <c r="X1113" s="402"/>
      <c r="Y1113" s="402"/>
      <c r="Z1113" s="610" t="s">
        <v>1478</v>
      </c>
      <c r="AA1113" s="454">
        <f>IF(Table13[[#This Row],[Column2]]="","",SUM(Table13[[#This Row],[Column28]]+Table13[[#This Row],[Column29]]))</f>
        <v>15000</v>
      </c>
      <c r="AB1113" s="466"/>
      <c r="AC1113" s="502">
        <v>15000</v>
      </c>
      <c r="AD1113" s="451">
        <f>IF(Table13[[#This Row],[Column2]]="","",SUM(Table13[[#This Row],[Column31]]+Table13[[#This Row],[Column32]]))</f>
        <v>0</v>
      </c>
      <c r="AE1113" s="453"/>
      <c r="AF1113" s="646"/>
      <c r="AG1113" s="405"/>
      <c r="AH1113" s="380" t="s">
        <v>1205</v>
      </c>
      <c r="AI1113" s="576"/>
      <c r="AJ1113" s="576"/>
      <c r="AK1113" s="576"/>
      <c r="AL1113" s="576"/>
      <c r="AM1113" s="576"/>
      <c r="AN1113" s="576"/>
      <c r="AO1113" s="303" t="s">
        <v>175</v>
      </c>
      <c r="AP1113" s="378"/>
      <c r="AQ1113" s="237"/>
    </row>
    <row r="1114" spans="1:43" s="238" customFormat="1" ht="75" customHeight="1" x14ac:dyDescent="0.25">
      <c r="A1114" s="297" t="s">
        <v>1338</v>
      </c>
      <c r="B1114" s="627" t="str">
        <f>VLOOKUP(Table13[[#This Row],[Column1]],[1]Sheet1!$A:$AO,2,FALSE)</f>
        <v>PRINTER HEAD FOR LQ 2190</v>
      </c>
      <c r="C1114" s="298" t="str">
        <f>VLOOKUP(Table13[[#This Row],[Column1]],[1]Sheet1!$A:$AO,3,FALSE)</f>
        <v>PHRMDO</v>
      </c>
      <c r="D1114" s="298" t="s">
        <v>712</v>
      </c>
      <c r="E1114" s="450" t="str">
        <f>VLOOKUP(Table13[[#This Row],[Column1]],[1]Sheet1!$A:$AO,5,FALSE)</f>
        <v>NP-53.9 - Small Value Procurement</v>
      </c>
      <c r="F1114" s="446" t="str">
        <f>VLOOKUP(Table13[[#This Row],[Column1]],[1]Sheet1!$A:$AO,6,FALSE)</f>
        <v>N/A</v>
      </c>
      <c r="G1114" s="402">
        <f>VLOOKUP(Table13[[#This Row],[Column1]],[1]Sheet1!$A:$AO,7,FALSE)</f>
        <v>45457</v>
      </c>
      <c r="H1114" s="374"/>
      <c r="I1114" s="402"/>
      <c r="J1114" s="402"/>
      <c r="K1114" s="402"/>
      <c r="L1114" s="404"/>
      <c r="M1114" s="402"/>
      <c r="N1114" s="402"/>
      <c r="O1114" s="402"/>
      <c r="P1114" s="375"/>
      <c r="Q1114" s="375"/>
      <c r="R1114" s="376"/>
      <c r="S1114" s="583"/>
      <c r="T1114" s="583"/>
      <c r="U1114" s="583"/>
      <c r="V1114" s="376"/>
      <c r="W1114" s="376"/>
      <c r="X1114" s="402"/>
      <c r="Y1114" s="402"/>
      <c r="Z1114" s="610" t="s">
        <v>1478</v>
      </c>
      <c r="AA1114" s="454">
        <f>IF(Table13[[#This Row],[Column2]]="","",SUM(Table13[[#This Row],[Column28]]+Table13[[#This Row],[Column29]]))</f>
        <v>24000</v>
      </c>
      <c r="AB1114" s="466"/>
      <c r="AC1114" s="502">
        <v>24000</v>
      </c>
      <c r="AD1114" s="451">
        <f>IF(Table13[[#This Row],[Column2]]="","",SUM(Table13[[#This Row],[Column31]]+Table13[[#This Row],[Column32]]))</f>
        <v>0</v>
      </c>
      <c r="AE1114" s="453"/>
      <c r="AF1114" s="646"/>
      <c r="AG1114" s="405"/>
      <c r="AH1114" s="380" t="s">
        <v>1205</v>
      </c>
      <c r="AI1114" s="576"/>
      <c r="AJ1114" s="576"/>
      <c r="AK1114" s="576"/>
      <c r="AL1114" s="576"/>
      <c r="AM1114" s="576"/>
      <c r="AN1114" s="576"/>
      <c r="AO1114" s="303" t="s">
        <v>175</v>
      </c>
      <c r="AP1114" s="378"/>
      <c r="AQ1114" s="237"/>
    </row>
    <row r="1115" spans="1:43" s="238" customFormat="1" ht="75" customHeight="1" x14ac:dyDescent="0.25">
      <c r="A1115" s="297" t="s">
        <v>1339</v>
      </c>
      <c r="B1115" s="627" t="str">
        <f>VLOOKUP(Table13[[#This Row],[Column1]],[1]Sheet1!$A:$AO,2,FALSE)</f>
        <v>MINERAL WATER (5 GAL.)</v>
      </c>
      <c r="C1115" s="298" t="str">
        <f>VLOOKUP(Table13[[#This Row],[Column1]],[1]Sheet1!$A:$AO,3,FALSE)</f>
        <v>PGO</v>
      </c>
      <c r="D1115" s="298" t="s">
        <v>712</v>
      </c>
      <c r="E1115" s="450" t="str">
        <f>VLOOKUP(Table13[[#This Row],[Column1]],[1]Sheet1!$A:$AO,5,FALSE)</f>
        <v>NP-53.9 - Small Value Procurement</v>
      </c>
      <c r="F1115" s="446" t="str">
        <f>VLOOKUP(Table13[[#This Row],[Column1]],[1]Sheet1!$A:$AO,6,FALSE)</f>
        <v>N/A</v>
      </c>
      <c r="G1115" s="402">
        <f>VLOOKUP(Table13[[#This Row],[Column1]],[1]Sheet1!$A:$AO,7,FALSE)</f>
        <v>45457</v>
      </c>
      <c r="H1115" s="374"/>
      <c r="I1115" s="402"/>
      <c r="J1115" s="402"/>
      <c r="K1115" s="402"/>
      <c r="L1115" s="404"/>
      <c r="M1115" s="402"/>
      <c r="N1115" s="402"/>
      <c r="O1115" s="402"/>
      <c r="P1115" s="375"/>
      <c r="Q1115" s="375"/>
      <c r="R1115" s="376"/>
      <c r="S1115" s="583"/>
      <c r="T1115" s="583"/>
      <c r="U1115" s="583"/>
      <c r="V1115" s="376"/>
      <c r="W1115" s="376"/>
      <c r="X1115" s="402"/>
      <c r="Y1115" s="402"/>
      <c r="Z1115" s="610" t="s">
        <v>1478</v>
      </c>
      <c r="AA1115" s="454">
        <f>IF(Table13[[#This Row],[Column2]]="","",SUM(Table13[[#This Row],[Column28]]+Table13[[#This Row],[Column29]]))</f>
        <v>13940</v>
      </c>
      <c r="AB1115" s="466"/>
      <c r="AC1115" s="502">
        <v>13940</v>
      </c>
      <c r="AD1115" s="451">
        <f>IF(Table13[[#This Row],[Column2]]="","",SUM(Table13[[#This Row],[Column31]]+Table13[[#This Row],[Column32]]))</f>
        <v>0</v>
      </c>
      <c r="AE1115" s="453"/>
      <c r="AF1115" s="646"/>
      <c r="AG1115" s="405"/>
      <c r="AH1115" s="380" t="s">
        <v>1205</v>
      </c>
      <c r="AI1115" s="576"/>
      <c r="AJ1115" s="576"/>
      <c r="AK1115" s="576"/>
      <c r="AL1115" s="576"/>
      <c r="AM1115" s="576"/>
      <c r="AN1115" s="576"/>
      <c r="AO1115" s="303" t="s">
        <v>175</v>
      </c>
      <c r="AP1115" s="378"/>
      <c r="AQ1115" s="237"/>
    </row>
    <row r="1116" spans="1:43" s="238" customFormat="1" ht="75" customHeight="1" x14ac:dyDescent="0.25">
      <c r="A1116" s="297" t="s">
        <v>1340</v>
      </c>
      <c r="B1116" s="627" t="str">
        <f>VLOOKUP(Table13[[#This Row],[Column1]],[1]Sheet1!$A:$AO,2,FALSE)</f>
        <v>PAPER BAG 14X8</v>
      </c>
      <c r="C1116" s="298" t="str">
        <f>VLOOKUP(Table13[[#This Row],[Column1]],[1]Sheet1!$A:$AO,3,FALSE)</f>
        <v>PGO</v>
      </c>
      <c r="D1116" s="298" t="s">
        <v>712</v>
      </c>
      <c r="E1116" s="450" t="str">
        <f>VLOOKUP(Table13[[#This Row],[Column1]],[1]Sheet1!$A:$AO,5,FALSE)</f>
        <v>NP-53.9 - Small Value Procurement</v>
      </c>
      <c r="F1116" s="446" t="str">
        <f>VLOOKUP(Table13[[#This Row],[Column1]],[1]Sheet1!$A:$AO,6,FALSE)</f>
        <v>N/A</v>
      </c>
      <c r="G1116" s="402">
        <f>VLOOKUP(Table13[[#This Row],[Column1]],[1]Sheet1!$A:$AO,7,FALSE)</f>
        <v>45457</v>
      </c>
      <c r="H1116" s="374"/>
      <c r="I1116" s="402"/>
      <c r="J1116" s="402"/>
      <c r="K1116" s="402"/>
      <c r="L1116" s="404"/>
      <c r="M1116" s="402"/>
      <c r="N1116" s="402"/>
      <c r="O1116" s="402"/>
      <c r="P1116" s="375"/>
      <c r="Q1116" s="375"/>
      <c r="R1116" s="376"/>
      <c r="S1116" s="583"/>
      <c r="T1116" s="583"/>
      <c r="U1116" s="583"/>
      <c r="V1116" s="376"/>
      <c r="W1116" s="376"/>
      <c r="X1116" s="402"/>
      <c r="Y1116" s="402"/>
      <c r="Z1116" s="610" t="s">
        <v>1478</v>
      </c>
      <c r="AA1116" s="454">
        <f>IF(Table13[[#This Row],[Column2]]="","",SUM(Table13[[#This Row],[Column28]]+Table13[[#This Row],[Column29]]))</f>
        <v>2625</v>
      </c>
      <c r="AB1116" s="466"/>
      <c r="AC1116" s="502">
        <v>2625</v>
      </c>
      <c r="AD1116" s="451">
        <f>IF(Table13[[#This Row],[Column2]]="","",SUM(Table13[[#This Row],[Column31]]+Table13[[#This Row],[Column32]]))</f>
        <v>0</v>
      </c>
      <c r="AE1116" s="453"/>
      <c r="AF1116" s="646"/>
      <c r="AG1116" s="405"/>
      <c r="AH1116" s="380" t="s">
        <v>1205</v>
      </c>
      <c r="AI1116" s="576"/>
      <c r="AJ1116" s="576"/>
      <c r="AK1116" s="576"/>
      <c r="AL1116" s="576"/>
      <c r="AM1116" s="576"/>
      <c r="AN1116" s="576"/>
      <c r="AO1116" s="303" t="s">
        <v>175</v>
      </c>
      <c r="AP1116" s="378"/>
      <c r="AQ1116" s="237"/>
    </row>
    <row r="1117" spans="1:43" s="238" customFormat="1" ht="75" customHeight="1" x14ac:dyDescent="0.25">
      <c r="A1117" s="297" t="s">
        <v>1341</v>
      </c>
      <c r="B1117" s="627" t="str">
        <f>VLOOKUP(Table13[[#This Row],[Column1]],[1]Sheet1!$A:$AO,2,FALSE)</f>
        <v xml:space="preserve">JANITORIAL SUPPLIES/HOUSEKEEPING </v>
      </c>
      <c r="C1117" s="298" t="str">
        <f>VLOOKUP(Table13[[#This Row],[Column1]],[1]Sheet1!$A:$AO,3,FALSE)</f>
        <v>PGO</v>
      </c>
      <c r="D1117" s="298" t="s">
        <v>712</v>
      </c>
      <c r="E1117" s="450" t="str">
        <f>VLOOKUP(Table13[[#This Row],[Column1]],[1]Sheet1!$A:$AO,5,FALSE)</f>
        <v>NP-53.9 - Small Value Procurement</v>
      </c>
      <c r="F1117" s="446" t="str">
        <f>VLOOKUP(Table13[[#This Row],[Column1]],[1]Sheet1!$A:$AO,6,FALSE)</f>
        <v>N/A</v>
      </c>
      <c r="G1117" s="402">
        <f>VLOOKUP(Table13[[#This Row],[Column1]],[1]Sheet1!$A:$AO,7,FALSE)</f>
        <v>45457</v>
      </c>
      <c r="H1117" s="374"/>
      <c r="I1117" s="402"/>
      <c r="J1117" s="402"/>
      <c r="K1117" s="402"/>
      <c r="L1117" s="404"/>
      <c r="M1117" s="402"/>
      <c r="N1117" s="402"/>
      <c r="O1117" s="402"/>
      <c r="P1117" s="375"/>
      <c r="Q1117" s="375"/>
      <c r="R1117" s="376"/>
      <c r="S1117" s="583"/>
      <c r="T1117" s="583"/>
      <c r="U1117" s="583"/>
      <c r="V1117" s="376"/>
      <c r="W1117" s="376"/>
      <c r="X1117" s="402"/>
      <c r="Y1117" s="402"/>
      <c r="Z1117" s="610" t="s">
        <v>1478</v>
      </c>
      <c r="AA1117" s="454">
        <f>IF(Table13[[#This Row],[Column2]]="","",SUM(Table13[[#This Row],[Column28]]+Table13[[#This Row],[Column29]]))</f>
        <v>25950</v>
      </c>
      <c r="AB1117" s="466"/>
      <c r="AC1117" s="502">
        <v>25950</v>
      </c>
      <c r="AD1117" s="451">
        <f>IF(Table13[[#This Row],[Column2]]="","",SUM(Table13[[#This Row],[Column31]]+Table13[[#This Row],[Column32]]))</f>
        <v>0</v>
      </c>
      <c r="AE1117" s="453"/>
      <c r="AF1117" s="646"/>
      <c r="AG1117" s="405"/>
      <c r="AH1117" s="380" t="s">
        <v>1205</v>
      </c>
      <c r="AI1117" s="576"/>
      <c r="AJ1117" s="576"/>
      <c r="AK1117" s="576"/>
      <c r="AL1117" s="576"/>
      <c r="AM1117" s="576"/>
      <c r="AN1117" s="576"/>
      <c r="AO1117" s="303" t="s">
        <v>175</v>
      </c>
      <c r="AP1117" s="378"/>
      <c r="AQ1117" s="237"/>
    </row>
    <row r="1118" spans="1:43" s="238" customFormat="1" ht="75" customHeight="1" x14ac:dyDescent="0.25">
      <c r="A1118" s="297" t="s">
        <v>1342</v>
      </c>
      <c r="B1118" s="627" t="str">
        <f>VLOOKUP(Table13[[#This Row],[Column1]],[1]Sheet1!$A:$AO,2,FALSE)</f>
        <v>GPS, COMPUTER</v>
      </c>
      <c r="C1118" s="298" t="str">
        <f>VLOOKUP(Table13[[#This Row],[Column1]],[1]Sheet1!$A:$AO,3,FALSE)</f>
        <v>PENRO</v>
      </c>
      <c r="D1118" s="298" t="s">
        <v>712</v>
      </c>
      <c r="E1118" s="450" t="str">
        <f>VLOOKUP(Table13[[#This Row],[Column1]],[1]Sheet1!$A:$AO,5,FALSE)</f>
        <v>NP-53.9 - Small Value Procurement</v>
      </c>
      <c r="F1118" s="446" t="str">
        <f>VLOOKUP(Table13[[#This Row],[Column1]],[1]Sheet1!$A:$AO,6,FALSE)</f>
        <v>N/A</v>
      </c>
      <c r="G1118" s="402">
        <f>VLOOKUP(Table13[[#This Row],[Column1]],[1]Sheet1!$A:$AO,7,FALSE)</f>
        <v>45457</v>
      </c>
      <c r="H1118" s="374"/>
      <c r="I1118" s="402"/>
      <c r="J1118" s="402"/>
      <c r="K1118" s="402"/>
      <c r="L1118" s="404"/>
      <c r="M1118" s="402"/>
      <c r="N1118" s="402"/>
      <c r="O1118" s="402"/>
      <c r="P1118" s="375"/>
      <c r="Q1118" s="375"/>
      <c r="R1118" s="376"/>
      <c r="S1118" s="583"/>
      <c r="T1118" s="583"/>
      <c r="U1118" s="583"/>
      <c r="V1118" s="376"/>
      <c r="W1118" s="376"/>
      <c r="X1118" s="402"/>
      <c r="Y1118" s="402"/>
      <c r="Z1118" s="610" t="s">
        <v>1478</v>
      </c>
      <c r="AA1118" s="454">
        <f>IF(Table13[[#This Row],[Column2]]="","",SUM(Table13[[#This Row],[Column28]]+Table13[[#This Row],[Column29]]))</f>
        <v>40000</v>
      </c>
      <c r="AB1118" s="466"/>
      <c r="AC1118" s="502">
        <v>40000</v>
      </c>
      <c r="AD1118" s="451">
        <f>IF(Table13[[#This Row],[Column2]]="","",SUM(Table13[[#This Row],[Column31]]+Table13[[#This Row],[Column32]]))</f>
        <v>0</v>
      </c>
      <c r="AE1118" s="453"/>
      <c r="AF1118" s="646"/>
      <c r="AG1118" s="405"/>
      <c r="AH1118" s="380" t="s">
        <v>1205</v>
      </c>
      <c r="AI1118" s="576"/>
      <c r="AJ1118" s="576"/>
      <c r="AK1118" s="576"/>
      <c r="AL1118" s="576"/>
      <c r="AM1118" s="576"/>
      <c r="AN1118" s="576"/>
      <c r="AO1118" s="303" t="s">
        <v>175</v>
      </c>
      <c r="AP1118" s="378"/>
      <c r="AQ1118" s="237"/>
    </row>
    <row r="1119" spans="1:43" s="238" customFormat="1" ht="75" customHeight="1" x14ac:dyDescent="0.25">
      <c r="A1119" s="297" t="s">
        <v>1343</v>
      </c>
      <c r="B1119" s="627" t="str">
        <f>VLOOKUP(Table13[[#This Row],[Column1]],[1]Sheet1!$A:$AO,2,FALSE)</f>
        <v>OFFICE EQUIPMENT</v>
      </c>
      <c r="C1119" s="298" t="str">
        <f>VLOOKUP(Table13[[#This Row],[Column1]],[1]Sheet1!$A:$AO,3,FALSE)</f>
        <v>PDRRMO</v>
      </c>
      <c r="D1119" s="298" t="s">
        <v>712</v>
      </c>
      <c r="E1119" s="450" t="str">
        <f>VLOOKUP(Table13[[#This Row],[Column1]],[1]Sheet1!$A:$AO,5,FALSE)</f>
        <v>NP-53.9 - Small Value Procurement</v>
      </c>
      <c r="F1119" s="446" t="str">
        <f>VLOOKUP(Table13[[#This Row],[Column1]],[1]Sheet1!$A:$AO,6,FALSE)</f>
        <v>N/A</v>
      </c>
      <c r="G1119" s="402">
        <f>VLOOKUP(Table13[[#This Row],[Column1]],[1]Sheet1!$A:$AO,7,FALSE)</f>
        <v>45457</v>
      </c>
      <c r="H1119" s="374"/>
      <c r="I1119" s="402"/>
      <c r="J1119" s="402"/>
      <c r="K1119" s="402"/>
      <c r="L1119" s="404"/>
      <c r="M1119" s="402"/>
      <c r="N1119" s="402"/>
      <c r="O1119" s="402"/>
      <c r="P1119" s="375"/>
      <c r="Q1119" s="375"/>
      <c r="R1119" s="376"/>
      <c r="S1119" s="583"/>
      <c r="T1119" s="583"/>
      <c r="U1119" s="583"/>
      <c r="V1119" s="376"/>
      <c r="W1119" s="376"/>
      <c r="X1119" s="402"/>
      <c r="Y1119" s="402"/>
      <c r="Z1119" s="610" t="s">
        <v>1478</v>
      </c>
      <c r="AA1119" s="454">
        <f>IF(Table13[[#This Row],[Column2]]="","",SUM(Table13[[#This Row],[Column28]]+Table13[[#This Row],[Column29]]))</f>
        <v>67420</v>
      </c>
      <c r="AB1119" s="466"/>
      <c r="AC1119" s="502">
        <v>67420</v>
      </c>
      <c r="AD1119" s="451">
        <f>IF(Table13[[#This Row],[Column2]]="","",SUM(Table13[[#This Row],[Column31]]+Table13[[#This Row],[Column32]]))</f>
        <v>0</v>
      </c>
      <c r="AE1119" s="453"/>
      <c r="AF1119" s="646"/>
      <c r="AG1119" s="405"/>
      <c r="AH1119" s="380" t="s">
        <v>1205</v>
      </c>
      <c r="AI1119" s="576"/>
      <c r="AJ1119" s="576"/>
      <c r="AK1119" s="576"/>
      <c r="AL1119" s="576"/>
      <c r="AM1119" s="576"/>
      <c r="AN1119" s="576"/>
      <c r="AO1119" s="303" t="s">
        <v>175</v>
      </c>
      <c r="AP1119" s="378"/>
      <c r="AQ1119" s="237"/>
    </row>
    <row r="1120" spans="1:43" s="238" customFormat="1" ht="75" customHeight="1" x14ac:dyDescent="0.25">
      <c r="A1120" s="297" t="s">
        <v>1344</v>
      </c>
      <c r="B1120" s="627" t="str">
        <f>VLOOKUP(Table13[[#This Row],[Column1]],[1]Sheet1!$A:$AO,2,FALSE)</f>
        <v>RICE WELL MILLED (50 KG/SACK)</v>
      </c>
      <c r="C1120" s="298" t="str">
        <f>VLOOKUP(Table13[[#This Row],[Column1]],[1]Sheet1!$A:$AO,3,FALSE)</f>
        <v>PDRRMO</v>
      </c>
      <c r="D1120" s="298" t="s">
        <v>712</v>
      </c>
      <c r="E1120" s="450" t="str">
        <f>VLOOKUP(Table13[[#This Row],[Column1]],[1]Sheet1!$A:$AO,5,FALSE)</f>
        <v>NP-53.9 - Small Value Procurement</v>
      </c>
      <c r="F1120" s="446" t="str">
        <f>VLOOKUP(Table13[[#This Row],[Column1]],[1]Sheet1!$A:$AO,6,FALSE)</f>
        <v>N/A</v>
      </c>
      <c r="G1120" s="402">
        <f>VLOOKUP(Table13[[#This Row],[Column1]],[1]Sheet1!$A:$AO,7,FALSE)</f>
        <v>45457</v>
      </c>
      <c r="H1120" s="374"/>
      <c r="I1120" s="402"/>
      <c r="J1120" s="402"/>
      <c r="K1120" s="402"/>
      <c r="L1120" s="404"/>
      <c r="M1120" s="402"/>
      <c r="N1120" s="402"/>
      <c r="O1120" s="402"/>
      <c r="P1120" s="375"/>
      <c r="Q1120" s="375"/>
      <c r="R1120" s="376"/>
      <c r="S1120" s="583"/>
      <c r="T1120" s="583"/>
      <c r="U1120" s="583"/>
      <c r="V1120" s="376"/>
      <c r="W1120" s="376"/>
      <c r="X1120" s="402"/>
      <c r="Y1120" s="402"/>
      <c r="Z1120" s="610" t="s">
        <v>1478</v>
      </c>
      <c r="AA1120" s="454">
        <f>IF(Table13[[#This Row],[Column2]]="","",SUM(Table13[[#This Row],[Column28]]+Table13[[#This Row],[Column29]]))</f>
        <v>90000</v>
      </c>
      <c r="AB1120" s="466"/>
      <c r="AC1120" s="502">
        <v>90000</v>
      </c>
      <c r="AD1120" s="451">
        <f>IF(Table13[[#This Row],[Column2]]="","",SUM(Table13[[#This Row],[Column31]]+Table13[[#This Row],[Column32]]))</f>
        <v>0</v>
      </c>
      <c r="AE1120" s="453"/>
      <c r="AF1120" s="646"/>
      <c r="AG1120" s="405"/>
      <c r="AH1120" s="380" t="s">
        <v>1205</v>
      </c>
      <c r="AI1120" s="576"/>
      <c r="AJ1120" s="576"/>
      <c r="AK1120" s="576"/>
      <c r="AL1120" s="576"/>
      <c r="AM1120" s="576"/>
      <c r="AN1120" s="576"/>
      <c r="AO1120" s="303" t="s">
        <v>175</v>
      </c>
      <c r="AP1120" s="378"/>
      <c r="AQ1120" s="237"/>
    </row>
    <row r="1121" spans="1:43" s="238" customFormat="1" ht="75" customHeight="1" x14ac:dyDescent="0.25">
      <c r="A1121" s="297" t="s">
        <v>1345</v>
      </c>
      <c r="B1121" s="627" t="str">
        <f>VLOOKUP(Table13[[#This Row],[Column1]],[1]Sheet1!$A:$AO,2,FALSE)</f>
        <v>AGRICULTURAL SUPPLIES</v>
      </c>
      <c r="C1121" s="298" t="str">
        <f>VLOOKUP(Table13[[#This Row],[Column1]],[1]Sheet1!$A:$AO,3,FALSE)</f>
        <v>PENRO</v>
      </c>
      <c r="D1121" s="298" t="s">
        <v>712</v>
      </c>
      <c r="E1121" s="450" t="str">
        <f>VLOOKUP(Table13[[#This Row],[Column1]],[1]Sheet1!$A:$AO,5,FALSE)</f>
        <v>NP-53.9 - Small Value Procurement</v>
      </c>
      <c r="F1121" s="446" t="str">
        <f>VLOOKUP(Table13[[#This Row],[Column1]],[1]Sheet1!$A:$AO,6,FALSE)</f>
        <v>N/A</v>
      </c>
      <c r="G1121" s="402">
        <f>VLOOKUP(Table13[[#This Row],[Column1]],[1]Sheet1!$A:$AO,7,FALSE)</f>
        <v>45457</v>
      </c>
      <c r="H1121" s="374"/>
      <c r="I1121" s="402"/>
      <c r="J1121" s="402"/>
      <c r="K1121" s="402"/>
      <c r="L1121" s="404"/>
      <c r="M1121" s="402"/>
      <c r="N1121" s="402"/>
      <c r="O1121" s="402"/>
      <c r="P1121" s="375"/>
      <c r="Q1121" s="375"/>
      <c r="R1121" s="376"/>
      <c r="S1121" s="583"/>
      <c r="T1121" s="583"/>
      <c r="U1121" s="583"/>
      <c r="V1121" s="376"/>
      <c r="W1121" s="376"/>
      <c r="X1121" s="402"/>
      <c r="Y1121" s="402"/>
      <c r="Z1121" s="610" t="s">
        <v>1478</v>
      </c>
      <c r="AA1121" s="454">
        <f>IF(Table13[[#This Row],[Column2]]="","",SUM(Table13[[#This Row],[Column28]]+Table13[[#This Row],[Column29]]))</f>
        <v>66580</v>
      </c>
      <c r="AB1121" s="466"/>
      <c r="AC1121" s="502">
        <v>66580</v>
      </c>
      <c r="AD1121" s="451">
        <f>IF(Table13[[#This Row],[Column2]]="","",SUM(Table13[[#This Row],[Column31]]+Table13[[#This Row],[Column32]]))</f>
        <v>0</v>
      </c>
      <c r="AE1121" s="453"/>
      <c r="AF1121" s="646"/>
      <c r="AG1121" s="405"/>
      <c r="AH1121" s="380" t="s">
        <v>1205</v>
      </c>
      <c r="AI1121" s="576"/>
      <c r="AJ1121" s="576"/>
      <c r="AK1121" s="576"/>
      <c r="AL1121" s="576"/>
      <c r="AM1121" s="576"/>
      <c r="AN1121" s="576"/>
      <c r="AO1121" s="303" t="s">
        <v>175</v>
      </c>
      <c r="AP1121" s="378"/>
      <c r="AQ1121" s="237"/>
    </row>
    <row r="1122" spans="1:43" s="238" customFormat="1" ht="75" customHeight="1" x14ac:dyDescent="0.25">
      <c r="A1122" s="297" t="s">
        <v>1346</v>
      </c>
      <c r="B1122" s="627" t="str">
        <f>VLOOKUP(Table13[[#This Row],[Column1]],[1]Sheet1!$A:$AO,2,FALSE)</f>
        <v>RUBBING ALCOHOL (70% ISOPROPHYL)</v>
      </c>
      <c r="C1122" s="298" t="str">
        <f>VLOOKUP(Table13[[#This Row],[Column1]],[1]Sheet1!$A:$AO,3,FALSE)</f>
        <v>PENRO</v>
      </c>
      <c r="D1122" s="298" t="s">
        <v>712</v>
      </c>
      <c r="E1122" s="450" t="str">
        <f>VLOOKUP(Table13[[#This Row],[Column1]],[1]Sheet1!$A:$AO,5,FALSE)</f>
        <v>NP-53.9 - Small Value Procurement</v>
      </c>
      <c r="F1122" s="446" t="str">
        <f>VLOOKUP(Table13[[#This Row],[Column1]],[1]Sheet1!$A:$AO,6,FALSE)</f>
        <v>N/A</v>
      </c>
      <c r="G1122" s="402">
        <f>VLOOKUP(Table13[[#This Row],[Column1]],[1]Sheet1!$A:$AO,7,FALSE)</f>
        <v>45457</v>
      </c>
      <c r="H1122" s="374"/>
      <c r="I1122" s="402"/>
      <c r="J1122" s="402"/>
      <c r="K1122" s="402"/>
      <c r="L1122" s="404"/>
      <c r="M1122" s="402"/>
      <c r="N1122" s="402"/>
      <c r="O1122" s="402"/>
      <c r="P1122" s="375"/>
      <c r="Q1122" s="375"/>
      <c r="R1122" s="376"/>
      <c r="S1122" s="583"/>
      <c r="T1122" s="583"/>
      <c r="U1122" s="583"/>
      <c r="V1122" s="376"/>
      <c r="W1122" s="376"/>
      <c r="X1122" s="402"/>
      <c r="Y1122" s="402"/>
      <c r="Z1122" s="610" t="s">
        <v>1478</v>
      </c>
      <c r="AA1122" s="454">
        <f>IF(Table13[[#This Row],[Column2]]="","",SUM(Table13[[#This Row],[Column28]]+Table13[[#This Row],[Column29]]))</f>
        <v>2533</v>
      </c>
      <c r="AB1122" s="466"/>
      <c r="AC1122" s="502">
        <v>2533</v>
      </c>
      <c r="AD1122" s="451">
        <f>IF(Table13[[#This Row],[Column2]]="","",SUM(Table13[[#This Row],[Column31]]+Table13[[#This Row],[Column32]]))</f>
        <v>0</v>
      </c>
      <c r="AE1122" s="453"/>
      <c r="AF1122" s="646"/>
      <c r="AG1122" s="405"/>
      <c r="AH1122" s="380" t="s">
        <v>1205</v>
      </c>
      <c r="AI1122" s="576"/>
      <c r="AJ1122" s="576"/>
      <c r="AK1122" s="576"/>
      <c r="AL1122" s="576"/>
      <c r="AM1122" s="576"/>
      <c r="AN1122" s="576"/>
      <c r="AO1122" s="303" t="s">
        <v>175</v>
      </c>
      <c r="AP1122" s="378"/>
      <c r="AQ1122" s="237"/>
    </row>
    <row r="1123" spans="1:43" s="238" customFormat="1" ht="75" customHeight="1" x14ac:dyDescent="0.25">
      <c r="A1123" s="297" t="s">
        <v>1347</v>
      </c>
      <c r="B1123" s="627" t="str">
        <f>VLOOKUP(Table13[[#This Row],[Column1]],[1]Sheet1!$A:$AO,2,FALSE)</f>
        <v>FULL FACED HELMET  (HEAVY DUTY</v>
      </c>
      <c r="C1123" s="298" t="str">
        <f>VLOOKUP(Table13[[#This Row],[Column1]],[1]Sheet1!$A:$AO,3,FALSE)</f>
        <v>PENRO</v>
      </c>
      <c r="D1123" s="298" t="s">
        <v>712</v>
      </c>
      <c r="E1123" s="450" t="str">
        <f>VLOOKUP(Table13[[#This Row],[Column1]],[1]Sheet1!$A:$AO,5,FALSE)</f>
        <v>NP-53.9 - Small Value Procurement</v>
      </c>
      <c r="F1123" s="446" t="str">
        <f>VLOOKUP(Table13[[#This Row],[Column1]],[1]Sheet1!$A:$AO,6,FALSE)</f>
        <v>N/A</v>
      </c>
      <c r="G1123" s="402">
        <f>VLOOKUP(Table13[[#This Row],[Column1]],[1]Sheet1!$A:$AO,7,FALSE)</f>
        <v>45457</v>
      </c>
      <c r="H1123" s="374"/>
      <c r="I1123" s="402"/>
      <c r="J1123" s="402"/>
      <c r="K1123" s="402"/>
      <c r="L1123" s="404"/>
      <c r="M1123" s="402"/>
      <c r="N1123" s="402"/>
      <c r="O1123" s="402"/>
      <c r="P1123" s="375"/>
      <c r="Q1123" s="375"/>
      <c r="R1123" s="376"/>
      <c r="S1123" s="583"/>
      <c r="T1123" s="583"/>
      <c r="U1123" s="583"/>
      <c r="V1123" s="376"/>
      <c r="W1123" s="376"/>
      <c r="X1123" s="402"/>
      <c r="Y1123" s="402"/>
      <c r="Z1123" s="610" t="s">
        <v>1478</v>
      </c>
      <c r="AA1123" s="454">
        <f>IF(Table13[[#This Row],[Column2]]="","",SUM(Table13[[#This Row],[Column28]]+Table13[[#This Row],[Column29]]))</f>
        <v>22110</v>
      </c>
      <c r="AB1123" s="466"/>
      <c r="AC1123" s="502">
        <v>22110</v>
      </c>
      <c r="AD1123" s="451">
        <f>IF(Table13[[#This Row],[Column2]]="","",SUM(Table13[[#This Row],[Column31]]+Table13[[#This Row],[Column32]]))</f>
        <v>0</v>
      </c>
      <c r="AE1123" s="453"/>
      <c r="AF1123" s="646"/>
      <c r="AG1123" s="405"/>
      <c r="AH1123" s="380" t="s">
        <v>1205</v>
      </c>
      <c r="AI1123" s="576"/>
      <c r="AJ1123" s="576"/>
      <c r="AK1123" s="576"/>
      <c r="AL1123" s="576"/>
      <c r="AM1123" s="576"/>
      <c r="AN1123" s="576"/>
      <c r="AO1123" s="303" t="s">
        <v>175</v>
      </c>
      <c r="AP1123" s="378"/>
      <c r="AQ1123" s="237"/>
    </row>
    <row r="1124" spans="1:43" s="238" customFormat="1" ht="75" customHeight="1" x14ac:dyDescent="0.25">
      <c r="A1124" s="297" t="s">
        <v>1348</v>
      </c>
      <c r="B1124" s="627" t="str">
        <f>VLOOKUP(Table13[[#This Row],[Column1]],[1]Sheet1!$A:$AO,2,FALSE)</f>
        <v>FLASH DRIVE (32GB)</v>
      </c>
      <c r="C1124" s="298" t="str">
        <f>VLOOKUP(Table13[[#This Row],[Column1]],[1]Sheet1!$A:$AO,3,FALSE)</f>
        <v>PIAO</v>
      </c>
      <c r="D1124" s="298" t="s">
        <v>712</v>
      </c>
      <c r="E1124" s="450" t="str">
        <f>VLOOKUP(Table13[[#This Row],[Column1]],[1]Sheet1!$A:$AO,5,FALSE)</f>
        <v>NP-53.9 - Small Value Procurement</v>
      </c>
      <c r="F1124" s="446" t="str">
        <f>VLOOKUP(Table13[[#This Row],[Column1]],[1]Sheet1!$A:$AO,6,FALSE)</f>
        <v>N/A</v>
      </c>
      <c r="G1124" s="402">
        <f>VLOOKUP(Table13[[#This Row],[Column1]],[1]Sheet1!$A:$AO,7,FALSE)</f>
        <v>45457</v>
      </c>
      <c r="H1124" s="374"/>
      <c r="I1124" s="402"/>
      <c r="J1124" s="402"/>
      <c r="K1124" s="402"/>
      <c r="L1124" s="404"/>
      <c r="M1124" s="402"/>
      <c r="N1124" s="402"/>
      <c r="O1124" s="402"/>
      <c r="P1124" s="375"/>
      <c r="Q1124" s="375"/>
      <c r="R1124" s="376"/>
      <c r="S1124" s="583"/>
      <c r="T1124" s="583"/>
      <c r="U1124" s="583"/>
      <c r="V1124" s="376"/>
      <c r="W1124" s="376"/>
      <c r="X1124" s="402"/>
      <c r="Y1124" s="402"/>
      <c r="Z1124" s="610" t="s">
        <v>1478</v>
      </c>
      <c r="AA1124" s="454">
        <f>IF(Table13[[#This Row],[Column2]]="","",SUM(Table13[[#This Row],[Column28]]+Table13[[#This Row],[Column29]]))</f>
        <v>3245</v>
      </c>
      <c r="AB1124" s="466"/>
      <c r="AC1124" s="502">
        <v>3245</v>
      </c>
      <c r="AD1124" s="451">
        <f>IF(Table13[[#This Row],[Column2]]="","",SUM(Table13[[#This Row],[Column31]]+Table13[[#This Row],[Column32]]))</f>
        <v>0</v>
      </c>
      <c r="AE1124" s="453"/>
      <c r="AF1124" s="646"/>
      <c r="AG1124" s="405"/>
      <c r="AH1124" s="380" t="s">
        <v>1205</v>
      </c>
      <c r="AI1124" s="576"/>
      <c r="AJ1124" s="576"/>
      <c r="AK1124" s="576"/>
      <c r="AL1124" s="576"/>
      <c r="AM1124" s="576"/>
      <c r="AN1124" s="576"/>
      <c r="AO1124" s="303" t="s">
        <v>175</v>
      </c>
      <c r="AP1124" s="378"/>
      <c r="AQ1124" s="237"/>
    </row>
    <row r="1125" spans="1:43" s="238" customFormat="1" ht="75" customHeight="1" x14ac:dyDescent="0.25">
      <c r="A1125" s="297" t="s">
        <v>1349</v>
      </c>
      <c r="B1125" s="627" t="str">
        <f>VLOOKUP(Table13[[#This Row],[Column1]],[1]Sheet1!$A:$AO,2,FALSE)</f>
        <v xml:space="preserve">JANITORIAL SUPPLIES/HOUSEKEEPING </v>
      </c>
      <c r="C1125" s="298" t="str">
        <f>VLOOKUP(Table13[[#This Row],[Column1]],[1]Sheet1!$A:$AO,3,FALSE)</f>
        <v>PIAO</v>
      </c>
      <c r="D1125" s="298" t="s">
        <v>712</v>
      </c>
      <c r="E1125" s="450" t="str">
        <f>VLOOKUP(Table13[[#This Row],[Column1]],[1]Sheet1!$A:$AO,5,FALSE)</f>
        <v>NP-53.9 - Small Value Procurement</v>
      </c>
      <c r="F1125" s="446" t="str">
        <f>VLOOKUP(Table13[[#This Row],[Column1]],[1]Sheet1!$A:$AO,6,FALSE)</f>
        <v>N/A</v>
      </c>
      <c r="G1125" s="402">
        <f>VLOOKUP(Table13[[#This Row],[Column1]],[1]Sheet1!$A:$AO,7,FALSE)</f>
        <v>45457</v>
      </c>
      <c r="H1125" s="374"/>
      <c r="I1125" s="402"/>
      <c r="J1125" s="402"/>
      <c r="K1125" s="402"/>
      <c r="L1125" s="404"/>
      <c r="M1125" s="402"/>
      <c r="N1125" s="402"/>
      <c r="O1125" s="402"/>
      <c r="P1125" s="375"/>
      <c r="Q1125" s="375"/>
      <c r="R1125" s="376"/>
      <c r="S1125" s="583"/>
      <c r="T1125" s="583"/>
      <c r="U1125" s="583"/>
      <c r="V1125" s="376"/>
      <c r="W1125" s="376"/>
      <c r="X1125" s="402"/>
      <c r="Y1125" s="402"/>
      <c r="Z1125" s="610" t="s">
        <v>1478</v>
      </c>
      <c r="AA1125" s="454">
        <f>IF(Table13[[#This Row],[Column2]]="","",SUM(Table13[[#This Row],[Column28]]+Table13[[#This Row],[Column29]]))</f>
        <v>8988</v>
      </c>
      <c r="AB1125" s="466"/>
      <c r="AC1125" s="502">
        <v>8988</v>
      </c>
      <c r="AD1125" s="451">
        <f>IF(Table13[[#This Row],[Column2]]="","",SUM(Table13[[#This Row],[Column31]]+Table13[[#This Row],[Column32]]))</f>
        <v>0</v>
      </c>
      <c r="AE1125" s="453"/>
      <c r="AF1125" s="646"/>
      <c r="AG1125" s="405"/>
      <c r="AH1125" s="380" t="s">
        <v>1205</v>
      </c>
      <c r="AI1125" s="576"/>
      <c r="AJ1125" s="576"/>
      <c r="AK1125" s="576"/>
      <c r="AL1125" s="576"/>
      <c r="AM1125" s="576"/>
      <c r="AN1125" s="576"/>
      <c r="AO1125" s="303" t="s">
        <v>175</v>
      </c>
      <c r="AP1125" s="378"/>
      <c r="AQ1125" s="237"/>
    </row>
    <row r="1126" spans="1:43" s="238" customFormat="1" ht="75" customHeight="1" x14ac:dyDescent="0.25">
      <c r="A1126" s="297" t="s">
        <v>1350</v>
      </c>
      <c r="B1126" s="627" t="str">
        <f>VLOOKUP(Table13[[#This Row],[Column1]],[1]Sheet1!$A:$AO,2,FALSE)</f>
        <v>CALLING CARD (COLORED) AS PER SAMPLE</v>
      </c>
      <c r="C1126" s="298" t="str">
        <f>VLOOKUP(Table13[[#This Row],[Column1]],[1]Sheet1!$A:$AO,3,FALSE)</f>
        <v>PAO-ADMIN</v>
      </c>
      <c r="D1126" s="298" t="s">
        <v>712</v>
      </c>
      <c r="E1126" s="450" t="str">
        <f>VLOOKUP(Table13[[#This Row],[Column1]],[1]Sheet1!$A:$AO,5,FALSE)</f>
        <v>NP-53.9 - Small Value Procurement</v>
      </c>
      <c r="F1126" s="446" t="str">
        <f>VLOOKUP(Table13[[#This Row],[Column1]],[1]Sheet1!$A:$AO,6,FALSE)</f>
        <v>N/A</v>
      </c>
      <c r="G1126" s="402">
        <f>VLOOKUP(Table13[[#This Row],[Column1]],[1]Sheet1!$A:$AO,7,FALSE)</f>
        <v>45457</v>
      </c>
      <c r="H1126" s="374"/>
      <c r="I1126" s="402"/>
      <c r="J1126" s="402"/>
      <c r="K1126" s="402"/>
      <c r="L1126" s="404"/>
      <c r="M1126" s="402"/>
      <c r="N1126" s="402"/>
      <c r="O1126" s="402"/>
      <c r="P1126" s="375"/>
      <c r="Q1126" s="375"/>
      <c r="R1126" s="376"/>
      <c r="S1126" s="583"/>
      <c r="T1126" s="583"/>
      <c r="U1126" s="583"/>
      <c r="V1126" s="376"/>
      <c r="W1126" s="376"/>
      <c r="X1126" s="402"/>
      <c r="Y1126" s="402"/>
      <c r="Z1126" s="610" t="s">
        <v>1478</v>
      </c>
      <c r="AA1126" s="454">
        <f>IF(Table13[[#This Row],[Column2]]="","",SUM(Table13[[#This Row],[Column28]]+Table13[[#This Row],[Column29]]))</f>
        <v>1400</v>
      </c>
      <c r="AB1126" s="466"/>
      <c r="AC1126" s="502">
        <v>1400</v>
      </c>
      <c r="AD1126" s="451">
        <f>IF(Table13[[#This Row],[Column2]]="","",SUM(Table13[[#This Row],[Column31]]+Table13[[#This Row],[Column32]]))</f>
        <v>0</v>
      </c>
      <c r="AE1126" s="453"/>
      <c r="AF1126" s="646"/>
      <c r="AG1126" s="405"/>
      <c r="AH1126" s="380" t="s">
        <v>1205</v>
      </c>
      <c r="AI1126" s="576"/>
      <c r="AJ1126" s="576"/>
      <c r="AK1126" s="576"/>
      <c r="AL1126" s="576"/>
      <c r="AM1126" s="576"/>
      <c r="AN1126" s="576"/>
      <c r="AO1126" s="303" t="s">
        <v>175</v>
      </c>
      <c r="AP1126" s="378"/>
      <c r="AQ1126" s="237"/>
    </row>
    <row r="1127" spans="1:43" s="238" customFormat="1" ht="75" customHeight="1" x14ac:dyDescent="0.25">
      <c r="A1127" s="297" t="s">
        <v>1351</v>
      </c>
      <c r="B1127" s="627" t="str">
        <f>VLOOKUP(Table13[[#This Row],[Column1]],[1]Sheet1!$A:$AO,2,FALSE)</f>
        <v>TARPAULIN-AS PER SAMPLE</v>
      </c>
      <c r="C1127" s="298" t="str">
        <f>VLOOKUP(Table13[[#This Row],[Column1]],[1]Sheet1!$A:$AO,3,FALSE)</f>
        <v>PHRMDO</v>
      </c>
      <c r="D1127" s="298" t="s">
        <v>712</v>
      </c>
      <c r="E1127" s="450" t="str">
        <f>VLOOKUP(Table13[[#This Row],[Column1]],[1]Sheet1!$A:$AO,5,FALSE)</f>
        <v>NP-53.9 - Small Value Procurement</v>
      </c>
      <c r="F1127" s="446" t="str">
        <f>VLOOKUP(Table13[[#This Row],[Column1]],[1]Sheet1!$A:$AO,6,FALSE)</f>
        <v>N/A</v>
      </c>
      <c r="G1127" s="402">
        <f>VLOOKUP(Table13[[#This Row],[Column1]],[1]Sheet1!$A:$AO,7,FALSE)</f>
        <v>45457</v>
      </c>
      <c r="H1127" s="374"/>
      <c r="I1127" s="402"/>
      <c r="J1127" s="402"/>
      <c r="K1127" s="402"/>
      <c r="L1127" s="404"/>
      <c r="M1127" s="402"/>
      <c r="N1127" s="402"/>
      <c r="O1127" s="402"/>
      <c r="P1127" s="375"/>
      <c r="Q1127" s="375"/>
      <c r="R1127" s="376"/>
      <c r="S1127" s="583"/>
      <c r="T1127" s="583"/>
      <c r="U1127" s="583"/>
      <c r="V1127" s="376"/>
      <c r="W1127" s="376"/>
      <c r="X1127" s="402"/>
      <c r="Y1127" s="402"/>
      <c r="Z1127" s="610" t="s">
        <v>1478</v>
      </c>
      <c r="AA1127" s="454">
        <f>IF(Table13[[#This Row],[Column2]]="","",SUM(Table13[[#This Row],[Column28]]+Table13[[#This Row],[Column29]]))</f>
        <v>4256</v>
      </c>
      <c r="AB1127" s="466"/>
      <c r="AC1127" s="502">
        <v>4256</v>
      </c>
      <c r="AD1127" s="451">
        <f>IF(Table13[[#This Row],[Column2]]="","",SUM(Table13[[#This Row],[Column31]]+Table13[[#This Row],[Column32]]))</f>
        <v>0</v>
      </c>
      <c r="AE1127" s="453"/>
      <c r="AF1127" s="646"/>
      <c r="AG1127" s="405"/>
      <c r="AH1127" s="380" t="s">
        <v>1205</v>
      </c>
      <c r="AI1127" s="576"/>
      <c r="AJ1127" s="576"/>
      <c r="AK1127" s="576"/>
      <c r="AL1127" s="576"/>
      <c r="AM1127" s="576"/>
      <c r="AN1127" s="576"/>
      <c r="AO1127" s="303" t="s">
        <v>175</v>
      </c>
      <c r="AP1127" s="378"/>
      <c r="AQ1127" s="237"/>
    </row>
    <row r="1128" spans="1:43" s="238" customFormat="1" ht="75" customHeight="1" x14ac:dyDescent="0.25">
      <c r="A1128" s="297" t="s">
        <v>1352</v>
      </c>
      <c r="B1128" s="627" t="str">
        <f>VLOOKUP(Table13[[#This Row],[Column1]],[1]Sheet1!$A:$AO,2,FALSE)</f>
        <v>PLAQUE/TROPHIES/MEDALS</v>
      </c>
      <c r="C1128" s="298" t="str">
        <f>VLOOKUP(Table13[[#This Row],[Column1]],[1]Sheet1!$A:$AO,3,FALSE)</f>
        <v>PGO</v>
      </c>
      <c r="D1128" s="298" t="s">
        <v>712</v>
      </c>
      <c r="E1128" s="450" t="str">
        <f>VLOOKUP(Table13[[#This Row],[Column1]],[1]Sheet1!$A:$AO,5,FALSE)</f>
        <v>NP-53.9 - Small Value Procurement</v>
      </c>
      <c r="F1128" s="446" t="str">
        <f>VLOOKUP(Table13[[#This Row],[Column1]],[1]Sheet1!$A:$AO,6,FALSE)</f>
        <v>N/A</v>
      </c>
      <c r="G1128" s="402">
        <f>VLOOKUP(Table13[[#This Row],[Column1]],[1]Sheet1!$A:$AO,7,FALSE)</f>
        <v>45457</v>
      </c>
      <c r="H1128" s="374"/>
      <c r="I1128" s="402"/>
      <c r="J1128" s="402"/>
      <c r="K1128" s="402"/>
      <c r="L1128" s="404"/>
      <c r="M1128" s="402"/>
      <c r="N1128" s="402"/>
      <c r="O1128" s="402"/>
      <c r="P1128" s="375"/>
      <c r="Q1128" s="375"/>
      <c r="R1128" s="376"/>
      <c r="S1128" s="583"/>
      <c r="T1128" s="583"/>
      <c r="U1128" s="583"/>
      <c r="V1128" s="376"/>
      <c r="W1128" s="376"/>
      <c r="X1128" s="402"/>
      <c r="Y1128" s="402"/>
      <c r="Z1128" s="610" t="s">
        <v>1478</v>
      </c>
      <c r="AA1128" s="454">
        <f>IF(Table13[[#This Row],[Column2]]="","",SUM(Table13[[#This Row],[Column28]]+Table13[[#This Row],[Column29]]))</f>
        <v>72160</v>
      </c>
      <c r="AB1128" s="466"/>
      <c r="AC1128" s="502">
        <v>72160</v>
      </c>
      <c r="AD1128" s="451">
        <f>IF(Table13[[#This Row],[Column2]]="","",SUM(Table13[[#This Row],[Column31]]+Table13[[#This Row],[Column32]]))</f>
        <v>0</v>
      </c>
      <c r="AE1128" s="453"/>
      <c r="AF1128" s="646"/>
      <c r="AG1128" s="405"/>
      <c r="AH1128" s="380" t="s">
        <v>1205</v>
      </c>
      <c r="AI1128" s="576"/>
      <c r="AJ1128" s="576"/>
      <c r="AK1128" s="576"/>
      <c r="AL1128" s="576"/>
      <c r="AM1128" s="576"/>
      <c r="AN1128" s="576"/>
      <c r="AO1128" s="303" t="s">
        <v>175</v>
      </c>
      <c r="AP1128" s="378"/>
      <c r="AQ1128" s="237"/>
    </row>
    <row r="1129" spans="1:43" s="238" customFormat="1" ht="75" customHeight="1" x14ac:dyDescent="0.25">
      <c r="A1129" s="297" t="s">
        <v>1353</v>
      </c>
      <c r="B1129" s="627" t="str">
        <f>VLOOKUP(Table13[[#This Row],[Column1]],[1]Sheet1!$A:$AO,2,FALSE)</f>
        <v>POLO SHIRT  (AS PER DESIGN)</v>
      </c>
      <c r="C1129" s="298" t="str">
        <f>VLOOKUP(Table13[[#This Row],[Column1]],[1]Sheet1!$A:$AO,3,FALSE)</f>
        <v>PGO</v>
      </c>
      <c r="D1129" s="298" t="s">
        <v>712</v>
      </c>
      <c r="E1129" s="450" t="str">
        <f>VLOOKUP(Table13[[#This Row],[Column1]],[1]Sheet1!$A:$AO,5,FALSE)</f>
        <v>NP-53.9 - Small Value Procurement</v>
      </c>
      <c r="F1129" s="446" t="str">
        <f>VLOOKUP(Table13[[#This Row],[Column1]],[1]Sheet1!$A:$AO,6,FALSE)</f>
        <v>N/A</v>
      </c>
      <c r="G1129" s="402">
        <f>VLOOKUP(Table13[[#This Row],[Column1]],[1]Sheet1!$A:$AO,7,FALSE)</f>
        <v>45457</v>
      </c>
      <c r="H1129" s="374"/>
      <c r="I1129" s="402"/>
      <c r="J1129" s="402"/>
      <c r="K1129" s="402"/>
      <c r="L1129" s="404"/>
      <c r="M1129" s="402"/>
      <c r="N1129" s="402"/>
      <c r="O1129" s="402"/>
      <c r="P1129" s="375"/>
      <c r="Q1129" s="375"/>
      <c r="R1129" s="376"/>
      <c r="S1129" s="583"/>
      <c r="T1129" s="583"/>
      <c r="U1129" s="583"/>
      <c r="V1129" s="376"/>
      <c r="W1129" s="376"/>
      <c r="X1129" s="402"/>
      <c r="Y1129" s="402"/>
      <c r="Z1129" s="610" t="s">
        <v>1478</v>
      </c>
      <c r="AA1129" s="454">
        <f>IF(Table13[[#This Row],[Column2]]="","",SUM(Table13[[#This Row],[Column28]]+Table13[[#This Row],[Column29]]))</f>
        <v>25000</v>
      </c>
      <c r="AB1129" s="466"/>
      <c r="AC1129" s="502">
        <v>25000</v>
      </c>
      <c r="AD1129" s="451">
        <f>IF(Table13[[#This Row],[Column2]]="","",SUM(Table13[[#This Row],[Column31]]+Table13[[#This Row],[Column32]]))</f>
        <v>0</v>
      </c>
      <c r="AE1129" s="453"/>
      <c r="AF1129" s="646"/>
      <c r="AG1129" s="405"/>
      <c r="AH1129" s="380" t="s">
        <v>1205</v>
      </c>
      <c r="AI1129" s="576"/>
      <c r="AJ1129" s="576"/>
      <c r="AK1129" s="576"/>
      <c r="AL1129" s="576"/>
      <c r="AM1129" s="576"/>
      <c r="AN1129" s="576"/>
      <c r="AO1129" s="303" t="s">
        <v>175</v>
      </c>
      <c r="AP1129" s="378"/>
      <c r="AQ1129" s="237"/>
    </row>
    <row r="1130" spans="1:43" s="238" customFormat="1" ht="75" customHeight="1" x14ac:dyDescent="0.25">
      <c r="A1130" s="297" t="s">
        <v>1354</v>
      </c>
      <c r="B1130" s="627" t="str">
        <f>VLOOKUP(Table13[[#This Row],[Column1]],[1]Sheet1!$A:$AO,2,FALSE)</f>
        <v xml:space="preserve">JANITORIAL SUPPLIES/HOUSEKEEPING </v>
      </c>
      <c r="C1130" s="298" t="str">
        <f>VLOOKUP(Table13[[#This Row],[Column1]],[1]Sheet1!$A:$AO,3,FALSE)</f>
        <v>PAGRO</v>
      </c>
      <c r="D1130" s="298" t="s">
        <v>712</v>
      </c>
      <c r="E1130" s="450" t="str">
        <f>VLOOKUP(Table13[[#This Row],[Column1]],[1]Sheet1!$A:$AO,5,FALSE)</f>
        <v>NP-53.9 - Small Value Procurement</v>
      </c>
      <c r="F1130" s="446" t="str">
        <f>VLOOKUP(Table13[[#This Row],[Column1]],[1]Sheet1!$A:$AO,6,FALSE)</f>
        <v>N/A</v>
      </c>
      <c r="G1130" s="402">
        <f>VLOOKUP(Table13[[#This Row],[Column1]],[1]Sheet1!$A:$AO,7,FALSE)</f>
        <v>45457</v>
      </c>
      <c r="H1130" s="374"/>
      <c r="I1130" s="402"/>
      <c r="J1130" s="402"/>
      <c r="K1130" s="402"/>
      <c r="L1130" s="404"/>
      <c r="M1130" s="402"/>
      <c r="N1130" s="402"/>
      <c r="O1130" s="402"/>
      <c r="P1130" s="375"/>
      <c r="Q1130" s="375"/>
      <c r="R1130" s="376"/>
      <c r="S1130" s="583"/>
      <c r="T1130" s="583"/>
      <c r="U1130" s="583"/>
      <c r="V1130" s="376"/>
      <c r="W1130" s="376"/>
      <c r="X1130" s="402"/>
      <c r="Y1130" s="402"/>
      <c r="Z1130" s="610" t="s">
        <v>1478</v>
      </c>
      <c r="AA1130" s="454">
        <f>IF(Table13[[#This Row],[Column2]]="","",SUM(Table13[[#This Row],[Column28]]+Table13[[#This Row],[Column29]]))</f>
        <v>54055</v>
      </c>
      <c r="AB1130" s="466"/>
      <c r="AC1130" s="502">
        <v>54055</v>
      </c>
      <c r="AD1130" s="451">
        <f>IF(Table13[[#This Row],[Column2]]="","",SUM(Table13[[#This Row],[Column31]]+Table13[[#This Row],[Column32]]))</f>
        <v>0</v>
      </c>
      <c r="AE1130" s="453"/>
      <c r="AF1130" s="646"/>
      <c r="AG1130" s="405"/>
      <c r="AH1130" s="380" t="s">
        <v>1205</v>
      </c>
      <c r="AI1130" s="576"/>
      <c r="AJ1130" s="576"/>
      <c r="AK1130" s="576"/>
      <c r="AL1130" s="576"/>
      <c r="AM1130" s="576"/>
      <c r="AN1130" s="576"/>
      <c r="AO1130" s="303" t="s">
        <v>175</v>
      </c>
      <c r="AP1130" s="378"/>
      <c r="AQ1130" s="237"/>
    </row>
    <row r="1131" spans="1:43" s="238" customFormat="1" ht="75" customHeight="1" x14ac:dyDescent="0.25">
      <c r="A1131" s="297" t="s">
        <v>1355</v>
      </c>
      <c r="B1131" s="627" t="str">
        <f>VLOOKUP(Table13[[#This Row],[Column1]],[1]Sheet1!$A:$AO,2,FALSE)</f>
        <v>FULL FACED HELMET  WITH BUILT-IN GOGGLES (HEAVY DUTY</v>
      </c>
      <c r="C1131" s="298" t="str">
        <f>VLOOKUP(Table13[[#This Row],[Column1]],[1]Sheet1!$A:$AO,3,FALSE)</f>
        <v>PAGRO</v>
      </c>
      <c r="D1131" s="298" t="s">
        <v>712</v>
      </c>
      <c r="E1131" s="450" t="str">
        <f>VLOOKUP(Table13[[#This Row],[Column1]],[1]Sheet1!$A:$AO,5,FALSE)</f>
        <v>NP-53.9 - Small Value Procurement</v>
      </c>
      <c r="F1131" s="446" t="str">
        <f>VLOOKUP(Table13[[#This Row],[Column1]],[1]Sheet1!$A:$AO,6,FALSE)</f>
        <v>N/A</v>
      </c>
      <c r="G1131" s="402">
        <f>VLOOKUP(Table13[[#This Row],[Column1]],[1]Sheet1!$A:$AO,7,FALSE)</f>
        <v>45457</v>
      </c>
      <c r="H1131" s="374"/>
      <c r="I1131" s="402"/>
      <c r="J1131" s="402"/>
      <c r="K1131" s="402"/>
      <c r="L1131" s="404"/>
      <c r="M1131" s="402"/>
      <c r="N1131" s="402"/>
      <c r="O1131" s="402"/>
      <c r="P1131" s="375"/>
      <c r="Q1131" s="375"/>
      <c r="R1131" s="376"/>
      <c r="S1131" s="583"/>
      <c r="T1131" s="583"/>
      <c r="U1131" s="583"/>
      <c r="V1131" s="376"/>
      <c r="W1131" s="376"/>
      <c r="X1131" s="402"/>
      <c r="Y1131" s="402"/>
      <c r="Z1131" s="610" t="s">
        <v>1478</v>
      </c>
      <c r="AA1131" s="454">
        <f>IF(Table13[[#This Row],[Column2]]="","",SUM(Table13[[#This Row],[Column28]]+Table13[[#This Row],[Column29]]))</f>
        <v>11000</v>
      </c>
      <c r="AB1131" s="466"/>
      <c r="AC1131" s="502">
        <v>11000</v>
      </c>
      <c r="AD1131" s="451">
        <f>IF(Table13[[#This Row],[Column2]]="","",SUM(Table13[[#This Row],[Column31]]+Table13[[#This Row],[Column32]]))</f>
        <v>0</v>
      </c>
      <c r="AE1131" s="453"/>
      <c r="AF1131" s="646"/>
      <c r="AG1131" s="405"/>
      <c r="AH1131" s="380" t="s">
        <v>1205</v>
      </c>
      <c r="AI1131" s="576"/>
      <c r="AJ1131" s="576"/>
      <c r="AK1131" s="576"/>
      <c r="AL1131" s="576"/>
      <c r="AM1131" s="576"/>
      <c r="AN1131" s="576"/>
      <c r="AO1131" s="303" t="s">
        <v>175</v>
      </c>
      <c r="AP1131" s="378"/>
      <c r="AQ1131" s="237"/>
    </row>
    <row r="1132" spans="1:43" s="238" customFormat="1" ht="75" customHeight="1" x14ac:dyDescent="0.25">
      <c r="A1132" s="297" t="s">
        <v>1356</v>
      </c>
      <c r="B1132" s="627" t="str">
        <f>VLOOKUP(Table13[[#This Row],[Column1]],[1]Sheet1!$A:$AO,2,FALSE)</f>
        <v>OFFICE EQUIPMENT</v>
      </c>
      <c r="C1132" s="298" t="str">
        <f>VLOOKUP(Table13[[#This Row],[Column1]],[1]Sheet1!$A:$AO,3,FALSE)</f>
        <v>PAGRO</v>
      </c>
      <c r="D1132" s="298" t="s">
        <v>712</v>
      </c>
      <c r="E1132" s="450" t="str">
        <f>VLOOKUP(Table13[[#This Row],[Column1]],[1]Sheet1!$A:$AO,5,FALSE)</f>
        <v>NP-53.9 - Small Value Procurement</v>
      </c>
      <c r="F1132" s="446" t="str">
        <f>VLOOKUP(Table13[[#This Row],[Column1]],[1]Sheet1!$A:$AO,6,FALSE)</f>
        <v>N/A</v>
      </c>
      <c r="G1132" s="402">
        <f>VLOOKUP(Table13[[#This Row],[Column1]],[1]Sheet1!$A:$AO,7,FALSE)</f>
        <v>45457</v>
      </c>
      <c r="H1132" s="374"/>
      <c r="I1132" s="402"/>
      <c r="J1132" s="402"/>
      <c r="K1132" s="402"/>
      <c r="L1132" s="404"/>
      <c r="M1132" s="402"/>
      <c r="N1132" s="402"/>
      <c r="O1132" s="402"/>
      <c r="P1132" s="375"/>
      <c r="Q1132" s="375"/>
      <c r="R1132" s="376"/>
      <c r="S1132" s="583"/>
      <c r="T1132" s="583"/>
      <c r="U1132" s="583"/>
      <c r="V1132" s="376"/>
      <c r="W1132" s="376"/>
      <c r="X1132" s="402"/>
      <c r="Y1132" s="402"/>
      <c r="Z1132" s="610" t="s">
        <v>1478</v>
      </c>
      <c r="AA1132" s="454">
        <f>IF(Table13[[#This Row],[Column2]]="","",SUM(Table13[[#This Row],[Column28]]+Table13[[#This Row],[Column29]]))</f>
        <v>82550</v>
      </c>
      <c r="AB1132" s="466"/>
      <c r="AC1132" s="502">
        <v>82550</v>
      </c>
      <c r="AD1132" s="451">
        <f>IF(Table13[[#This Row],[Column2]]="","",SUM(Table13[[#This Row],[Column31]]+Table13[[#This Row],[Column32]]))</f>
        <v>0</v>
      </c>
      <c r="AE1132" s="453"/>
      <c r="AF1132" s="646"/>
      <c r="AG1132" s="405"/>
      <c r="AH1132" s="380" t="s">
        <v>1205</v>
      </c>
      <c r="AI1132" s="576"/>
      <c r="AJ1132" s="576"/>
      <c r="AK1132" s="576"/>
      <c r="AL1132" s="576"/>
      <c r="AM1132" s="576"/>
      <c r="AN1132" s="576"/>
      <c r="AO1132" s="303" t="s">
        <v>175</v>
      </c>
      <c r="AP1132" s="378"/>
      <c r="AQ1132" s="237"/>
    </row>
    <row r="1133" spans="1:43" s="238" customFormat="1" ht="75" customHeight="1" x14ac:dyDescent="0.25">
      <c r="A1133" s="297" t="s">
        <v>1357</v>
      </c>
      <c r="B1133" s="627" t="str">
        <f>VLOOKUP(Table13[[#This Row],[Column1]],[1]Sheet1!$A:$AO,2,FALSE)</f>
        <v>OFFICE EQUIPMENT</v>
      </c>
      <c r="C1133" s="298" t="str">
        <f>VLOOKUP(Table13[[#This Row],[Column1]],[1]Sheet1!$A:$AO,3,FALSE)</f>
        <v>PAGRO</v>
      </c>
      <c r="D1133" s="298" t="s">
        <v>712</v>
      </c>
      <c r="E1133" s="450" t="str">
        <f>VLOOKUP(Table13[[#This Row],[Column1]],[1]Sheet1!$A:$AO,5,FALSE)</f>
        <v>NP-53.9 - Small Value Procurement</v>
      </c>
      <c r="F1133" s="446" t="str">
        <f>VLOOKUP(Table13[[#This Row],[Column1]],[1]Sheet1!$A:$AO,6,FALSE)</f>
        <v>N/A</v>
      </c>
      <c r="G1133" s="402">
        <f>VLOOKUP(Table13[[#This Row],[Column1]],[1]Sheet1!$A:$AO,7,FALSE)</f>
        <v>45457</v>
      </c>
      <c r="H1133" s="374"/>
      <c r="I1133" s="402"/>
      <c r="J1133" s="402"/>
      <c r="K1133" s="402"/>
      <c r="L1133" s="404"/>
      <c r="M1133" s="402"/>
      <c r="N1133" s="402"/>
      <c r="O1133" s="402"/>
      <c r="P1133" s="375"/>
      <c r="Q1133" s="375"/>
      <c r="R1133" s="376"/>
      <c r="S1133" s="583"/>
      <c r="T1133" s="583"/>
      <c r="U1133" s="583"/>
      <c r="V1133" s="376"/>
      <c r="W1133" s="376"/>
      <c r="X1133" s="402"/>
      <c r="Y1133" s="402"/>
      <c r="Z1133" s="610" t="s">
        <v>1478</v>
      </c>
      <c r="AA1133" s="454">
        <f>IF(Table13[[#This Row],[Column2]]="","",SUM(Table13[[#This Row],[Column28]]+Table13[[#This Row],[Column29]]))</f>
        <v>26343</v>
      </c>
      <c r="AB1133" s="466"/>
      <c r="AC1133" s="502">
        <v>26343</v>
      </c>
      <c r="AD1133" s="451">
        <f>IF(Table13[[#This Row],[Column2]]="","",SUM(Table13[[#This Row],[Column31]]+Table13[[#This Row],[Column32]]))</f>
        <v>0</v>
      </c>
      <c r="AE1133" s="453"/>
      <c r="AF1133" s="646"/>
      <c r="AG1133" s="405"/>
      <c r="AH1133" s="380" t="s">
        <v>1205</v>
      </c>
      <c r="AI1133" s="576"/>
      <c r="AJ1133" s="576"/>
      <c r="AK1133" s="576"/>
      <c r="AL1133" s="576"/>
      <c r="AM1133" s="576"/>
      <c r="AN1133" s="576"/>
      <c r="AO1133" s="303" t="s">
        <v>175</v>
      </c>
      <c r="AP1133" s="378"/>
      <c r="AQ1133" s="237"/>
    </row>
    <row r="1134" spans="1:43" s="238" customFormat="1" ht="75" customHeight="1" x14ac:dyDescent="0.25">
      <c r="A1134" s="297" t="s">
        <v>1358</v>
      </c>
      <c r="B1134" s="627" t="str">
        <f>VLOOKUP(Table13[[#This Row],[Column1]],[1]Sheet1!$A:$AO,2,FALSE)</f>
        <v>DIGITAL CAMERA-AS PER DESIGN</v>
      </c>
      <c r="C1134" s="298" t="str">
        <f>VLOOKUP(Table13[[#This Row],[Column1]],[1]Sheet1!$A:$AO,3,FALSE)</f>
        <v>PAGRO</v>
      </c>
      <c r="D1134" s="298" t="s">
        <v>712</v>
      </c>
      <c r="E1134" s="450" t="str">
        <f>VLOOKUP(Table13[[#This Row],[Column1]],[1]Sheet1!$A:$AO,5,FALSE)</f>
        <v>NP-53.9 - Small Value Procurement</v>
      </c>
      <c r="F1134" s="446" t="str">
        <f>VLOOKUP(Table13[[#This Row],[Column1]],[1]Sheet1!$A:$AO,6,FALSE)</f>
        <v>N/A</v>
      </c>
      <c r="G1134" s="402">
        <f>VLOOKUP(Table13[[#This Row],[Column1]],[1]Sheet1!$A:$AO,7,FALSE)</f>
        <v>45457</v>
      </c>
      <c r="H1134" s="374"/>
      <c r="I1134" s="402"/>
      <c r="J1134" s="402"/>
      <c r="K1134" s="402"/>
      <c r="L1134" s="404"/>
      <c r="M1134" s="402"/>
      <c r="N1134" s="402"/>
      <c r="O1134" s="402"/>
      <c r="P1134" s="375"/>
      <c r="Q1134" s="375"/>
      <c r="R1134" s="376"/>
      <c r="S1134" s="583"/>
      <c r="T1134" s="583"/>
      <c r="U1134" s="583"/>
      <c r="V1134" s="376"/>
      <c r="W1134" s="376"/>
      <c r="X1134" s="402"/>
      <c r="Y1134" s="402"/>
      <c r="Z1134" s="610" t="s">
        <v>1478</v>
      </c>
      <c r="AA1134" s="454">
        <f>IF(Table13[[#This Row],[Column2]]="","",SUM(Table13[[#This Row],[Column28]]+Table13[[#This Row],[Column29]]))</f>
        <v>40000</v>
      </c>
      <c r="AB1134" s="466"/>
      <c r="AC1134" s="502">
        <v>40000</v>
      </c>
      <c r="AD1134" s="451">
        <f>IF(Table13[[#This Row],[Column2]]="","",SUM(Table13[[#This Row],[Column31]]+Table13[[#This Row],[Column32]]))</f>
        <v>0</v>
      </c>
      <c r="AE1134" s="453"/>
      <c r="AF1134" s="646"/>
      <c r="AG1134" s="405"/>
      <c r="AH1134" s="380" t="s">
        <v>1205</v>
      </c>
      <c r="AI1134" s="576"/>
      <c r="AJ1134" s="576"/>
      <c r="AK1134" s="576"/>
      <c r="AL1134" s="576"/>
      <c r="AM1134" s="576"/>
      <c r="AN1134" s="576"/>
      <c r="AO1134" s="303" t="s">
        <v>175</v>
      </c>
      <c r="AP1134" s="378"/>
      <c r="AQ1134" s="237"/>
    </row>
    <row r="1135" spans="1:43" s="238" customFormat="1" ht="75" customHeight="1" x14ac:dyDescent="0.25">
      <c r="A1135" s="297" t="s">
        <v>1359</v>
      </c>
      <c r="B1135" s="627" t="str">
        <f>VLOOKUP(Table13[[#This Row],[Column1]],[1]Sheet1!$A:$AO,2,FALSE)</f>
        <v>OFFICE EQUIPMENT</v>
      </c>
      <c r="C1135" s="298" t="str">
        <f>VLOOKUP(Table13[[#This Row],[Column1]],[1]Sheet1!$A:$AO,3,FALSE)</f>
        <v>PAGRO</v>
      </c>
      <c r="D1135" s="298" t="s">
        <v>712</v>
      </c>
      <c r="E1135" s="450" t="str">
        <f>VLOOKUP(Table13[[#This Row],[Column1]],[1]Sheet1!$A:$AO,5,FALSE)</f>
        <v>NP-53.9 - Small Value Procurement</v>
      </c>
      <c r="F1135" s="446" t="str">
        <f>VLOOKUP(Table13[[#This Row],[Column1]],[1]Sheet1!$A:$AO,6,FALSE)</f>
        <v>N/A</v>
      </c>
      <c r="G1135" s="402">
        <f>VLOOKUP(Table13[[#This Row],[Column1]],[1]Sheet1!$A:$AO,7,FALSE)</f>
        <v>45457</v>
      </c>
      <c r="H1135" s="374"/>
      <c r="I1135" s="402"/>
      <c r="J1135" s="402"/>
      <c r="K1135" s="402"/>
      <c r="L1135" s="404"/>
      <c r="M1135" s="402"/>
      <c r="N1135" s="402"/>
      <c r="O1135" s="402"/>
      <c r="P1135" s="375"/>
      <c r="Q1135" s="375"/>
      <c r="R1135" s="376"/>
      <c r="S1135" s="583"/>
      <c r="T1135" s="583"/>
      <c r="U1135" s="583"/>
      <c r="V1135" s="376"/>
      <c r="W1135" s="376"/>
      <c r="X1135" s="402"/>
      <c r="Y1135" s="402"/>
      <c r="Z1135" s="610" t="s">
        <v>1478</v>
      </c>
      <c r="AA1135" s="454">
        <f>IF(Table13[[#This Row],[Column2]]="","",SUM(Table13[[#This Row],[Column28]]+Table13[[#This Row],[Column29]]))</f>
        <v>48146.7</v>
      </c>
      <c r="AB1135" s="466"/>
      <c r="AC1135" s="502">
        <v>48146.7</v>
      </c>
      <c r="AD1135" s="451">
        <f>IF(Table13[[#This Row],[Column2]]="","",SUM(Table13[[#This Row],[Column31]]+Table13[[#This Row],[Column32]]))</f>
        <v>0</v>
      </c>
      <c r="AE1135" s="453"/>
      <c r="AF1135" s="646"/>
      <c r="AG1135" s="405"/>
      <c r="AH1135" s="380" t="s">
        <v>1205</v>
      </c>
      <c r="AI1135" s="576"/>
      <c r="AJ1135" s="576"/>
      <c r="AK1135" s="576"/>
      <c r="AL1135" s="576"/>
      <c r="AM1135" s="576"/>
      <c r="AN1135" s="576"/>
      <c r="AO1135" s="303" t="s">
        <v>175</v>
      </c>
      <c r="AP1135" s="378"/>
      <c r="AQ1135" s="237"/>
    </row>
    <row r="1136" spans="1:43" s="238" customFormat="1" ht="75" customHeight="1" x14ac:dyDescent="0.25">
      <c r="A1136" s="297" t="s">
        <v>1360</v>
      </c>
      <c r="B1136" s="627" t="str">
        <f>VLOOKUP(Table13[[#This Row],[Column1]],[1]Sheet1!$A:$AO,2,FALSE)</f>
        <v>MINERAL WATER , 5 GAL</v>
      </c>
      <c r="C1136" s="298" t="str">
        <f>VLOOKUP(Table13[[#This Row],[Column1]],[1]Sheet1!$A:$AO,3,FALSE)</f>
        <v>PGO</v>
      </c>
      <c r="D1136" s="298" t="s">
        <v>712</v>
      </c>
      <c r="E1136" s="450" t="str">
        <f>VLOOKUP(Table13[[#This Row],[Column1]],[1]Sheet1!$A:$AO,5,FALSE)</f>
        <v>NP-53.9 - Small Value Procurement</v>
      </c>
      <c r="F1136" s="446" t="str">
        <f>VLOOKUP(Table13[[#This Row],[Column1]],[1]Sheet1!$A:$AO,6,FALSE)</f>
        <v>N/A</v>
      </c>
      <c r="G1136" s="402">
        <f>VLOOKUP(Table13[[#This Row],[Column1]],[1]Sheet1!$A:$AO,7,FALSE)</f>
        <v>45457</v>
      </c>
      <c r="H1136" s="374"/>
      <c r="I1136" s="402"/>
      <c r="J1136" s="402"/>
      <c r="K1136" s="402"/>
      <c r="L1136" s="404"/>
      <c r="M1136" s="402"/>
      <c r="N1136" s="402"/>
      <c r="O1136" s="402"/>
      <c r="P1136" s="375"/>
      <c r="Q1136" s="375"/>
      <c r="R1136" s="376"/>
      <c r="S1136" s="583"/>
      <c r="T1136" s="583"/>
      <c r="U1136" s="583"/>
      <c r="V1136" s="376"/>
      <c r="W1136" s="376"/>
      <c r="X1136" s="402"/>
      <c r="Y1136" s="402"/>
      <c r="Z1136" s="610" t="s">
        <v>1478</v>
      </c>
      <c r="AA1136" s="454">
        <f>IF(Table13[[#This Row],[Column2]]="","",SUM(Table13[[#This Row],[Column28]]+Table13[[#This Row],[Column29]]))</f>
        <v>1640</v>
      </c>
      <c r="AB1136" s="466"/>
      <c r="AC1136" s="502">
        <v>1640</v>
      </c>
      <c r="AD1136" s="451">
        <f>IF(Table13[[#This Row],[Column2]]="","",SUM(Table13[[#This Row],[Column31]]+Table13[[#This Row],[Column32]]))</f>
        <v>0</v>
      </c>
      <c r="AE1136" s="453"/>
      <c r="AF1136" s="646"/>
      <c r="AG1136" s="405"/>
      <c r="AH1136" s="380" t="s">
        <v>1205</v>
      </c>
      <c r="AI1136" s="576"/>
      <c r="AJ1136" s="576"/>
      <c r="AK1136" s="576"/>
      <c r="AL1136" s="576"/>
      <c r="AM1136" s="576"/>
      <c r="AN1136" s="576"/>
      <c r="AO1136" s="303" t="s">
        <v>175</v>
      </c>
      <c r="AP1136" s="378"/>
      <c r="AQ1136" s="237"/>
    </row>
    <row r="1137" spans="1:43" s="238" customFormat="1" ht="75" customHeight="1" x14ac:dyDescent="0.25">
      <c r="A1137" s="297" t="s">
        <v>1361</v>
      </c>
      <c r="B1137" s="627" t="str">
        <f>VLOOKUP(Table13[[#This Row],[Column1]],[1]Sheet1!$A:$AO,2,FALSE)</f>
        <v>COMPUTER SUPPLIES</v>
      </c>
      <c r="C1137" s="298" t="str">
        <f>VLOOKUP(Table13[[#This Row],[Column1]],[1]Sheet1!$A:$AO,3,FALSE)</f>
        <v>PGO</v>
      </c>
      <c r="D1137" s="298" t="s">
        <v>712</v>
      </c>
      <c r="E1137" s="450" t="str">
        <f>VLOOKUP(Table13[[#This Row],[Column1]],[1]Sheet1!$A:$AO,5,FALSE)</f>
        <v>NP-53.9 - Small Value Procurement</v>
      </c>
      <c r="F1137" s="446" t="str">
        <f>VLOOKUP(Table13[[#This Row],[Column1]],[1]Sheet1!$A:$AO,6,FALSE)</f>
        <v>N/A</v>
      </c>
      <c r="G1137" s="402">
        <f>VLOOKUP(Table13[[#This Row],[Column1]],[1]Sheet1!$A:$AO,7,FALSE)</f>
        <v>45457</v>
      </c>
      <c r="H1137" s="374"/>
      <c r="I1137" s="402"/>
      <c r="J1137" s="402"/>
      <c r="K1137" s="402"/>
      <c r="L1137" s="404"/>
      <c r="M1137" s="402"/>
      <c r="N1137" s="402"/>
      <c r="O1137" s="402"/>
      <c r="P1137" s="375"/>
      <c r="Q1137" s="375"/>
      <c r="R1137" s="376"/>
      <c r="S1137" s="583"/>
      <c r="T1137" s="583"/>
      <c r="U1137" s="583"/>
      <c r="V1137" s="376"/>
      <c r="W1137" s="376"/>
      <c r="X1137" s="402"/>
      <c r="Y1137" s="402"/>
      <c r="Z1137" s="610" t="s">
        <v>1478</v>
      </c>
      <c r="AA1137" s="454">
        <f>IF(Table13[[#This Row],[Column2]]="","",SUM(Table13[[#This Row],[Column28]]+Table13[[#This Row],[Column29]]))</f>
        <v>15481</v>
      </c>
      <c r="AB1137" s="466"/>
      <c r="AC1137" s="502">
        <v>15481</v>
      </c>
      <c r="AD1137" s="451">
        <f>IF(Table13[[#This Row],[Column2]]="","",SUM(Table13[[#This Row],[Column31]]+Table13[[#This Row],[Column32]]))</f>
        <v>0</v>
      </c>
      <c r="AE1137" s="453"/>
      <c r="AF1137" s="646"/>
      <c r="AG1137" s="405"/>
      <c r="AH1137" s="380" t="s">
        <v>1205</v>
      </c>
      <c r="AI1137" s="576"/>
      <c r="AJ1137" s="576"/>
      <c r="AK1137" s="576"/>
      <c r="AL1137" s="576"/>
      <c r="AM1137" s="576"/>
      <c r="AN1137" s="576"/>
      <c r="AO1137" s="303" t="s">
        <v>175</v>
      </c>
      <c r="AP1137" s="378"/>
      <c r="AQ1137" s="237"/>
    </row>
    <row r="1138" spans="1:43" s="238" customFormat="1" ht="75" customHeight="1" x14ac:dyDescent="0.25">
      <c r="A1138" s="297" t="s">
        <v>1362</v>
      </c>
      <c r="B1138" s="627" t="str">
        <f>VLOOKUP(Table13[[#This Row],[Column1]],[1]Sheet1!$A:$AO,2,FALSE)</f>
        <v>DOGFOOD ADULT  20 KG/SACK</v>
      </c>
      <c r="C1138" s="298" t="str">
        <f>VLOOKUP(Table13[[#This Row],[Column1]],[1]Sheet1!$A:$AO,3,FALSE)</f>
        <v>PGO</v>
      </c>
      <c r="D1138" s="298" t="s">
        <v>712</v>
      </c>
      <c r="E1138" s="450" t="str">
        <f>VLOOKUP(Table13[[#This Row],[Column1]],[1]Sheet1!$A:$AO,5,FALSE)</f>
        <v>NP-53.9 - Small Value Procurement</v>
      </c>
      <c r="F1138" s="446" t="str">
        <f>VLOOKUP(Table13[[#This Row],[Column1]],[1]Sheet1!$A:$AO,6,FALSE)</f>
        <v>N/A</v>
      </c>
      <c r="G1138" s="402">
        <f>VLOOKUP(Table13[[#This Row],[Column1]],[1]Sheet1!$A:$AO,7,FALSE)</f>
        <v>45457</v>
      </c>
      <c r="H1138" s="374"/>
      <c r="I1138" s="402"/>
      <c r="J1138" s="402"/>
      <c r="K1138" s="402"/>
      <c r="L1138" s="404"/>
      <c r="M1138" s="402"/>
      <c r="N1138" s="402"/>
      <c r="O1138" s="402"/>
      <c r="P1138" s="375"/>
      <c r="Q1138" s="375"/>
      <c r="R1138" s="376"/>
      <c r="S1138" s="583"/>
      <c r="T1138" s="583"/>
      <c r="U1138" s="583"/>
      <c r="V1138" s="376"/>
      <c r="W1138" s="376"/>
      <c r="X1138" s="402"/>
      <c r="Y1138" s="402"/>
      <c r="Z1138" s="610" t="s">
        <v>1478</v>
      </c>
      <c r="AA1138" s="454">
        <f>IF(Table13[[#This Row],[Column2]]="","",SUM(Table13[[#This Row],[Column28]]+Table13[[#This Row],[Column29]]))</f>
        <v>73260</v>
      </c>
      <c r="AB1138" s="466"/>
      <c r="AC1138" s="502">
        <v>73260</v>
      </c>
      <c r="AD1138" s="451">
        <f>IF(Table13[[#This Row],[Column2]]="","",SUM(Table13[[#This Row],[Column31]]+Table13[[#This Row],[Column32]]))</f>
        <v>0</v>
      </c>
      <c r="AE1138" s="453"/>
      <c r="AF1138" s="646"/>
      <c r="AG1138" s="405"/>
      <c r="AH1138" s="380" t="s">
        <v>1205</v>
      </c>
      <c r="AI1138" s="576"/>
      <c r="AJ1138" s="576"/>
      <c r="AK1138" s="576"/>
      <c r="AL1138" s="576"/>
      <c r="AM1138" s="576"/>
      <c r="AN1138" s="576"/>
      <c r="AO1138" s="303" t="s">
        <v>175</v>
      </c>
      <c r="AP1138" s="378"/>
      <c r="AQ1138" s="237"/>
    </row>
    <row r="1139" spans="1:43" s="238" customFormat="1" ht="75" customHeight="1" x14ac:dyDescent="0.25">
      <c r="A1139" s="297" t="s">
        <v>1363</v>
      </c>
      <c r="B1139" s="627" t="str">
        <f>VLOOKUP(Table13[[#This Row],[Column1]],[1]Sheet1!$A:$AO,2,FALSE)</f>
        <v>FUEL, OIL, AND LUBRICANTS</v>
      </c>
      <c r="C1139" s="298" t="str">
        <f>VLOOKUP(Table13[[#This Row],[Column1]],[1]Sheet1!$A:$AO,3,FALSE)</f>
        <v>PGO</v>
      </c>
      <c r="D1139" s="298" t="s">
        <v>712</v>
      </c>
      <c r="E1139" s="450" t="str">
        <f>VLOOKUP(Table13[[#This Row],[Column1]],[1]Sheet1!$A:$AO,5,FALSE)</f>
        <v>NP-53.9 - Small Value Procurement</v>
      </c>
      <c r="F1139" s="446" t="str">
        <f>VLOOKUP(Table13[[#This Row],[Column1]],[1]Sheet1!$A:$AO,6,FALSE)</f>
        <v>N/A</v>
      </c>
      <c r="G1139" s="402">
        <f>VLOOKUP(Table13[[#This Row],[Column1]],[1]Sheet1!$A:$AO,7,FALSE)</f>
        <v>45457</v>
      </c>
      <c r="H1139" s="374"/>
      <c r="I1139" s="402"/>
      <c r="J1139" s="402"/>
      <c r="K1139" s="402"/>
      <c r="L1139" s="404"/>
      <c r="M1139" s="402"/>
      <c r="N1139" s="402"/>
      <c r="O1139" s="402"/>
      <c r="P1139" s="375"/>
      <c r="Q1139" s="375"/>
      <c r="R1139" s="376"/>
      <c r="S1139" s="583"/>
      <c r="T1139" s="583"/>
      <c r="U1139" s="583"/>
      <c r="V1139" s="376"/>
      <c r="W1139" s="376"/>
      <c r="X1139" s="402"/>
      <c r="Y1139" s="402"/>
      <c r="Z1139" s="610" t="s">
        <v>1478</v>
      </c>
      <c r="AA1139" s="454">
        <f>IF(Table13[[#This Row],[Column2]]="","",SUM(Table13[[#This Row],[Column28]]+Table13[[#This Row],[Column29]]))</f>
        <v>37050</v>
      </c>
      <c r="AB1139" s="466"/>
      <c r="AC1139" s="502">
        <v>37050</v>
      </c>
      <c r="AD1139" s="451">
        <f>IF(Table13[[#This Row],[Column2]]="","",SUM(Table13[[#This Row],[Column31]]+Table13[[#This Row],[Column32]]))</f>
        <v>0</v>
      </c>
      <c r="AE1139" s="453"/>
      <c r="AF1139" s="646"/>
      <c r="AG1139" s="405"/>
      <c r="AH1139" s="380" t="s">
        <v>1205</v>
      </c>
      <c r="AI1139" s="576"/>
      <c r="AJ1139" s="576"/>
      <c r="AK1139" s="576"/>
      <c r="AL1139" s="576"/>
      <c r="AM1139" s="576"/>
      <c r="AN1139" s="576"/>
      <c r="AO1139" s="303" t="s">
        <v>175</v>
      </c>
      <c r="AP1139" s="378"/>
      <c r="AQ1139" s="237"/>
    </row>
    <row r="1140" spans="1:43" s="238" customFormat="1" ht="75" customHeight="1" x14ac:dyDescent="0.25">
      <c r="A1140" s="297" t="s">
        <v>1364</v>
      </c>
      <c r="B1140" s="627" t="str">
        <f>VLOOKUP(Table13[[#This Row],[Column1]],[1]Sheet1!$A:$AO,2,FALSE)</f>
        <v>TARPAULIN - AS PER DESIGN</v>
      </c>
      <c r="C1140" s="298" t="str">
        <f>VLOOKUP(Table13[[#This Row],[Column1]],[1]Sheet1!$A:$AO,3,FALSE)</f>
        <v>PEO</v>
      </c>
      <c r="D1140" s="298" t="s">
        <v>712</v>
      </c>
      <c r="E1140" s="450" t="str">
        <f>VLOOKUP(Table13[[#This Row],[Column1]],[1]Sheet1!$A:$AO,5,FALSE)</f>
        <v>NP-53.9 - Small Value Procurement</v>
      </c>
      <c r="F1140" s="446" t="str">
        <f>VLOOKUP(Table13[[#This Row],[Column1]],[1]Sheet1!$A:$AO,6,FALSE)</f>
        <v>N/A</v>
      </c>
      <c r="G1140" s="402">
        <f>VLOOKUP(Table13[[#This Row],[Column1]],[1]Sheet1!$A:$AO,7,FALSE)</f>
        <v>45457</v>
      </c>
      <c r="H1140" s="374"/>
      <c r="I1140" s="402"/>
      <c r="J1140" s="402"/>
      <c r="K1140" s="402"/>
      <c r="L1140" s="404"/>
      <c r="M1140" s="402"/>
      <c r="N1140" s="402"/>
      <c r="O1140" s="402"/>
      <c r="P1140" s="375"/>
      <c r="Q1140" s="375"/>
      <c r="R1140" s="376"/>
      <c r="S1140" s="583"/>
      <c r="T1140" s="583"/>
      <c r="U1140" s="583"/>
      <c r="V1140" s="376"/>
      <c r="W1140" s="376"/>
      <c r="X1140" s="402"/>
      <c r="Y1140" s="402"/>
      <c r="Z1140" s="610" t="s">
        <v>1478</v>
      </c>
      <c r="AA1140" s="454">
        <f>IF(Table13[[#This Row],[Column2]]="","",SUM(Table13[[#This Row],[Column28]]+Table13[[#This Row],[Column29]]))</f>
        <v>1792</v>
      </c>
      <c r="AB1140" s="466"/>
      <c r="AC1140" s="502">
        <v>1792</v>
      </c>
      <c r="AD1140" s="451">
        <f>IF(Table13[[#This Row],[Column2]]="","",SUM(Table13[[#This Row],[Column31]]+Table13[[#This Row],[Column32]]))</f>
        <v>0</v>
      </c>
      <c r="AE1140" s="453"/>
      <c r="AF1140" s="646"/>
      <c r="AG1140" s="405"/>
      <c r="AH1140" s="380" t="s">
        <v>1205</v>
      </c>
      <c r="AI1140" s="576"/>
      <c r="AJ1140" s="576"/>
      <c r="AK1140" s="576"/>
      <c r="AL1140" s="576"/>
      <c r="AM1140" s="576"/>
      <c r="AN1140" s="576"/>
      <c r="AO1140" s="303" t="s">
        <v>175</v>
      </c>
      <c r="AP1140" s="378"/>
      <c r="AQ1140" s="237"/>
    </row>
    <row r="1141" spans="1:43" s="238" customFormat="1" ht="75" customHeight="1" x14ac:dyDescent="0.25">
      <c r="A1141" s="297" t="s">
        <v>1365</v>
      </c>
      <c r="B1141" s="627" t="str">
        <f>VLOOKUP(Table13[[#This Row],[Column1]],[1]Sheet1!$A:$AO,2,FALSE)</f>
        <v>SPAREPARTS (MOTORCYCLE)</v>
      </c>
      <c r="C1141" s="298" t="str">
        <f>VLOOKUP(Table13[[#This Row],[Column1]],[1]Sheet1!$A:$AO,3,FALSE)</f>
        <v>PGSO</v>
      </c>
      <c r="D1141" s="298" t="s">
        <v>712</v>
      </c>
      <c r="E1141" s="450" t="str">
        <f>VLOOKUP(Table13[[#This Row],[Column1]],[1]Sheet1!$A:$AO,5,FALSE)</f>
        <v>Shopping 52.1(a) - Unforeseen Contingency</v>
      </c>
      <c r="F1141" s="446" t="str">
        <f>VLOOKUP(Table13[[#This Row],[Column1]],[1]Sheet1!$A:$AO,6,FALSE)</f>
        <v>N/A</v>
      </c>
      <c r="G1141" s="402">
        <f>VLOOKUP(Table13[[#This Row],[Column1]],[1]Sheet1!$A:$AO,7,FALSE)</f>
        <v>45457</v>
      </c>
      <c r="H1141" s="374"/>
      <c r="I1141" s="402"/>
      <c r="J1141" s="402"/>
      <c r="K1141" s="402"/>
      <c r="L1141" s="404"/>
      <c r="M1141" s="402"/>
      <c r="N1141" s="402"/>
      <c r="O1141" s="402"/>
      <c r="P1141" s="375"/>
      <c r="Q1141" s="375"/>
      <c r="R1141" s="376"/>
      <c r="S1141" s="583"/>
      <c r="T1141" s="583"/>
      <c r="U1141" s="583"/>
      <c r="V1141" s="376"/>
      <c r="W1141" s="376"/>
      <c r="X1141" s="402"/>
      <c r="Y1141" s="402"/>
      <c r="Z1141" s="610" t="s">
        <v>1478</v>
      </c>
      <c r="AA1141" s="454">
        <f>IF(Table13[[#This Row],[Column2]]="","",SUM(Table13[[#This Row],[Column28]]+Table13[[#This Row],[Column29]]))</f>
        <v>8115</v>
      </c>
      <c r="AB1141" s="466"/>
      <c r="AC1141" s="502">
        <v>8115</v>
      </c>
      <c r="AD1141" s="451">
        <f>IF(Table13[[#This Row],[Column2]]="","",SUM(Table13[[#This Row],[Column31]]+Table13[[#This Row],[Column32]]))</f>
        <v>0</v>
      </c>
      <c r="AE1141" s="453"/>
      <c r="AF1141" s="646"/>
      <c r="AG1141" s="405"/>
      <c r="AH1141" s="380" t="s">
        <v>1205</v>
      </c>
      <c r="AI1141" s="576"/>
      <c r="AJ1141" s="576"/>
      <c r="AK1141" s="576"/>
      <c r="AL1141" s="576"/>
      <c r="AM1141" s="576"/>
      <c r="AN1141" s="576"/>
      <c r="AO1141" s="303" t="s">
        <v>175</v>
      </c>
      <c r="AP1141" s="378"/>
      <c r="AQ1141" s="237"/>
    </row>
    <row r="1142" spans="1:43" s="238" customFormat="1" ht="75" customHeight="1" x14ac:dyDescent="0.25">
      <c r="A1142" s="297" t="s">
        <v>1366</v>
      </c>
      <c r="B1142" s="627" t="str">
        <f>VLOOKUP(Table13[[#This Row],[Column1]],[1]Sheet1!$A:$AO,2,FALSE)</f>
        <v>HANDLE BAR (HONDA XR 150)</v>
      </c>
      <c r="C1142" s="298" t="str">
        <f>VLOOKUP(Table13[[#This Row],[Column1]],[1]Sheet1!$A:$AO,3,FALSE)</f>
        <v>PGSO</v>
      </c>
      <c r="D1142" s="298" t="s">
        <v>712</v>
      </c>
      <c r="E1142" s="450" t="str">
        <f>VLOOKUP(Table13[[#This Row],[Column1]],[1]Sheet1!$A:$AO,5,FALSE)</f>
        <v>Shopping 52.1(a) - Unforeseen Contingency</v>
      </c>
      <c r="F1142" s="446" t="str">
        <f>VLOOKUP(Table13[[#This Row],[Column1]],[1]Sheet1!$A:$AO,6,FALSE)</f>
        <v>N/A</v>
      </c>
      <c r="G1142" s="402">
        <f>VLOOKUP(Table13[[#This Row],[Column1]],[1]Sheet1!$A:$AO,7,FALSE)</f>
        <v>45457</v>
      </c>
      <c r="H1142" s="374"/>
      <c r="I1142" s="402"/>
      <c r="J1142" s="402"/>
      <c r="K1142" s="402"/>
      <c r="L1142" s="404"/>
      <c r="M1142" s="402"/>
      <c r="N1142" s="402"/>
      <c r="O1142" s="402"/>
      <c r="P1142" s="375"/>
      <c r="Q1142" s="375"/>
      <c r="R1142" s="376"/>
      <c r="S1142" s="583"/>
      <c r="T1142" s="583"/>
      <c r="U1142" s="583"/>
      <c r="V1142" s="376"/>
      <c r="W1142" s="376"/>
      <c r="X1142" s="402"/>
      <c r="Y1142" s="402"/>
      <c r="Z1142" s="610" t="s">
        <v>1478</v>
      </c>
      <c r="AA1142" s="454">
        <f>IF(Table13[[#This Row],[Column2]]="","",SUM(Table13[[#This Row],[Column28]]+Table13[[#This Row],[Column29]]))</f>
        <v>2800</v>
      </c>
      <c r="AB1142" s="466"/>
      <c r="AC1142" s="502">
        <v>2800</v>
      </c>
      <c r="AD1142" s="451">
        <f>IF(Table13[[#This Row],[Column2]]="","",SUM(Table13[[#This Row],[Column31]]+Table13[[#This Row],[Column32]]))</f>
        <v>0</v>
      </c>
      <c r="AE1142" s="453"/>
      <c r="AF1142" s="646"/>
      <c r="AG1142" s="405"/>
      <c r="AH1142" s="380" t="s">
        <v>1205</v>
      </c>
      <c r="AI1142" s="576"/>
      <c r="AJ1142" s="576"/>
      <c r="AK1142" s="576"/>
      <c r="AL1142" s="576"/>
      <c r="AM1142" s="576"/>
      <c r="AN1142" s="576"/>
      <c r="AO1142" s="303" t="s">
        <v>175</v>
      </c>
      <c r="AP1142" s="378"/>
      <c r="AQ1142" s="237"/>
    </row>
    <row r="1143" spans="1:43" s="238" customFormat="1" ht="75" customHeight="1" x14ac:dyDescent="0.25">
      <c r="A1143" s="297" t="s">
        <v>1367</v>
      </c>
      <c r="B1143" s="627" t="str">
        <f>VLOOKUP(Table13[[#This Row],[Column1]],[1]Sheet1!$A:$AO,2,FALSE)</f>
        <v>SPAREPARTS (MOTORCYCLE)</v>
      </c>
      <c r="C1143" s="298" t="str">
        <f>VLOOKUP(Table13[[#This Row],[Column1]],[1]Sheet1!$A:$AO,3,FALSE)</f>
        <v>PGSO</v>
      </c>
      <c r="D1143" s="298" t="s">
        <v>712</v>
      </c>
      <c r="E1143" s="450" t="str">
        <f>VLOOKUP(Table13[[#This Row],[Column1]],[1]Sheet1!$A:$AO,5,FALSE)</f>
        <v>Shopping 52.1(a) - Unforeseen Contingency</v>
      </c>
      <c r="F1143" s="446" t="str">
        <f>VLOOKUP(Table13[[#This Row],[Column1]],[1]Sheet1!$A:$AO,6,FALSE)</f>
        <v>N/A</v>
      </c>
      <c r="G1143" s="402">
        <f>VLOOKUP(Table13[[#This Row],[Column1]],[1]Sheet1!$A:$AO,7,FALSE)</f>
        <v>45457</v>
      </c>
      <c r="H1143" s="374"/>
      <c r="I1143" s="402"/>
      <c r="J1143" s="402"/>
      <c r="K1143" s="402"/>
      <c r="L1143" s="404"/>
      <c r="M1143" s="402"/>
      <c r="N1143" s="402"/>
      <c r="O1143" s="402"/>
      <c r="P1143" s="375"/>
      <c r="Q1143" s="375"/>
      <c r="R1143" s="376"/>
      <c r="S1143" s="583"/>
      <c r="T1143" s="583"/>
      <c r="U1143" s="583"/>
      <c r="V1143" s="376"/>
      <c r="W1143" s="376"/>
      <c r="X1143" s="402"/>
      <c r="Y1143" s="402"/>
      <c r="Z1143" s="610" t="s">
        <v>1478</v>
      </c>
      <c r="AA1143" s="454">
        <f>IF(Table13[[#This Row],[Column2]]="","",SUM(Table13[[#This Row],[Column28]]+Table13[[#This Row],[Column29]]))</f>
        <v>3605</v>
      </c>
      <c r="AB1143" s="466"/>
      <c r="AC1143" s="502">
        <v>3605</v>
      </c>
      <c r="AD1143" s="451">
        <f>IF(Table13[[#This Row],[Column2]]="","",SUM(Table13[[#This Row],[Column31]]+Table13[[#This Row],[Column32]]))</f>
        <v>0</v>
      </c>
      <c r="AE1143" s="453"/>
      <c r="AF1143" s="646"/>
      <c r="AG1143" s="405"/>
      <c r="AH1143" s="380" t="s">
        <v>1205</v>
      </c>
      <c r="AI1143" s="576"/>
      <c r="AJ1143" s="576"/>
      <c r="AK1143" s="576"/>
      <c r="AL1143" s="576"/>
      <c r="AM1143" s="576"/>
      <c r="AN1143" s="576"/>
      <c r="AO1143" s="303" t="s">
        <v>175</v>
      </c>
      <c r="AP1143" s="378"/>
      <c r="AQ1143" s="237"/>
    </row>
    <row r="1144" spans="1:43" s="238" customFormat="1" ht="75" customHeight="1" x14ac:dyDescent="0.25">
      <c r="A1144" s="297" t="s">
        <v>1368</v>
      </c>
      <c r="B1144" s="627" t="str">
        <f>VLOOKUP(Table13[[#This Row],[Column1]],[1]Sheet1!$A:$AO,2,FALSE)</f>
        <v>SPAREPARTS (LIGHT VEHICLES)</v>
      </c>
      <c r="C1144" s="298" t="str">
        <f>VLOOKUP(Table13[[#This Row],[Column1]],[1]Sheet1!$A:$AO,3,FALSE)</f>
        <v>PGSO</v>
      </c>
      <c r="D1144" s="298" t="s">
        <v>712</v>
      </c>
      <c r="E1144" s="450" t="str">
        <f>VLOOKUP(Table13[[#This Row],[Column1]],[1]Sheet1!$A:$AO,5,FALSE)</f>
        <v>Shopping 52.1(a) - Unforeseen Contingency</v>
      </c>
      <c r="F1144" s="446" t="str">
        <f>VLOOKUP(Table13[[#This Row],[Column1]],[1]Sheet1!$A:$AO,6,FALSE)</f>
        <v>N/A</v>
      </c>
      <c r="G1144" s="402">
        <f>VLOOKUP(Table13[[#This Row],[Column1]],[1]Sheet1!$A:$AO,7,FALSE)</f>
        <v>45457</v>
      </c>
      <c r="H1144" s="374"/>
      <c r="I1144" s="402"/>
      <c r="J1144" s="402"/>
      <c r="K1144" s="402"/>
      <c r="L1144" s="404"/>
      <c r="M1144" s="402"/>
      <c r="N1144" s="402"/>
      <c r="O1144" s="402"/>
      <c r="P1144" s="375"/>
      <c r="Q1144" s="375"/>
      <c r="R1144" s="376"/>
      <c r="S1144" s="583"/>
      <c r="T1144" s="583"/>
      <c r="U1144" s="583"/>
      <c r="V1144" s="376"/>
      <c r="W1144" s="376"/>
      <c r="X1144" s="402"/>
      <c r="Y1144" s="402"/>
      <c r="Z1144" s="610" t="s">
        <v>1478</v>
      </c>
      <c r="AA1144" s="454">
        <f>IF(Table13[[#This Row],[Column2]]="","",SUM(Table13[[#This Row],[Column28]]+Table13[[#This Row],[Column29]]))</f>
        <v>1150</v>
      </c>
      <c r="AB1144" s="466"/>
      <c r="AC1144" s="502">
        <v>1150</v>
      </c>
      <c r="AD1144" s="451">
        <f>IF(Table13[[#This Row],[Column2]]="","",SUM(Table13[[#This Row],[Column31]]+Table13[[#This Row],[Column32]]))</f>
        <v>0</v>
      </c>
      <c r="AE1144" s="453"/>
      <c r="AF1144" s="646"/>
      <c r="AG1144" s="405"/>
      <c r="AH1144" s="380" t="s">
        <v>1205</v>
      </c>
      <c r="AI1144" s="576"/>
      <c r="AJ1144" s="576"/>
      <c r="AK1144" s="576"/>
      <c r="AL1144" s="576"/>
      <c r="AM1144" s="576"/>
      <c r="AN1144" s="576"/>
      <c r="AO1144" s="303" t="s">
        <v>175</v>
      </c>
      <c r="AP1144" s="378"/>
      <c r="AQ1144" s="237"/>
    </row>
    <row r="1145" spans="1:43" s="238" customFormat="1" ht="75" customHeight="1" x14ac:dyDescent="0.25">
      <c r="A1145" s="297" t="s">
        <v>1369</v>
      </c>
      <c r="B1145" s="627" t="str">
        <f>VLOOKUP(Table13[[#This Row],[Column1]],[1]Sheet1!$A:$AO,2,FALSE)</f>
        <v>SPAREPARTS (MOTORCYCLE)</v>
      </c>
      <c r="C1145" s="298" t="str">
        <f>VLOOKUP(Table13[[#This Row],[Column1]],[1]Sheet1!$A:$AO,3,FALSE)</f>
        <v>PGSO</v>
      </c>
      <c r="D1145" s="298" t="s">
        <v>712</v>
      </c>
      <c r="E1145" s="450" t="str">
        <f>VLOOKUP(Table13[[#This Row],[Column1]],[1]Sheet1!$A:$AO,5,FALSE)</f>
        <v>Shopping 52.1(a) - Unforeseen Contingency</v>
      </c>
      <c r="F1145" s="446" t="str">
        <f>VLOOKUP(Table13[[#This Row],[Column1]],[1]Sheet1!$A:$AO,6,FALSE)</f>
        <v>N/A</v>
      </c>
      <c r="G1145" s="402">
        <f>VLOOKUP(Table13[[#This Row],[Column1]],[1]Sheet1!$A:$AO,7,FALSE)</f>
        <v>45457</v>
      </c>
      <c r="H1145" s="374"/>
      <c r="I1145" s="402"/>
      <c r="J1145" s="402"/>
      <c r="K1145" s="402"/>
      <c r="L1145" s="404"/>
      <c r="M1145" s="402"/>
      <c r="N1145" s="402"/>
      <c r="O1145" s="402"/>
      <c r="P1145" s="375"/>
      <c r="Q1145" s="375"/>
      <c r="R1145" s="376"/>
      <c r="S1145" s="583"/>
      <c r="T1145" s="583"/>
      <c r="U1145" s="583"/>
      <c r="V1145" s="376"/>
      <c r="W1145" s="376"/>
      <c r="X1145" s="402"/>
      <c r="Y1145" s="402"/>
      <c r="Z1145" s="610" t="s">
        <v>1478</v>
      </c>
      <c r="AA1145" s="454">
        <f>IF(Table13[[#This Row],[Column2]]="","",SUM(Table13[[#This Row],[Column28]]+Table13[[#This Row],[Column29]]))</f>
        <v>5860</v>
      </c>
      <c r="AB1145" s="466"/>
      <c r="AC1145" s="502">
        <v>5860</v>
      </c>
      <c r="AD1145" s="451">
        <f>IF(Table13[[#This Row],[Column2]]="","",SUM(Table13[[#This Row],[Column31]]+Table13[[#This Row],[Column32]]))</f>
        <v>0</v>
      </c>
      <c r="AE1145" s="453"/>
      <c r="AF1145" s="646"/>
      <c r="AG1145" s="405"/>
      <c r="AH1145" s="380" t="s">
        <v>1205</v>
      </c>
      <c r="AI1145" s="576"/>
      <c r="AJ1145" s="576"/>
      <c r="AK1145" s="576"/>
      <c r="AL1145" s="576"/>
      <c r="AM1145" s="576"/>
      <c r="AN1145" s="576"/>
      <c r="AO1145" s="303" t="s">
        <v>175</v>
      </c>
      <c r="AP1145" s="378"/>
      <c r="AQ1145" s="237"/>
    </row>
    <row r="1146" spans="1:43" s="238" customFormat="1" ht="75" customHeight="1" x14ac:dyDescent="0.25">
      <c r="A1146" s="297" t="s">
        <v>1370</v>
      </c>
      <c r="B1146" s="627" t="str">
        <f>VLOOKUP(Table13[[#This Row],[Column1]],[1]Sheet1!$A:$AO,2,FALSE)</f>
        <v>SPAREPARTS (MOTORCYCLE)</v>
      </c>
      <c r="C1146" s="298" t="str">
        <f>VLOOKUP(Table13[[#This Row],[Column1]],[1]Sheet1!$A:$AO,3,FALSE)</f>
        <v>PGSO</v>
      </c>
      <c r="D1146" s="298" t="s">
        <v>712</v>
      </c>
      <c r="E1146" s="450" t="str">
        <f>VLOOKUP(Table13[[#This Row],[Column1]],[1]Sheet1!$A:$AO,5,FALSE)</f>
        <v>Shopping 52.1(a) - Unforeseen Contingency</v>
      </c>
      <c r="F1146" s="446" t="str">
        <f>VLOOKUP(Table13[[#This Row],[Column1]],[1]Sheet1!$A:$AO,6,FALSE)</f>
        <v>N/A</v>
      </c>
      <c r="G1146" s="402">
        <f>VLOOKUP(Table13[[#This Row],[Column1]],[1]Sheet1!$A:$AO,7,FALSE)</f>
        <v>45457</v>
      </c>
      <c r="H1146" s="374"/>
      <c r="I1146" s="402"/>
      <c r="J1146" s="402"/>
      <c r="K1146" s="402"/>
      <c r="L1146" s="404"/>
      <c r="M1146" s="402"/>
      <c r="N1146" s="402"/>
      <c r="O1146" s="402"/>
      <c r="P1146" s="375"/>
      <c r="Q1146" s="375"/>
      <c r="R1146" s="376"/>
      <c r="S1146" s="583"/>
      <c r="T1146" s="583"/>
      <c r="U1146" s="583"/>
      <c r="V1146" s="376"/>
      <c r="W1146" s="376"/>
      <c r="X1146" s="402"/>
      <c r="Y1146" s="402"/>
      <c r="Z1146" s="610" t="s">
        <v>1478</v>
      </c>
      <c r="AA1146" s="454">
        <f>IF(Table13[[#This Row],[Column2]]="","",SUM(Table13[[#This Row],[Column28]]+Table13[[#This Row],[Column29]]))</f>
        <v>19915</v>
      </c>
      <c r="AB1146" s="466"/>
      <c r="AC1146" s="502">
        <v>19915</v>
      </c>
      <c r="AD1146" s="451">
        <f>IF(Table13[[#This Row],[Column2]]="","",SUM(Table13[[#This Row],[Column31]]+Table13[[#This Row],[Column32]]))</f>
        <v>0</v>
      </c>
      <c r="AE1146" s="453"/>
      <c r="AF1146" s="646"/>
      <c r="AG1146" s="405"/>
      <c r="AH1146" s="380" t="s">
        <v>1205</v>
      </c>
      <c r="AI1146" s="576"/>
      <c r="AJ1146" s="576"/>
      <c r="AK1146" s="576"/>
      <c r="AL1146" s="576"/>
      <c r="AM1146" s="576"/>
      <c r="AN1146" s="576"/>
      <c r="AO1146" s="303" t="s">
        <v>175</v>
      </c>
      <c r="AP1146" s="378"/>
      <c r="AQ1146" s="237"/>
    </row>
    <row r="1147" spans="1:43" s="238" customFormat="1" ht="75" customHeight="1" x14ac:dyDescent="0.25">
      <c r="A1147" s="297" t="s">
        <v>1371</v>
      </c>
      <c r="B1147" s="627" t="str">
        <f>VLOOKUP(Table13[[#This Row],[Column1]],[1]Sheet1!$A:$AO,2,FALSE)</f>
        <v>PLUMBING SUPPLIES</v>
      </c>
      <c r="C1147" s="298" t="str">
        <f>VLOOKUP(Table13[[#This Row],[Column1]],[1]Sheet1!$A:$AO,3,FALSE)</f>
        <v>PGSO</v>
      </c>
      <c r="D1147" s="298" t="s">
        <v>712</v>
      </c>
      <c r="E1147" s="450" t="str">
        <f>VLOOKUP(Table13[[#This Row],[Column1]],[1]Sheet1!$A:$AO,5,FALSE)</f>
        <v>Shopping 52.1(a) - Unforeseen Contingency</v>
      </c>
      <c r="F1147" s="446" t="str">
        <f>VLOOKUP(Table13[[#This Row],[Column1]],[1]Sheet1!$A:$AO,6,FALSE)</f>
        <v>N/A</v>
      </c>
      <c r="G1147" s="402">
        <f>VLOOKUP(Table13[[#This Row],[Column1]],[1]Sheet1!$A:$AO,7,FALSE)</f>
        <v>45457</v>
      </c>
      <c r="H1147" s="374"/>
      <c r="I1147" s="402"/>
      <c r="J1147" s="402"/>
      <c r="K1147" s="402"/>
      <c r="L1147" s="404"/>
      <c r="M1147" s="402"/>
      <c r="N1147" s="402"/>
      <c r="O1147" s="402"/>
      <c r="P1147" s="375"/>
      <c r="Q1147" s="375"/>
      <c r="R1147" s="376"/>
      <c r="S1147" s="583"/>
      <c r="T1147" s="583"/>
      <c r="U1147" s="583"/>
      <c r="V1147" s="376"/>
      <c r="W1147" s="376"/>
      <c r="X1147" s="402"/>
      <c r="Y1147" s="402"/>
      <c r="Z1147" s="610" t="s">
        <v>1478</v>
      </c>
      <c r="AA1147" s="454">
        <f>IF(Table13[[#This Row],[Column2]]="","",SUM(Table13[[#This Row],[Column28]]+Table13[[#This Row],[Column29]]))</f>
        <v>16860</v>
      </c>
      <c r="AB1147" s="466"/>
      <c r="AC1147" s="502">
        <v>16860</v>
      </c>
      <c r="AD1147" s="451">
        <f>IF(Table13[[#This Row],[Column2]]="","",SUM(Table13[[#This Row],[Column31]]+Table13[[#This Row],[Column32]]))</f>
        <v>0</v>
      </c>
      <c r="AE1147" s="453"/>
      <c r="AF1147" s="646"/>
      <c r="AG1147" s="405"/>
      <c r="AH1147" s="380" t="s">
        <v>1205</v>
      </c>
      <c r="AI1147" s="576"/>
      <c r="AJ1147" s="576"/>
      <c r="AK1147" s="576"/>
      <c r="AL1147" s="576"/>
      <c r="AM1147" s="576"/>
      <c r="AN1147" s="576"/>
      <c r="AO1147" s="303" t="s">
        <v>175</v>
      </c>
      <c r="AP1147" s="378"/>
      <c r="AQ1147" s="237"/>
    </row>
    <row r="1148" spans="1:43" s="238" customFormat="1" ht="75" customHeight="1" x14ac:dyDescent="0.25">
      <c r="A1148" s="297" t="s">
        <v>1372</v>
      </c>
      <c r="B1148" s="627" t="str">
        <f>VLOOKUP(Table13[[#This Row],[Column1]],[1]Sheet1!$A:$AO,2,FALSE)</f>
        <v>OFFICE SUPPLIES</v>
      </c>
      <c r="C1148" s="298" t="str">
        <f>VLOOKUP(Table13[[#This Row],[Column1]],[1]Sheet1!$A:$AO,3,FALSE)</f>
        <v>PHRMDO</v>
      </c>
      <c r="D1148" s="298" t="s">
        <v>712</v>
      </c>
      <c r="E1148" s="450" t="str">
        <f>VLOOKUP(Table13[[#This Row],[Column1]],[1]Sheet1!$A:$AO,5,FALSE)</f>
        <v>Shopping 52.1(b) - Regular Office Supplies and Equipment no available in PS</v>
      </c>
      <c r="F1148" s="446" t="str">
        <f>VLOOKUP(Table13[[#This Row],[Column1]],[1]Sheet1!$A:$AO,6,FALSE)</f>
        <v>N/A</v>
      </c>
      <c r="G1148" s="402">
        <f>VLOOKUP(Table13[[#This Row],[Column1]],[1]Sheet1!$A:$AO,7,FALSE)</f>
        <v>45457</v>
      </c>
      <c r="H1148" s="374"/>
      <c r="I1148" s="402"/>
      <c r="J1148" s="402"/>
      <c r="K1148" s="402"/>
      <c r="L1148" s="404"/>
      <c r="M1148" s="402"/>
      <c r="N1148" s="402"/>
      <c r="O1148" s="402"/>
      <c r="P1148" s="375"/>
      <c r="Q1148" s="375"/>
      <c r="R1148" s="376"/>
      <c r="S1148" s="583"/>
      <c r="T1148" s="583"/>
      <c r="U1148" s="583"/>
      <c r="V1148" s="376"/>
      <c r="W1148" s="376"/>
      <c r="X1148" s="402"/>
      <c r="Y1148" s="402"/>
      <c r="Z1148" s="610" t="s">
        <v>1478</v>
      </c>
      <c r="AA1148" s="454">
        <f>IF(Table13[[#This Row],[Column2]]="","",SUM(Table13[[#This Row],[Column28]]+Table13[[#This Row],[Column29]]))</f>
        <v>7920</v>
      </c>
      <c r="AB1148" s="466"/>
      <c r="AC1148" s="502">
        <v>7920</v>
      </c>
      <c r="AD1148" s="451">
        <f>IF(Table13[[#This Row],[Column2]]="","",SUM(Table13[[#This Row],[Column31]]+Table13[[#This Row],[Column32]]))</f>
        <v>0</v>
      </c>
      <c r="AE1148" s="453"/>
      <c r="AF1148" s="646"/>
      <c r="AG1148" s="405"/>
      <c r="AH1148" s="380" t="s">
        <v>1205</v>
      </c>
      <c r="AI1148" s="576"/>
      <c r="AJ1148" s="576"/>
      <c r="AK1148" s="576"/>
      <c r="AL1148" s="576"/>
      <c r="AM1148" s="576"/>
      <c r="AN1148" s="576"/>
      <c r="AO1148" s="303" t="s">
        <v>175</v>
      </c>
      <c r="AP1148" s="378"/>
      <c r="AQ1148" s="237"/>
    </row>
    <row r="1149" spans="1:43" s="238" customFormat="1" ht="75" customHeight="1" x14ac:dyDescent="0.25">
      <c r="A1149" s="297" t="s">
        <v>1373</v>
      </c>
      <c r="B1149" s="627" t="str">
        <f>VLOOKUP(Table13[[#This Row],[Column1]],[1]Sheet1!$A:$AO,2,FALSE)</f>
        <v>OFFICE SUPPLIES</v>
      </c>
      <c r="C1149" s="298" t="str">
        <f>VLOOKUP(Table13[[#This Row],[Column1]],[1]Sheet1!$A:$AO,3,FALSE)</f>
        <v>PDRRMO</v>
      </c>
      <c r="D1149" s="298" t="s">
        <v>712</v>
      </c>
      <c r="E1149" s="450" t="str">
        <f>VLOOKUP(Table13[[#This Row],[Column1]],[1]Sheet1!$A:$AO,5,FALSE)</f>
        <v>Shopping 52.1(b) - Regular Office Supplies and Equipment no available in PS</v>
      </c>
      <c r="F1149" s="446" t="str">
        <f>VLOOKUP(Table13[[#This Row],[Column1]],[1]Sheet1!$A:$AO,6,FALSE)</f>
        <v>N/A</v>
      </c>
      <c r="G1149" s="402">
        <f>VLOOKUP(Table13[[#This Row],[Column1]],[1]Sheet1!$A:$AO,7,FALSE)</f>
        <v>45457</v>
      </c>
      <c r="H1149" s="374"/>
      <c r="I1149" s="402"/>
      <c r="J1149" s="402"/>
      <c r="K1149" s="402"/>
      <c r="L1149" s="404"/>
      <c r="M1149" s="402"/>
      <c r="N1149" s="402"/>
      <c r="O1149" s="402"/>
      <c r="P1149" s="375"/>
      <c r="Q1149" s="375"/>
      <c r="R1149" s="376"/>
      <c r="S1149" s="583"/>
      <c r="T1149" s="583"/>
      <c r="U1149" s="583"/>
      <c r="V1149" s="376"/>
      <c r="W1149" s="376"/>
      <c r="X1149" s="402"/>
      <c r="Y1149" s="402"/>
      <c r="Z1149" s="610" t="s">
        <v>1478</v>
      </c>
      <c r="AA1149" s="454">
        <f>IF(Table13[[#This Row],[Column2]]="","",SUM(Table13[[#This Row],[Column28]]+Table13[[#This Row],[Column29]]))</f>
        <v>5080</v>
      </c>
      <c r="AB1149" s="466"/>
      <c r="AC1149" s="502">
        <v>5080</v>
      </c>
      <c r="AD1149" s="451">
        <f>IF(Table13[[#This Row],[Column2]]="","",SUM(Table13[[#This Row],[Column31]]+Table13[[#This Row],[Column32]]))</f>
        <v>0</v>
      </c>
      <c r="AE1149" s="453"/>
      <c r="AF1149" s="646"/>
      <c r="AG1149" s="405"/>
      <c r="AH1149" s="380" t="s">
        <v>1205</v>
      </c>
      <c r="AI1149" s="576"/>
      <c r="AJ1149" s="576"/>
      <c r="AK1149" s="576"/>
      <c r="AL1149" s="576"/>
      <c r="AM1149" s="576"/>
      <c r="AN1149" s="576"/>
      <c r="AO1149" s="303" t="s">
        <v>175</v>
      </c>
      <c r="AP1149" s="378"/>
      <c r="AQ1149" s="237"/>
    </row>
    <row r="1150" spans="1:43" s="238" customFormat="1" ht="75" customHeight="1" x14ac:dyDescent="0.25">
      <c r="A1150" s="297" t="s">
        <v>1374</v>
      </c>
      <c r="B1150" s="627" t="str">
        <f>VLOOKUP(Table13[[#This Row],[Column1]],[1]Sheet1!$A:$AO,2,FALSE)</f>
        <v>OFFICE SUPPLIES</v>
      </c>
      <c r="C1150" s="298" t="str">
        <f>VLOOKUP(Table13[[#This Row],[Column1]],[1]Sheet1!$A:$AO,3,FALSE)</f>
        <v>PAGRO</v>
      </c>
      <c r="D1150" s="298" t="s">
        <v>712</v>
      </c>
      <c r="E1150" s="450" t="str">
        <f>VLOOKUP(Table13[[#This Row],[Column1]],[1]Sheet1!$A:$AO,5,FALSE)</f>
        <v>Shopping 52.1(b) - Regular Office Supplies and Equipment no available in PS</v>
      </c>
      <c r="F1150" s="446" t="str">
        <f>VLOOKUP(Table13[[#This Row],[Column1]],[1]Sheet1!$A:$AO,6,FALSE)</f>
        <v>N/A</v>
      </c>
      <c r="G1150" s="402">
        <f>VLOOKUP(Table13[[#This Row],[Column1]],[1]Sheet1!$A:$AO,7,FALSE)</f>
        <v>45457</v>
      </c>
      <c r="H1150" s="374"/>
      <c r="I1150" s="402"/>
      <c r="J1150" s="402"/>
      <c r="K1150" s="402"/>
      <c r="L1150" s="404"/>
      <c r="M1150" s="402"/>
      <c r="N1150" s="402"/>
      <c r="O1150" s="402"/>
      <c r="P1150" s="375"/>
      <c r="Q1150" s="375"/>
      <c r="R1150" s="376"/>
      <c r="S1150" s="583"/>
      <c r="T1150" s="583"/>
      <c r="U1150" s="583"/>
      <c r="V1150" s="376"/>
      <c r="W1150" s="376"/>
      <c r="X1150" s="402"/>
      <c r="Y1150" s="402"/>
      <c r="Z1150" s="610" t="s">
        <v>1478</v>
      </c>
      <c r="AA1150" s="454">
        <f>IF(Table13[[#This Row],[Column2]]="","",SUM(Table13[[#This Row],[Column28]]+Table13[[#This Row],[Column29]]))</f>
        <v>25000</v>
      </c>
      <c r="AB1150" s="466"/>
      <c r="AC1150" s="502">
        <v>25000</v>
      </c>
      <c r="AD1150" s="451">
        <f>IF(Table13[[#This Row],[Column2]]="","",SUM(Table13[[#This Row],[Column31]]+Table13[[#This Row],[Column32]]))</f>
        <v>0</v>
      </c>
      <c r="AE1150" s="453"/>
      <c r="AF1150" s="646"/>
      <c r="AG1150" s="405"/>
      <c r="AH1150" s="380" t="s">
        <v>1205</v>
      </c>
      <c r="AI1150" s="576"/>
      <c r="AJ1150" s="576"/>
      <c r="AK1150" s="576"/>
      <c r="AL1150" s="576"/>
      <c r="AM1150" s="576"/>
      <c r="AN1150" s="576"/>
      <c r="AO1150" s="303" t="s">
        <v>175</v>
      </c>
      <c r="AP1150" s="378"/>
      <c r="AQ1150" s="237"/>
    </row>
    <row r="1151" spans="1:43" s="238" customFormat="1" ht="75" customHeight="1" x14ac:dyDescent="0.25">
      <c r="A1151" s="297" t="s">
        <v>1375</v>
      </c>
      <c r="B1151" s="627" t="str">
        <f>VLOOKUP(Table13[[#This Row],[Column1]],[1]Sheet1!$A:$AO,2,FALSE)</f>
        <v>OFFICE SUPPLIES</v>
      </c>
      <c r="C1151" s="298" t="str">
        <f>VLOOKUP(Table13[[#This Row],[Column1]],[1]Sheet1!$A:$AO,3,FALSE)</f>
        <v>PGO</v>
      </c>
      <c r="D1151" s="298" t="s">
        <v>712</v>
      </c>
      <c r="E1151" s="450" t="str">
        <f>VLOOKUP(Table13[[#This Row],[Column1]],[1]Sheet1!$A:$AO,5,FALSE)</f>
        <v>Shopping 52.1(b) - Regular Office Supplies and Equipment no available in PS</v>
      </c>
      <c r="F1151" s="446" t="str">
        <f>VLOOKUP(Table13[[#This Row],[Column1]],[1]Sheet1!$A:$AO,6,FALSE)</f>
        <v>N/A</v>
      </c>
      <c r="G1151" s="402">
        <f>VLOOKUP(Table13[[#This Row],[Column1]],[1]Sheet1!$A:$AO,7,FALSE)</f>
        <v>45457</v>
      </c>
      <c r="H1151" s="374"/>
      <c r="I1151" s="402"/>
      <c r="J1151" s="402"/>
      <c r="K1151" s="402"/>
      <c r="L1151" s="404"/>
      <c r="M1151" s="402"/>
      <c r="N1151" s="402"/>
      <c r="O1151" s="402"/>
      <c r="P1151" s="375"/>
      <c r="Q1151" s="375"/>
      <c r="R1151" s="376"/>
      <c r="S1151" s="583"/>
      <c r="T1151" s="583"/>
      <c r="U1151" s="583"/>
      <c r="V1151" s="376"/>
      <c r="W1151" s="376"/>
      <c r="X1151" s="402"/>
      <c r="Y1151" s="402"/>
      <c r="Z1151" s="610" t="s">
        <v>1478</v>
      </c>
      <c r="AA1151" s="454">
        <f>IF(Table13[[#This Row],[Column2]]="","",SUM(Table13[[#This Row],[Column28]]+Table13[[#This Row],[Column29]]))</f>
        <v>39532</v>
      </c>
      <c r="AB1151" s="466"/>
      <c r="AC1151" s="502">
        <v>39532</v>
      </c>
      <c r="AD1151" s="451">
        <f>IF(Table13[[#This Row],[Column2]]="","",SUM(Table13[[#This Row],[Column31]]+Table13[[#This Row],[Column32]]))</f>
        <v>0</v>
      </c>
      <c r="AE1151" s="453"/>
      <c r="AF1151" s="646"/>
      <c r="AG1151" s="405"/>
      <c r="AH1151" s="380" t="s">
        <v>1205</v>
      </c>
      <c r="AI1151" s="576"/>
      <c r="AJ1151" s="576"/>
      <c r="AK1151" s="576"/>
      <c r="AL1151" s="576"/>
      <c r="AM1151" s="576"/>
      <c r="AN1151" s="576"/>
      <c r="AO1151" s="303" t="s">
        <v>175</v>
      </c>
      <c r="AP1151" s="378"/>
      <c r="AQ1151" s="237"/>
    </row>
    <row r="1152" spans="1:43" s="238" customFormat="1" ht="75" customHeight="1" x14ac:dyDescent="0.25">
      <c r="A1152" s="297" t="s">
        <v>1376</v>
      </c>
      <c r="B1152" s="627" t="str">
        <f>VLOOKUP(Table13[[#This Row],[Column1]],[1]Sheet1!$A:$AO,2,FALSE)</f>
        <v>OFFICE SUPPLIES</v>
      </c>
      <c r="C1152" s="298" t="str">
        <f>VLOOKUP(Table13[[#This Row],[Column1]],[1]Sheet1!$A:$AO,3,FALSE)</f>
        <v>PGO</v>
      </c>
      <c r="D1152" s="298" t="s">
        <v>712</v>
      </c>
      <c r="E1152" s="450" t="str">
        <f>VLOOKUP(Table13[[#This Row],[Column1]],[1]Sheet1!$A:$AO,5,FALSE)</f>
        <v>Shopping 52.1(b) - Regular Office Supplies and Equipment no available in PS</v>
      </c>
      <c r="F1152" s="446" t="str">
        <f>VLOOKUP(Table13[[#This Row],[Column1]],[1]Sheet1!$A:$AO,6,FALSE)</f>
        <v>N/A</v>
      </c>
      <c r="G1152" s="402">
        <f>VLOOKUP(Table13[[#This Row],[Column1]],[1]Sheet1!$A:$AO,7,FALSE)</f>
        <v>45457</v>
      </c>
      <c r="H1152" s="374"/>
      <c r="I1152" s="402"/>
      <c r="J1152" s="402"/>
      <c r="K1152" s="402"/>
      <c r="L1152" s="404"/>
      <c r="M1152" s="402"/>
      <c r="N1152" s="402"/>
      <c r="O1152" s="402"/>
      <c r="P1152" s="375"/>
      <c r="Q1152" s="375"/>
      <c r="R1152" s="376"/>
      <c r="S1152" s="583"/>
      <c r="T1152" s="583"/>
      <c r="U1152" s="583"/>
      <c r="V1152" s="376"/>
      <c r="W1152" s="376"/>
      <c r="X1152" s="402"/>
      <c r="Y1152" s="402"/>
      <c r="Z1152" s="610" t="s">
        <v>1478</v>
      </c>
      <c r="AA1152" s="454">
        <f>IF(Table13[[#This Row],[Column2]]="","",SUM(Table13[[#This Row],[Column28]]+Table13[[#This Row],[Column29]]))</f>
        <v>3192</v>
      </c>
      <c r="AB1152" s="466"/>
      <c r="AC1152" s="502">
        <v>3192</v>
      </c>
      <c r="AD1152" s="451">
        <f>IF(Table13[[#This Row],[Column2]]="","",SUM(Table13[[#This Row],[Column31]]+Table13[[#This Row],[Column32]]))</f>
        <v>0</v>
      </c>
      <c r="AE1152" s="453"/>
      <c r="AF1152" s="646"/>
      <c r="AG1152" s="405"/>
      <c r="AH1152" s="380" t="s">
        <v>1205</v>
      </c>
      <c r="AI1152" s="576"/>
      <c r="AJ1152" s="576"/>
      <c r="AK1152" s="576"/>
      <c r="AL1152" s="576"/>
      <c r="AM1152" s="576"/>
      <c r="AN1152" s="576"/>
      <c r="AO1152" s="303" t="s">
        <v>175</v>
      </c>
      <c r="AP1152" s="378"/>
      <c r="AQ1152" s="237"/>
    </row>
    <row r="1153" spans="1:43" s="238" customFormat="1" ht="75" customHeight="1" x14ac:dyDescent="0.25">
      <c r="A1153" s="297" t="s">
        <v>1377</v>
      </c>
      <c r="B1153" s="627" t="str">
        <f>VLOOKUP(Table13[[#This Row],[Column1]],[1]Sheet1!$A:$AO,2,FALSE)</f>
        <v>OFFICE SUPPLIES</v>
      </c>
      <c r="C1153" s="298" t="str">
        <f>VLOOKUP(Table13[[#This Row],[Column1]],[1]Sheet1!$A:$AO,3,FALSE)</f>
        <v>PGO</v>
      </c>
      <c r="D1153" s="298" t="s">
        <v>712</v>
      </c>
      <c r="E1153" s="450" t="str">
        <f>VLOOKUP(Table13[[#This Row],[Column1]],[1]Sheet1!$A:$AO,5,FALSE)</f>
        <v>Shopping 52.1(b) - Regular Office Supplies and Equipment no available in PS</v>
      </c>
      <c r="F1153" s="446" t="str">
        <f>VLOOKUP(Table13[[#This Row],[Column1]],[1]Sheet1!$A:$AO,6,FALSE)</f>
        <v>N/A</v>
      </c>
      <c r="G1153" s="402">
        <f>VLOOKUP(Table13[[#This Row],[Column1]],[1]Sheet1!$A:$AO,7,FALSE)</f>
        <v>45457</v>
      </c>
      <c r="H1153" s="374"/>
      <c r="I1153" s="402"/>
      <c r="J1153" s="402"/>
      <c r="K1153" s="402"/>
      <c r="L1153" s="404"/>
      <c r="M1153" s="402"/>
      <c r="N1153" s="402"/>
      <c r="O1153" s="402"/>
      <c r="P1153" s="375"/>
      <c r="Q1153" s="375"/>
      <c r="R1153" s="376"/>
      <c r="S1153" s="583"/>
      <c r="T1153" s="583"/>
      <c r="U1153" s="583"/>
      <c r="V1153" s="376"/>
      <c r="W1153" s="376"/>
      <c r="X1153" s="402"/>
      <c r="Y1153" s="402"/>
      <c r="Z1153" s="610" t="s">
        <v>1478</v>
      </c>
      <c r="AA1153" s="454">
        <f>IF(Table13[[#This Row],[Column2]]="","",SUM(Table13[[#This Row],[Column28]]+Table13[[#This Row],[Column29]]))</f>
        <v>22600</v>
      </c>
      <c r="AB1153" s="466"/>
      <c r="AC1153" s="502">
        <v>22600</v>
      </c>
      <c r="AD1153" s="451">
        <f>IF(Table13[[#This Row],[Column2]]="","",SUM(Table13[[#This Row],[Column31]]+Table13[[#This Row],[Column32]]))</f>
        <v>0</v>
      </c>
      <c r="AE1153" s="453"/>
      <c r="AF1153" s="646"/>
      <c r="AG1153" s="405"/>
      <c r="AH1153" s="380" t="s">
        <v>1205</v>
      </c>
      <c r="AI1153" s="576"/>
      <c r="AJ1153" s="576"/>
      <c r="AK1153" s="576"/>
      <c r="AL1153" s="576"/>
      <c r="AM1153" s="576"/>
      <c r="AN1153" s="576"/>
      <c r="AO1153" s="303" t="s">
        <v>175</v>
      </c>
      <c r="AP1153" s="378"/>
      <c r="AQ1153" s="237"/>
    </row>
    <row r="1154" spans="1:43" s="238" customFormat="1" ht="75" customHeight="1" x14ac:dyDescent="0.25">
      <c r="A1154" s="297" t="s">
        <v>1378</v>
      </c>
      <c r="B1154" s="627" t="str">
        <f>VLOOKUP(Table13[[#This Row],[Column1]],[1]Sheet1!$A:$AO,2,FALSE)</f>
        <v>OFFICE SUPPLIES</v>
      </c>
      <c r="C1154" s="298" t="str">
        <f>VLOOKUP(Table13[[#This Row],[Column1]],[1]Sheet1!$A:$AO,3,FALSE)</f>
        <v>PGO</v>
      </c>
      <c r="D1154" s="298" t="s">
        <v>712</v>
      </c>
      <c r="E1154" s="450" t="str">
        <f>VLOOKUP(Table13[[#This Row],[Column1]],[1]Sheet1!$A:$AO,5,FALSE)</f>
        <v>Shopping 52.1(b) - Regular Office Supplies and Equipment no available in PS</v>
      </c>
      <c r="F1154" s="446" t="str">
        <f>VLOOKUP(Table13[[#This Row],[Column1]],[1]Sheet1!$A:$AO,6,FALSE)</f>
        <v>N/A</v>
      </c>
      <c r="G1154" s="402">
        <f>VLOOKUP(Table13[[#This Row],[Column1]],[1]Sheet1!$A:$AO,7,FALSE)</f>
        <v>45457</v>
      </c>
      <c r="H1154" s="374"/>
      <c r="I1154" s="402"/>
      <c r="J1154" s="402"/>
      <c r="K1154" s="402"/>
      <c r="L1154" s="404"/>
      <c r="M1154" s="402"/>
      <c r="N1154" s="402"/>
      <c r="O1154" s="402"/>
      <c r="P1154" s="375"/>
      <c r="Q1154" s="375"/>
      <c r="R1154" s="376"/>
      <c r="S1154" s="583"/>
      <c r="T1154" s="583"/>
      <c r="U1154" s="583"/>
      <c r="V1154" s="376"/>
      <c r="W1154" s="376"/>
      <c r="X1154" s="402"/>
      <c r="Y1154" s="402"/>
      <c r="Z1154" s="610" t="s">
        <v>1478</v>
      </c>
      <c r="AA1154" s="454">
        <f>IF(Table13[[#This Row],[Column2]]="","",SUM(Table13[[#This Row],[Column28]]+Table13[[#This Row],[Column29]]))</f>
        <v>23307</v>
      </c>
      <c r="AB1154" s="466"/>
      <c r="AC1154" s="502">
        <v>23307</v>
      </c>
      <c r="AD1154" s="451">
        <f>IF(Table13[[#This Row],[Column2]]="","",SUM(Table13[[#This Row],[Column31]]+Table13[[#This Row],[Column32]]))</f>
        <v>0</v>
      </c>
      <c r="AE1154" s="453"/>
      <c r="AF1154" s="646"/>
      <c r="AG1154" s="405"/>
      <c r="AH1154" s="380" t="s">
        <v>1205</v>
      </c>
      <c r="AI1154" s="576"/>
      <c r="AJ1154" s="576"/>
      <c r="AK1154" s="576"/>
      <c r="AL1154" s="576"/>
      <c r="AM1154" s="576"/>
      <c r="AN1154" s="576"/>
      <c r="AO1154" s="303" t="s">
        <v>175</v>
      </c>
      <c r="AP1154" s="378"/>
      <c r="AQ1154" s="237"/>
    </row>
    <row r="1155" spans="1:43" s="238" customFormat="1" ht="75" customHeight="1" x14ac:dyDescent="0.25">
      <c r="A1155" s="297" t="s">
        <v>1379</v>
      </c>
      <c r="B1155" s="627" t="str">
        <f>VLOOKUP(Table13[[#This Row],[Column1]],[1]Sheet1!$A:$AO,2,FALSE)</f>
        <v>OFFICE SUPPLIES</v>
      </c>
      <c r="C1155" s="298" t="str">
        <f>VLOOKUP(Table13[[#This Row],[Column1]],[1]Sheet1!$A:$AO,3,FALSE)</f>
        <v>VGO</v>
      </c>
      <c r="D1155" s="298" t="s">
        <v>712</v>
      </c>
      <c r="E1155" s="450" t="str">
        <f>VLOOKUP(Table13[[#This Row],[Column1]],[1]Sheet1!$A:$AO,5,FALSE)</f>
        <v>Shopping 52.1(b) - Regular Office Supplies and Equipment no available in PS</v>
      </c>
      <c r="F1155" s="446" t="str">
        <f>VLOOKUP(Table13[[#This Row],[Column1]],[1]Sheet1!$A:$AO,6,FALSE)</f>
        <v>N/A</v>
      </c>
      <c r="G1155" s="402">
        <f>VLOOKUP(Table13[[#This Row],[Column1]],[1]Sheet1!$A:$AO,7,FALSE)</f>
        <v>45458</v>
      </c>
      <c r="H1155" s="374"/>
      <c r="I1155" s="402"/>
      <c r="J1155" s="402"/>
      <c r="K1155" s="402"/>
      <c r="L1155" s="404"/>
      <c r="M1155" s="402"/>
      <c r="N1155" s="402"/>
      <c r="O1155" s="402"/>
      <c r="P1155" s="375"/>
      <c r="Q1155" s="375"/>
      <c r="R1155" s="376"/>
      <c r="S1155" s="583"/>
      <c r="T1155" s="583"/>
      <c r="U1155" s="583"/>
      <c r="V1155" s="376"/>
      <c r="W1155" s="376"/>
      <c r="X1155" s="402"/>
      <c r="Y1155" s="402"/>
      <c r="Z1155" s="610" t="s">
        <v>1478</v>
      </c>
      <c r="AA1155" s="454">
        <f>IF(Table13[[#This Row],[Column2]]="","",SUM(Table13[[#This Row],[Column28]]+Table13[[#This Row],[Column29]]))</f>
        <v>170005</v>
      </c>
      <c r="AB1155" s="466"/>
      <c r="AC1155" s="502">
        <v>170005</v>
      </c>
      <c r="AD1155" s="451">
        <f>IF(Table13[[#This Row],[Column2]]="","",SUM(Table13[[#This Row],[Column31]]+Table13[[#This Row],[Column32]]))</f>
        <v>0</v>
      </c>
      <c r="AE1155" s="453"/>
      <c r="AF1155" s="646"/>
      <c r="AG1155" s="405"/>
      <c r="AH1155" s="380" t="s">
        <v>1205</v>
      </c>
      <c r="AI1155" s="576"/>
      <c r="AJ1155" s="576"/>
      <c r="AK1155" s="576"/>
      <c r="AL1155" s="576"/>
      <c r="AM1155" s="576"/>
      <c r="AN1155" s="576"/>
      <c r="AO1155" s="303" t="s">
        <v>175</v>
      </c>
      <c r="AP1155" s="378"/>
      <c r="AQ1155" s="237"/>
    </row>
    <row r="1156" spans="1:43" s="238" customFormat="1" ht="75" customHeight="1" x14ac:dyDescent="0.25">
      <c r="A1156" s="297" t="s">
        <v>1380</v>
      </c>
      <c r="B1156" s="627" t="str">
        <f>VLOOKUP(Table13[[#This Row],[Column1]],[1]Sheet1!$A:$AO,2,FALSE)</f>
        <v>REPAIR AND MAINTENANCE - MACHINERY AND EQUIPMENT</v>
      </c>
      <c r="C1156" s="298" t="str">
        <f>VLOOKUP(Table13[[#This Row],[Column1]],[1]Sheet1!$A:$AO,3,FALSE)</f>
        <v>DDOPH-PANTUKAN</v>
      </c>
      <c r="D1156" s="298" t="s">
        <v>712</v>
      </c>
      <c r="E1156" s="450" t="str">
        <f>VLOOKUP(Table13[[#This Row],[Column1]],[1]Sheet1!$A:$AO,5,FALSE)</f>
        <v>Shopping 52.1(a) - Unforeseen Contingency</v>
      </c>
      <c r="F1156" s="446" t="str">
        <f>VLOOKUP(Table13[[#This Row],[Column1]],[1]Sheet1!$A:$AO,6,FALSE)</f>
        <v>N/A</v>
      </c>
      <c r="G1156" s="402">
        <f>VLOOKUP(Table13[[#This Row],[Column1]],[1]Sheet1!$A:$AO,7,FALSE)</f>
        <v>45461</v>
      </c>
      <c r="H1156" s="374"/>
      <c r="I1156" s="402"/>
      <c r="J1156" s="402"/>
      <c r="K1156" s="402"/>
      <c r="L1156" s="404"/>
      <c r="M1156" s="402"/>
      <c r="N1156" s="402"/>
      <c r="O1156" s="402"/>
      <c r="P1156" s="375"/>
      <c r="Q1156" s="375"/>
      <c r="R1156" s="376"/>
      <c r="S1156" s="583"/>
      <c r="T1156" s="583"/>
      <c r="U1156" s="583"/>
      <c r="V1156" s="376"/>
      <c r="W1156" s="376"/>
      <c r="X1156" s="402"/>
      <c r="Y1156" s="402"/>
      <c r="Z1156" s="610" t="s">
        <v>1478</v>
      </c>
      <c r="AA1156" s="454">
        <f>IF(Table13[[#This Row],[Column2]]="","",SUM(Table13[[#This Row],[Column28]]+Table13[[#This Row],[Column29]]))</f>
        <v>50000</v>
      </c>
      <c r="AB1156" s="466"/>
      <c r="AC1156" s="502">
        <v>50000</v>
      </c>
      <c r="AD1156" s="451">
        <f>IF(Table13[[#This Row],[Column2]]="","",SUM(Table13[[#This Row],[Column31]]+Table13[[#This Row],[Column32]]))</f>
        <v>0</v>
      </c>
      <c r="AE1156" s="453"/>
      <c r="AF1156" s="646"/>
      <c r="AG1156" s="405"/>
      <c r="AH1156" s="380" t="s">
        <v>1205</v>
      </c>
      <c r="AI1156" s="576"/>
      <c r="AJ1156" s="576"/>
      <c r="AK1156" s="576"/>
      <c r="AL1156" s="576"/>
      <c r="AM1156" s="576"/>
      <c r="AN1156" s="576"/>
      <c r="AO1156" s="303" t="s">
        <v>175</v>
      </c>
      <c r="AP1156" s="378"/>
      <c r="AQ1156" s="237"/>
    </row>
    <row r="1157" spans="1:43" s="238" customFormat="1" ht="75" customHeight="1" x14ac:dyDescent="0.25">
      <c r="A1157" s="297" t="s">
        <v>1381</v>
      </c>
      <c r="B1157" s="627" t="str">
        <f>VLOOKUP(Table13[[#This Row],[Column1]],[1]Sheet1!$A:$AO,2,FALSE)</f>
        <v>REPAIR AND MAINTENANCE - BUILDING AND OTHER STRUCTURE</v>
      </c>
      <c r="C1157" s="298" t="str">
        <f>VLOOKUP(Table13[[#This Row],[Column1]],[1]Sheet1!$A:$AO,3,FALSE)</f>
        <v>DDOPH-PANTUKAN</v>
      </c>
      <c r="D1157" s="298" t="s">
        <v>712</v>
      </c>
      <c r="E1157" s="450" t="str">
        <f>VLOOKUP(Table13[[#This Row],[Column1]],[1]Sheet1!$A:$AO,5,FALSE)</f>
        <v>Shopping 52.1(a) - Unforeseen Contingency</v>
      </c>
      <c r="F1157" s="446" t="str">
        <f>VLOOKUP(Table13[[#This Row],[Column1]],[1]Sheet1!$A:$AO,6,FALSE)</f>
        <v>N/A</v>
      </c>
      <c r="G1157" s="402">
        <f>VLOOKUP(Table13[[#This Row],[Column1]],[1]Sheet1!$A:$AO,7,FALSE)</f>
        <v>45461</v>
      </c>
      <c r="H1157" s="374"/>
      <c r="I1157" s="402"/>
      <c r="J1157" s="402"/>
      <c r="K1157" s="402"/>
      <c r="L1157" s="404"/>
      <c r="M1157" s="402"/>
      <c r="N1157" s="402"/>
      <c r="O1157" s="402"/>
      <c r="P1157" s="375"/>
      <c r="Q1157" s="375"/>
      <c r="R1157" s="376"/>
      <c r="S1157" s="583"/>
      <c r="T1157" s="583"/>
      <c r="U1157" s="583"/>
      <c r="V1157" s="376"/>
      <c r="W1157" s="376"/>
      <c r="X1157" s="402"/>
      <c r="Y1157" s="402"/>
      <c r="Z1157" s="610" t="s">
        <v>1478</v>
      </c>
      <c r="AA1157" s="454">
        <f>IF(Table13[[#This Row],[Column2]]="","",SUM(Table13[[#This Row],[Column28]]+Table13[[#This Row],[Column29]]))</f>
        <v>50000</v>
      </c>
      <c r="AB1157" s="466"/>
      <c r="AC1157" s="502">
        <v>50000</v>
      </c>
      <c r="AD1157" s="451">
        <f>IF(Table13[[#This Row],[Column2]]="","",SUM(Table13[[#This Row],[Column31]]+Table13[[#This Row],[Column32]]))</f>
        <v>0</v>
      </c>
      <c r="AE1157" s="453"/>
      <c r="AF1157" s="646"/>
      <c r="AG1157" s="405"/>
      <c r="AH1157" s="380" t="s">
        <v>1205</v>
      </c>
      <c r="AI1157" s="576"/>
      <c r="AJ1157" s="576"/>
      <c r="AK1157" s="576"/>
      <c r="AL1157" s="576"/>
      <c r="AM1157" s="576"/>
      <c r="AN1157" s="576"/>
      <c r="AO1157" s="303" t="s">
        <v>175</v>
      </c>
      <c r="AP1157" s="378"/>
      <c r="AQ1157" s="237"/>
    </row>
    <row r="1158" spans="1:43" s="238" customFormat="1" ht="75" customHeight="1" x14ac:dyDescent="0.25">
      <c r="A1158" s="297" t="s">
        <v>1382</v>
      </c>
      <c r="B1158" s="627" t="str">
        <f>VLOOKUP(Table13[[#This Row],[Column1]],[1]Sheet1!$A:$AO,2,FALSE)</f>
        <v>OFFICE SUPPLIES</v>
      </c>
      <c r="C1158" s="298" t="str">
        <f>VLOOKUP(Table13[[#This Row],[Column1]],[1]Sheet1!$A:$AO,3,FALSE)</f>
        <v>PGO</v>
      </c>
      <c r="D1158" s="298" t="s">
        <v>712</v>
      </c>
      <c r="E1158" s="450" t="str">
        <f>VLOOKUP(Table13[[#This Row],[Column1]],[1]Sheet1!$A:$AO,5,FALSE)</f>
        <v>Shopping 52.1(b) - Regular Office Supplies and Equipment no available in PS</v>
      </c>
      <c r="F1158" s="446" t="str">
        <f>VLOOKUP(Table13[[#This Row],[Column1]],[1]Sheet1!$A:$AO,6,FALSE)</f>
        <v>N/A</v>
      </c>
      <c r="G1158" s="402">
        <f>VLOOKUP(Table13[[#This Row],[Column1]],[1]Sheet1!$A:$AO,7,FALSE)</f>
        <v>45461</v>
      </c>
      <c r="H1158" s="374"/>
      <c r="I1158" s="402"/>
      <c r="J1158" s="402"/>
      <c r="K1158" s="402"/>
      <c r="L1158" s="404"/>
      <c r="M1158" s="402"/>
      <c r="N1158" s="402"/>
      <c r="O1158" s="402"/>
      <c r="P1158" s="375"/>
      <c r="Q1158" s="375"/>
      <c r="R1158" s="376"/>
      <c r="S1158" s="583"/>
      <c r="T1158" s="583"/>
      <c r="U1158" s="583"/>
      <c r="V1158" s="376"/>
      <c r="W1158" s="376"/>
      <c r="X1158" s="402"/>
      <c r="Y1158" s="402"/>
      <c r="Z1158" s="610" t="s">
        <v>1478</v>
      </c>
      <c r="AA1158" s="454">
        <f>IF(Table13[[#This Row],[Column2]]="","",SUM(Table13[[#This Row],[Column28]]+Table13[[#This Row],[Column29]]))</f>
        <v>5327</v>
      </c>
      <c r="AB1158" s="466"/>
      <c r="AC1158" s="502">
        <v>5327</v>
      </c>
      <c r="AD1158" s="451">
        <f>IF(Table13[[#This Row],[Column2]]="","",SUM(Table13[[#This Row],[Column31]]+Table13[[#This Row],[Column32]]))</f>
        <v>0</v>
      </c>
      <c r="AE1158" s="453"/>
      <c r="AF1158" s="646"/>
      <c r="AG1158" s="405"/>
      <c r="AH1158" s="380" t="s">
        <v>1205</v>
      </c>
      <c r="AI1158" s="576"/>
      <c r="AJ1158" s="576"/>
      <c r="AK1158" s="576"/>
      <c r="AL1158" s="576"/>
      <c r="AM1158" s="576"/>
      <c r="AN1158" s="576"/>
      <c r="AO1158" s="303" t="s">
        <v>175</v>
      </c>
      <c r="AP1158" s="378"/>
      <c r="AQ1158" s="237"/>
    </row>
    <row r="1159" spans="1:43" s="238" customFormat="1" ht="75" customHeight="1" x14ac:dyDescent="0.25">
      <c r="A1159" s="297" t="s">
        <v>1383</v>
      </c>
      <c r="B1159" s="627" t="str">
        <f>VLOOKUP(Table13[[#This Row],[Column1]],[1]Sheet1!$A:$AO,2,FALSE)</f>
        <v>OFFICE SUPPLIES</v>
      </c>
      <c r="C1159" s="298" t="str">
        <f>VLOOKUP(Table13[[#This Row],[Column1]],[1]Sheet1!$A:$AO,3,FALSE)</f>
        <v>PHRMDO</v>
      </c>
      <c r="D1159" s="298" t="s">
        <v>712</v>
      </c>
      <c r="E1159" s="450" t="str">
        <f>VLOOKUP(Table13[[#This Row],[Column1]],[1]Sheet1!$A:$AO,5,FALSE)</f>
        <v>Shopping 52.1(b) - Regular Office Supplies and Equipment no available in PS</v>
      </c>
      <c r="F1159" s="446" t="str">
        <f>VLOOKUP(Table13[[#This Row],[Column1]],[1]Sheet1!$A:$AO,6,FALSE)</f>
        <v>N/A</v>
      </c>
      <c r="G1159" s="402">
        <f>VLOOKUP(Table13[[#This Row],[Column1]],[1]Sheet1!$A:$AO,7,FALSE)</f>
        <v>45461</v>
      </c>
      <c r="H1159" s="374"/>
      <c r="I1159" s="402"/>
      <c r="J1159" s="402"/>
      <c r="K1159" s="402"/>
      <c r="L1159" s="404"/>
      <c r="M1159" s="402"/>
      <c r="N1159" s="402"/>
      <c r="O1159" s="402"/>
      <c r="P1159" s="375"/>
      <c r="Q1159" s="375"/>
      <c r="R1159" s="376"/>
      <c r="S1159" s="583"/>
      <c r="T1159" s="583"/>
      <c r="U1159" s="583"/>
      <c r="V1159" s="376"/>
      <c r="W1159" s="376"/>
      <c r="X1159" s="402"/>
      <c r="Y1159" s="402"/>
      <c r="Z1159" s="610" t="s">
        <v>1478</v>
      </c>
      <c r="AA1159" s="454">
        <f>IF(Table13[[#This Row],[Column2]]="","",SUM(Table13[[#This Row],[Column28]]+Table13[[#This Row],[Column29]]))</f>
        <v>79995</v>
      </c>
      <c r="AB1159" s="466"/>
      <c r="AC1159" s="502">
        <v>79995</v>
      </c>
      <c r="AD1159" s="451">
        <f>IF(Table13[[#This Row],[Column2]]="","",SUM(Table13[[#This Row],[Column31]]+Table13[[#This Row],[Column32]]))</f>
        <v>0</v>
      </c>
      <c r="AE1159" s="453"/>
      <c r="AF1159" s="646"/>
      <c r="AG1159" s="405"/>
      <c r="AH1159" s="380" t="s">
        <v>1205</v>
      </c>
      <c r="AI1159" s="576"/>
      <c r="AJ1159" s="576"/>
      <c r="AK1159" s="576"/>
      <c r="AL1159" s="576"/>
      <c r="AM1159" s="576"/>
      <c r="AN1159" s="576"/>
      <c r="AO1159" s="303" t="s">
        <v>175</v>
      </c>
      <c r="AP1159" s="378"/>
      <c r="AQ1159" s="237"/>
    </row>
    <row r="1160" spans="1:43" s="238" customFormat="1" ht="75" customHeight="1" x14ac:dyDescent="0.25">
      <c r="A1160" s="297" t="s">
        <v>1384</v>
      </c>
      <c r="B1160" s="627" t="str">
        <f>VLOOKUP(Table13[[#This Row],[Column1]],[1]Sheet1!$A:$AO,2,FALSE)</f>
        <v>OFFICE SUPPLIES</v>
      </c>
      <c r="C1160" s="298" t="str">
        <f>VLOOKUP(Table13[[#This Row],[Column1]],[1]Sheet1!$A:$AO,3,FALSE)</f>
        <v>PAO-ADMIN</v>
      </c>
      <c r="D1160" s="298" t="s">
        <v>712</v>
      </c>
      <c r="E1160" s="450" t="str">
        <f>VLOOKUP(Table13[[#This Row],[Column1]],[1]Sheet1!$A:$AO,5,FALSE)</f>
        <v>Shopping 52.1(b) - Regular Office Supplies and Equipment no available in PS</v>
      </c>
      <c r="F1160" s="446" t="str">
        <f>VLOOKUP(Table13[[#This Row],[Column1]],[1]Sheet1!$A:$AO,6,FALSE)</f>
        <v>N/A</v>
      </c>
      <c r="G1160" s="402">
        <f>VLOOKUP(Table13[[#This Row],[Column1]],[1]Sheet1!$A:$AO,7,FALSE)</f>
        <v>45461</v>
      </c>
      <c r="H1160" s="374"/>
      <c r="I1160" s="402"/>
      <c r="J1160" s="402"/>
      <c r="K1160" s="402"/>
      <c r="L1160" s="404"/>
      <c r="M1160" s="402"/>
      <c r="N1160" s="402"/>
      <c r="O1160" s="402"/>
      <c r="P1160" s="375"/>
      <c r="Q1160" s="375"/>
      <c r="R1160" s="376"/>
      <c r="S1160" s="583"/>
      <c r="T1160" s="583"/>
      <c r="U1160" s="583"/>
      <c r="V1160" s="376"/>
      <c r="W1160" s="376"/>
      <c r="X1160" s="402"/>
      <c r="Y1160" s="402"/>
      <c r="Z1160" s="610" t="s">
        <v>1478</v>
      </c>
      <c r="AA1160" s="454">
        <f>IF(Table13[[#This Row],[Column2]]="","",SUM(Table13[[#This Row],[Column28]]+Table13[[#This Row],[Column29]]))</f>
        <v>166824.5</v>
      </c>
      <c r="AB1160" s="466"/>
      <c r="AC1160" s="502">
        <v>166824.5</v>
      </c>
      <c r="AD1160" s="451">
        <f>IF(Table13[[#This Row],[Column2]]="","",SUM(Table13[[#This Row],[Column31]]+Table13[[#This Row],[Column32]]))</f>
        <v>0</v>
      </c>
      <c r="AE1160" s="453"/>
      <c r="AF1160" s="646"/>
      <c r="AG1160" s="405"/>
      <c r="AH1160" s="380" t="s">
        <v>1205</v>
      </c>
      <c r="AI1160" s="576"/>
      <c r="AJ1160" s="576"/>
      <c r="AK1160" s="576"/>
      <c r="AL1160" s="576"/>
      <c r="AM1160" s="576"/>
      <c r="AN1160" s="576"/>
      <c r="AO1160" s="303" t="s">
        <v>175</v>
      </c>
      <c r="AP1160" s="378"/>
      <c r="AQ1160" s="237"/>
    </row>
    <row r="1161" spans="1:43" s="238" customFormat="1" ht="75" customHeight="1" x14ac:dyDescent="0.25">
      <c r="A1161" s="297" t="s">
        <v>1385</v>
      </c>
      <c r="B1161" s="627" t="str">
        <f>VLOOKUP(Table13[[#This Row],[Column1]],[1]Sheet1!$A:$AO,2,FALSE)</f>
        <v>SPAREPARTS (AIRCONDITION)</v>
      </c>
      <c r="C1161" s="298" t="str">
        <f>VLOOKUP(Table13[[#This Row],[Column1]],[1]Sheet1!$A:$AO,3,FALSE)</f>
        <v>SPO</v>
      </c>
      <c r="D1161" s="298" t="s">
        <v>712</v>
      </c>
      <c r="E1161" s="450" t="str">
        <f>VLOOKUP(Table13[[#This Row],[Column1]],[1]Sheet1!$A:$AO,5,FALSE)</f>
        <v>Direct Contracting</v>
      </c>
      <c r="F1161" s="446" t="str">
        <f>VLOOKUP(Table13[[#This Row],[Column1]],[1]Sheet1!$A:$AO,6,FALSE)</f>
        <v>N/A</v>
      </c>
      <c r="G1161" s="402">
        <f>VLOOKUP(Table13[[#This Row],[Column1]],[1]Sheet1!$A:$AO,7,FALSE)</f>
        <v>45461</v>
      </c>
      <c r="H1161" s="374"/>
      <c r="I1161" s="402"/>
      <c r="J1161" s="402"/>
      <c r="K1161" s="402"/>
      <c r="L1161" s="404"/>
      <c r="M1161" s="402"/>
      <c r="N1161" s="402"/>
      <c r="O1161" s="402"/>
      <c r="P1161" s="375"/>
      <c r="Q1161" s="375"/>
      <c r="R1161" s="376"/>
      <c r="S1161" s="583"/>
      <c r="T1161" s="583"/>
      <c r="U1161" s="583"/>
      <c r="V1161" s="376"/>
      <c r="W1161" s="376"/>
      <c r="X1161" s="402"/>
      <c r="Y1161" s="402"/>
      <c r="Z1161" s="610" t="s">
        <v>1478</v>
      </c>
      <c r="AA1161" s="454">
        <f>IF(Table13[[#This Row],[Column2]]="","",SUM(Table13[[#This Row],[Column28]]+Table13[[#This Row],[Column29]]))</f>
        <v>141183.29999999999</v>
      </c>
      <c r="AB1161" s="466"/>
      <c r="AC1161" s="502">
        <v>141183.29999999999</v>
      </c>
      <c r="AD1161" s="451">
        <f>IF(Table13[[#This Row],[Column2]]="","",SUM(Table13[[#This Row],[Column31]]+Table13[[#This Row],[Column32]]))</f>
        <v>0</v>
      </c>
      <c r="AE1161" s="453"/>
      <c r="AF1161" s="646"/>
      <c r="AG1161" s="405"/>
      <c r="AH1161" s="380" t="s">
        <v>1205</v>
      </c>
      <c r="AI1161" s="576"/>
      <c r="AJ1161" s="576"/>
      <c r="AK1161" s="576"/>
      <c r="AL1161" s="576"/>
      <c r="AM1161" s="576"/>
      <c r="AN1161" s="576"/>
      <c r="AO1161" s="303" t="s">
        <v>175</v>
      </c>
      <c r="AP1161" s="378"/>
      <c r="AQ1161" s="237"/>
    </row>
    <row r="1162" spans="1:43" s="238" customFormat="1" ht="75" customHeight="1" x14ac:dyDescent="0.25">
      <c r="A1162" s="297" t="s">
        <v>1386</v>
      </c>
      <c r="B1162" s="627" t="str">
        <f>VLOOKUP(Table13[[#This Row],[Column1]],[1]Sheet1!$A:$AO,2,FALSE)</f>
        <v>MEALS AND SNACKS</v>
      </c>
      <c r="C1162" s="298" t="str">
        <f>VLOOKUP(Table13[[#This Row],[Column1]],[1]Sheet1!$A:$AO,3,FALSE)</f>
        <v>PGO</v>
      </c>
      <c r="D1162" s="298" t="s">
        <v>712</v>
      </c>
      <c r="E1162" s="450" t="str">
        <f>VLOOKUP(Table13[[#This Row],[Column1]],[1]Sheet1!$A:$AO,5,FALSE)</f>
        <v>NP-53.9 - Small Value Procurement</v>
      </c>
      <c r="F1162" s="446" t="str">
        <f>VLOOKUP(Table13[[#This Row],[Column1]],[1]Sheet1!$A:$AO,6,FALSE)</f>
        <v>N/A</v>
      </c>
      <c r="G1162" s="402">
        <f>VLOOKUP(Table13[[#This Row],[Column1]],[1]Sheet1!$A:$AO,7,FALSE)</f>
        <v>45461</v>
      </c>
      <c r="H1162" s="374"/>
      <c r="I1162" s="402"/>
      <c r="J1162" s="402"/>
      <c r="K1162" s="402"/>
      <c r="L1162" s="404"/>
      <c r="M1162" s="402"/>
      <c r="N1162" s="402"/>
      <c r="O1162" s="402"/>
      <c r="P1162" s="375"/>
      <c r="Q1162" s="375"/>
      <c r="R1162" s="376"/>
      <c r="S1162" s="583"/>
      <c r="T1162" s="583"/>
      <c r="U1162" s="583"/>
      <c r="V1162" s="376"/>
      <c r="W1162" s="376"/>
      <c r="X1162" s="402"/>
      <c r="Y1162" s="402"/>
      <c r="Z1162" s="610" t="s">
        <v>1478</v>
      </c>
      <c r="AA1162" s="454">
        <f>IF(Table13[[#This Row],[Column2]]="","",SUM(Table13[[#This Row],[Column28]]+Table13[[#This Row],[Column29]]))</f>
        <v>170000</v>
      </c>
      <c r="AB1162" s="466"/>
      <c r="AC1162" s="502">
        <v>170000</v>
      </c>
      <c r="AD1162" s="451">
        <f>IF(Table13[[#This Row],[Column2]]="","",SUM(Table13[[#This Row],[Column31]]+Table13[[#This Row],[Column32]]))</f>
        <v>0</v>
      </c>
      <c r="AE1162" s="453"/>
      <c r="AF1162" s="646"/>
      <c r="AG1162" s="405"/>
      <c r="AH1162" s="380" t="s">
        <v>1205</v>
      </c>
      <c r="AI1162" s="576"/>
      <c r="AJ1162" s="576"/>
      <c r="AK1162" s="576"/>
      <c r="AL1162" s="576"/>
      <c r="AM1162" s="576"/>
      <c r="AN1162" s="576"/>
      <c r="AO1162" s="303" t="s">
        <v>175</v>
      </c>
      <c r="AP1162" s="378"/>
      <c r="AQ1162" s="237"/>
    </row>
    <row r="1163" spans="1:43" s="238" customFormat="1" ht="75" customHeight="1" x14ac:dyDescent="0.25">
      <c r="A1163" s="297" t="s">
        <v>1387</v>
      </c>
      <c r="B1163" s="627" t="str">
        <f>VLOOKUP(Table13[[#This Row],[Column1]],[1]Sheet1!$A:$AO,2,FALSE)</f>
        <v>MEALS AND SNACKS</v>
      </c>
      <c r="C1163" s="298" t="str">
        <f>VLOOKUP(Table13[[#This Row],[Column1]],[1]Sheet1!$A:$AO,3,FALSE)</f>
        <v>PGO</v>
      </c>
      <c r="D1163" s="298" t="s">
        <v>712</v>
      </c>
      <c r="E1163" s="450" t="str">
        <f>VLOOKUP(Table13[[#This Row],[Column1]],[1]Sheet1!$A:$AO,5,FALSE)</f>
        <v>NP-53.9 - Small Value Procurement</v>
      </c>
      <c r="F1163" s="446" t="str">
        <f>VLOOKUP(Table13[[#This Row],[Column1]],[1]Sheet1!$A:$AO,6,FALSE)</f>
        <v>N/A</v>
      </c>
      <c r="G1163" s="402">
        <f>VLOOKUP(Table13[[#This Row],[Column1]],[1]Sheet1!$A:$AO,7,FALSE)</f>
        <v>45461</v>
      </c>
      <c r="H1163" s="374"/>
      <c r="I1163" s="402"/>
      <c r="J1163" s="402"/>
      <c r="K1163" s="402"/>
      <c r="L1163" s="404"/>
      <c r="M1163" s="402"/>
      <c r="N1163" s="402"/>
      <c r="O1163" s="402"/>
      <c r="P1163" s="375"/>
      <c r="Q1163" s="375"/>
      <c r="R1163" s="376"/>
      <c r="S1163" s="583"/>
      <c r="T1163" s="583"/>
      <c r="U1163" s="583"/>
      <c r="V1163" s="376"/>
      <c r="W1163" s="376"/>
      <c r="X1163" s="402"/>
      <c r="Y1163" s="402"/>
      <c r="Z1163" s="610" t="s">
        <v>1478</v>
      </c>
      <c r="AA1163" s="454">
        <f>IF(Table13[[#This Row],[Column2]]="","",SUM(Table13[[#This Row],[Column28]]+Table13[[#This Row],[Column29]]))</f>
        <v>197500</v>
      </c>
      <c r="AB1163" s="466"/>
      <c r="AC1163" s="502">
        <v>197500</v>
      </c>
      <c r="AD1163" s="451">
        <f>IF(Table13[[#This Row],[Column2]]="","",SUM(Table13[[#This Row],[Column31]]+Table13[[#This Row],[Column32]]))</f>
        <v>0</v>
      </c>
      <c r="AE1163" s="453"/>
      <c r="AF1163" s="646"/>
      <c r="AG1163" s="405"/>
      <c r="AH1163" s="380" t="s">
        <v>1205</v>
      </c>
      <c r="AI1163" s="576"/>
      <c r="AJ1163" s="576"/>
      <c r="AK1163" s="576"/>
      <c r="AL1163" s="576"/>
      <c r="AM1163" s="576"/>
      <c r="AN1163" s="576"/>
      <c r="AO1163" s="303" t="s">
        <v>175</v>
      </c>
      <c r="AP1163" s="378"/>
      <c r="AQ1163" s="237"/>
    </row>
    <row r="1164" spans="1:43" s="238" customFormat="1" ht="75" customHeight="1" x14ac:dyDescent="0.25">
      <c r="A1164" s="297" t="s">
        <v>1388</v>
      </c>
      <c r="B1164" s="627" t="str">
        <f>VLOOKUP(Table13[[#This Row],[Column1]],[1]Sheet1!$A:$AO,2,FALSE)</f>
        <v>MEALS AND SNACKS</v>
      </c>
      <c r="C1164" s="298" t="str">
        <f>VLOOKUP(Table13[[#This Row],[Column1]],[1]Sheet1!$A:$AO,3,FALSE)</f>
        <v>PGO</v>
      </c>
      <c r="D1164" s="298" t="s">
        <v>712</v>
      </c>
      <c r="E1164" s="450" t="str">
        <f>VLOOKUP(Table13[[#This Row],[Column1]],[1]Sheet1!$A:$AO,5,FALSE)</f>
        <v>NP-53.9 - Small Value Procurement</v>
      </c>
      <c r="F1164" s="446" t="str">
        <f>VLOOKUP(Table13[[#This Row],[Column1]],[1]Sheet1!$A:$AO,6,FALSE)</f>
        <v>N/A</v>
      </c>
      <c r="G1164" s="402">
        <f>VLOOKUP(Table13[[#This Row],[Column1]],[1]Sheet1!$A:$AO,7,FALSE)</f>
        <v>45461</v>
      </c>
      <c r="H1164" s="374"/>
      <c r="I1164" s="402"/>
      <c r="J1164" s="402"/>
      <c r="K1164" s="402"/>
      <c r="L1164" s="404"/>
      <c r="M1164" s="402"/>
      <c r="N1164" s="402"/>
      <c r="O1164" s="402"/>
      <c r="P1164" s="375"/>
      <c r="Q1164" s="375"/>
      <c r="R1164" s="376"/>
      <c r="S1164" s="583"/>
      <c r="T1164" s="583"/>
      <c r="U1164" s="583"/>
      <c r="V1164" s="376"/>
      <c r="W1164" s="376"/>
      <c r="X1164" s="402"/>
      <c r="Y1164" s="402"/>
      <c r="Z1164" s="610" t="s">
        <v>1478</v>
      </c>
      <c r="AA1164" s="454">
        <f>IF(Table13[[#This Row],[Column2]]="","",SUM(Table13[[#This Row],[Column28]]+Table13[[#This Row],[Column29]]))</f>
        <v>95000</v>
      </c>
      <c r="AB1164" s="466"/>
      <c r="AC1164" s="502">
        <v>95000</v>
      </c>
      <c r="AD1164" s="451">
        <f>IF(Table13[[#This Row],[Column2]]="","",SUM(Table13[[#This Row],[Column31]]+Table13[[#This Row],[Column32]]))</f>
        <v>0</v>
      </c>
      <c r="AE1164" s="453"/>
      <c r="AF1164" s="646"/>
      <c r="AG1164" s="405"/>
      <c r="AH1164" s="380" t="s">
        <v>1205</v>
      </c>
      <c r="AI1164" s="576"/>
      <c r="AJ1164" s="576"/>
      <c r="AK1164" s="576"/>
      <c r="AL1164" s="576"/>
      <c r="AM1164" s="576"/>
      <c r="AN1164" s="576"/>
      <c r="AO1164" s="303" t="s">
        <v>175</v>
      </c>
      <c r="AP1164" s="378"/>
      <c r="AQ1164" s="237"/>
    </row>
    <row r="1165" spans="1:43" s="238" customFormat="1" ht="75" customHeight="1" x14ac:dyDescent="0.25">
      <c r="A1165" s="297" t="s">
        <v>1389</v>
      </c>
      <c r="B1165" s="627" t="str">
        <f>VLOOKUP(Table13[[#This Row],[Column1]],[1]Sheet1!$A:$AO,2,FALSE)</f>
        <v>MEALS AND SNACKS</v>
      </c>
      <c r="C1165" s="298" t="str">
        <f>VLOOKUP(Table13[[#This Row],[Column1]],[1]Sheet1!$A:$AO,3,FALSE)</f>
        <v>PGO</v>
      </c>
      <c r="D1165" s="298" t="s">
        <v>712</v>
      </c>
      <c r="E1165" s="450" t="str">
        <f>VLOOKUP(Table13[[#This Row],[Column1]],[1]Sheet1!$A:$AO,5,FALSE)</f>
        <v>NP-53.9 - Small Value Procurement</v>
      </c>
      <c r="F1165" s="446" t="str">
        <f>VLOOKUP(Table13[[#This Row],[Column1]],[1]Sheet1!$A:$AO,6,FALSE)</f>
        <v>N/A</v>
      </c>
      <c r="G1165" s="402">
        <f>VLOOKUP(Table13[[#This Row],[Column1]],[1]Sheet1!$A:$AO,7,FALSE)</f>
        <v>45461</v>
      </c>
      <c r="H1165" s="374"/>
      <c r="I1165" s="402"/>
      <c r="J1165" s="402"/>
      <c r="K1165" s="402"/>
      <c r="L1165" s="404"/>
      <c r="M1165" s="402"/>
      <c r="N1165" s="402"/>
      <c r="O1165" s="402"/>
      <c r="P1165" s="375"/>
      <c r="Q1165" s="375"/>
      <c r="R1165" s="376"/>
      <c r="S1165" s="583"/>
      <c r="T1165" s="583"/>
      <c r="U1165" s="583"/>
      <c r="V1165" s="376"/>
      <c r="W1165" s="376"/>
      <c r="X1165" s="402"/>
      <c r="Y1165" s="402"/>
      <c r="Z1165" s="610" t="s">
        <v>1478</v>
      </c>
      <c r="AA1165" s="454">
        <f>IF(Table13[[#This Row],[Column2]]="","",SUM(Table13[[#This Row],[Column28]]+Table13[[#This Row],[Column29]]))</f>
        <v>129000</v>
      </c>
      <c r="AB1165" s="466"/>
      <c r="AC1165" s="502">
        <v>129000</v>
      </c>
      <c r="AD1165" s="451">
        <f>IF(Table13[[#This Row],[Column2]]="","",SUM(Table13[[#This Row],[Column31]]+Table13[[#This Row],[Column32]]))</f>
        <v>0</v>
      </c>
      <c r="AE1165" s="453"/>
      <c r="AF1165" s="646"/>
      <c r="AG1165" s="405"/>
      <c r="AH1165" s="380" t="s">
        <v>1205</v>
      </c>
      <c r="AI1165" s="576"/>
      <c r="AJ1165" s="576"/>
      <c r="AK1165" s="576"/>
      <c r="AL1165" s="576"/>
      <c r="AM1165" s="576"/>
      <c r="AN1165" s="576"/>
      <c r="AO1165" s="303" t="s">
        <v>175</v>
      </c>
      <c r="AP1165" s="378"/>
      <c r="AQ1165" s="237"/>
    </row>
    <row r="1166" spans="1:43" s="238" customFormat="1" ht="75" customHeight="1" x14ac:dyDescent="0.25">
      <c r="A1166" s="297" t="s">
        <v>1390</v>
      </c>
      <c r="B1166" s="627" t="str">
        <f>VLOOKUP(Table13[[#This Row],[Column1]],[1]Sheet1!$A:$AO,2,FALSE)</f>
        <v>COMPUTER SUPPLIES</v>
      </c>
      <c r="C1166" s="298" t="str">
        <f>VLOOKUP(Table13[[#This Row],[Column1]],[1]Sheet1!$A:$AO,3,FALSE)</f>
        <v>PSWDO</v>
      </c>
      <c r="D1166" s="298" t="s">
        <v>712</v>
      </c>
      <c r="E1166" s="450" t="str">
        <f>VLOOKUP(Table13[[#This Row],[Column1]],[1]Sheet1!$A:$AO,5,FALSE)</f>
        <v>NP-53.9 - Small Value Procurement</v>
      </c>
      <c r="F1166" s="446" t="str">
        <f>VLOOKUP(Table13[[#This Row],[Column1]],[1]Sheet1!$A:$AO,6,FALSE)</f>
        <v>N/A</v>
      </c>
      <c r="G1166" s="402">
        <f>VLOOKUP(Table13[[#This Row],[Column1]],[1]Sheet1!$A:$AO,7,FALSE)</f>
        <v>45461</v>
      </c>
      <c r="H1166" s="374"/>
      <c r="I1166" s="402"/>
      <c r="J1166" s="402"/>
      <c r="K1166" s="402"/>
      <c r="L1166" s="404"/>
      <c r="M1166" s="402"/>
      <c r="N1166" s="402"/>
      <c r="O1166" s="402"/>
      <c r="P1166" s="375"/>
      <c r="Q1166" s="375"/>
      <c r="R1166" s="376"/>
      <c r="S1166" s="583"/>
      <c r="T1166" s="583"/>
      <c r="U1166" s="583"/>
      <c r="V1166" s="376"/>
      <c r="W1166" s="376"/>
      <c r="X1166" s="402"/>
      <c r="Y1166" s="402"/>
      <c r="Z1166" s="610" t="s">
        <v>1478</v>
      </c>
      <c r="AA1166" s="454">
        <f>IF(Table13[[#This Row],[Column2]]="","",SUM(Table13[[#This Row],[Column28]]+Table13[[#This Row],[Column29]]))</f>
        <v>18340</v>
      </c>
      <c r="AB1166" s="466"/>
      <c r="AC1166" s="502">
        <v>18340</v>
      </c>
      <c r="AD1166" s="451">
        <f>IF(Table13[[#This Row],[Column2]]="","",SUM(Table13[[#This Row],[Column31]]+Table13[[#This Row],[Column32]]))</f>
        <v>0</v>
      </c>
      <c r="AE1166" s="453"/>
      <c r="AF1166" s="646"/>
      <c r="AG1166" s="405"/>
      <c r="AH1166" s="380" t="s">
        <v>1205</v>
      </c>
      <c r="AI1166" s="576"/>
      <c r="AJ1166" s="576"/>
      <c r="AK1166" s="576"/>
      <c r="AL1166" s="576"/>
      <c r="AM1166" s="576"/>
      <c r="AN1166" s="576"/>
      <c r="AO1166" s="303" t="s">
        <v>175</v>
      </c>
      <c r="AP1166" s="378"/>
      <c r="AQ1166" s="237"/>
    </row>
    <row r="1167" spans="1:43" s="238" customFormat="1" ht="75" customHeight="1" x14ac:dyDescent="0.25">
      <c r="A1167" s="297" t="s">
        <v>1391</v>
      </c>
      <c r="B1167" s="627" t="str">
        <f>VLOOKUP(Table13[[#This Row],[Column1]],[1]Sheet1!$A:$AO,2,FALSE)</f>
        <v>RICE (WELL-MILLED) 50KG/SACK</v>
      </c>
      <c r="C1167" s="298" t="str">
        <f>VLOOKUP(Table13[[#This Row],[Column1]],[1]Sheet1!$A:$AO,3,FALSE)</f>
        <v>PGO</v>
      </c>
      <c r="D1167" s="298" t="s">
        <v>712</v>
      </c>
      <c r="E1167" s="450" t="str">
        <f>VLOOKUP(Table13[[#This Row],[Column1]],[1]Sheet1!$A:$AO,5,FALSE)</f>
        <v>NP-53.9 - Small Value Procurement</v>
      </c>
      <c r="F1167" s="446" t="str">
        <f>VLOOKUP(Table13[[#This Row],[Column1]],[1]Sheet1!$A:$AO,6,FALSE)</f>
        <v>N/A</v>
      </c>
      <c r="G1167" s="402">
        <f>VLOOKUP(Table13[[#This Row],[Column1]],[1]Sheet1!$A:$AO,7,FALSE)</f>
        <v>45461</v>
      </c>
      <c r="H1167" s="374"/>
      <c r="I1167" s="402"/>
      <c r="J1167" s="402"/>
      <c r="K1167" s="402"/>
      <c r="L1167" s="404"/>
      <c r="M1167" s="402"/>
      <c r="N1167" s="402"/>
      <c r="O1167" s="402"/>
      <c r="P1167" s="375"/>
      <c r="Q1167" s="375"/>
      <c r="R1167" s="376"/>
      <c r="S1167" s="583"/>
      <c r="T1167" s="583"/>
      <c r="U1167" s="583"/>
      <c r="V1167" s="376"/>
      <c r="W1167" s="376"/>
      <c r="X1167" s="402"/>
      <c r="Y1167" s="402"/>
      <c r="Z1167" s="610" t="s">
        <v>1478</v>
      </c>
      <c r="AA1167" s="454">
        <f>IF(Table13[[#This Row],[Column2]]="","",SUM(Table13[[#This Row],[Column28]]+Table13[[#This Row],[Column29]]))</f>
        <v>144000</v>
      </c>
      <c r="AB1167" s="466"/>
      <c r="AC1167" s="502">
        <v>144000</v>
      </c>
      <c r="AD1167" s="451">
        <f>IF(Table13[[#This Row],[Column2]]="","",SUM(Table13[[#This Row],[Column31]]+Table13[[#This Row],[Column32]]))</f>
        <v>0</v>
      </c>
      <c r="AE1167" s="453"/>
      <c r="AF1167" s="646"/>
      <c r="AG1167" s="405"/>
      <c r="AH1167" s="380" t="s">
        <v>1205</v>
      </c>
      <c r="AI1167" s="576"/>
      <c r="AJ1167" s="576"/>
      <c r="AK1167" s="576"/>
      <c r="AL1167" s="576"/>
      <c r="AM1167" s="576"/>
      <c r="AN1167" s="576"/>
      <c r="AO1167" s="303" t="s">
        <v>175</v>
      </c>
      <c r="AP1167" s="378"/>
      <c r="AQ1167" s="237"/>
    </row>
    <row r="1168" spans="1:43" s="238" customFormat="1" ht="75" customHeight="1" x14ac:dyDescent="0.25">
      <c r="A1168" s="297" t="s">
        <v>1392</v>
      </c>
      <c r="B1168" s="627" t="str">
        <f>VLOOKUP(Table13[[#This Row],[Column1]],[1]Sheet1!$A:$AO,2,FALSE)</f>
        <v>OFFICE EQUIPMENT</v>
      </c>
      <c r="C1168" s="298" t="str">
        <f>VLOOKUP(Table13[[#This Row],[Column1]],[1]Sheet1!$A:$AO,3,FALSE)</f>
        <v>PGO</v>
      </c>
      <c r="D1168" s="298" t="s">
        <v>712</v>
      </c>
      <c r="E1168" s="450" t="str">
        <f>VLOOKUP(Table13[[#This Row],[Column1]],[1]Sheet1!$A:$AO,5,FALSE)</f>
        <v>NP-53.9 - Small Value Procurement</v>
      </c>
      <c r="F1168" s="446" t="str">
        <f>VLOOKUP(Table13[[#This Row],[Column1]],[1]Sheet1!$A:$AO,6,FALSE)</f>
        <v>N/A</v>
      </c>
      <c r="G1168" s="402">
        <f>VLOOKUP(Table13[[#This Row],[Column1]],[1]Sheet1!$A:$AO,7,FALSE)</f>
        <v>45461</v>
      </c>
      <c r="H1168" s="374"/>
      <c r="I1168" s="402"/>
      <c r="J1168" s="402"/>
      <c r="K1168" s="402"/>
      <c r="L1168" s="404"/>
      <c r="M1168" s="402"/>
      <c r="N1168" s="402"/>
      <c r="O1168" s="402"/>
      <c r="P1168" s="375"/>
      <c r="Q1168" s="375"/>
      <c r="R1168" s="376"/>
      <c r="S1168" s="583"/>
      <c r="T1168" s="583"/>
      <c r="U1168" s="583"/>
      <c r="V1168" s="376"/>
      <c r="W1168" s="376"/>
      <c r="X1168" s="402"/>
      <c r="Y1168" s="402"/>
      <c r="Z1168" s="610" t="s">
        <v>1478</v>
      </c>
      <c r="AA1168" s="454">
        <f>IF(Table13[[#This Row],[Column2]]="","",SUM(Table13[[#This Row],[Column28]]+Table13[[#This Row],[Column29]]))</f>
        <v>14500</v>
      </c>
      <c r="AB1168" s="466"/>
      <c r="AC1168" s="502">
        <v>14500</v>
      </c>
      <c r="AD1168" s="451">
        <f>IF(Table13[[#This Row],[Column2]]="","",SUM(Table13[[#This Row],[Column31]]+Table13[[#This Row],[Column32]]))</f>
        <v>0</v>
      </c>
      <c r="AE1168" s="453"/>
      <c r="AF1168" s="646"/>
      <c r="AG1168" s="405"/>
      <c r="AH1168" s="380" t="s">
        <v>1205</v>
      </c>
      <c r="AI1168" s="576"/>
      <c r="AJ1168" s="576"/>
      <c r="AK1168" s="576"/>
      <c r="AL1168" s="576"/>
      <c r="AM1168" s="576"/>
      <c r="AN1168" s="576"/>
      <c r="AO1168" s="303" t="s">
        <v>175</v>
      </c>
      <c r="AP1168" s="378"/>
      <c r="AQ1168" s="237"/>
    </row>
    <row r="1169" spans="1:43" s="238" customFormat="1" ht="75" customHeight="1" x14ac:dyDescent="0.25">
      <c r="A1169" s="297" t="s">
        <v>1393</v>
      </c>
      <c r="B1169" s="627" t="str">
        <f>VLOOKUP(Table13[[#This Row],[Column1]],[1]Sheet1!$A:$AO,2,FALSE)</f>
        <v>ACK-UP DRONE BATTERY</v>
      </c>
      <c r="C1169" s="298" t="str">
        <f>VLOOKUP(Table13[[#This Row],[Column1]],[1]Sheet1!$A:$AO,3,FALSE)</f>
        <v>PGO</v>
      </c>
      <c r="D1169" s="298" t="s">
        <v>712</v>
      </c>
      <c r="E1169" s="450" t="str">
        <f>VLOOKUP(Table13[[#This Row],[Column1]],[1]Sheet1!$A:$AO,5,FALSE)</f>
        <v>NP-53.9 - Small Value Procurement</v>
      </c>
      <c r="F1169" s="446" t="str">
        <f>VLOOKUP(Table13[[#This Row],[Column1]],[1]Sheet1!$A:$AO,6,FALSE)</f>
        <v>N/A</v>
      </c>
      <c r="G1169" s="402">
        <f>VLOOKUP(Table13[[#This Row],[Column1]],[1]Sheet1!$A:$AO,7,FALSE)</f>
        <v>45461</v>
      </c>
      <c r="H1169" s="374"/>
      <c r="I1169" s="402"/>
      <c r="J1169" s="402"/>
      <c r="K1169" s="402"/>
      <c r="L1169" s="404"/>
      <c r="M1169" s="402"/>
      <c r="N1169" s="402"/>
      <c r="O1169" s="402"/>
      <c r="P1169" s="375"/>
      <c r="Q1169" s="375"/>
      <c r="R1169" s="376"/>
      <c r="S1169" s="583"/>
      <c r="T1169" s="583"/>
      <c r="U1169" s="583"/>
      <c r="V1169" s="376"/>
      <c r="W1169" s="376"/>
      <c r="X1169" s="402"/>
      <c r="Y1169" s="402"/>
      <c r="Z1169" s="610" t="s">
        <v>1478</v>
      </c>
      <c r="AA1169" s="454">
        <f>IF(Table13[[#This Row],[Column2]]="","",SUM(Table13[[#This Row],[Column28]]+Table13[[#This Row],[Column29]]))</f>
        <v>16500</v>
      </c>
      <c r="AB1169" s="466"/>
      <c r="AC1169" s="502">
        <v>16500</v>
      </c>
      <c r="AD1169" s="451">
        <f>IF(Table13[[#This Row],[Column2]]="","",SUM(Table13[[#This Row],[Column31]]+Table13[[#This Row],[Column32]]))</f>
        <v>0</v>
      </c>
      <c r="AE1169" s="453"/>
      <c r="AF1169" s="646"/>
      <c r="AG1169" s="405"/>
      <c r="AH1169" s="380" t="s">
        <v>1205</v>
      </c>
      <c r="AI1169" s="576"/>
      <c r="AJ1169" s="576"/>
      <c r="AK1169" s="576"/>
      <c r="AL1169" s="576"/>
      <c r="AM1169" s="576"/>
      <c r="AN1169" s="576"/>
      <c r="AO1169" s="303" t="s">
        <v>175</v>
      </c>
      <c r="AP1169" s="378"/>
      <c r="AQ1169" s="237"/>
    </row>
    <row r="1170" spans="1:43" s="238" customFormat="1" ht="75" customHeight="1" x14ac:dyDescent="0.25">
      <c r="A1170" s="297" t="s">
        <v>1394</v>
      </c>
      <c r="B1170" s="627" t="str">
        <f>VLOOKUP(Table13[[#This Row],[Column1]],[1]Sheet1!$A:$AO,2,FALSE)</f>
        <v>RAIN COAT (PONCHO TYPE)</v>
      </c>
      <c r="C1170" s="298" t="str">
        <f>VLOOKUP(Table13[[#This Row],[Column1]],[1]Sheet1!$A:$AO,3,FALSE)</f>
        <v>PGO</v>
      </c>
      <c r="D1170" s="298" t="s">
        <v>712</v>
      </c>
      <c r="E1170" s="450" t="str">
        <f>VLOOKUP(Table13[[#This Row],[Column1]],[1]Sheet1!$A:$AO,5,FALSE)</f>
        <v>NP-53.9 - Small Value Procurement</v>
      </c>
      <c r="F1170" s="446" t="str">
        <f>VLOOKUP(Table13[[#This Row],[Column1]],[1]Sheet1!$A:$AO,6,FALSE)</f>
        <v>N/A</v>
      </c>
      <c r="G1170" s="402">
        <f>VLOOKUP(Table13[[#This Row],[Column1]],[1]Sheet1!$A:$AO,7,FALSE)</f>
        <v>45461</v>
      </c>
      <c r="H1170" s="374"/>
      <c r="I1170" s="402"/>
      <c r="J1170" s="402"/>
      <c r="K1170" s="402"/>
      <c r="L1170" s="404"/>
      <c r="M1170" s="402"/>
      <c r="N1170" s="402"/>
      <c r="O1170" s="402"/>
      <c r="P1170" s="375"/>
      <c r="Q1170" s="375"/>
      <c r="R1170" s="376"/>
      <c r="S1170" s="583"/>
      <c r="T1170" s="583"/>
      <c r="U1170" s="583"/>
      <c r="V1170" s="376"/>
      <c r="W1170" s="376"/>
      <c r="X1170" s="402"/>
      <c r="Y1170" s="402"/>
      <c r="Z1170" s="610" t="s">
        <v>1478</v>
      </c>
      <c r="AA1170" s="454">
        <f>IF(Table13[[#This Row],[Column2]]="","",SUM(Table13[[#This Row],[Column28]]+Table13[[#This Row],[Column29]]))</f>
        <v>1200</v>
      </c>
      <c r="AB1170" s="466"/>
      <c r="AC1170" s="502">
        <v>1200</v>
      </c>
      <c r="AD1170" s="451">
        <f>IF(Table13[[#This Row],[Column2]]="","",SUM(Table13[[#This Row],[Column31]]+Table13[[#This Row],[Column32]]))</f>
        <v>0</v>
      </c>
      <c r="AE1170" s="453"/>
      <c r="AF1170" s="646"/>
      <c r="AG1170" s="405"/>
      <c r="AH1170" s="380" t="s">
        <v>1205</v>
      </c>
      <c r="AI1170" s="576"/>
      <c r="AJ1170" s="576"/>
      <c r="AK1170" s="576"/>
      <c r="AL1170" s="576"/>
      <c r="AM1170" s="576"/>
      <c r="AN1170" s="576"/>
      <c r="AO1170" s="303" t="s">
        <v>175</v>
      </c>
      <c r="AP1170" s="378"/>
      <c r="AQ1170" s="237"/>
    </row>
    <row r="1171" spans="1:43" s="238" customFormat="1" ht="75" customHeight="1" x14ac:dyDescent="0.25">
      <c r="A1171" s="297" t="s">
        <v>1395</v>
      </c>
      <c r="B1171" s="627" t="str">
        <f>VLOOKUP(Table13[[#This Row],[Column1]],[1]Sheet1!$A:$AO,2,FALSE)</f>
        <v>COMPUTER SUPPLIES</v>
      </c>
      <c r="C1171" s="298" t="str">
        <f>VLOOKUP(Table13[[#This Row],[Column1]],[1]Sheet1!$A:$AO,3,FALSE)</f>
        <v>PASSO</v>
      </c>
      <c r="D1171" s="298" t="s">
        <v>712</v>
      </c>
      <c r="E1171" s="450" t="str">
        <f>VLOOKUP(Table13[[#This Row],[Column1]],[1]Sheet1!$A:$AO,5,FALSE)</f>
        <v>NP-53.9 - Small Value Procurement</v>
      </c>
      <c r="F1171" s="446" t="str">
        <f>VLOOKUP(Table13[[#This Row],[Column1]],[1]Sheet1!$A:$AO,6,FALSE)</f>
        <v>N/A</v>
      </c>
      <c r="G1171" s="402">
        <f>VLOOKUP(Table13[[#This Row],[Column1]],[1]Sheet1!$A:$AO,7,FALSE)</f>
        <v>45461</v>
      </c>
      <c r="H1171" s="374"/>
      <c r="I1171" s="402"/>
      <c r="J1171" s="402"/>
      <c r="K1171" s="402"/>
      <c r="L1171" s="404"/>
      <c r="M1171" s="402"/>
      <c r="N1171" s="402"/>
      <c r="O1171" s="402"/>
      <c r="P1171" s="375"/>
      <c r="Q1171" s="375"/>
      <c r="R1171" s="376"/>
      <c r="S1171" s="583"/>
      <c r="T1171" s="583"/>
      <c r="U1171" s="583"/>
      <c r="V1171" s="376"/>
      <c r="W1171" s="376"/>
      <c r="X1171" s="402"/>
      <c r="Y1171" s="402"/>
      <c r="Z1171" s="610" t="s">
        <v>1478</v>
      </c>
      <c r="AA1171" s="454">
        <f>IF(Table13[[#This Row],[Column2]]="","",SUM(Table13[[#This Row],[Column28]]+Table13[[#This Row],[Column29]]))</f>
        <v>125382</v>
      </c>
      <c r="AB1171" s="466"/>
      <c r="AC1171" s="502">
        <v>125382</v>
      </c>
      <c r="AD1171" s="451">
        <f>IF(Table13[[#This Row],[Column2]]="","",SUM(Table13[[#This Row],[Column31]]+Table13[[#This Row],[Column32]]))</f>
        <v>0</v>
      </c>
      <c r="AE1171" s="453"/>
      <c r="AF1171" s="646"/>
      <c r="AG1171" s="405"/>
      <c r="AH1171" s="380" t="s">
        <v>1205</v>
      </c>
      <c r="AI1171" s="576"/>
      <c r="AJ1171" s="576"/>
      <c r="AK1171" s="576"/>
      <c r="AL1171" s="576"/>
      <c r="AM1171" s="576"/>
      <c r="AN1171" s="576"/>
      <c r="AO1171" s="303" t="s">
        <v>175</v>
      </c>
      <c r="AP1171" s="378"/>
      <c r="AQ1171" s="237"/>
    </row>
    <row r="1172" spans="1:43" s="238" customFormat="1" ht="75" customHeight="1" x14ac:dyDescent="0.25">
      <c r="A1172" s="297" t="s">
        <v>1396</v>
      </c>
      <c r="B1172" s="627" t="str">
        <f>VLOOKUP(Table13[[#This Row],[Column1]],[1]Sheet1!$A:$AO,2,FALSE)</f>
        <v>PAPER SHREDDER 20 LITERS (HEAVY DUTY)</v>
      </c>
      <c r="C1172" s="298" t="str">
        <f>VLOOKUP(Table13[[#This Row],[Column1]],[1]Sheet1!$A:$AO,3,FALSE)</f>
        <v>PGO</v>
      </c>
      <c r="D1172" s="298" t="s">
        <v>712</v>
      </c>
      <c r="E1172" s="450" t="str">
        <f>VLOOKUP(Table13[[#This Row],[Column1]],[1]Sheet1!$A:$AO,5,FALSE)</f>
        <v>NP-53.9 - Small Value Procurement</v>
      </c>
      <c r="F1172" s="446" t="str">
        <f>VLOOKUP(Table13[[#This Row],[Column1]],[1]Sheet1!$A:$AO,6,FALSE)</f>
        <v>N/A</v>
      </c>
      <c r="G1172" s="402">
        <f>VLOOKUP(Table13[[#This Row],[Column1]],[1]Sheet1!$A:$AO,7,FALSE)</f>
        <v>45461</v>
      </c>
      <c r="H1172" s="374"/>
      <c r="I1172" s="402"/>
      <c r="J1172" s="402"/>
      <c r="K1172" s="402"/>
      <c r="L1172" s="404"/>
      <c r="M1172" s="402"/>
      <c r="N1172" s="402"/>
      <c r="O1172" s="402"/>
      <c r="P1172" s="375"/>
      <c r="Q1172" s="375"/>
      <c r="R1172" s="376"/>
      <c r="S1172" s="583"/>
      <c r="T1172" s="583"/>
      <c r="U1172" s="583"/>
      <c r="V1172" s="376"/>
      <c r="W1172" s="376"/>
      <c r="X1172" s="402"/>
      <c r="Y1172" s="402"/>
      <c r="Z1172" s="610" t="s">
        <v>1478</v>
      </c>
      <c r="AA1172" s="454">
        <f>IF(Table13[[#This Row],[Column2]]="","",SUM(Table13[[#This Row],[Column28]]+Table13[[#This Row],[Column29]]))</f>
        <v>28000</v>
      </c>
      <c r="AB1172" s="466"/>
      <c r="AC1172" s="502">
        <v>28000</v>
      </c>
      <c r="AD1172" s="451">
        <f>IF(Table13[[#This Row],[Column2]]="","",SUM(Table13[[#This Row],[Column31]]+Table13[[#This Row],[Column32]]))</f>
        <v>0</v>
      </c>
      <c r="AE1172" s="453"/>
      <c r="AF1172" s="646"/>
      <c r="AG1172" s="405"/>
      <c r="AH1172" s="380" t="s">
        <v>1205</v>
      </c>
      <c r="AI1172" s="576"/>
      <c r="AJ1172" s="576"/>
      <c r="AK1172" s="576"/>
      <c r="AL1172" s="576"/>
      <c r="AM1172" s="576"/>
      <c r="AN1172" s="576"/>
      <c r="AO1172" s="303" t="s">
        <v>175</v>
      </c>
      <c r="AP1172" s="378"/>
      <c r="AQ1172" s="237"/>
    </row>
    <row r="1173" spans="1:43" s="238" customFormat="1" ht="75" customHeight="1" x14ac:dyDescent="0.25">
      <c r="A1173" s="297" t="s">
        <v>1397</v>
      </c>
      <c r="B1173" s="627" t="str">
        <f>VLOOKUP(Table13[[#This Row],[Column1]],[1]Sheet1!$A:$AO,2,FALSE)</f>
        <v>MEALS AND SNACKS</v>
      </c>
      <c r="C1173" s="298" t="str">
        <f>VLOOKUP(Table13[[#This Row],[Column1]],[1]Sheet1!$A:$AO,3,FALSE)</f>
        <v>PVO</v>
      </c>
      <c r="D1173" s="298" t="s">
        <v>712</v>
      </c>
      <c r="E1173" s="450" t="str">
        <f>VLOOKUP(Table13[[#This Row],[Column1]],[1]Sheet1!$A:$AO,5,FALSE)</f>
        <v>NP-53.9 - Small Value Procurement</v>
      </c>
      <c r="F1173" s="446" t="str">
        <f>VLOOKUP(Table13[[#This Row],[Column1]],[1]Sheet1!$A:$AO,6,FALSE)</f>
        <v>N/A</v>
      </c>
      <c r="G1173" s="402">
        <f>VLOOKUP(Table13[[#This Row],[Column1]],[1]Sheet1!$A:$AO,7,FALSE)</f>
        <v>45461</v>
      </c>
      <c r="H1173" s="374"/>
      <c r="I1173" s="402"/>
      <c r="J1173" s="402"/>
      <c r="K1173" s="402"/>
      <c r="L1173" s="404"/>
      <c r="M1173" s="402"/>
      <c r="N1173" s="402"/>
      <c r="O1173" s="402"/>
      <c r="P1173" s="375"/>
      <c r="Q1173" s="375"/>
      <c r="R1173" s="376"/>
      <c r="S1173" s="583"/>
      <c r="T1173" s="583"/>
      <c r="U1173" s="583"/>
      <c r="V1173" s="376"/>
      <c r="W1173" s="376"/>
      <c r="X1173" s="402"/>
      <c r="Y1173" s="402"/>
      <c r="Z1173" s="610" t="s">
        <v>1478</v>
      </c>
      <c r="AA1173" s="454">
        <f>IF(Table13[[#This Row],[Column2]]="","",SUM(Table13[[#This Row],[Column28]]+Table13[[#This Row],[Column29]]))</f>
        <v>46039</v>
      </c>
      <c r="AB1173" s="466"/>
      <c r="AC1173" s="502">
        <v>46039</v>
      </c>
      <c r="AD1173" s="451">
        <f>IF(Table13[[#This Row],[Column2]]="","",SUM(Table13[[#This Row],[Column31]]+Table13[[#This Row],[Column32]]))</f>
        <v>0</v>
      </c>
      <c r="AE1173" s="453"/>
      <c r="AF1173" s="646"/>
      <c r="AG1173" s="405"/>
      <c r="AH1173" s="380" t="s">
        <v>1205</v>
      </c>
      <c r="AI1173" s="576"/>
      <c r="AJ1173" s="576"/>
      <c r="AK1173" s="576"/>
      <c r="AL1173" s="576"/>
      <c r="AM1173" s="576"/>
      <c r="AN1173" s="576"/>
      <c r="AO1173" s="303" t="s">
        <v>175</v>
      </c>
      <c r="AP1173" s="378"/>
      <c r="AQ1173" s="237"/>
    </row>
    <row r="1174" spans="1:43" s="238" customFormat="1" ht="75" customHeight="1" x14ac:dyDescent="0.25">
      <c r="A1174" s="297" t="s">
        <v>1398</v>
      </c>
      <c r="B1174" s="627" t="str">
        <f>VLOOKUP(Table13[[#This Row],[Column1]],[1]Sheet1!$A:$AO,2,FALSE)</f>
        <v>PLUMBING SUPPLIES</v>
      </c>
      <c r="C1174" s="298" t="str">
        <f>VLOOKUP(Table13[[#This Row],[Column1]],[1]Sheet1!$A:$AO,3,FALSE)</f>
        <v>PDRRMO</v>
      </c>
      <c r="D1174" s="298" t="s">
        <v>712</v>
      </c>
      <c r="E1174" s="450" t="str">
        <f>VLOOKUP(Table13[[#This Row],[Column1]],[1]Sheet1!$A:$AO,5,FALSE)</f>
        <v>NP-53.9 - Small Value Procurement</v>
      </c>
      <c r="F1174" s="446" t="str">
        <f>VLOOKUP(Table13[[#This Row],[Column1]],[1]Sheet1!$A:$AO,6,FALSE)</f>
        <v>N/A</v>
      </c>
      <c r="G1174" s="402">
        <f>VLOOKUP(Table13[[#This Row],[Column1]],[1]Sheet1!$A:$AO,7,FALSE)</f>
        <v>45461</v>
      </c>
      <c r="H1174" s="374"/>
      <c r="I1174" s="402"/>
      <c r="J1174" s="402"/>
      <c r="K1174" s="402"/>
      <c r="L1174" s="404"/>
      <c r="M1174" s="402"/>
      <c r="N1174" s="402"/>
      <c r="O1174" s="402"/>
      <c r="P1174" s="375"/>
      <c r="Q1174" s="375"/>
      <c r="R1174" s="376"/>
      <c r="S1174" s="583"/>
      <c r="T1174" s="583"/>
      <c r="U1174" s="583"/>
      <c r="V1174" s="376"/>
      <c r="W1174" s="376"/>
      <c r="X1174" s="402"/>
      <c r="Y1174" s="402"/>
      <c r="Z1174" s="610" t="s">
        <v>1478</v>
      </c>
      <c r="AA1174" s="454">
        <f>IF(Table13[[#This Row],[Column2]]="","",SUM(Table13[[#This Row],[Column28]]+Table13[[#This Row],[Column29]]))</f>
        <v>22305.599999999999</v>
      </c>
      <c r="AB1174" s="466"/>
      <c r="AC1174" s="502">
        <v>22305.599999999999</v>
      </c>
      <c r="AD1174" s="451">
        <f>IF(Table13[[#This Row],[Column2]]="","",SUM(Table13[[#This Row],[Column31]]+Table13[[#This Row],[Column32]]))</f>
        <v>0</v>
      </c>
      <c r="AE1174" s="453"/>
      <c r="AF1174" s="646"/>
      <c r="AG1174" s="405"/>
      <c r="AH1174" s="380" t="s">
        <v>1205</v>
      </c>
      <c r="AI1174" s="576"/>
      <c r="AJ1174" s="576"/>
      <c r="AK1174" s="576"/>
      <c r="AL1174" s="576"/>
      <c r="AM1174" s="576"/>
      <c r="AN1174" s="576"/>
      <c r="AO1174" s="303" t="s">
        <v>175</v>
      </c>
      <c r="AP1174" s="378"/>
      <c r="AQ1174" s="237"/>
    </row>
    <row r="1175" spans="1:43" s="238" customFormat="1" ht="75" customHeight="1" x14ac:dyDescent="0.25">
      <c r="A1175" s="297" t="s">
        <v>1399</v>
      </c>
      <c r="B1175" s="627" t="str">
        <f>VLOOKUP(Table13[[#This Row],[Column1]],[1]Sheet1!$A:$AO,2,FALSE)</f>
        <v>ANIMAL FEEDS</v>
      </c>
      <c r="C1175" s="298" t="str">
        <f>VLOOKUP(Table13[[#This Row],[Column1]],[1]Sheet1!$A:$AO,3,FALSE)</f>
        <v>PGO</v>
      </c>
      <c r="D1175" s="298" t="s">
        <v>712</v>
      </c>
      <c r="E1175" s="450" t="str">
        <f>VLOOKUP(Table13[[#This Row],[Column1]],[1]Sheet1!$A:$AO,5,FALSE)</f>
        <v>NP-53.9 - Small Value Procurement</v>
      </c>
      <c r="F1175" s="446" t="str">
        <f>VLOOKUP(Table13[[#This Row],[Column1]],[1]Sheet1!$A:$AO,6,FALSE)</f>
        <v>N/A</v>
      </c>
      <c r="G1175" s="402">
        <f>VLOOKUP(Table13[[#This Row],[Column1]],[1]Sheet1!$A:$AO,7,FALSE)</f>
        <v>45461</v>
      </c>
      <c r="H1175" s="374"/>
      <c r="I1175" s="402"/>
      <c r="J1175" s="402"/>
      <c r="K1175" s="402"/>
      <c r="L1175" s="404"/>
      <c r="M1175" s="402"/>
      <c r="N1175" s="402"/>
      <c r="O1175" s="402"/>
      <c r="P1175" s="375"/>
      <c r="Q1175" s="375"/>
      <c r="R1175" s="376"/>
      <c r="S1175" s="583"/>
      <c r="T1175" s="583"/>
      <c r="U1175" s="583"/>
      <c r="V1175" s="376"/>
      <c r="W1175" s="376"/>
      <c r="X1175" s="402"/>
      <c r="Y1175" s="402"/>
      <c r="Z1175" s="610" t="s">
        <v>1478</v>
      </c>
      <c r="AA1175" s="454">
        <f>IF(Table13[[#This Row],[Column2]]="","",SUM(Table13[[#This Row],[Column28]]+Table13[[#This Row],[Column29]]))</f>
        <v>89000</v>
      </c>
      <c r="AB1175" s="466"/>
      <c r="AC1175" s="502">
        <v>89000</v>
      </c>
      <c r="AD1175" s="451">
        <f>IF(Table13[[#This Row],[Column2]]="","",SUM(Table13[[#This Row],[Column31]]+Table13[[#This Row],[Column32]]))</f>
        <v>0</v>
      </c>
      <c r="AE1175" s="453"/>
      <c r="AF1175" s="646"/>
      <c r="AG1175" s="405"/>
      <c r="AH1175" s="380" t="s">
        <v>1205</v>
      </c>
      <c r="AI1175" s="576"/>
      <c r="AJ1175" s="576"/>
      <c r="AK1175" s="576"/>
      <c r="AL1175" s="576"/>
      <c r="AM1175" s="576"/>
      <c r="AN1175" s="576"/>
      <c r="AO1175" s="303" t="s">
        <v>175</v>
      </c>
      <c r="AP1175" s="378"/>
      <c r="AQ1175" s="237"/>
    </row>
    <row r="1176" spans="1:43" s="238" customFormat="1" ht="75" customHeight="1" x14ac:dyDescent="0.25">
      <c r="A1176" s="297" t="s">
        <v>1400</v>
      </c>
      <c r="B1176" s="627" t="str">
        <f>VLOOKUP(Table13[[#This Row],[Column1]],[1]Sheet1!$A:$AO,2,FALSE)</f>
        <v>MEALS AND SNACKS</v>
      </c>
      <c r="C1176" s="298" t="str">
        <f>VLOOKUP(Table13[[#This Row],[Column1]],[1]Sheet1!$A:$AO,3,FALSE)</f>
        <v>PENRO</v>
      </c>
      <c r="D1176" s="298" t="s">
        <v>712</v>
      </c>
      <c r="E1176" s="450" t="str">
        <f>VLOOKUP(Table13[[#This Row],[Column1]],[1]Sheet1!$A:$AO,5,FALSE)</f>
        <v>NP-53.9 - Small Value Procurement</v>
      </c>
      <c r="F1176" s="446" t="str">
        <f>VLOOKUP(Table13[[#This Row],[Column1]],[1]Sheet1!$A:$AO,6,FALSE)</f>
        <v>N/A</v>
      </c>
      <c r="G1176" s="402">
        <f>VLOOKUP(Table13[[#This Row],[Column1]],[1]Sheet1!$A:$AO,7,FALSE)</f>
        <v>45461</v>
      </c>
      <c r="H1176" s="374"/>
      <c r="I1176" s="402"/>
      <c r="J1176" s="402"/>
      <c r="K1176" s="402"/>
      <c r="L1176" s="404"/>
      <c r="M1176" s="402"/>
      <c r="N1176" s="402"/>
      <c r="O1176" s="402"/>
      <c r="P1176" s="375"/>
      <c r="Q1176" s="375"/>
      <c r="R1176" s="376"/>
      <c r="S1176" s="583"/>
      <c r="T1176" s="583"/>
      <c r="U1176" s="583"/>
      <c r="V1176" s="376"/>
      <c r="W1176" s="376"/>
      <c r="X1176" s="402"/>
      <c r="Y1176" s="402"/>
      <c r="Z1176" s="610" t="s">
        <v>1478</v>
      </c>
      <c r="AA1176" s="454">
        <f>IF(Table13[[#This Row],[Column2]]="","",SUM(Table13[[#This Row],[Column28]]+Table13[[#This Row],[Column29]]))</f>
        <v>44550</v>
      </c>
      <c r="AB1176" s="466"/>
      <c r="AC1176" s="502">
        <v>44550</v>
      </c>
      <c r="AD1176" s="451">
        <f>IF(Table13[[#This Row],[Column2]]="","",SUM(Table13[[#This Row],[Column31]]+Table13[[#This Row],[Column32]]))</f>
        <v>0</v>
      </c>
      <c r="AE1176" s="453"/>
      <c r="AF1176" s="646"/>
      <c r="AG1176" s="405"/>
      <c r="AH1176" s="380" t="s">
        <v>1205</v>
      </c>
      <c r="AI1176" s="576"/>
      <c r="AJ1176" s="576"/>
      <c r="AK1176" s="576"/>
      <c r="AL1176" s="576"/>
      <c r="AM1176" s="576"/>
      <c r="AN1176" s="576"/>
      <c r="AO1176" s="303" t="s">
        <v>175</v>
      </c>
      <c r="AP1176" s="378"/>
      <c r="AQ1176" s="237"/>
    </row>
    <row r="1177" spans="1:43" s="238" customFormat="1" ht="75" customHeight="1" x14ac:dyDescent="0.25">
      <c r="A1177" s="297" t="s">
        <v>1401</v>
      </c>
      <c r="B1177" s="627" t="str">
        <f>VLOOKUP(Table13[[#This Row],[Column1]],[1]Sheet1!$A:$AO,2,FALSE)</f>
        <v>MEALS AND SNACKS</v>
      </c>
      <c r="C1177" s="298" t="str">
        <f>VLOOKUP(Table13[[#This Row],[Column1]],[1]Sheet1!$A:$AO,3,FALSE)</f>
        <v>PGO</v>
      </c>
      <c r="D1177" s="298" t="s">
        <v>712</v>
      </c>
      <c r="E1177" s="450" t="str">
        <f>VLOOKUP(Table13[[#This Row],[Column1]],[1]Sheet1!$A:$AO,5,FALSE)</f>
        <v>NP-53.9 - Small Value Procurement</v>
      </c>
      <c r="F1177" s="446" t="str">
        <f>VLOOKUP(Table13[[#This Row],[Column1]],[1]Sheet1!$A:$AO,6,FALSE)</f>
        <v>N/A</v>
      </c>
      <c r="G1177" s="402">
        <f>VLOOKUP(Table13[[#This Row],[Column1]],[1]Sheet1!$A:$AO,7,FALSE)</f>
        <v>45461</v>
      </c>
      <c r="H1177" s="374"/>
      <c r="I1177" s="402"/>
      <c r="J1177" s="402"/>
      <c r="K1177" s="402"/>
      <c r="L1177" s="404"/>
      <c r="M1177" s="402"/>
      <c r="N1177" s="402"/>
      <c r="O1177" s="402"/>
      <c r="P1177" s="375"/>
      <c r="Q1177" s="375"/>
      <c r="R1177" s="376"/>
      <c r="S1177" s="583"/>
      <c r="T1177" s="583"/>
      <c r="U1177" s="583"/>
      <c r="V1177" s="376"/>
      <c r="W1177" s="376"/>
      <c r="X1177" s="402"/>
      <c r="Y1177" s="402"/>
      <c r="Z1177" s="610" t="s">
        <v>1478</v>
      </c>
      <c r="AA1177" s="454">
        <f>IF(Table13[[#This Row],[Column2]]="","",SUM(Table13[[#This Row],[Column28]]+Table13[[#This Row],[Column29]]))</f>
        <v>57031</v>
      </c>
      <c r="AB1177" s="466"/>
      <c r="AC1177" s="502">
        <v>57031</v>
      </c>
      <c r="AD1177" s="451">
        <f>IF(Table13[[#This Row],[Column2]]="","",SUM(Table13[[#This Row],[Column31]]+Table13[[#This Row],[Column32]]))</f>
        <v>0</v>
      </c>
      <c r="AE1177" s="453"/>
      <c r="AF1177" s="646"/>
      <c r="AG1177" s="405"/>
      <c r="AH1177" s="380" t="s">
        <v>1205</v>
      </c>
      <c r="AI1177" s="576"/>
      <c r="AJ1177" s="576"/>
      <c r="AK1177" s="576"/>
      <c r="AL1177" s="576"/>
      <c r="AM1177" s="576"/>
      <c r="AN1177" s="576"/>
      <c r="AO1177" s="303" t="s">
        <v>175</v>
      </c>
      <c r="AP1177" s="378"/>
      <c r="AQ1177" s="237"/>
    </row>
    <row r="1178" spans="1:43" s="238" customFormat="1" ht="75" customHeight="1" x14ac:dyDescent="0.25">
      <c r="A1178" s="297" t="s">
        <v>1402</v>
      </c>
      <c r="B1178" s="627" t="str">
        <f>VLOOKUP(Table13[[#This Row],[Column1]],[1]Sheet1!$A:$AO,2,FALSE)</f>
        <v>COMPUTER SUPPLIES</v>
      </c>
      <c r="C1178" s="298" t="str">
        <f>VLOOKUP(Table13[[#This Row],[Column1]],[1]Sheet1!$A:$AO,3,FALSE)</f>
        <v>PDRRMO</v>
      </c>
      <c r="D1178" s="298" t="s">
        <v>712</v>
      </c>
      <c r="E1178" s="450" t="str">
        <f>VLOOKUP(Table13[[#This Row],[Column1]],[1]Sheet1!$A:$AO,5,FALSE)</f>
        <v>NP-53.9 - Small Value Procurement</v>
      </c>
      <c r="F1178" s="446" t="str">
        <f>VLOOKUP(Table13[[#This Row],[Column1]],[1]Sheet1!$A:$AO,6,FALSE)</f>
        <v>N/A</v>
      </c>
      <c r="G1178" s="402">
        <f>VLOOKUP(Table13[[#This Row],[Column1]],[1]Sheet1!$A:$AO,7,FALSE)</f>
        <v>45461</v>
      </c>
      <c r="H1178" s="374"/>
      <c r="I1178" s="402"/>
      <c r="J1178" s="402"/>
      <c r="K1178" s="402"/>
      <c r="L1178" s="404"/>
      <c r="M1178" s="402"/>
      <c r="N1178" s="402"/>
      <c r="O1178" s="402"/>
      <c r="P1178" s="375"/>
      <c r="Q1178" s="375"/>
      <c r="R1178" s="376"/>
      <c r="S1178" s="583"/>
      <c r="T1178" s="583"/>
      <c r="U1178" s="583"/>
      <c r="V1178" s="376"/>
      <c r="W1178" s="376"/>
      <c r="X1178" s="402"/>
      <c r="Y1178" s="402"/>
      <c r="Z1178" s="610" t="s">
        <v>1478</v>
      </c>
      <c r="AA1178" s="454">
        <f>IF(Table13[[#This Row],[Column2]]="","",SUM(Table13[[#This Row],[Column28]]+Table13[[#This Row],[Column29]]))</f>
        <v>61458</v>
      </c>
      <c r="AB1178" s="466"/>
      <c r="AC1178" s="502">
        <v>61458</v>
      </c>
      <c r="AD1178" s="451">
        <f>IF(Table13[[#This Row],[Column2]]="","",SUM(Table13[[#This Row],[Column31]]+Table13[[#This Row],[Column32]]))</f>
        <v>0</v>
      </c>
      <c r="AE1178" s="453"/>
      <c r="AF1178" s="646"/>
      <c r="AG1178" s="405"/>
      <c r="AH1178" s="380" t="s">
        <v>1205</v>
      </c>
      <c r="AI1178" s="576"/>
      <c r="AJ1178" s="576"/>
      <c r="AK1178" s="576"/>
      <c r="AL1178" s="576"/>
      <c r="AM1178" s="576"/>
      <c r="AN1178" s="576"/>
      <c r="AO1178" s="303" t="s">
        <v>175</v>
      </c>
      <c r="AP1178" s="378"/>
      <c r="AQ1178" s="237"/>
    </row>
    <row r="1179" spans="1:43" s="238" customFormat="1" ht="75" customHeight="1" x14ac:dyDescent="0.25">
      <c r="A1179" s="297" t="s">
        <v>1403</v>
      </c>
      <c r="B1179" s="627" t="str">
        <f>VLOOKUP(Table13[[#This Row],[Column1]],[1]Sheet1!$A:$AO,2,FALSE)</f>
        <v>MEALS AND SNACKS</v>
      </c>
      <c r="C1179" s="298" t="str">
        <f>VLOOKUP(Table13[[#This Row],[Column1]],[1]Sheet1!$A:$AO,3,FALSE)</f>
        <v>PAO-ADMIN</v>
      </c>
      <c r="D1179" s="298" t="s">
        <v>712</v>
      </c>
      <c r="E1179" s="450" t="str">
        <f>VLOOKUP(Table13[[#This Row],[Column1]],[1]Sheet1!$A:$AO,5,FALSE)</f>
        <v>NP-53.9 - Small Value Procurement</v>
      </c>
      <c r="F1179" s="446" t="str">
        <f>VLOOKUP(Table13[[#This Row],[Column1]],[1]Sheet1!$A:$AO,6,FALSE)</f>
        <v>N/A</v>
      </c>
      <c r="G1179" s="402">
        <f>VLOOKUP(Table13[[#This Row],[Column1]],[1]Sheet1!$A:$AO,7,FALSE)</f>
        <v>45461</v>
      </c>
      <c r="H1179" s="374"/>
      <c r="I1179" s="402"/>
      <c r="J1179" s="402"/>
      <c r="K1179" s="402"/>
      <c r="L1179" s="404"/>
      <c r="M1179" s="402"/>
      <c r="N1179" s="402"/>
      <c r="O1179" s="402"/>
      <c r="P1179" s="375"/>
      <c r="Q1179" s="375"/>
      <c r="R1179" s="376"/>
      <c r="S1179" s="583"/>
      <c r="T1179" s="583"/>
      <c r="U1179" s="583"/>
      <c r="V1179" s="376"/>
      <c r="W1179" s="376"/>
      <c r="X1179" s="402"/>
      <c r="Y1179" s="402"/>
      <c r="Z1179" s="610" t="s">
        <v>1478</v>
      </c>
      <c r="AA1179" s="454">
        <f>IF(Table13[[#This Row],[Column2]]="","",SUM(Table13[[#This Row],[Column28]]+Table13[[#This Row],[Column29]]))</f>
        <v>51250</v>
      </c>
      <c r="AB1179" s="466"/>
      <c r="AC1179" s="502">
        <v>51250</v>
      </c>
      <c r="AD1179" s="451">
        <f>IF(Table13[[#This Row],[Column2]]="","",SUM(Table13[[#This Row],[Column31]]+Table13[[#This Row],[Column32]]))</f>
        <v>0</v>
      </c>
      <c r="AE1179" s="453"/>
      <c r="AF1179" s="646"/>
      <c r="AG1179" s="405"/>
      <c r="AH1179" s="380" t="s">
        <v>1205</v>
      </c>
      <c r="AI1179" s="576"/>
      <c r="AJ1179" s="576"/>
      <c r="AK1179" s="576"/>
      <c r="AL1179" s="576"/>
      <c r="AM1179" s="576"/>
      <c r="AN1179" s="576"/>
      <c r="AO1179" s="303" t="s">
        <v>175</v>
      </c>
      <c r="AP1179" s="378"/>
      <c r="AQ1179" s="237"/>
    </row>
    <row r="1180" spans="1:43" s="238" customFormat="1" ht="75" customHeight="1" x14ac:dyDescent="0.25">
      <c r="A1180" s="297" t="s">
        <v>1404</v>
      </c>
      <c r="B1180" s="627" t="str">
        <f>VLOOKUP(Table13[[#This Row],[Column1]],[1]Sheet1!$A:$AO,2,FALSE)</f>
        <v>OFFICE SUPPLIES</v>
      </c>
      <c r="C1180" s="298" t="str">
        <f>VLOOKUP(Table13[[#This Row],[Column1]],[1]Sheet1!$A:$AO,3,FALSE)</f>
        <v>SPO</v>
      </c>
      <c r="D1180" s="298" t="s">
        <v>712</v>
      </c>
      <c r="E1180" s="450" t="str">
        <f>VLOOKUP(Table13[[#This Row],[Column1]],[1]Sheet1!$A:$AO,5,FALSE)</f>
        <v>Shopping 52.1(b) - Regular Office Supplies and Equipment no available in PS</v>
      </c>
      <c r="F1180" s="446" t="str">
        <f>VLOOKUP(Table13[[#This Row],[Column1]],[1]Sheet1!$A:$AO,6,FALSE)</f>
        <v>N/A</v>
      </c>
      <c r="G1180" s="402">
        <f>VLOOKUP(Table13[[#This Row],[Column1]],[1]Sheet1!$A:$AO,7,FALSE)</f>
        <v>45463</v>
      </c>
      <c r="H1180" s="374"/>
      <c r="I1180" s="402"/>
      <c r="J1180" s="402"/>
      <c r="K1180" s="402"/>
      <c r="L1180" s="404"/>
      <c r="M1180" s="402"/>
      <c r="N1180" s="402"/>
      <c r="O1180" s="402"/>
      <c r="P1180" s="375"/>
      <c r="Q1180" s="375"/>
      <c r="R1180" s="376"/>
      <c r="S1180" s="583"/>
      <c r="T1180" s="583"/>
      <c r="U1180" s="583"/>
      <c r="V1180" s="376"/>
      <c r="W1180" s="376"/>
      <c r="X1180" s="402"/>
      <c r="Y1180" s="402"/>
      <c r="Z1180" s="610" t="s">
        <v>1478</v>
      </c>
      <c r="AA1180" s="454">
        <f>IF(Table13[[#This Row],[Column2]]="","",SUM(Table13[[#This Row],[Column28]]+Table13[[#This Row],[Column29]]))</f>
        <v>6666</v>
      </c>
      <c r="AB1180" s="466"/>
      <c r="AC1180" s="502">
        <v>6666</v>
      </c>
      <c r="AD1180" s="451">
        <f>IF(Table13[[#This Row],[Column2]]="","",SUM(Table13[[#This Row],[Column31]]+Table13[[#This Row],[Column32]]))</f>
        <v>0</v>
      </c>
      <c r="AE1180" s="453"/>
      <c r="AF1180" s="646"/>
      <c r="AG1180" s="405"/>
      <c r="AH1180" s="380" t="s">
        <v>1205</v>
      </c>
      <c r="AI1180" s="576"/>
      <c r="AJ1180" s="576"/>
      <c r="AK1180" s="576"/>
      <c r="AL1180" s="576"/>
      <c r="AM1180" s="576"/>
      <c r="AN1180" s="576"/>
      <c r="AO1180" s="303" t="s">
        <v>175</v>
      </c>
      <c r="AP1180" s="378"/>
      <c r="AQ1180" s="237"/>
    </row>
    <row r="1181" spans="1:43" s="238" customFormat="1" ht="75" customHeight="1" x14ac:dyDescent="0.25">
      <c r="A1181" s="297" t="s">
        <v>1405</v>
      </c>
      <c r="B1181" s="627" t="str">
        <f>VLOOKUP(Table13[[#This Row],[Column1]],[1]Sheet1!$A:$AO,2,FALSE)</f>
        <v>OFFICE SUPPLIES</v>
      </c>
      <c r="C1181" s="298" t="str">
        <f>VLOOKUP(Table13[[#This Row],[Column1]],[1]Sheet1!$A:$AO,3,FALSE)</f>
        <v>PDRRMO</v>
      </c>
      <c r="D1181" s="298" t="s">
        <v>712</v>
      </c>
      <c r="E1181" s="450" t="str">
        <f>VLOOKUP(Table13[[#This Row],[Column1]],[1]Sheet1!$A:$AO,5,FALSE)</f>
        <v>Shopping 52.1(b) - Regular Office Supplies and Equipment no available in PS</v>
      </c>
      <c r="F1181" s="446" t="str">
        <f>VLOOKUP(Table13[[#This Row],[Column1]],[1]Sheet1!$A:$AO,6,FALSE)</f>
        <v>N/A</v>
      </c>
      <c r="G1181" s="402">
        <f>VLOOKUP(Table13[[#This Row],[Column1]],[1]Sheet1!$A:$AO,7,FALSE)</f>
        <v>45463</v>
      </c>
      <c r="H1181" s="374"/>
      <c r="I1181" s="402"/>
      <c r="J1181" s="402"/>
      <c r="K1181" s="402"/>
      <c r="L1181" s="404"/>
      <c r="M1181" s="402"/>
      <c r="N1181" s="402"/>
      <c r="O1181" s="402"/>
      <c r="P1181" s="375"/>
      <c r="Q1181" s="375"/>
      <c r="R1181" s="376"/>
      <c r="S1181" s="583"/>
      <c r="T1181" s="583"/>
      <c r="U1181" s="583"/>
      <c r="V1181" s="376"/>
      <c r="W1181" s="376"/>
      <c r="X1181" s="402"/>
      <c r="Y1181" s="402"/>
      <c r="Z1181" s="610" t="s">
        <v>1478</v>
      </c>
      <c r="AA1181" s="454">
        <f>IF(Table13[[#This Row],[Column2]]="","",SUM(Table13[[#This Row],[Column28]]+Table13[[#This Row],[Column29]]))</f>
        <v>12799</v>
      </c>
      <c r="AB1181" s="466"/>
      <c r="AC1181" s="502">
        <v>12799</v>
      </c>
      <c r="AD1181" s="451">
        <f>IF(Table13[[#This Row],[Column2]]="","",SUM(Table13[[#This Row],[Column31]]+Table13[[#This Row],[Column32]]))</f>
        <v>0</v>
      </c>
      <c r="AE1181" s="453"/>
      <c r="AF1181" s="646"/>
      <c r="AG1181" s="405"/>
      <c r="AH1181" s="380" t="s">
        <v>1205</v>
      </c>
      <c r="AI1181" s="576"/>
      <c r="AJ1181" s="576"/>
      <c r="AK1181" s="576"/>
      <c r="AL1181" s="576"/>
      <c r="AM1181" s="576"/>
      <c r="AN1181" s="576"/>
      <c r="AO1181" s="303" t="s">
        <v>175</v>
      </c>
      <c r="AP1181" s="378"/>
      <c r="AQ1181" s="237"/>
    </row>
    <row r="1182" spans="1:43" s="238" customFormat="1" ht="75" customHeight="1" x14ac:dyDescent="0.25">
      <c r="A1182" s="297" t="s">
        <v>1406</v>
      </c>
      <c r="B1182" s="627" t="str">
        <f>VLOOKUP(Table13[[#This Row],[Column1]],[1]Sheet1!$A:$AO,2,FALSE)</f>
        <v>OFFICE SUPPLIES</v>
      </c>
      <c r="C1182" s="298" t="str">
        <f>VLOOKUP(Table13[[#This Row],[Column1]],[1]Sheet1!$A:$AO,3,FALSE)</f>
        <v>SEF</v>
      </c>
      <c r="D1182" s="298" t="s">
        <v>712</v>
      </c>
      <c r="E1182" s="450" t="str">
        <f>VLOOKUP(Table13[[#This Row],[Column1]],[1]Sheet1!$A:$AO,5,FALSE)</f>
        <v>Shopping 52.1(b) - Regular Office Supplies and Equipment no available in PS</v>
      </c>
      <c r="F1182" s="446" t="str">
        <f>VLOOKUP(Table13[[#This Row],[Column1]],[1]Sheet1!$A:$AO,6,FALSE)</f>
        <v>N/A</v>
      </c>
      <c r="G1182" s="402">
        <f>VLOOKUP(Table13[[#This Row],[Column1]],[1]Sheet1!$A:$AO,7,FALSE)</f>
        <v>45463</v>
      </c>
      <c r="H1182" s="374"/>
      <c r="I1182" s="402"/>
      <c r="J1182" s="402"/>
      <c r="K1182" s="402"/>
      <c r="L1182" s="404"/>
      <c r="M1182" s="402"/>
      <c r="N1182" s="402"/>
      <c r="O1182" s="402"/>
      <c r="P1182" s="375"/>
      <c r="Q1182" s="375"/>
      <c r="R1182" s="376"/>
      <c r="S1182" s="583"/>
      <c r="T1182" s="583"/>
      <c r="U1182" s="583"/>
      <c r="V1182" s="376"/>
      <c r="W1182" s="376"/>
      <c r="X1182" s="402"/>
      <c r="Y1182" s="402"/>
      <c r="Z1182" s="610" t="s">
        <v>1478</v>
      </c>
      <c r="AA1182" s="454">
        <f>IF(Table13[[#This Row],[Column2]]="","",SUM(Table13[[#This Row],[Column28]]+Table13[[#This Row],[Column29]]))</f>
        <v>49863.6</v>
      </c>
      <c r="AB1182" s="466"/>
      <c r="AC1182" s="502">
        <v>49863.6</v>
      </c>
      <c r="AD1182" s="451">
        <f>IF(Table13[[#This Row],[Column2]]="","",SUM(Table13[[#This Row],[Column31]]+Table13[[#This Row],[Column32]]))</f>
        <v>0</v>
      </c>
      <c r="AE1182" s="453"/>
      <c r="AF1182" s="646"/>
      <c r="AG1182" s="405"/>
      <c r="AH1182" s="380" t="s">
        <v>1205</v>
      </c>
      <c r="AI1182" s="576"/>
      <c r="AJ1182" s="576"/>
      <c r="AK1182" s="576"/>
      <c r="AL1182" s="576"/>
      <c r="AM1182" s="576"/>
      <c r="AN1182" s="576"/>
      <c r="AO1182" s="303" t="s">
        <v>175</v>
      </c>
      <c r="AP1182" s="378"/>
      <c r="AQ1182" s="237"/>
    </row>
    <row r="1183" spans="1:43" s="238" customFormat="1" ht="75" customHeight="1" x14ac:dyDescent="0.25">
      <c r="A1183" s="297" t="s">
        <v>1407</v>
      </c>
      <c r="B1183" s="627" t="str">
        <f>VLOOKUP(Table13[[#This Row],[Column1]],[1]Sheet1!$A:$AO,2,FALSE)</f>
        <v>MEDICAL SUPPLIES</v>
      </c>
      <c r="C1183" s="298" t="str">
        <f>VLOOKUP(Table13[[#This Row],[Column1]],[1]Sheet1!$A:$AO,3,FALSE)</f>
        <v>PEEMO</v>
      </c>
      <c r="D1183" s="298" t="s">
        <v>712</v>
      </c>
      <c r="E1183" s="450" t="str">
        <f>VLOOKUP(Table13[[#This Row],[Column1]],[1]Sheet1!$A:$AO,5,FALSE)</f>
        <v>Direct Contracting</v>
      </c>
      <c r="F1183" s="446" t="str">
        <f>VLOOKUP(Table13[[#This Row],[Column1]],[1]Sheet1!$A:$AO,6,FALSE)</f>
        <v>N/A</v>
      </c>
      <c r="G1183" s="402">
        <f>VLOOKUP(Table13[[#This Row],[Column1]],[1]Sheet1!$A:$AO,7,FALSE)</f>
        <v>45463</v>
      </c>
      <c r="H1183" s="374"/>
      <c r="I1183" s="402"/>
      <c r="J1183" s="402"/>
      <c r="K1183" s="402"/>
      <c r="L1183" s="404"/>
      <c r="M1183" s="402"/>
      <c r="N1183" s="402"/>
      <c r="O1183" s="402"/>
      <c r="P1183" s="375"/>
      <c r="Q1183" s="375"/>
      <c r="R1183" s="376"/>
      <c r="S1183" s="583"/>
      <c r="T1183" s="583"/>
      <c r="U1183" s="583"/>
      <c r="V1183" s="376"/>
      <c r="W1183" s="376"/>
      <c r="X1183" s="402"/>
      <c r="Y1183" s="402"/>
      <c r="Z1183" s="610" t="s">
        <v>1478</v>
      </c>
      <c r="AA1183" s="454">
        <f>IF(Table13[[#This Row],[Column2]]="","",SUM(Table13[[#This Row],[Column28]]+Table13[[#This Row],[Column29]]))</f>
        <v>120960</v>
      </c>
      <c r="AB1183" s="466"/>
      <c r="AC1183" s="502">
        <v>120960</v>
      </c>
      <c r="AD1183" s="451">
        <f>IF(Table13[[#This Row],[Column2]]="","",SUM(Table13[[#This Row],[Column31]]+Table13[[#This Row],[Column32]]))</f>
        <v>0</v>
      </c>
      <c r="AE1183" s="453"/>
      <c r="AF1183" s="646"/>
      <c r="AG1183" s="405"/>
      <c r="AH1183" s="380" t="s">
        <v>1205</v>
      </c>
      <c r="AI1183" s="576"/>
      <c r="AJ1183" s="576"/>
      <c r="AK1183" s="576"/>
      <c r="AL1183" s="576"/>
      <c r="AM1183" s="576"/>
      <c r="AN1183" s="576"/>
      <c r="AO1183" s="303" t="s">
        <v>175</v>
      </c>
      <c r="AP1183" s="378"/>
      <c r="AQ1183" s="237"/>
    </row>
    <row r="1184" spans="1:43" s="238" customFormat="1" ht="75" customHeight="1" x14ac:dyDescent="0.25">
      <c r="A1184" s="297" t="s">
        <v>1408</v>
      </c>
      <c r="B1184" s="627" t="str">
        <f>VLOOKUP(Table13[[#This Row],[Column1]],[1]Sheet1!$A:$AO,2,FALSE)</f>
        <v>ELECTROLYTES ANALYZER (SODIUM, POTASSIUM, CHLORIDE, CALCIUM)</v>
      </c>
      <c r="C1184" s="298" t="str">
        <f>VLOOKUP(Table13[[#This Row],[Column1]],[1]Sheet1!$A:$AO,3,FALSE)</f>
        <v>PEEMO</v>
      </c>
      <c r="D1184" s="298" t="s">
        <v>712</v>
      </c>
      <c r="E1184" s="450" t="str">
        <f>VLOOKUP(Table13[[#This Row],[Column1]],[1]Sheet1!$A:$AO,5,FALSE)</f>
        <v>Direct Contracting</v>
      </c>
      <c r="F1184" s="446" t="str">
        <f>VLOOKUP(Table13[[#This Row],[Column1]],[1]Sheet1!$A:$AO,6,FALSE)</f>
        <v>N/A</v>
      </c>
      <c r="G1184" s="402">
        <f>VLOOKUP(Table13[[#This Row],[Column1]],[1]Sheet1!$A:$AO,7,FALSE)</f>
        <v>45463</v>
      </c>
      <c r="H1184" s="374"/>
      <c r="I1184" s="402"/>
      <c r="J1184" s="402"/>
      <c r="K1184" s="402"/>
      <c r="L1184" s="404"/>
      <c r="M1184" s="402"/>
      <c r="N1184" s="402"/>
      <c r="O1184" s="402"/>
      <c r="P1184" s="375"/>
      <c r="Q1184" s="375"/>
      <c r="R1184" s="376"/>
      <c r="S1184" s="583"/>
      <c r="T1184" s="583"/>
      <c r="U1184" s="583"/>
      <c r="V1184" s="376"/>
      <c r="W1184" s="376"/>
      <c r="X1184" s="402"/>
      <c r="Y1184" s="402"/>
      <c r="Z1184" s="610" t="s">
        <v>1478</v>
      </c>
      <c r="AA1184" s="454">
        <f>IF(Table13[[#This Row],[Column2]]="","",SUM(Table13[[#This Row],[Column28]]+Table13[[#This Row],[Column29]]))</f>
        <v>630375</v>
      </c>
      <c r="AB1184" s="466"/>
      <c r="AC1184" s="502">
        <v>630375</v>
      </c>
      <c r="AD1184" s="451">
        <f>IF(Table13[[#This Row],[Column2]]="","",SUM(Table13[[#This Row],[Column31]]+Table13[[#This Row],[Column32]]))</f>
        <v>0</v>
      </c>
      <c r="AE1184" s="453"/>
      <c r="AF1184" s="646"/>
      <c r="AG1184" s="405"/>
      <c r="AH1184" s="380" t="s">
        <v>1205</v>
      </c>
      <c r="AI1184" s="576"/>
      <c r="AJ1184" s="576"/>
      <c r="AK1184" s="576"/>
      <c r="AL1184" s="576"/>
      <c r="AM1184" s="576"/>
      <c r="AN1184" s="576"/>
      <c r="AO1184" s="303" t="s">
        <v>175</v>
      </c>
      <c r="AP1184" s="378"/>
      <c r="AQ1184" s="237"/>
    </row>
    <row r="1185" spans="1:43" s="238" customFormat="1" ht="75" customHeight="1" x14ac:dyDescent="0.25">
      <c r="A1185" s="297" t="s">
        <v>1409</v>
      </c>
      <c r="B1185" s="627" t="str">
        <f>VLOOKUP(Table13[[#This Row],[Column1]],[1]Sheet1!$A:$AO,2,FALSE)</f>
        <v>LABORATORY SUPPLIES/REAGENT</v>
      </c>
      <c r="C1185" s="298" t="str">
        <f>VLOOKUP(Table13[[#This Row],[Column1]],[1]Sheet1!$A:$AO,3,FALSE)</f>
        <v>PEEMO</v>
      </c>
      <c r="D1185" s="298" t="s">
        <v>712</v>
      </c>
      <c r="E1185" s="450" t="str">
        <f>VLOOKUP(Table13[[#This Row],[Column1]],[1]Sheet1!$A:$AO,5,FALSE)</f>
        <v>Direct Contracting</v>
      </c>
      <c r="F1185" s="446" t="str">
        <f>VLOOKUP(Table13[[#This Row],[Column1]],[1]Sheet1!$A:$AO,6,FALSE)</f>
        <v>N/A</v>
      </c>
      <c r="G1185" s="402">
        <f>VLOOKUP(Table13[[#This Row],[Column1]],[1]Sheet1!$A:$AO,7,FALSE)</f>
        <v>45463</v>
      </c>
      <c r="H1185" s="374"/>
      <c r="I1185" s="402"/>
      <c r="J1185" s="402"/>
      <c r="K1185" s="402"/>
      <c r="L1185" s="404"/>
      <c r="M1185" s="402"/>
      <c r="N1185" s="402"/>
      <c r="O1185" s="402"/>
      <c r="P1185" s="375"/>
      <c r="Q1185" s="375"/>
      <c r="R1185" s="376"/>
      <c r="S1185" s="583"/>
      <c r="T1185" s="583"/>
      <c r="U1185" s="583"/>
      <c r="V1185" s="376"/>
      <c r="W1185" s="376"/>
      <c r="X1185" s="402"/>
      <c r="Y1185" s="402"/>
      <c r="Z1185" s="610" t="s">
        <v>1478</v>
      </c>
      <c r="AA1185" s="454">
        <f>IF(Table13[[#This Row],[Column2]]="","",SUM(Table13[[#This Row],[Column28]]+Table13[[#This Row],[Column29]]))</f>
        <v>266000</v>
      </c>
      <c r="AB1185" s="466"/>
      <c r="AC1185" s="502">
        <v>266000</v>
      </c>
      <c r="AD1185" s="451">
        <f>IF(Table13[[#This Row],[Column2]]="","",SUM(Table13[[#This Row],[Column31]]+Table13[[#This Row],[Column32]]))</f>
        <v>0</v>
      </c>
      <c r="AE1185" s="453"/>
      <c r="AF1185" s="646"/>
      <c r="AG1185" s="405"/>
      <c r="AH1185" s="380" t="s">
        <v>1205</v>
      </c>
      <c r="AI1185" s="576"/>
      <c r="AJ1185" s="576"/>
      <c r="AK1185" s="576"/>
      <c r="AL1185" s="576"/>
      <c r="AM1185" s="576"/>
      <c r="AN1185" s="576"/>
      <c r="AO1185" s="303" t="s">
        <v>175</v>
      </c>
      <c r="AP1185" s="378"/>
      <c r="AQ1185" s="237"/>
    </row>
    <row r="1186" spans="1:43" s="238" customFormat="1" ht="75" customHeight="1" x14ac:dyDescent="0.25">
      <c r="A1186" s="297" t="s">
        <v>1410</v>
      </c>
      <c r="B1186" s="627" t="str">
        <f>VLOOKUP(Table13[[#This Row],[Column1]],[1]Sheet1!$A:$AO,2,FALSE)</f>
        <v>LABORATORY SUPPLIES/REAGENT</v>
      </c>
      <c r="C1186" s="298" t="str">
        <f>VLOOKUP(Table13[[#This Row],[Column1]],[1]Sheet1!$A:$AO,3,FALSE)</f>
        <v>PEEMO</v>
      </c>
      <c r="D1186" s="298" t="s">
        <v>712</v>
      </c>
      <c r="E1186" s="450" t="str">
        <f>VLOOKUP(Table13[[#This Row],[Column1]],[1]Sheet1!$A:$AO,5,FALSE)</f>
        <v>Direct Contracting</v>
      </c>
      <c r="F1186" s="446" t="str">
        <f>VLOOKUP(Table13[[#This Row],[Column1]],[1]Sheet1!$A:$AO,6,FALSE)</f>
        <v>N/A</v>
      </c>
      <c r="G1186" s="402">
        <f>VLOOKUP(Table13[[#This Row],[Column1]],[1]Sheet1!$A:$AO,7,FALSE)</f>
        <v>45463</v>
      </c>
      <c r="H1186" s="374"/>
      <c r="I1186" s="402"/>
      <c r="J1186" s="402"/>
      <c r="K1186" s="402"/>
      <c r="L1186" s="404"/>
      <c r="M1186" s="402"/>
      <c r="N1186" s="402"/>
      <c r="O1186" s="402"/>
      <c r="P1186" s="375"/>
      <c r="Q1186" s="375"/>
      <c r="R1186" s="376"/>
      <c r="S1186" s="583"/>
      <c r="T1186" s="583"/>
      <c r="U1186" s="583"/>
      <c r="V1186" s="376"/>
      <c r="W1186" s="376"/>
      <c r="X1186" s="402"/>
      <c r="Y1186" s="402"/>
      <c r="Z1186" s="610" t="s">
        <v>1478</v>
      </c>
      <c r="AA1186" s="454">
        <f>IF(Table13[[#This Row],[Column2]]="","",SUM(Table13[[#This Row],[Column28]]+Table13[[#This Row],[Column29]]))</f>
        <v>571850</v>
      </c>
      <c r="AB1186" s="466"/>
      <c r="AC1186" s="502">
        <v>571850</v>
      </c>
      <c r="AD1186" s="451">
        <f>IF(Table13[[#This Row],[Column2]]="","",SUM(Table13[[#This Row],[Column31]]+Table13[[#This Row],[Column32]]))</f>
        <v>0</v>
      </c>
      <c r="AE1186" s="453"/>
      <c r="AF1186" s="646"/>
      <c r="AG1186" s="405"/>
      <c r="AH1186" s="380" t="s">
        <v>1205</v>
      </c>
      <c r="AI1186" s="576"/>
      <c r="AJ1186" s="576"/>
      <c r="AK1186" s="576"/>
      <c r="AL1186" s="576"/>
      <c r="AM1186" s="576"/>
      <c r="AN1186" s="576"/>
      <c r="AO1186" s="303" t="s">
        <v>175</v>
      </c>
      <c r="AP1186" s="378"/>
      <c r="AQ1186" s="237"/>
    </row>
    <row r="1187" spans="1:43" s="238" customFormat="1" ht="75" customHeight="1" x14ac:dyDescent="0.25">
      <c r="A1187" s="297" t="s">
        <v>1411</v>
      </c>
      <c r="B1187" s="627" t="str">
        <f>VLOOKUP(Table13[[#This Row],[Column1]],[1]Sheet1!$A:$AO,2,FALSE)</f>
        <v>SPAREPARTS (HEAVY EQUIPMENT)</v>
      </c>
      <c r="C1187" s="298" t="str">
        <f>VLOOKUP(Table13[[#This Row],[Column1]],[1]Sheet1!$A:$AO,3,FALSE)</f>
        <v>PEO</v>
      </c>
      <c r="D1187" s="298" t="s">
        <v>712</v>
      </c>
      <c r="E1187" s="450" t="str">
        <f>VLOOKUP(Table13[[#This Row],[Column1]],[1]Sheet1!$A:$AO,5,FALSE)</f>
        <v>Direct Contracting</v>
      </c>
      <c r="F1187" s="446">
        <f>VLOOKUP(Table13[[#This Row],[Column1]],[1]Sheet1!$A:$AO,6,FALSE)</f>
        <v>45461</v>
      </c>
      <c r="G1187" s="402">
        <f>VLOOKUP(Table13[[#This Row],[Column1]],[1]Sheet1!$A:$AO,7,FALSE)</f>
        <v>45463</v>
      </c>
      <c r="H1187" s="374"/>
      <c r="I1187" s="402"/>
      <c r="J1187" s="402"/>
      <c r="K1187" s="402"/>
      <c r="L1187" s="404"/>
      <c r="M1187" s="402"/>
      <c r="N1187" s="402"/>
      <c r="O1187" s="402"/>
      <c r="P1187" s="375"/>
      <c r="Q1187" s="375"/>
      <c r="R1187" s="376"/>
      <c r="S1187" s="583"/>
      <c r="T1187" s="583"/>
      <c r="U1187" s="583"/>
      <c r="V1187" s="376"/>
      <c r="W1187" s="376"/>
      <c r="X1187" s="402"/>
      <c r="Y1187" s="402"/>
      <c r="Z1187" s="610" t="s">
        <v>1478</v>
      </c>
      <c r="AA1187" s="454">
        <f>IF(Table13[[#This Row],[Column2]]="","",SUM(Table13[[#This Row],[Column28]]+Table13[[#This Row],[Column29]]))</f>
        <v>226948.3</v>
      </c>
      <c r="AB1187" s="466"/>
      <c r="AC1187" s="502">
        <v>226948.3</v>
      </c>
      <c r="AD1187" s="451">
        <f>IF(Table13[[#This Row],[Column2]]="","",SUM(Table13[[#This Row],[Column31]]+Table13[[#This Row],[Column32]]))</f>
        <v>0</v>
      </c>
      <c r="AE1187" s="453"/>
      <c r="AF1187" s="646"/>
      <c r="AG1187" s="405"/>
      <c r="AH1187" s="380" t="s">
        <v>1205</v>
      </c>
      <c r="AI1187" s="576"/>
      <c r="AJ1187" s="576"/>
      <c r="AK1187" s="576"/>
      <c r="AL1187" s="576"/>
      <c r="AM1187" s="576"/>
      <c r="AN1187" s="576"/>
      <c r="AO1187" s="303" t="s">
        <v>175</v>
      </c>
      <c r="AP1187" s="378"/>
      <c r="AQ1187" s="237"/>
    </row>
    <row r="1188" spans="1:43" s="238" customFormat="1" ht="75" customHeight="1" x14ac:dyDescent="0.25">
      <c r="A1188" s="297" t="s">
        <v>1412</v>
      </c>
      <c r="B1188" s="627" t="str">
        <f>VLOOKUP(Table13[[#This Row],[Column1]],[1]Sheet1!$A:$AO,2,FALSE)</f>
        <v>OFFICE SUPPLIES</v>
      </c>
      <c r="C1188" s="298" t="str">
        <f>VLOOKUP(Table13[[#This Row],[Column1]],[1]Sheet1!$A:$AO,3,FALSE)</f>
        <v>PGO</v>
      </c>
      <c r="D1188" s="298" t="s">
        <v>712</v>
      </c>
      <c r="E1188" s="450" t="str">
        <f>VLOOKUP(Table13[[#This Row],[Column1]],[1]Sheet1!$A:$AO,5,FALSE)</f>
        <v>Direct Contracting</v>
      </c>
      <c r="F1188" s="446" t="str">
        <f>VLOOKUP(Table13[[#This Row],[Column1]],[1]Sheet1!$A:$AO,6,FALSE)</f>
        <v>N/A</v>
      </c>
      <c r="G1188" s="402">
        <f>VLOOKUP(Table13[[#This Row],[Column1]],[1]Sheet1!$A:$AO,7,FALSE)</f>
        <v>45468</v>
      </c>
      <c r="H1188" s="374"/>
      <c r="I1188" s="402"/>
      <c r="J1188" s="402"/>
      <c r="K1188" s="402"/>
      <c r="L1188" s="404"/>
      <c r="M1188" s="402"/>
      <c r="N1188" s="402"/>
      <c r="O1188" s="402"/>
      <c r="P1188" s="375"/>
      <c r="Q1188" s="375"/>
      <c r="R1188" s="376"/>
      <c r="S1188" s="583"/>
      <c r="T1188" s="583"/>
      <c r="U1188" s="583"/>
      <c r="V1188" s="376"/>
      <c r="W1188" s="376"/>
      <c r="X1188" s="402"/>
      <c r="Y1188" s="402"/>
      <c r="Z1188" s="610" t="s">
        <v>1478</v>
      </c>
      <c r="AA1188" s="454">
        <f>IF(Table13[[#This Row],[Column2]]="","",SUM(Table13[[#This Row],[Column28]]+Table13[[#This Row],[Column29]]))</f>
        <v>9989</v>
      </c>
      <c r="AB1188" s="466"/>
      <c r="AC1188" s="502">
        <v>9989</v>
      </c>
      <c r="AD1188" s="451">
        <f>IF(Table13[[#This Row],[Column2]]="","",SUM(Table13[[#This Row],[Column31]]+Table13[[#This Row],[Column32]]))</f>
        <v>0</v>
      </c>
      <c r="AE1188" s="453"/>
      <c r="AF1188" s="646"/>
      <c r="AG1188" s="405"/>
      <c r="AH1188" s="380" t="s">
        <v>1205</v>
      </c>
      <c r="AI1188" s="576"/>
      <c r="AJ1188" s="576"/>
      <c r="AK1188" s="576"/>
      <c r="AL1188" s="576"/>
      <c r="AM1188" s="576"/>
      <c r="AN1188" s="576"/>
      <c r="AO1188" s="303" t="s">
        <v>175</v>
      </c>
      <c r="AP1188" s="378"/>
      <c r="AQ1188" s="237"/>
    </row>
    <row r="1189" spans="1:43" s="238" customFormat="1" ht="75" customHeight="1" x14ac:dyDescent="0.25">
      <c r="A1189" s="297" t="s">
        <v>1413</v>
      </c>
      <c r="B1189" s="627" t="str">
        <f>VLOOKUP(Table13[[#This Row],[Column1]],[1]Sheet1!$A:$AO,2,FALSE)</f>
        <v>OFFICE SUPPLIES</v>
      </c>
      <c r="C1189" s="298" t="str">
        <f>VLOOKUP(Table13[[#This Row],[Column1]],[1]Sheet1!$A:$AO,3,FALSE)</f>
        <v>PDRRMO</v>
      </c>
      <c r="D1189" s="298" t="s">
        <v>712</v>
      </c>
      <c r="E1189" s="450" t="str">
        <f>VLOOKUP(Table13[[#This Row],[Column1]],[1]Sheet1!$A:$AO,5,FALSE)</f>
        <v>Shopping 52.1(b) - Regular Office Supplies and Equipment no available in PS</v>
      </c>
      <c r="F1189" s="446" t="str">
        <f>VLOOKUP(Table13[[#This Row],[Column1]],[1]Sheet1!$A:$AO,6,FALSE)</f>
        <v>N/A</v>
      </c>
      <c r="G1189" s="402">
        <f>VLOOKUP(Table13[[#This Row],[Column1]],[1]Sheet1!$A:$AO,7,FALSE)</f>
        <v>45468</v>
      </c>
      <c r="H1189" s="374"/>
      <c r="I1189" s="402"/>
      <c r="J1189" s="402"/>
      <c r="K1189" s="402"/>
      <c r="L1189" s="404"/>
      <c r="M1189" s="402"/>
      <c r="N1189" s="402"/>
      <c r="O1189" s="402"/>
      <c r="P1189" s="375"/>
      <c r="Q1189" s="375"/>
      <c r="R1189" s="376"/>
      <c r="S1189" s="583"/>
      <c r="T1189" s="583"/>
      <c r="U1189" s="583"/>
      <c r="V1189" s="376"/>
      <c r="W1189" s="376"/>
      <c r="X1189" s="402"/>
      <c r="Y1189" s="402"/>
      <c r="Z1189" s="610" t="s">
        <v>1478</v>
      </c>
      <c r="AA1189" s="454">
        <f>IF(Table13[[#This Row],[Column2]]="","",SUM(Table13[[#This Row],[Column28]]+Table13[[#This Row],[Column29]]))</f>
        <v>97911</v>
      </c>
      <c r="AB1189" s="466"/>
      <c r="AC1189" s="502">
        <v>97911</v>
      </c>
      <c r="AD1189" s="451">
        <f>IF(Table13[[#This Row],[Column2]]="","",SUM(Table13[[#This Row],[Column31]]+Table13[[#This Row],[Column32]]))</f>
        <v>0</v>
      </c>
      <c r="AE1189" s="453"/>
      <c r="AF1189" s="646"/>
      <c r="AG1189" s="405"/>
      <c r="AH1189" s="380" t="s">
        <v>1205</v>
      </c>
      <c r="AI1189" s="576"/>
      <c r="AJ1189" s="576"/>
      <c r="AK1189" s="576"/>
      <c r="AL1189" s="576"/>
      <c r="AM1189" s="576"/>
      <c r="AN1189" s="576"/>
      <c r="AO1189" s="303" t="s">
        <v>175</v>
      </c>
      <c r="AP1189" s="378"/>
      <c r="AQ1189" s="237"/>
    </row>
    <row r="1190" spans="1:43" s="238" customFormat="1" ht="75" customHeight="1" x14ac:dyDescent="0.25">
      <c r="A1190" s="297" t="s">
        <v>1414</v>
      </c>
      <c r="B1190" s="627" t="str">
        <f>VLOOKUP(Table13[[#This Row],[Column1]],[1]Sheet1!$A:$AO,2,FALSE)</f>
        <v>OFFICE SUPPLIES</v>
      </c>
      <c r="C1190" s="298" t="str">
        <f>VLOOKUP(Table13[[#This Row],[Column1]],[1]Sheet1!$A:$AO,3,FALSE)</f>
        <v>PPDO</v>
      </c>
      <c r="D1190" s="298" t="s">
        <v>712</v>
      </c>
      <c r="E1190" s="450" t="str">
        <f>VLOOKUP(Table13[[#This Row],[Column1]],[1]Sheet1!$A:$AO,5,FALSE)</f>
        <v>Shopping 52.1(b) - Regular Office Supplies and Equipment no available in PS</v>
      </c>
      <c r="F1190" s="446" t="str">
        <f>VLOOKUP(Table13[[#This Row],[Column1]],[1]Sheet1!$A:$AO,6,FALSE)</f>
        <v>N/A</v>
      </c>
      <c r="G1190" s="402">
        <f>VLOOKUP(Table13[[#This Row],[Column1]],[1]Sheet1!$A:$AO,7,FALSE)</f>
        <v>45468</v>
      </c>
      <c r="H1190" s="374"/>
      <c r="I1190" s="402"/>
      <c r="J1190" s="402"/>
      <c r="K1190" s="402"/>
      <c r="L1190" s="404"/>
      <c r="M1190" s="402"/>
      <c r="N1190" s="402"/>
      <c r="O1190" s="402"/>
      <c r="P1190" s="375"/>
      <c r="Q1190" s="375"/>
      <c r="R1190" s="376"/>
      <c r="S1190" s="583"/>
      <c r="T1190" s="583"/>
      <c r="U1190" s="583"/>
      <c r="V1190" s="376"/>
      <c r="W1190" s="376"/>
      <c r="X1190" s="402"/>
      <c r="Y1190" s="402"/>
      <c r="Z1190" s="610" t="s">
        <v>1478</v>
      </c>
      <c r="AA1190" s="454">
        <f>IF(Table13[[#This Row],[Column2]]="","",SUM(Table13[[#This Row],[Column28]]+Table13[[#This Row],[Column29]]))</f>
        <v>24346</v>
      </c>
      <c r="AB1190" s="466"/>
      <c r="AC1190" s="502">
        <v>24346</v>
      </c>
      <c r="AD1190" s="451">
        <f>IF(Table13[[#This Row],[Column2]]="","",SUM(Table13[[#This Row],[Column31]]+Table13[[#This Row],[Column32]]))</f>
        <v>0</v>
      </c>
      <c r="AE1190" s="453"/>
      <c r="AF1190" s="646"/>
      <c r="AG1190" s="405"/>
      <c r="AH1190" s="380" t="s">
        <v>1205</v>
      </c>
      <c r="AI1190" s="576"/>
      <c r="AJ1190" s="576"/>
      <c r="AK1190" s="576"/>
      <c r="AL1190" s="576"/>
      <c r="AM1190" s="576"/>
      <c r="AN1190" s="576"/>
      <c r="AO1190" s="303" t="s">
        <v>175</v>
      </c>
      <c r="AP1190" s="378"/>
      <c r="AQ1190" s="237"/>
    </row>
    <row r="1191" spans="1:43" s="238" customFormat="1" ht="75" customHeight="1" x14ac:dyDescent="0.25">
      <c r="A1191" s="297" t="s">
        <v>1415</v>
      </c>
      <c r="B1191" s="627" t="str">
        <f>VLOOKUP(Table13[[#This Row],[Column1]],[1]Sheet1!$A:$AO,2,FALSE)</f>
        <v>OFFICE SUPPLIES</v>
      </c>
      <c r="C1191" s="298" t="str">
        <f>VLOOKUP(Table13[[#This Row],[Column1]],[1]Sheet1!$A:$AO,3,FALSE)</f>
        <v>PPDO</v>
      </c>
      <c r="D1191" s="298" t="s">
        <v>712</v>
      </c>
      <c r="E1191" s="450" t="str">
        <f>VLOOKUP(Table13[[#This Row],[Column1]],[1]Sheet1!$A:$AO,5,FALSE)</f>
        <v>Shopping 52.1(b) - Regular Office Supplies and Equipment no available in PS</v>
      </c>
      <c r="F1191" s="446" t="str">
        <f>VLOOKUP(Table13[[#This Row],[Column1]],[1]Sheet1!$A:$AO,6,FALSE)</f>
        <v>N/A</v>
      </c>
      <c r="G1191" s="402">
        <f>VLOOKUP(Table13[[#This Row],[Column1]],[1]Sheet1!$A:$AO,7,FALSE)</f>
        <v>45468</v>
      </c>
      <c r="H1191" s="374"/>
      <c r="I1191" s="402"/>
      <c r="J1191" s="402"/>
      <c r="K1191" s="402"/>
      <c r="L1191" s="404"/>
      <c r="M1191" s="402"/>
      <c r="N1191" s="402"/>
      <c r="O1191" s="402"/>
      <c r="P1191" s="375"/>
      <c r="Q1191" s="375"/>
      <c r="R1191" s="376"/>
      <c r="S1191" s="583"/>
      <c r="T1191" s="583"/>
      <c r="U1191" s="583"/>
      <c r="V1191" s="376"/>
      <c r="W1191" s="376"/>
      <c r="X1191" s="402"/>
      <c r="Y1191" s="402"/>
      <c r="Z1191" s="610" t="s">
        <v>1478</v>
      </c>
      <c r="AA1191" s="454">
        <f>IF(Table13[[#This Row],[Column2]]="","",SUM(Table13[[#This Row],[Column28]]+Table13[[#This Row],[Column29]]))</f>
        <v>128144</v>
      </c>
      <c r="AB1191" s="466"/>
      <c r="AC1191" s="502">
        <v>128144</v>
      </c>
      <c r="AD1191" s="451">
        <f>IF(Table13[[#This Row],[Column2]]="","",SUM(Table13[[#This Row],[Column31]]+Table13[[#This Row],[Column32]]))</f>
        <v>0</v>
      </c>
      <c r="AE1191" s="453"/>
      <c r="AF1191" s="646"/>
      <c r="AG1191" s="405"/>
      <c r="AH1191" s="380" t="s">
        <v>1205</v>
      </c>
      <c r="AI1191" s="576"/>
      <c r="AJ1191" s="576"/>
      <c r="AK1191" s="576"/>
      <c r="AL1191" s="576"/>
      <c r="AM1191" s="576"/>
      <c r="AN1191" s="576"/>
      <c r="AO1191" s="303" t="s">
        <v>175</v>
      </c>
      <c r="AP1191" s="378"/>
      <c r="AQ1191" s="237"/>
    </row>
    <row r="1192" spans="1:43" s="238" customFormat="1" ht="75" customHeight="1" x14ac:dyDescent="0.25">
      <c r="A1192" s="297" t="s">
        <v>1416</v>
      </c>
      <c r="B1192" s="627" t="str">
        <f>VLOOKUP(Table13[[#This Row],[Column1]],[1]Sheet1!$A:$AO,2,FALSE)</f>
        <v>OFFICE SUPPLIES</v>
      </c>
      <c r="C1192" s="298" t="str">
        <f>VLOOKUP(Table13[[#This Row],[Column1]],[1]Sheet1!$A:$AO,3,FALSE)</f>
        <v>PPDO</v>
      </c>
      <c r="D1192" s="298" t="s">
        <v>712</v>
      </c>
      <c r="E1192" s="450" t="str">
        <f>VLOOKUP(Table13[[#This Row],[Column1]],[1]Sheet1!$A:$AO,5,FALSE)</f>
        <v>Shopping 52.1(b) - Regular Office Supplies and Equipment no available in PS</v>
      </c>
      <c r="F1192" s="446" t="str">
        <f>VLOOKUP(Table13[[#This Row],[Column1]],[1]Sheet1!$A:$AO,6,FALSE)</f>
        <v>N/A</v>
      </c>
      <c r="G1192" s="402">
        <f>VLOOKUP(Table13[[#This Row],[Column1]],[1]Sheet1!$A:$AO,7,FALSE)</f>
        <v>45468</v>
      </c>
      <c r="H1192" s="374"/>
      <c r="I1192" s="402"/>
      <c r="J1192" s="402"/>
      <c r="K1192" s="402"/>
      <c r="L1192" s="404"/>
      <c r="M1192" s="402"/>
      <c r="N1192" s="402"/>
      <c r="O1192" s="402"/>
      <c r="P1192" s="375"/>
      <c r="Q1192" s="375"/>
      <c r="R1192" s="376"/>
      <c r="S1192" s="583"/>
      <c r="T1192" s="583"/>
      <c r="U1192" s="583"/>
      <c r="V1192" s="376"/>
      <c r="W1192" s="376"/>
      <c r="X1192" s="402"/>
      <c r="Y1192" s="402"/>
      <c r="Z1192" s="610" t="s">
        <v>1478</v>
      </c>
      <c r="AA1192" s="454">
        <f>IF(Table13[[#This Row],[Column2]]="","",SUM(Table13[[#This Row],[Column28]]+Table13[[#This Row],[Column29]]))</f>
        <v>15045</v>
      </c>
      <c r="AB1192" s="466"/>
      <c r="AC1192" s="502">
        <v>15045</v>
      </c>
      <c r="AD1192" s="451">
        <f>IF(Table13[[#This Row],[Column2]]="","",SUM(Table13[[#This Row],[Column31]]+Table13[[#This Row],[Column32]]))</f>
        <v>0</v>
      </c>
      <c r="AE1192" s="453"/>
      <c r="AF1192" s="646"/>
      <c r="AG1192" s="405"/>
      <c r="AH1192" s="380" t="s">
        <v>1205</v>
      </c>
      <c r="AI1192" s="576"/>
      <c r="AJ1192" s="576"/>
      <c r="AK1192" s="576"/>
      <c r="AL1192" s="576"/>
      <c r="AM1192" s="576"/>
      <c r="AN1192" s="576"/>
      <c r="AO1192" s="303" t="s">
        <v>175</v>
      </c>
      <c r="AP1192" s="378"/>
      <c r="AQ1192" s="237"/>
    </row>
    <row r="1193" spans="1:43" s="238" customFormat="1" ht="75" customHeight="1" x14ac:dyDescent="0.25">
      <c r="A1193" s="297" t="s">
        <v>1417</v>
      </c>
      <c r="B1193" s="627" t="str">
        <f>VLOOKUP(Table13[[#This Row],[Column1]],[1]Sheet1!$A:$AO,2,FALSE)</f>
        <v>DRUGS AND MEDICINES</v>
      </c>
      <c r="C1193" s="298" t="str">
        <f>VLOOKUP(Table13[[#This Row],[Column1]],[1]Sheet1!$A:$AO,3,FALSE)</f>
        <v>PHO</v>
      </c>
      <c r="D1193" s="298" t="s">
        <v>712</v>
      </c>
      <c r="E1193" s="450" t="str">
        <f>VLOOKUP(Table13[[#This Row],[Column1]],[1]Sheet1!$A:$AO,5,FALSE)</f>
        <v>NP-53.9 - Small Value Procurement</v>
      </c>
      <c r="F1193" s="446" t="str">
        <f>VLOOKUP(Table13[[#This Row],[Column1]],[1]Sheet1!$A:$AO,6,FALSE)</f>
        <v>N/A</v>
      </c>
      <c r="G1193" s="402">
        <f>VLOOKUP(Table13[[#This Row],[Column1]],[1]Sheet1!$A:$AO,7,FALSE)</f>
        <v>45468</v>
      </c>
      <c r="H1193" s="374"/>
      <c r="I1193" s="402"/>
      <c r="J1193" s="402"/>
      <c r="K1193" s="402"/>
      <c r="L1193" s="404"/>
      <c r="M1193" s="402"/>
      <c r="N1193" s="402"/>
      <c r="O1193" s="402"/>
      <c r="P1193" s="375"/>
      <c r="Q1193" s="375"/>
      <c r="R1193" s="376"/>
      <c r="S1193" s="583"/>
      <c r="T1193" s="583"/>
      <c r="U1193" s="583"/>
      <c r="V1193" s="376"/>
      <c r="W1193" s="376"/>
      <c r="X1193" s="402"/>
      <c r="Y1193" s="402"/>
      <c r="Z1193" s="610" t="s">
        <v>1478</v>
      </c>
      <c r="AA1193" s="454">
        <f>IF(Table13[[#This Row],[Column2]]="","",SUM(Table13[[#This Row],[Column28]]+Table13[[#This Row],[Column29]]))</f>
        <v>161853</v>
      </c>
      <c r="AB1193" s="466"/>
      <c r="AC1193" s="502">
        <v>161853</v>
      </c>
      <c r="AD1193" s="451">
        <f>IF(Table13[[#This Row],[Column2]]="","",SUM(Table13[[#This Row],[Column31]]+Table13[[#This Row],[Column32]]))</f>
        <v>0</v>
      </c>
      <c r="AE1193" s="453"/>
      <c r="AF1193" s="646"/>
      <c r="AG1193" s="405"/>
      <c r="AH1193" s="380" t="s">
        <v>1205</v>
      </c>
      <c r="AI1193" s="576"/>
      <c r="AJ1193" s="576"/>
      <c r="AK1193" s="576"/>
      <c r="AL1193" s="576"/>
      <c r="AM1193" s="576"/>
      <c r="AN1193" s="576"/>
      <c r="AO1193" s="303" t="s">
        <v>175</v>
      </c>
      <c r="AP1193" s="378"/>
      <c r="AQ1193" s="237"/>
    </row>
    <row r="1194" spans="1:43" s="238" customFormat="1" ht="75" customHeight="1" x14ac:dyDescent="0.25">
      <c r="A1194" s="297" t="s">
        <v>1418</v>
      </c>
      <c r="B1194" s="627" t="str">
        <f>VLOOKUP(Table13[[#This Row],[Column1]],[1]Sheet1!$A:$AO,2,FALSE)</f>
        <v>MEALS AND SNACKS</v>
      </c>
      <c r="C1194" s="298" t="str">
        <f>VLOOKUP(Table13[[#This Row],[Column1]],[1]Sheet1!$A:$AO,3,FALSE)</f>
        <v>PAO-ADMIN</v>
      </c>
      <c r="D1194" s="298" t="s">
        <v>712</v>
      </c>
      <c r="E1194" s="450" t="str">
        <f>VLOOKUP(Table13[[#This Row],[Column1]],[1]Sheet1!$A:$AO,5,FALSE)</f>
        <v>NP-53.9 - Small Value Procurement</v>
      </c>
      <c r="F1194" s="446" t="str">
        <f>VLOOKUP(Table13[[#This Row],[Column1]],[1]Sheet1!$A:$AO,6,FALSE)</f>
        <v>N/A</v>
      </c>
      <c r="G1194" s="402">
        <f>VLOOKUP(Table13[[#This Row],[Column1]],[1]Sheet1!$A:$AO,7,FALSE)</f>
        <v>45468</v>
      </c>
      <c r="H1194" s="374"/>
      <c r="I1194" s="402"/>
      <c r="J1194" s="402"/>
      <c r="K1194" s="402"/>
      <c r="L1194" s="404"/>
      <c r="M1194" s="402"/>
      <c r="N1194" s="402"/>
      <c r="O1194" s="402"/>
      <c r="P1194" s="375"/>
      <c r="Q1194" s="375"/>
      <c r="R1194" s="376"/>
      <c r="S1194" s="583"/>
      <c r="T1194" s="583"/>
      <c r="U1194" s="583"/>
      <c r="V1194" s="376"/>
      <c r="W1194" s="376"/>
      <c r="X1194" s="402"/>
      <c r="Y1194" s="402"/>
      <c r="Z1194" s="610" t="s">
        <v>1478</v>
      </c>
      <c r="AA1194" s="454">
        <f>IF(Table13[[#This Row],[Column2]]="","",SUM(Table13[[#This Row],[Column28]]+Table13[[#This Row],[Column29]]))</f>
        <v>104500</v>
      </c>
      <c r="AB1194" s="466"/>
      <c r="AC1194" s="502">
        <v>104500</v>
      </c>
      <c r="AD1194" s="451">
        <f>IF(Table13[[#This Row],[Column2]]="","",SUM(Table13[[#This Row],[Column31]]+Table13[[#This Row],[Column32]]))</f>
        <v>0</v>
      </c>
      <c r="AE1194" s="453"/>
      <c r="AF1194" s="646"/>
      <c r="AG1194" s="405"/>
      <c r="AH1194" s="380" t="s">
        <v>1205</v>
      </c>
      <c r="AI1194" s="576"/>
      <c r="AJ1194" s="576"/>
      <c r="AK1194" s="576"/>
      <c r="AL1194" s="576"/>
      <c r="AM1194" s="576"/>
      <c r="AN1194" s="576"/>
      <c r="AO1194" s="303" t="s">
        <v>175</v>
      </c>
      <c r="AP1194" s="378"/>
      <c r="AQ1194" s="237"/>
    </row>
    <row r="1195" spans="1:43" s="238" customFormat="1" ht="75" customHeight="1" x14ac:dyDescent="0.25">
      <c r="A1195" s="297" t="s">
        <v>1419</v>
      </c>
      <c r="B1195" s="627" t="str">
        <f>VLOOKUP(Table13[[#This Row],[Column1]],[1]Sheet1!$A:$AO,2,FALSE)</f>
        <v>MEALS AND SNACKS</v>
      </c>
      <c r="C1195" s="298" t="str">
        <f>VLOOKUP(Table13[[#This Row],[Column1]],[1]Sheet1!$A:$AO,3,FALSE)</f>
        <v>PHO</v>
      </c>
      <c r="D1195" s="298" t="s">
        <v>712</v>
      </c>
      <c r="E1195" s="450" t="str">
        <f>VLOOKUP(Table13[[#This Row],[Column1]],[1]Sheet1!$A:$AO,5,FALSE)</f>
        <v>NP-53.9 - Small Value Procurement</v>
      </c>
      <c r="F1195" s="446" t="str">
        <f>VLOOKUP(Table13[[#This Row],[Column1]],[1]Sheet1!$A:$AO,6,FALSE)</f>
        <v>N/A</v>
      </c>
      <c r="G1195" s="402">
        <f>VLOOKUP(Table13[[#This Row],[Column1]],[1]Sheet1!$A:$AO,7,FALSE)</f>
        <v>45468</v>
      </c>
      <c r="H1195" s="374"/>
      <c r="I1195" s="402"/>
      <c r="J1195" s="402"/>
      <c r="K1195" s="402"/>
      <c r="L1195" s="404"/>
      <c r="M1195" s="402"/>
      <c r="N1195" s="402"/>
      <c r="O1195" s="402"/>
      <c r="P1195" s="375"/>
      <c r="Q1195" s="375"/>
      <c r="R1195" s="376"/>
      <c r="S1195" s="583"/>
      <c r="T1195" s="583"/>
      <c r="U1195" s="583"/>
      <c r="V1195" s="376"/>
      <c r="W1195" s="376"/>
      <c r="X1195" s="402"/>
      <c r="Y1195" s="402"/>
      <c r="Z1195" s="610" t="s">
        <v>1478</v>
      </c>
      <c r="AA1195" s="454">
        <f>IF(Table13[[#This Row],[Column2]]="","",SUM(Table13[[#This Row],[Column28]]+Table13[[#This Row],[Column29]]))</f>
        <v>105000</v>
      </c>
      <c r="AB1195" s="466"/>
      <c r="AC1195" s="502">
        <v>105000</v>
      </c>
      <c r="AD1195" s="451">
        <f>IF(Table13[[#This Row],[Column2]]="","",SUM(Table13[[#This Row],[Column31]]+Table13[[#This Row],[Column32]]))</f>
        <v>0</v>
      </c>
      <c r="AE1195" s="453"/>
      <c r="AF1195" s="646"/>
      <c r="AG1195" s="405"/>
      <c r="AH1195" s="380" t="s">
        <v>1205</v>
      </c>
      <c r="AI1195" s="576"/>
      <c r="AJ1195" s="576"/>
      <c r="AK1195" s="576"/>
      <c r="AL1195" s="576"/>
      <c r="AM1195" s="576"/>
      <c r="AN1195" s="576"/>
      <c r="AO1195" s="303" t="s">
        <v>175</v>
      </c>
      <c r="AP1195" s="378"/>
      <c r="AQ1195" s="237"/>
    </row>
    <row r="1196" spans="1:43" s="238" customFormat="1" ht="75" customHeight="1" x14ac:dyDescent="0.25">
      <c r="A1196" s="297" t="s">
        <v>1420</v>
      </c>
      <c r="B1196" s="627" t="str">
        <f>VLOOKUP(Table13[[#This Row],[Column1]],[1]Sheet1!$A:$AO,2,FALSE)</f>
        <v>MEALS AND SNACKS WITH VENUE</v>
      </c>
      <c r="C1196" s="298" t="str">
        <f>VLOOKUP(Table13[[#This Row],[Column1]],[1]Sheet1!$A:$AO,3,FALSE)</f>
        <v>PGO</v>
      </c>
      <c r="D1196" s="298" t="s">
        <v>712</v>
      </c>
      <c r="E1196" s="450" t="str">
        <f>VLOOKUP(Table13[[#This Row],[Column1]],[1]Sheet1!$A:$AO,5,FALSE)</f>
        <v>NP-53.9 - Small Value Procurement</v>
      </c>
      <c r="F1196" s="446" t="str">
        <f>VLOOKUP(Table13[[#This Row],[Column1]],[1]Sheet1!$A:$AO,6,FALSE)</f>
        <v>N/A</v>
      </c>
      <c r="G1196" s="402">
        <f>VLOOKUP(Table13[[#This Row],[Column1]],[1]Sheet1!$A:$AO,7,FALSE)</f>
        <v>45468</v>
      </c>
      <c r="H1196" s="374"/>
      <c r="I1196" s="402"/>
      <c r="J1196" s="402"/>
      <c r="K1196" s="402"/>
      <c r="L1196" s="404"/>
      <c r="M1196" s="402"/>
      <c r="N1196" s="402"/>
      <c r="O1196" s="402"/>
      <c r="P1196" s="375"/>
      <c r="Q1196" s="375"/>
      <c r="R1196" s="376"/>
      <c r="S1196" s="583"/>
      <c r="T1196" s="583"/>
      <c r="U1196" s="583"/>
      <c r="V1196" s="376"/>
      <c r="W1196" s="376"/>
      <c r="X1196" s="402"/>
      <c r="Y1196" s="402"/>
      <c r="Z1196" s="610" t="s">
        <v>1478</v>
      </c>
      <c r="AA1196" s="454">
        <f>IF(Table13[[#This Row],[Column2]]="","",SUM(Table13[[#This Row],[Column28]]+Table13[[#This Row],[Column29]]))</f>
        <v>76500</v>
      </c>
      <c r="AB1196" s="466"/>
      <c r="AC1196" s="502">
        <v>76500</v>
      </c>
      <c r="AD1196" s="451">
        <f>IF(Table13[[#This Row],[Column2]]="","",SUM(Table13[[#This Row],[Column31]]+Table13[[#This Row],[Column32]]))</f>
        <v>0</v>
      </c>
      <c r="AE1196" s="453"/>
      <c r="AF1196" s="646"/>
      <c r="AG1196" s="405"/>
      <c r="AH1196" s="380" t="s">
        <v>1205</v>
      </c>
      <c r="AI1196" s="576"/>
      <c r="AJ1196" s="576"/>
      <c r="AK1196" s="576"/>
      <c r="AL1196" s="576"/>
      <c r="AM1196" s="576"/>
      <c r="AN1196" s="576"/>
      <c r="AO1196" s="303" t="s">
        <v>175</v>
      </c>
      <c r="AP1196" s="378"/>
      <c r="AQ1196" s="237"/>
    </row>
    <row r="1197" spans="1:43" s="238" customFormat="1" ht="75" customHeight="1" x14ac:dyDescent="0.25">
      <c r="A1197" s="297" t="s">
        <v>1421</v>
      </c>
      <c r="B1197" s="627" t="str">
        <f>VLOOKUP(Table13[[#This Row],[Column1]],[1]Sheet1!$A:$AO,2,FALSE)</f>
        <v>TARPAULIN - AS PER DESIGN</v>
      </c>
      <c r="C1197" s="298" t="str">
        <f>VLOOKUP(Table13[[#This Row],[Column1]],[1]Sheet1!$A:$AO,3,FALSE)</f>
        <v>PAGRO</v>
      </c>
      <c r="D1197" s="298" t="s">
        <v>712</v>
      </c>
      <c r="E1197" s="450" t="str">
        <f>VLOOKUP(Table13[[#This Row],[Column1]],[1]Sheet1!$A:$AO,5,FALSE)</f>
        <v>NP-53.9 - Small Value Procurement</v>
      </c>
      <c r="F1197" s="446" t="str">
        <f>VLOOKUP(Table13[[#This Row],[Column1]],[1]Sheet1!$A:$AO,6,FALSE)</f>
        <v>N/A</v>
      </c>
      <c r="G1197" s="402">
        <f>VLOOKUP(Table13[[#This Row],[Column1]],[1]Sheet1!$A:$AO,7,FALSE)</f>
        <v>45468</v>
      </c>
      <c r="H1197" s="374"/>
      <c r="I1197" s="402"/>
      <c r="J1197" s="402"/>
      <c r="K1197" s="402"/>
      <c r="L1197" s="404"/>
      <c r="M1197" s="402"/>
      <c r="N1197" s="402"/>
      <c r="O1197" s="402"/>
      <c r="P1197" s="375"/>
      <c r="Q1197" s="375"/>
      <c r="R1197" s="376"/>
      <c r="S1197" s="583"/>
      <c r="T1197" s="583"/>
      <c r="U1197" s="583"/>
      <c r="V1197" s="376"/>
      <c r="W1197" s="376"/>
      <c r="X1197" s="402"/>
      <c r="Y1197" s="402"/>
      <c r="Z1197" s="610" t="s">
        <v>1478</v>
      </c>
      <c r="AA1197" s="454">
        <f>IF(Table13[[#This Row],[Column2]]="","",SUM(Table13[[#This Row],[Column28]]+Table13[[#This Row],[Column29]]))</f>
        <v>4704</v>
      </c>
      <c r="AB1197" s="466"/>
      <c r="AC1197" s="502">
        <v>4704</v>
      </c>
      <c r="AD1197" s="451">
        <f>IF(Table13[[#This Row],[Column2]]="","",SUM(Table13[[#This Row],[Column31]]+Table13[[#This Row],[Column32]]))</f>
        <v>0</v>
      </c>
      <c r="AE1197" s="453"/>
      <c r="AF1197" s="646"/>
      <c r="AG1197" s="405"/>
      <c r="AH1197" s="380" t="s">
        <v>1205</v>
      </c>
      <c r="AI1197" s="576"/>
      <c r="AJ1197" s="576"/>
      <c r="AK1197" s="576"/>
      <c r="AL1197" s="576"/>
      <c r="AM1197" s="576"/>
      <c r="AN1197" s="576"/>
      <c r="AO1197" s="303" t="s">
        <v>175</v>
      </c>
      <c r="AP1197" s="378"/>
      <c r="AQ1197" s="237"/>
    </row>
    <row r="1198" spans="1:43" s="238" customFormat="1" ht="75" customHeight="1" x14ac:dyDescent="0.25">
      <c r="A1198" s="297" t="s">
        <v>1422</v>
      </c>
      <c r="B1198" s="627" t="str">
        <f>VLOOKUP(Table13[[#This Row],[Column1]],[1]Sheet1!$A:$AO,2,FALSE)</f>
        <v>OFFICE DEVICES AND SUPPLIES</v>
      </c>
      <c r="C1198" s="298" t="str">
        <f>VLOOKUP(Table13[[#This Row],[Column1]],[1]Sheet1!$A:$AO,3,FALSE)</f>
        <v>PGO</v>
      </c>
      <c r="D1198" s="298" t="s">
        <v>712</v>
      </c>
      <c r="E1198" s="450" t="str">
        <f>VLOOKUP(Table13[[#This Row],[Column1]],[1]Sheet1!$A:$AO,5,FALSE)</f>
        <v>NP-53.9 - Small Value Procurement</v>
      </c>
      <c r="F1198" s="446" t="str">
        <f>VLOOKUP(Table13[[#This Row],[Column1]],[1]Sheet1!$A:$AO,6,FALSE)</f>
        <v>N/A</v>
      </c>
      <c r="G1198" s="402">
        <f>VLOOKUP(Table13[[#This Row],[Column1]],[1]Sheet1!$A:$AO,7,FALSE)</f>
        <v>45468</v>
      </c>
      <c r="H1198" s="374"/>
      <c r="I1198" s="402"/>
      <c r="J1198" s="402"/>
      <c r="K1198" s="402"/>
      <c r="L1198" s="404"/>
      <c r="M1198" s="402"/>
      <c r="N1198" s="402"/>
      <c r="O1198" s="402"/>
      <c r="P1198" s="375"/>
      <c r="Q1198" s="375"/>
      <c r="R1198" s="376"/>
      <c r="S1198" s="583"/>
      <c r="T1198" s="583"/>
      <c r="U1198" s="583"/>
      <c r="V1198" s="376"/>
      <c r="W1198" s="376"/>
      <c r="X1198" s="402"/>
      <c r="Y1198" s="402"/>
      <c r="Z1198" s="610" t="s">
        <v>1478</v>
      </c>
      <c r="AA1198" s="454">
        <f>IF(Table13[[#This Row],[Column2]]="","",SUM(Table13[[#This Row],[Column28]]+Table13[[#This Row],[Column29]]))</f>
        <v>21460</v>
      </c>
      <c r="AB1198" s="466"/>
      <c r="AC1198" s="502">
        <v>21460</v>
      </c>
      <c r="AD1198" s="451">
        <f>IF(Table13[[#This Row],[Column2]]="","",SUM(Table13[[#This Row],[Column31]]+Table13[[#This Row],[Column32]]))</f>
        <v>0</v>
      </c>
      <c r="AE1198" s="453"/>
      <c r="AF1198" s="646"/>
      <c r="AG1198" s="405"/>
      <c r="AH1198" s="380" t="s">
        <v>1205</v>
      </c>
      <c r="AI1198" s="576"/>
      <c r="AJ1198" s="576"/>
      <c r="AK1198" s="576"/>
      <c r="AL1198" s="576"/>
      <c r="AM1198" s="576"/>
      <c r="AN1198" s="576"/>
      <c r="AO1198" s="303" t="s">
        <v>175</v>
      </c>
      <c r="AP1198" s="378"/>
      <c r="AQ1198" s="237"/>
    </row>
    <row r="1199" spans="1:43" s="238" customFormat="1" ht="75" customHeight="1" x14ac:dyDescent="0.25">
      <c r="A1199" s="297" t="s">
        <v>1423</v>
      </c>
      <c r="B1199" s="627" t="str">
        <f>VLOOKUP(Table13[[#This Row],[Column1]],[1]Sheet1!$A:$AO,2,FALSE)</f>
        <v>PAPER SHREDDER (HEAVY DUTY)</v>
      </c>
      <c r="C1199" s="298" t="str">
        <f>VLOOKUP(Table13[[#This Row],[Column1]],[1]Sheet1!$A:$AO,3,FALSE)</f>
        <v>PGO</v>
      </c>
      <c r="D1199" s="298" t="s">
        <v>712</v>
      </c>
      <c r="E1199" s="450" t="str">
        <f>VLOOKUP(Table13[[#This Row],[Column1]],[1]Sheet1!$A:$AO,5,FALSE)</f>
        <v>NP-53.9 - Small Value Procurement</v>
      </c>
      <c r="F1199" s="446" t="str">
        <f>VLOOKUP(Table13[[#This Row],[Column1]],[1]Sheet1!$A:$AO,6,FALSE)</f>
        <v>N/A</v>
      </c>
      <c r="G1199" s="402">
        <f>VLOOKUP(Table13[[#This Row],[Column1]],[1]Sheet1!$A:$AO,7,FALSE)</f>
        <v>45468</v>
      </c>
      <c r="H1199" s="374"/>
      <c r="I1199" s="402"/>
      <c r="J1199" s="402"/>
      <c r="K1199" s="402"/>
      <c r="L1199" s="404"/>
      <c r="M1199" s="402"/>
      <c r="N1199" s="402"/>
      <c r="O1199" s="402"/>
      <c r="P1199" s="375"/>
      <c r="Q1199" s="375"/>
      <c r="R1199" s="376"/>
      <c r="S1199" s="583"/>
      <c r="T1199" s="583"/>
      <c r="U1199" s="583"/>
      <c r="V1199" s="376"/>
      <c r="W1199" s="376"/>
      <c r="X1199" s="402"/>
      <c r="Y1199" s="402"/>
      <c r="Z1199" s="610" t="s">
        <v>1478</v>
      </c>
      <c r="AA1199" s="454">
        <f>IF(Table13[[#This Row],[Column2]]="","",SUM(Table13[[#This Row],[Column28]]+Table13[[#This Row],[Column29]]))</f>
        <v>7000</v>
      </c>
      <c r="AB1199" s="466"/>
      <c r="AC1199" s="502">
        <v>7000</v>
      </c>
      <c r="AD1199" s="451">
        <f>IF(Table13[[#This Row],[Column2]]="","",SUM(Table13[[#This Row],[Column31]]+Table13[[#This Row],[Column32]]))</f>
        <v>0</v>
      </c>
      <c r="AE1199" s="453"/>
      <c r="AF1199" s="646"/>
      <c r="AG1199" s="405"/>
      <c r="AH1199" s="380" t="s">
        <v>1205</v>
      </c>
      <c r="AI1199" s="576"/>
      <c r="AJ1199" s="576"/>
      <c r="AK1199" s="576"/>
      <c r="AL1199" s="576"/>
      <c r="AM1199" s="576"/>
      <c r="AN1199" s="576"/>
      <c r="AO1199" s="303" t="s">
        <v>175</v>
      </c>
      <c r="AP1199" s="378"/>
      <c r="AQ1199" s="237"/>
    </row>
    <row r="1200" spans="1:43" s="238" customFormat="1" ht="75" customHeight="1" x14ac:dyDescent="0.25">
      <c r="A1200" s="297" t="s">
        <v>1424</v>
      </c>
      <c r="B1200" s="627" t="str">
        <f>VLOOKUP(Table13[[#This Row],[Column1]],[1]Sheet1!$A:$AO,2,FALSE)</f>
        <v>MOBILE TENT TRAPAL COVER</v>
      </c>
      <c r="C1200" s="298" t="str">
        <f>VLOOKUP(Table13[[#This Row],[Column1]],[1]Sheet1!$A:$AO,3,FALSE)</f>
        <v>PGO</v>
      </c>
      <c r="D1200" s="298" t="s">
        <v>712</v>
      </c>
      <c r="E1200" s="450" t="str">
        <f>VLOOKUP(Table13[[#This Row],[Column1]],[1]Sheet1!$A:$AO,5,FALSE)</f>
        <v>NP-53.9 - Small Value Procurement</v>
      </c>
      <c r="F1200" s="446" t="str">
        <f>VLOOKUP(Table13[[#This Row],[Column1]],[1]Sheet1!$A:$AO,6,FALSE)</f>
        <v>N/A</v>
      </c>
      <c r="G1200" s="402">
        <f>VLOOKUP(Table13[[#This Row],[Column1]],[1]Sheet1!$A:$AO,7,FALSE)</f>
        <v>45468</v>
      </c>
      <c r="H1200" s="374"/>
      <c r="I1200" s="402"/>
      <c r="J1200" s="402"/>
      <c r="K1200" s="402"/>
      <c r="L1200" s="404"/>
      <c r="M1200" s="402"/>
      <c r="N1200" s="402"/>
      <c r="O1200" s="402"/>
      <c r="P1200" s="375"/>
      <c r="Q1200" s="375"/>
      <c r="R1200" s="376"/>
      <c r="S1200" s="583"/>
      <c r="T1200" s="583"/>
      <c r="U1200" s="583"/>
      <c r="V1200" s="376"/>
      <c r="W1200" s="376"/>
      <c r="X1200" s="402"/>
      <c r="Y1200" s="402"/>
      <c r="Z1200" s="610" t="s">
        <v>1478</v>
      </c>
      <c r="AA1200" s="454">
        <f>IF(Table13[[#This Row],[Column2]]="","",SUM(Table13[[#This Row],[Column28]]+Table13[[#This Row],[Column29]]))</f>
        <v>38000</v>
      </c>
      <c r="AB1200" s="466"/>
      <c r="AC1200" s="502">
        <v>38000</v>
      </c>
      <c r="AD1200" s="451">
        <f>IF(Table13[[#This Row],[Column2]]="","",SUM(Table13[[#This Row],[Column31]]+Table13[[#This Row],[Column32]]))</f>
        <v>0</v>
      </c>
      <c r="AE1200" s="453"/>
      <c r="AF1200" s="646"/>
      <c r="AG1200" s="405"/>
      <c r="AH1200" s="380" t="s">
        <v>1205</v>
      </c>
      <c r="AI1200" s="576"/>
      <c r="AJ1200" s="576"/>
      <c r="AK1200" s="576"/>
      <c r="AL1200" s="576"/>
      <c r="AM1200" s="576"/>
      <c r="AN1200" s="576"/>
      <c r="AO1200" s="303" t="s">
        <v>175</v>
      </c>
      <c r="AP1200" s="378"/>
      <c r="AQ1200" s="237"/>
    </row>
    <row r="1201" spans="1:43" s="238" customFormat="1" ht="75" customHeight="1" x14ac:dyDescent="0.25">
      <c r="A1201" s="297" t="s">
        <v>1425</v>
      </c>
      <c r="B1201" s="627" t="str">
        <f>VLOOKUP(Table13[[#This Row],[Column1]],[1]Sheet1!$A:$AO,2,FALSE)</f>
        <v>OFFICE DEVICES</v>
      </c>
      <c r="C1201" s="298" t="str">
        <f>VLOOKUP(Table13[[#This Row],[Column1]],[1]Sheet1!$A:$AO,3,FALSE)</f>
        <v>PENRO</v>
      </c>
      <c r="D1201" s="298" t="s">
        <v>712</v>
      </c>
      <c r="E1201" s="450" t="str">
        <f>VLOOKUP(Table13[[#This Row],[Column1]],[1]Sheet1!$A:$AO,5,FALSE)</f>
        <v>NP-53.9 - Small Value Procurement</v>
      </c>
      <c r="F1201" s="446" t="str">
        <f>VLOOKUP(Table13[[#This Row],[Column1]],[1]Sheet1!$A:$AO,6,FALSE)</f>
        <v>N/A</v>
      </c>
      <c r="G1201" s="402">
        <f>VLOOKUP(Table13[[#This Row],[Column1]],[1]Sheet1!$A:$AO,7,FALSE)</f>
        <v>45468</v>
      </c>
      <c r="H1201" s="374"/>
      <c r="I1201" s="402"/>
      <c r="J1201" s="402"/>
      <c r="K1201" s="402"/>
      <c r="L1201" s="404"/>
      <c r="M1201" s="402"/>
      <c r="N1201" s="402"/>
      <c r="O1201" s="402"/>
      <c r="P1201" s="375"/>
      <c r="Q1201" s="375"/>
      <c r="R1201" s="376"/>
      <c r="S1201" s="583"/>
      <c r="T1201" s="583"/>
      <c r="U1201" s="583"/>
      <c r="V1201" s="376"/>
      <c r="W1201" s="376"/>
      <c r="X1201" s="402"/>
      <c r="Y1201" s="402"/>
      <c r="Z1201" s="610" t="s">
        <v>1478</v>
      </c>
      <c r="AA1201" s="454">
        <f>IF(Table13[[#This Row],[Column2]]="","",SUM(Table13[[#This Row],[Column28]]+Table13[[#This Row],[Column29]]))</f>
        <v>41235</v>
      </c>
      <c r="AB1201" s="466"/>
      <c r="AC1201" s="502">
        <v>41235</v>
      </c>
      <c r="AD1201" s="451">
        <f>IF(Table13[[#This Row],[Column2]]="","",SUM(Table13[[#This Row],[Column31]]+Table13[[#This Row],[Column32]]))</f>
        <v>0</v>
      </c>
      <c r="AE1201" s="453"/>
      <c r="AF1201" s="646"/>
      <c r="AG1201" s="405"/>
      <c r="AH1201" s="380" t="s">
        <v>1205</v>
      </c>
      <c r="AI1201" s="576"/>
      <c r="AJ1201" s="576"/>
      <c r="AK1201" s="576"/>
      <c r="AL1201" s="576"/>
      <c r="AM1201" s="576"/>
      <c r="AN1201" s="576"/>
      <c r="AO1201" s="303" t="s">
        <v>175</v>
      </c>
      <c r="AP1201" s="378"/>
      <c r="AQ1201" s="237"/>
    </row>
    <row r="1202" spans="1:43" s="238" customFormat="1" ht="75" customHeight="1" x14ac:dyDescent="0.25">
      <c r="A1202" s="297" t="s">
        <v>1426</v>
      </c>
      <c r="B1202" s="627" t="str">
        <f>VLOOKUP(Table13[[#This Row],[Column1]],[1]Sheet1!$A:$AO,2,FALSE)</f>
        <v>JANITORIAL SUPPLIES</v>
      </c>
      <c r="C1202" s="298" t="str">
        <f>VLOOKUP(Table13[[#This Row],[Column1]],[1]Sheet1!$A:$AO,3,FALSE)</f>
        <v>PGO</v>
      </c>
      <c r="D1202" s="298" t="s">
        <v>712</v>
      </c>
      <c r="E1202" s="450" t="str">
        <f>VLOOKUP(Table13[[#This Row],[Column1]],[1]Sheet1!$A:$AO,5,FALSE)</f>
        <v>NP-53.9 - Small Value Procurement</v>
      </c>
      <c r="F1202" s="446" t="str">
        <f>VLOOKUP(Table13[[#This Row],[Column1]],[1]Sheet1!$A:$AO,6,FALSE)</f>
        <v>N/A</v>
      </c>
      <c r="G1202" s="402">
        <f>VLOOKUP(Table13[[#This Row],[Column1]],[1]Sheet1!$A:$AO,7,FALSE)</f>
        <v>45468</v>
      </c>
      <c r="H1202" s="374"/>
      <c r="I1202" s="402"/>
      <c r="J1202" s="402"/>
      <c r="K1202" s="402"/>
      <c r="L1202" s="404"/>
      <c r="M1202" s="402"/>
      <c r="N1202" s="402"/>
      <c r="O1202" s="402"/>
      <c r="P1202" s="375"/>
      <c r="Q1202" s="375"/>
      <c r="R1202" s="376"/>
      <c r="S1202" s="583"/>
      <c r="T1202" s="583"/>
      <c r="U1202" s="583"/>
      <c r="V1202" s="376"/>
      <c r="W1202" s="376"/>
      <c r="X1202" s="402"/>
      <c r="Y1202" s="402"/>
      <c r="Z1202" s="610" t="s">
        <v>1478</v>
      </c>
      <c r="AA1202" s="454">
        <f>IF(Table13[[#This Row],[Column2]]="","",SUM(Table13[[#This Row],[Column28]]+Table13[[#This Row],[Column29]]))</f>
        <v>2121</v>
      </c>
      <c r="AB1202" s="466"/>
      <c r="AC1202" s="502">
        <v>2121</v>
      </c>
      <c r="AD1202" s="451">
        <f>IF(Table13[[#This Row],[Column2]]="","",SUM(Table13[[#This Row],[Column31]]+Table13[[#This Row],[Column32]]))</f>
        <v>0</v>
      </c>
      <c r="AE1202" s="453"/>
      <c r="AF1202" s="646"/>
      <c r="AG1202" s="405"/>
      <c r="AH1202" s="380" t="s">
        <v>1205</v>
      </c>
      <c r="AI1202" s="576"/>
      <c r="AJ1202" s="576"/>
      <c r="AK1202" s="576"/>
      <c r="AL1202" s="576"/>
      <c r="AM1202" s="576"/>
      <c r="AN1202" s="576"/>
      <c r="AO1202" s="303" t="s">
        <v>175</v>
      </c>
      <c r="AP1202" s="378"/>
      <c r="AQ1202" s="237"/>
    </row>
    <row r="1203" spans="1:43" s="238" customFormat="1" ht="75" customHeight="1" x14ac:dyDescent="0.25">
      <c r="A1203" s="297" t="s">
        <v>1427</v>
      </c>
      <c r="B1203" s="627" t="str">
        <f>VLOOKUP(Table13[[#This Row],[Column1]],[1]Sheet1!$A:$AO,2,FALSE)</f>
        <v>CORRUGATED G.I. SHEET</v>
      </c>
      <c r="C1203" s="298" t="str">
        <f>VLOOKUP(Table13[[#This Row],[Column1]],[1]Sheet1!$A:$AO,3,FALSE)</f>
        <v>PGO</v>
      </c>
      <c r="D1203" s="298" t="s">
        <v>712</v>
      </c>
      <c r="E1203" s="450" t="str">
        <f>VLOOKUP(Table13[[#This Row],[Column1]],[1]Sheet1!$A:$AO,5,FALSE)</f>
        <v>NP-53.9 - Small Value Procurement</v>
      </c>
      <c r="F1203" s="446" t="str">
        <f>VLOOKUP(Table13[[#This Row],[Column1]],[1]Sheet1!$A:$AO,6,FALSE)</f>
        <v>N/A</v>
      </c>
      <c r="G1203" s="402">
        <f>VLOOKUP(Table13[[#This Row],[Column1]],[1]Sheet1!$A:$AO,7,FALSE)</f>
        <v>45468</v>
      </c>
      <c r="H1203" s="374"/>
      <c r="I1203" s="402"/>
      <c r="J1203" s="402"/>
      <c r="K1203" s="402"/>
      <c r="L1203" s="404"/>
      <c r="M1203" s="402"/>
      <c r="N1203" s="402"/>
      <c r="O1203" s="402"/>
      <c r="P1203" s="375"/>
      <c r="Q1203" s="375"/>
      <c r="R1203" s="376"/>
      <c r="S1203" s="583"/>
      <c r="T1203" s="583"/>
      <c r="U1203" s="583"/>
      <c r="V1203" s="376"/>
      <c r="W1203" s="376"/>
      <c r="X1203" s="402"/>
      <c r="Y1203" s="402"/>
      <c r="Z1203" s="610" t="s">
        <v>1478</v>
      </c>
      <c r="AA1203" s="454">
        <f>IF(Table13[[#This Row],[Column2]]="","",SUM(Table13[[#This Row],[Column28]]+Table13[[#This Row],[Column29]]))</f>
        <v>297000</v>
      </c>
      <c r="AB1203" s="466"/>
      <c r="AC1203" s="502">
        <v>297000</v>
      </c>
      <c r="AD1203" s="451">
        <f>IF(Table13[[#This Row],[Column2]]="","",SUM(Table13[[#This Row],[Column31]]+Table13[[#This Row],[Column32]]))</f>
        <v>0</v>
      </c>
      <c r="AE1203" s="453"/>
      <c r="AF1203" s="646"/>
      <c r="AG1203" s="405"/>
      <c r="AH1203" s="380" t="s">
        <v>1205</v>
      </c>
      <c r="AI1203" s="576"/>
      <c r="AJ1203" s="576"/>
      <c r="AK1203" s="576"/>
      <c r="AL1203" s="576"/>
      <c r="AM1203" s="576"/>
      <c r="AN1203" s="576"/>
      <c r="AO1203" s="303" t="s">
        <v>175</v>
      </c>
      <c r="AP1203" s="378"/>
      <c r="AQ1203" s="237"/>
    </row>
    <row r="1204" spans="1:43" s="238" customFormat="1" ht="75" customHeight="1" x14ac:dyDescent="0.25">
      <c r="A1204" s="297" t="s">
        <v>1428</v>
      </c>
      <c r="B1204" s="627" t="str">
        <f>VLOOKUP(Table13[[#This Row],[Column1]],[1]Sheet1!$A:$AO,2,FALSE)</f>
        <v>ENAMEL PAINT</v>
      </c>
      <c r="C1204" s="298" t="str">
        <f>VLOOKUP(Table13[[#This Row],[Column1]],[1]Sheet1!$A:$AO,3,FALSE)</f>
        <v>PGO</v>
      </c>
      <c r="D1204" s="298" t="s">
        <v>712</v>
      </c>
      <c r="E1204" s="450" t="str">
        <f>VLOOKUP(Table13[[#This Row],[Column1]],[1]Sheet1!$A:$AO,5,FALSE)</f>
        <v>NP-53.9 - Small Value Procurement</v>
      </c>
      <c r="F1204" s="446" t="str">
        <f>VLOOKUP(Table13[[#This Row],[Column1]],[1]Sheet1!$A:$AO,6,FALSE)</f>
        <v>N/A</v>
      </c>
      <c r="G1204" s="402">
        <f>VLOOKUP(Table13[[#This Row],[Column1]],[1]Sheet1!$A:$AO,7,FALSE)</f>
        <v>45468</v>
      </c>
      <c r="H1204" s="374"/>
      <c r="I1204" s="402"/>
      <c r="J1204" s="402"/>
      <c r="K1204" s="402"/>
      <c r="L1204" s="404"/>
      <c r="M1204" s="402"/>
      <c r="N1204" s="402"/>
      <c r="O1204" s="402"/>
      <c r="P1204" s="375"/>
      <c r="Q1204" s="375"/>
      <c r="R1204" s="376"/>
      <c r="S1204" s="583"/>
      <c r="T1204" s="583"/>
      <c r="U1204" s="583"/>
      <c r="V1204" s="376"/>
      <c r="W1204" s="376"/>
      <c r="X1204" s="402"/>
      <c r="Y1204" s="402"/>
      <c r="Z1204" s="610" t="s">
        <v>1478</v>
      </c>
      <c r="AA1204" s="454">
        <f>IF(Table13[[#This Row],[Column2]]="","",SUM(Table13[[#This Row],[Column28]]+Table13[[#This Row],[Column29]]))</f>
        <v>219200</v>
      </c>
      <c r="AB1204" s="466"/>
      <c r="AC1204" s="502">
        <v>219200</v>
      </c>
      <c r="AD1204" s="451">
        <f>IF(Table13[[#This Row],[Column2]]="","",SUM(Table13[[#This Row],[Column31]]+Table13[[#This Row],[Column32]]))</f>
        <v>0</v>
      </c>
      <c r="AE1204" s="453"/>
      <c r="AF1204" s="646"/>
      <c r="AG1204" s="405"/>
      <c r="AH1204" s="380" t="s">
        <v>1205</v>
      </c>
      <c r="AI1204" s="576"/>
      <c r="AJ1204" s="576"/>
      <c r="AK1204" s="576"/>
      <c r="AL1204" s="576"/>
      <c r="AM1204" s="576"/>
      <c r="AN1204" s="576"/>
      <c r="AO1204" s="303" t="s">
        <v>175</v>
      </c>
      <c r="AP1204" s="378"/>
      <c r="AQ1204" s="237"/>
    </row>
    <row r="1205" spans="1:43" s="238" customFormat="1" ht="75" customHeight="1" x14ac:dyDescent="0.25">
      <c r="A1205" s="297" t="s">
        <v>1429</v>
      </c>
      <c r="B1205" s="627" t="str">
        <f>VLOOKUP(Table13[[#This Row],[Column1]],[1]Sheet1!$A:$AO,2,FALSE)</f>
        <v>HDPE PIPES</v>
      </c>
      <c r="C1205" s="298" t="str">
        <f>VLOOKUP(Table13[[#This Row],[Column1]],[1]Sheet1!$A:$AO,3,FALSE)</f>
        <v>PGO</v>
      </c>
      <c r="D1205" s="298" t="s">
        <v>712</v>
      </c>
      <c r="E1205" s="450" t="str">
        <f>VLOOKUP(Table13[[#This Row],[Column1]],[1]Sheet1!$A:$AO,5,FALSE)</f>
        <v>NP-53.9 - Small Value Procurement</v>
      </c>
      <c r="F1205" s="446" t="str">
        <f>VLOOKUP(Table13[[#This Row],[Column1]],[1]Sheet1!$A:$AO,6,FALSE)</f>
        <v>N/A</v>
      </c>
      <c r="G1205" s="402">
        <f>VLOOKUP(Table13[[#This Row],[Column1]],[1]Sheet1!$A:$AO,7,FALSE)</f>
        <v>45468</v>
      </c>
      <c r="H1205" s="374"/>
      <c r="I1205" s="402"/>
      <c r="J1205" s="402"/>
      <c r="K1205" s="402"/>
      <c r="L1205" s="404"/>
      <c r="M1205" s="402"/>
      <c r="N1205" s="402"/>
      <c r="O1205" s="402"/>
      <c r="P1205" s="375"/>
      <c r="Q1205" s="375"/>
      <c r="R1205" s="376"/>
      <c r="S1205" s="583"/>
      <c r="T1205" s="583"/>
      <c r="U1205" s="583"/>
      <c r="V1205" s="376"/>
      <c r="W1205" s="376"/>
      <c r="X1205" s="402"/>
      <c r="Y1205" s="402"/>
      <c r="Z1205" s="610" t="s">
        <v>1478</v>
      </c>
      <c r="AA1205" s="454">
        <f>IF(Table13[[#This Row],[Column2]]="","",SUM(Table13[[#This Row],[Column28]]+Table13[[#This Row],[Column29]]))</f>
        <v>157120</v>
      </c>
      <c r="AB1205" s="466"/>
      <c r="AC1205" s="502">
        <v>157120</v>
      </c>
      <c r="AD1205" s="451">
        <f>IF(Table13[[#This Row],[Column2]]="","",SUM(Table13[[#This Row],[Column31]]+Table13[[#This Row],[Column32]]))</f>
        <v>0</v>
      </c>
      <c r="AE1205" s="453"/>
      <c r="AF1205" s="646"/>
      <c r="AG1205" s="405"/>
      <c r="AH1205" s="380" t="s">
        <v>1205</v>
      </c>
      <c r="AI1205" s="576"/>
      <c r="AJ1205" s="576"/>
      <c r="AK1205" s="576"/>
      <c r="AL1205" s="576"/>
      <c r="AM1205" s="576"/>
      <c r="AN1205" s="576"/>
      <c r="AO1205" s="303" t="s">
        <v>175</v>
      </c>
      <c r="AP1205" s="378"/>
      <c r="AQ1205" s="237"/>
    </row>
    <row r="1206" spans="1:43" s="238" customFormat="1" ht="75" customHeight="1" x14ac:dyDescent="0.25">
      <c r="A1206" s="297" t="s">
        <v>1430</v>
      </c>
      <c r="B1206" s="627" t="str">
        <f>VLOOKUP(Table13[[#This Row],[Column1]],[1]Sheet1!$A:$AO,2,FALSE)</f>
        <v>OFFICE DEVICES</v>
      </c>
      <c r="C1206" s="298" t="str">
        <f>VLOOKUP(Table13[[#This Row],[Column1]],[1]Sheet1!$A:$AO,3,FALSE)</f>
        <v>PAO-ADMIN</v>
      </c>
      <c r="D1206" s="298" t="s">
        <v>712</v>
      </c>
      <c r="E1206" s="450" t="str">
        <f>VLOOKUP(Table13[[#This Row],[Column1]],[1]Sheet1!$A:$AO,5,FALSE)</f>
        <v>NP-53.9 - Small Value Procurement</v>
      </c>
      <c r="F1206" s="446" t="str">
        <f>VLOOKUP(Table13[[#This Row],[Column1]],[1]Sheet1!$A:$AO,6,FALSE)</f>
        <v>N/A</v>
      </c>
      <c r="G1206" s="402">
        <f>VLOOKUP(Table13[[#This Row],[Column1]],[1]Sheet1!$A:$AO,7,FALSE)</f>
        <v>45468</v>
      </c>
      <c r="H1206" s="374"/>
      <c r="I1206" s="402"/>
      <c r="J1206" s="402"/>
      <c r="K1206" s="402"/>
      <c r="L1206" s="404"/>
      <c r="M1206" s="402"/>
      <c r="N1206" s="402"/>
      <c r="O1206" s="402"/>
      <c r="P1206" s="375"/>
      <c r="Q1206" s="375"/>
      <c r="R1206" s="376"/>
      <c r="S1206" s="583"/>
      <c r="T1206" s="583"/>
      <c r="U1206" s="583"/>
      <c r="V1206" s="376"/>
      <c r="W1206" s="376"/>
      <c r="X1206" s="402"/>
      <c r="Y1206" s="402"/>
      <c r="Z1206" s="610" t="s">
        <v>1478</v>
      </c>
      <c r="AA1206" s="454">
        <f>IF(Table13[[#This Row],[Column2]]="","",SUM(Table13[[#This Row],[Column28]]+Table13[[#This Row],[Column29]]))</f>
        <v>25192</v>
      </c>
      <c r="AB1206" s="466"/>
      <c r="AC1206" s="502">
        <v>25192</v>
      </c>
      <c r="AD1206" s="451">
        <f>IF(Table13[[#This Row],[Column2]]="","",SUM(Table13[[#This Row],[Column31]]+Table13[[#This Row],[Column32]]))</f>
        <v>0</v>
      </c>
      <c r="AE1206" s="453"/>
      <c r="AF1206" s="646"/>
      <c r="AG1206" s="405"/>
      <c r="AH1206" s="380" t="s">
        <v>1205</v>
      </c>
      <c r="AI1206" s="576"/>
      <c r="AJ1206" s="576"/>
      <c r="AK1206" s="576"/>
      <c r="AL1206" s="576"/>
      <c r="AM1206" s="576"/>
      <c r="AN1206" s="576"/>
      <c r="AO1206" s="303" t="s">
        <v>175</v>
      </c>
      <c r="AP1206" s="378"/>
      <c r="AQ1206" s="237"/>
    </row>
    <row r="1207" spans="1:43" s="238" customFormat="1" ht="75" customHeight="1" x14ac:dyDescent="0.25">
      <c r="A1207" s="297" t="s">
        <v>1431</v>
      </c>
      <c r="B1207" s="627" t="str">
        <f>VLOOKUP(Table13[[#This Row],[Column1]],[1]Sheet1!$A:$AO,2,FALSE)</f>
        <v>CANNED GOODS</v>
      </c>
      <c r="C1207" s="298" t="str">
        <f>VLOOKUP(Table13[[#This Row],[Column1]],[1]Sheet1!$A:$AO,3,FALSE)</f>
        <v>PGO</v>
      </c>
      <c r="D1207" s="298" t="s">
        <v>712</v>
      </c>
      <c r="E1207" s="450" t="str">
        <f>VLOOKUP(Table13[[#This Row],[Column1]],[1]Sheet1!$A:$AO,5,FALSE)</f>
        <v>NP-53.9 - Small Value Procurement</v>
      </c>
      <c r="F1207" s="446" t="str">
        <f>VLOOKUP(Table13[[#This Row],[Column1]],[1]Sheet1!$A:$AO,6,FALSE)</f>
        <v>N/A</v>
      </c>
      <c r="G1207" s="402">
        <f>VLOOKUP(Table13[[#This Row],[Column1]],[1]Sheet1!$A:$AO,7,FALSE)</f>
        <v>45468</v>
      </c>
      <c r="H1207" s="374"/>
      <c r="I1207" s="402"/>
      <c r="J1207" s="402"/>
      <c r="K1207" s="402"/>
      <c r="L1207" s="404"/>
      <c r="M1207" s="402"/>
      <c r="N1207" s="402"/>
      <c r="O1207" s="402"/>
      <c r="P1207" s="375"/>
      <c r="Q1207" s="375"/>
      <c r="R1207" s="376"/>
      <c r="S1207" s="583"/>
      <c r="T1207" s="583"/>
      <c r="U1207" s="583"/>
      <c r="V1207" s="376"/>
      <c r="W1207" s="376"/>
      <c r="X1207" s="402"/>
      <c r="Y1207" s="402"/>
      <c r="Z1207" s="610" t="s">
        <v>1478</v>
      </c>
      <c r="AA1207" s="454">
        <f>IF(Table13[[#This Row],[Column2]]="","",SUM(Table13[[#This Row],[Column28]]+Table13[[#This Row],[Column29]]))</f>
        <v>9240</v>
      </c>
      <c r="AB1207" s="466"/>
      <c r="AC1207" s="502">
        <v>9240</v>
      </c>
      <c r="AD1207" s="451">
        <f>IF(Table13[[#This Row],[Column2]]="","",SUM(Table13[[#This Row],[Column31]]+Table13[[#This Row],[Column32]]))</f>
        <v>0</v>
      </c>
      <c r="AE1207" s="453"/>
      <c r="AF1207" s="646"/>
      <c r="AG1207" s="405"/>
      <c r="AH1207" s="380" t="s">
        <v>1205</v>
      </c>
      <c r="AI1207" s="576"/>
      <c r="AJ1207" s="576"/>
      <c r="AK1207" s="576"/>
      <c r="AL1207" s="576"/>
      <c r="AM1207" s="576"/>
      <c r="AN1207" s="576"/>
      <c r="AO1207" s="303" t="s">
        <v>175</v>
      </c>
      <c r="AP1207" s="378"/>
      <c r="AQ1207" s="237"/>
    </row>
    <row r="1208" spans="1:43" s="238" customFormat="1" ht="75" customHeight="1" x14ac:dyDescent="0.25">
      <c r="A1208" s="297" t="s">
        <v>1432</v>
      </c>
      <c r="B1208" s="627" t="str">
        <f>VLOOKUP(Table13[[#This Row],[Column1]],[1]Sheet1!$A:$AO,2,FALSE)</f>
        <v>STORAGE BOXES AND TARPAULIN STAND</v>
      </c>
      <c r="C1208" s="298" t="str">
        <f>VLOOKUP(Table13[[#This Row],[Column1]],[1]Sheet1!$A:$AO,3,FALSE)</f>
        <v>PHO</v>
      </c>
      <c r="D1208" s="298" t="s">
        <v>712</v>
      </c>
      <c r="E1208" s="450" t="str">
        <f>VLOOKUP(Table13[[#This Row],[Column1]],[1]Sheet1!$A:$AO,5,FALSE)</f>
        <v>NP-53.9 - Small Value Procurement</v>
      </c>
      <c r="F1208" s="446" t="str">
        <f>VLOOKUP(Table13[[#This Row],[Column1]],[1]Sheet1!$A:$AO,6,FALSE)</f>
        <v>N/A</v>
      </c>
      <c r="G1208" s="402">
        <f>VLOOKUP(Table13[[#This Row],[Column1]],[1]Sheet1!$A:$AO,7,FALSE)</f>
        <v>45468</v>
      </c>
      <c r="H1208" s="374"/>
      <c r="I1208" s="402"/>
      <c r="J1208" s="402"/>
      <c r="K1208" s="402"/>
      <c r="L1208" s="404"/>
      <c r="M1208" s="402"/>
      <c r="N1208" s="402"/>
      <c r="O1208" s="402"/>
      <c r="P1208" s="375"/>
      <c r="Q1208" s="375"/>
      <c r="R1208" s="376"/>
      <c r="S1208" s="583"/>
      <c r="T1208" s="583"/>
      <c r="U1208" s="583"/>
      <c r="V1208" s="376"/>
      <c r="W1208" s="376"/>
      <c r="X1208" s="402"/>
      <c r="Y1208" s="402"/>
      <c r="Z1208" s="610" t="s">
        <v>1478</v>
      </c>
      <c r="AA1208" s="454">
        <f>IF(Table13[[#This Row],[Column2]]="","",SUM(Table13[[#This Row],[Column28]]+Table13[[#This Row],[Column29]]))</f>
        <v>14800</v>
      </c>
      <c r="AB1208" s="466"/>
      <c r="AC1208" s="502">
        <v>14800</v>
      </c>
      <c r="AD1208" s="451">
        <f>IF(Table13[[#This Row],[Column2]]="","",SUM(Table13[[#This Row],[Column31]]+Table13[[#This Row],[Column32]]))</f>
        <v>0</v>
      </c>
      <c r="AE1208" s="453"/>
      <c r="AF1208" s="646"/>
      <c r="AG1208" s="405"/>
      <c r="AH1208" s="380" t="s">
        <v>1205</v>
      </c>
      <c r="AI1208" s="576"/>
      <c r="AJ1208" s="576"/>
      <c r="AK1208" s="576"/>
      <c r="AL1208" s="576"/>
      <c r="AM1208" s="576"/>
      <c r="AN1208" s="576"/>
      <c r="AO1208" s="303" t="s">
        <v>175</v>
      </c>
      <c r="AP1208" s="378"/>
      <c r="AQ1208" s="237"/>
    </row>
    <row r="1209" spans="1:43" s="238" customFormat="1" ht="75" customHeight="1" x14ac:dyDescent="0.25">
      <c r="A1209" s="297" t="s">
        <v>1433</v>
      </c>
      <c r="B1209" s="627" t="str">
        <f>VLOOKUP(Table13[[#This Row],[Column1]],[1]Sheet1!$A:$AO,2,FALSE)</f>
        <v>MEALS AND SNACKS</v>
      </c>
      <c r="C1209" s="298" t="str">
        <f>VLOOKUP(Table13[[#This Row],[Column1]],[1]Sheet1!$A:$AO,3,FALSE)</f>
        <v>PIAO</v>
      </c>
      <c r="D1209" s="298" t="s">
        <v>712</v>
      </c>
      <c r="E1209" s="450" t="str">
        <f>VLOOKUP(Table13[[#This Row],[Column1]],[1]Sheet1!$A:$AO,5,FALSE)</f>
        <v>NP-53.9 - Small Value Procurement</v>
      </c>
      <c r="F1209" s="446" t="str">
        <f>VLOOKUP(Table13[[#This Row],[Column1]],[1]Sheet1!$A:$AO,6,FALSE)</f>
        <v>N/A</v>
      </c>
      <c r="G1209" s="402">
        <f>VLOOKUP(Table13[[#This Row],[Column1]],[1]Sheet1!$A:$AO,7,FALSE)</f>
        <v>45468</v>
      </c>
      <c r="H1209" s="374"/>
      <c r="I1209" s="402"/>
      <c r="J1209" s="402"/>
      <c r="K1209" s="402"/>
      <c r="L1209" s="404"/>
      <c r="M1209" s="402"/>
      <c r="N1209" s="402"/>
      <c r="O1209" s="402"/>
      <c r="P1209" s="375"/>
      <c r="Q1209" s="375"/>
      <c r="R1209" s="376"/>
      <c r="S1209" s="583"/>
      <c r="T1209" s="583"/>
      <c r="U1209" s="583"/>
      <c r="V1209" s="376"/>
      <c r="W1209" s="376"/>
      <c r="X1209" s="402"/>
      <c r="Y1209" s="402"/>
      <c r="Z1209" s="610" t="s">
        <v>1478</v>
      </c>
      <c r="AA1209" s="454">
        <f>IF(Table13[[#This Row],[Column2]]="","",SUM(Table13[[#This Row],[Column28]]+Table13[[#This Row],[Column29]]))</f>
        <v>20400</v>
      </c>
      <c r="AB1209" s="466"/>
      <c r="AC1209" s="502">
        <v>20400</v>
      </c>
      <c r="AD1209" s="451">
        <f>IF(Table13[[#This Row],[Column2]]="","",SUM(Table13[[#This Row],[Column31]]+Table13[[#This Row],[Column32]]))</f>
        <v>0</v>
      </c>
      <c r="AE1209" s="453"/>
      <c r="AF1209" s="646"/>
      <c r="AG1209" s="405"/>
      <c r="AH1209" s="380" t="s">
        <v>1205</v>
      </c>
      <c r="AI1209" s="576"/>
      <c r="AJ1209" s="576"/>
      <c r="AK1209" s="576"/>
      <c r="AL1209" s="576"/>
      <c r="AM1209" s="576"/>
      <c r="AN1209" s="576"/>
      <c r="AO1209" s="303" t="s">
        <v>175</v>
      </c>
      <c r="AP1209" s="378"/>
      <c r="AQ1209" s="237"/>
    </row>
    <row r="1210" spans="1:43" s="238" customFormat="1" ht="75" customHeight="1" x14ac:dyDescent="0.25">
      <c r="A1210" s="297" t="s">
        <v>1434</v>
      </c>
      <c r="B1210" s="627" t="str">
        <f>VLOOKUP(Table13[[#This Row],[Column1]],[1]Sheet1!$A:$AO,2,FALSE)</f>
        <v>NITROGEN TANK</v>
      </c>
      <c r="C1210" s="298" t="str">
        <f>VLOOKUP(Table13[[#This Row],[Column1]],[1]Sheet1!$A:$AO,3,FALSE)</f>
        <v>PGSO</v>
      </c>
      <c r="D1210" s="298" t="s">
        <v>712</v>
      </c>
      <c r="E1210" s="450" t="str">
        <f>VLOOKUP(Table13[[#This Row],[Column1]],[1]Sheet1!$A:$AO,5,FALSE)</f>
        <v>NP-53.9 - Small Value Procurement</v>
      </c>
      <c r="F1210" s="446" t="str">
        <f>VLOOKUP(Table13[[#This Row],[Column1]],[1]Sheet1!$A:$AO,6,FALSE)</f>
        <v>N/A</v>
      </c>
      <c r="G1210" s="402">
        <f>VLOOKUP(Table13[[#This Row],[Column1]],[1]Sheet1!$A:$AO,7,FALSE)</f>
        <v>45468</v>
      </c>
      <c r="H1210" s="374"/>
      <c r="I1210" s="402"/>
      <c r="J1210" s="402"/>
      <c r="K1210" s="402"/>
      <c r="L1210" s="404"/>
      <c r="M1210" s="402"/>
      <c r="N1210" s="402"/>
      <c r="O1210" s="402"/>
      <c r="P1210" s="375"/>
      <c r="Q1210" s="375"/>
      <c r="R1210" s="376"/>
      <c r="S1210" s="583"/>
      <c r="T1210" s="583"/>
      <c r="U1210" s="583"/>
      <c r="V1210" s="376"/>
      <c r="W1210" s="376"/>
      <c r="X1210" s="402"/>
      <c r="Y1210" s="402"/>
      <c r="Z1210" s="610" t="s">
        <v>1478</v>
      </c>
      <c r="AA1210" s="454">
        <f>IF(Table13[[#This Row],[Column2]]="","",SUM(Table13[[#This Row],[Column28]]+Table13[[#This Row],[Column29]]))</f>
        <v>16000</v>
      </c>
      <c r="AB1210" s="466"/>
      <c r="AC1210" s="502">
        <v>16000</v>
      </c>
      <c r="AD1210" s="451">
        <f>IF(Table13[[#This Row],[Column2]]="","",SUM(Table13[[#This Row],[Column31]]+Table13[[#This Row],[Column32]]))</f>
        <v>0</v>
      </c>
      <c r="AE1210" s="453"/>
      <c r="AF1210" s="646"/>
      <c r="AG1210" s="405"/>
      <c r="AH1210" s="380" t="s">
        <v>1205</v>
      </c>
      <c r="AI1210" s="576"/>
      <c r="AJ1210" s="576"/>
      <c r="AK1210" s="576"/>
      <c r="AL1210" s="576"/>
      <c r="AM1210" s="576"/>
      <c r="AN1210" s="576"/>
      <c r="AO1210" s="303" t="s">
        <v>175</v>
      </c>
      <c r="AP1210" s="378"/>
      <c r="AQ1210" s="237"/>
    </row>
    <row r="1211" spans="1:43" s="238" customFormat="1" ht="75" customHeight="1" x14ac:dyDescent="0.25">
      <c r="A1211" s="297" t="s">
        <v>1435</v>
      </c>
      <c r="B1211" s="627" t="str">
        <f>VLOOKUP(Table13[[#This Row],[Column1]],[1]Sheet1!$A:$AO,2,FALSE)</f>
        <v>AIRCON MAINTENANCE SUPPLIES</v>
      </c>
      <c r="C1211" s="298" t="str">
        <f>VLOOKUP(Table13[[#This Row],[Column1]],[1]Sheet1!$A:$AO,3,FALSE)</f>
        <v>PGSO</v>
      </c>
      <c r="D1211" s="298" t="s">
        <v>712</v>
      </c>
      <c r="E1211" s="450" t="str">
        <f>VLOOKUP(Table13[[#This Row],[Column1]],[1]Sheet1!$A:$AO,5,FALSE)</f>
        <v>NP-53.9 - Small Value Procurement</v>
      </c>
      <c r="F1211" s="446" t="str">
        <f>VLOOKUP(Table13[[#This Row],[Column1]],[1]Sheet1!$A:$AO,6,FALSE)</f>
        <v>N/A</v>
      </c>
      <c r="G1211" s="402">
        <f>VLOOKUP(Table13[[#This Row],[Column1]],[1]Sheet1!$A:$AO,7,FALSE)</f>
        <v>45468</v>
      </c>
      <c r="H1211" s="374"/>
      <c r="I1211" s="402"/>
      <c r="J1211" s="402"/>
      <c r="K1211" s="402"/>
      <c r="L1211" s="404"/>
      <c r="M1211" s="402"/>
      <c r="N1211" s="402"/>
      <c r="O1211" s="402"/>
      <c r="P1211" s="375"/>
      <c r="Q1211" s="375"/>
      <c r="R1211" s="376"/>
      <c r="S1211" s="583"/>
      <c r="T1211" s="583"/>
      <c r="U1211" s="583"/>
      <c r="V1211" s="376"/>
      <c r="W1211" s="376"/>
      <c r="X1211" s="402"/>
      <c r="Y1211" s="402"/>
      <c r="Z1211" s="610" t="s">
        <v>1478</v>
      </c>
      <c r="AA1211" s="454">
        <f>IF(Table13[[#This Row],[Column2]]="","",SUM(Table13[[#This Row],[Column28]]+Table13[[#This Row],[Column29]]))</f>
        <v>105096</v>
      </c>
      <c r="AB1211" s="466"/>
      <c r="AC1211" s="502">
        <v>105096</v>
      </c>
      <c r="AD1211" s="451">
        <f>IF(Table13[[#This Row],[Column2]]="","",SUM(Table13[[#This Row],[Column31]]+Table13[[#This Row],[Column32]]))</f>
        <v>0</v>
      </c>
      <c r="AE1211" s="453"/>
      <c r="AF1211" s="646"/>
      <c r="AG1211" s="405"/>
      <c r="AH1211" s="380" t="s">
        <v>1205</v>
      </c>
      <c r="AI1211" s="576"/>
      <c r="AJ1211" s="576"/>
      <c r="AK1211" s="576"/>
      <c r="AL1211" s="576"/>
      <c r="AM1211" s="576"/>
      <c r="AN1211" s="576"/>
      <c r="AO1211" s="303" t="s">
        <v>175</v>
      </c>
      <c r="AP1211" s="378"/>
      <c r="AQ1211" s="237"/>
    </row>
    <row r="1212" spans="1:43" s="238" customFormat="1" ht="75" customHeight="1" x14ac:dyDescent="0.25">
      <c r="A1212" s="297" t="s">
        <v>1436</v>
      </c>
      <c r="B1212" s="627" t="str">
        <f>VLOOKUP(Table13[[#This Row],[Column1]],[1]Sheet1!$A:$AO,2,FALSE)</f>
        <v>GARDENING TOOLS AND SUPPLIES</v>
      </c>
      <c r="C1212" s="298">
        <f>VLOOKUP(Table13[[#This Row],[Column1]],[1]Sheet1!$A:$AO,3,FALSE)</f>
        <v>0</v>
      </c>
      <c r="D1212" s="298" t="s">
        <v>712</v>
      </c>
      <c r="E1212" s="450" t="str">
        <f>VLOOKUP(Table13[[#This Row],[Column1]],[1]Sheet1!$A:$AO,5,FALSE)</f>
        <v>NP-53.9 - Small Value Procurement</v>
      </c>
      <c r="F1212" s="446" t="str">
        <f>VLOOKUP(Table13[[#This Row],[Column1]],[1]Sheet1!$A:$AO,6,FALSE)</f>
        <v>N/A</v>
      </c>
      <c r="G1212" s="402">
        <f>VLOOKUP(Table13[[#This Row],[Column1]],[1]Sheet1!$A:$AO,7,FALSE)</f>
        <v>45468</v>
      </c>
      <c r="H1212" s="374"/>
      <c r="I1212" s="402"/>
      <c r="J1212" s="402"/>
      <c r="K1212" s="402"/>
      <c r="L1212" s="404"/>
      <c r="M1212" s="402"/>
      <c r="N1212" s="402"/>
      <c r="O1212" s="402"/>
      <c r="P1212" s="375"/>
      <c r="Q1212" s="375"/>
      <c r="R1212" s="376"/>
      <c r="S1212" s="583"/>
      <c r="T1212" s="583"/>
      <c r="U1212" s="583"/>
      <c r="V1212" s="376"/>
      <c r="W1212" s="376"/>
      <c r="X1212" s="402"/>
      <c r="Y1212" s="402"/>
      <c r="Z1212" s="610" t="s">
        <v>1478</v>
      </c>
      <c r="AA1212" s="454">
        <f>IF(Table13[[#This Row],[Column2]]="","",SUM(Table13[[#This Row],[Column28]]+Table13[[#This Row],[Column29]]))</f>
        <v>16056</v>
      </c>
      <c r="AB1212" s="466"/>
      <c r="AC1212" s="502">
        <v>16056</v>
      </c>
      <c r="AD1212" s="451">
        <f>IF(Table13[[#This Row],[Column2]]="","",SUM(Table13[[#This Row],[Column31]]+Table13[[#This Row],[Column32]]))</f>
        <v>0</v>
      </c>
      <c r="AE1212" s="453"/>
      <c r="AF1212" s="646"/>
      <c r="AG1212" s="405"/>
      <c r="AH1212" s="380" t="s">
        <v>1205</v>
      </c>
      <c r="AI1212" s="576"/>
      <c r="AJ1212" s="576"/>
      <c r="AK1212" s="576"/>
      <c r="AL1212" s="576"/>
      <c r="AM1212" s="576"/>
      <c r="AN1212" s="576"/>
      <c r="AO1212" s="303" t="s">
        <v>175</v>
      </c>
      <c r="AP1212" s="378"/>
      <c r="AQ1212" s="237"/>
    </row>
    <row r="1213" spans="1:43" s="238" customFormat="1" ht="75" customHeight="1" x14ac:dyDescent="0.25">
      <c r="A1213" s="297" t="s">
        <v>1437</v>
      </c>
      <c r="B1213" s="627" t="str">
        <f>VLOOKUP(Table13[[#This Row],[Column1]],[1]Sheet1!$A:$AO,2,FALSE)</f>
        <v>ELECTRICAL SUPPLIES</v>
      </c>
      <c r="C1213" s="298" t="str">
        <f>VLOOKUP(Table13[[#This Row],[Column1]],[1]Sheet1!$A:$AO,3,FALSE)</f>
        <v>PGSO</v>
      </c>
      <c r="D1213" s="298" t="s">
        <v>712</v>
      </c>
      <c r="E1213" s="450" t="str">
        <f>VLOOKUP(Table13[[#This Row],[Column1]],[1]Sheet1!$A:$AO,5,FALSE)</f>
        <v>NP-53.9 - Small Value Procurement</v>
      </c>
      <c r="F1213" s="446" t="str">
        <f>VLOOKUP(Table13[[#This Row],[Column1]],[1]Sheet1!$A:$AO,6,FALSE)</f>
        <v>N/A</v>
      </c>
      <c r="G1213" s="402">
        <f>VLOOKUP(Table13[[#This Row],[Column1]],[1]Sheet1!$A:$AO,7,FALSE)</f>
        <v>45468</v>
      </c>
      <c r="H1213" s="374"/>
      <c r="I1213" s="402"/>
      <c r="J1213" s="402"/>
      <c r="K1213" s="402"/>
      <c r="L1213" s="404"/>
      <c r="M1213" s="402"/>
      <c r="N1213" s="402"/>
      <c r="O1213" s="402"/>
      <c r="P1213" s="375"/>
      <c r="Q1213" s="375"/>
      <c r="R1213" s="376"/>
      <c r="S1213" s="583"/>
      <c r="T1213" s="583"/>
      <c r="U1213" s="583"/>
      <c r="V1213" s="376"/>
      <c r="W1213" s="376"/>
      <c r="X1213" s="402"/>
      <c r="Y1213" s="402"/>
      <c r="Z1213" s="610" t="s">
        <v>1478</v>
      </c>
      <c r="AA1213" s="454">
        <f>IF(Table13[[#This Row],[Column2]]="","",SUM(Table13[[#This Row],[Column28]]+Table13[[#This Row],[Column29]]))</f>
        <v>145905</v>
      </c>
      <c r="AB1213" s="466"/>
      <c r="AC1213" s="502">
        <v>145905</v>
      </c>
      <c r="AD1213" s="451">
        <f>IF(Table13[[#This Row],[Column2]]="","",SUM(Table13[[#This Row],[Column31]]+Table13[[#This Row],[Column32]]))</f>
        <v>0</v>
      </c>
      <c r="AE1213" s="453"/>
      <c r="AF1213" s="646"/>
      <c r="AG1213" s="405"/>
      <c r="AH1213" s="380" t="s">
        <v>1205</v>
      </c>
      <c r="AI1213" s="576"/>
      <c r="AJ1213" s="576"/>
      <c r="AK1213" s="576"/>
      <c r="AL1213" s="576"/>
      <c r="AM1213" s="576"/>
      <c r="AN1213" s="576"/>
      <c r="AO1213" s="303" t="s">
        <v>175</v>
      </c>
      <c r="AP1213" s="378"/>
      <c r="AQ1213" s="237"/>
    </row>
    <row r="1214" spans="1:43" s="238" customFormat="1" ht="75" customHeight="1" x14ac:dyDescent="0.25">
      <c r="A1214" s="297" t="s">
        <v>1438</v>
      </c>
      <c r="B1214" s="627" t="str">
        <f>VLOOKUP(Table13[[#This Row],[Column1]],[1]Sheet1!$A:$AO,2,FALSE)</f>
        <v>PORTABLE WELDING MACHINE</v>
      </c>
      <c r="C1214" s="298" t="str">
        <f>VLOOKUP(Table13[[#This Row],[Column1]],[1]Sheet1!$A:$AO,3,FALSE)</f>
        <v>PGSO</v>
      </c>
      <c r="D1214" s="298" t="s">
        <v>712</v>
      </c>
      <c r="E1214" s="450" t="str">
        <f>VLOOKUP(Table13[[#This Row],[Column1]],[1]Sheet1!$A:$AO,5,FALSE)</f>
        <v>NP-53.9 - Small Value Procurement</v>
      </c>
      <c r="F1214" s="446" t="str">
        <f>VLOOKUP(Table13[[#This Row],[Column1]],[1]Sheet1!$A:$AO,6,FALSE)</f>
        <v>N/A</v>
      </c>
      <c r="G1214" s="402">
        <f>VLOOKUP(Table13[[#This Row],[Column1]],[1]Sheet1!$A:$AO,7,FALSE)</f>
        <v>45468</v>
      </c>
      <c r="H1214" s="374"/>
      <c r="I1214" s="402"/>
      <c r="J1214" s="402"/>
      <c r="K1214" s="402"/>
      <c r="L1214" s="404"/>
      <c r="M1214" s="402"/>
      <c r="N1214" s="402"/>
      <c r="O1214" s="402"/>
      <c r="P1214" s="375"/>
      <c r="Q1214" s="375"/>
      <c r="R1214" s="376"/>
      <c r="S1214" s="583"/>
      <c r="T1214" s="583"/>
      <c r="U1214" s="583"/>
      <c r="V1214" s="376"/>
      <c r="W1214" s="376"/>
      <c r="X1214" s="402"/>
      <c r="Y1214" s="402"/>
      <c r="Z1214" s="610" t="s">
        <v>1478</v>
      </c>
      <c r="AA1214" s="454">
        <f>IF(Table13[[#This Row],[Column2]]="","",SUM(Table13[[#This Row],[Column28]]+Table13[[#This Row],[Column29]]))</f>
        <v>13090</v>
      </c>
      <c r="AB1214" s="466"/>
      <c r="AC1214" s="502">
        <v>13090</v>
      </c>
      <c r="AD1214" s="451">
        <f>IF(Table13[[#This Row],[Column2]]="","",SUM(Table13[[#This Row],[Column31]]+Table13[[#This Row],[Column32]]))</f>
        <v>0</v>
      </c>
      <c r="AE1214" s="453"/>
      <c r="AF1214" s="646"/>
      <c r="AG1214" s="405"/>
      <c r="AH1214" s="380" t="s">
        <v>1205</v>
      </c>
      <c r="AI1214" s="576"/>
      <c r="AJ1214" s="576"/>
      <c r="AK1214" s="576"/>
      <c r="AL1214" s="576"/>
      <c r="AM1214" s="576"/>
      <c r="AN1214" s="576"/>
      <c r="AO1214" s="303" t="s">
        <v>175</v>
      </c>
      <c r="AP1214" s="378"/>
      <c r="AQ1214" s="237"/>
    </row>
    <row r="1215" spans="1:43" s="238" customFormat="1" ht="75" customHeight="1" x14ac:dyDescent="0.25">
      <c r="A1215" s="297" t="s">
        <v>1439</v>
      </c>
      <c r="B1215" s="627" t="str">
        <f>VLOOKUP(Table13[[#This Row],[Column1]],[1]Sheet1!$A:$AO,2,FALSE)</f>
        <v>GAVEL AND PLAQUES</v>
      </c>
      <c r="C1215" s="298" t="str">
        <f>VLOOKUP(Table13[[#This Row],[Column1]],[1]Sheet1!$A:$AO,3,FALSE)</f>
        <v>PAO-ADMIN</v>
      </c>
      <c r="D1215" s="298" t="s">
        <v>712</v>
      </c>
      <c r="E1215" s="450" t="str">
        <f>VLOOKUP(Table13[[#This Row],[Column1]],[1]Sheet1!$A:$AO,5,FALSE)</f>
        <v>NP-53.9 - Small Value Procurement</v>
      </c>
      <c r="F1215" s="446" t="str">
        <f>VLOOKUP(Table13[[#This Row],[Column1]],[1]Sheet1!$A:$AO,6,FALSE)</f>
        <v>N/A</v>
      </c>
      <c r="G1215" s="402">
        <f>VLOOKUP(Table13[[#This Row],[Column1]],[1]Sheet1!$A:$AO,7,FALSE)</f>
        <v>45468</v>
      </c>
      <c r="H1215" s="374"/>
      <c r="I1215" s="402"/>
      <c r="J1215" s="402"/>
      <c r="K1215" s="402"/>
      <c r="L1215" s="404"/>
      <c r="M1215" s="402"/>
      <c r="N1215" s="402"/>
      <c r="O1215" s="402"/>
      <c r="P1215" s="375"/>
      <c r="Q1215" s="375"/>
      <c r="R1215" s="376"/>
      <c r="S1215" s="583"/>
      <c r="T1215" s="583"/>
      <c r="U1215" s="583"/>
      <c r="V1215" s="376"/>
      <c r="W1215" s="376"/>
      <c r="X1215" s="402"/>
      <c r="Y1215" s="402"/>
      <c r="Z1215" s="610" t="s">
        <v>1478</v>
      </c>
      <c r="AA1215" s="454">
        <f>IF(Table13[[#This Row],[Column2]]="","",SUM(Table13[[#This Row],[Column28]]+Table13[[#This Row],[Column29]]))</f>
        <v>12000</v>
      </c>
      <c r="AB1215" s="466"/>
      <c r="AC1215" s="502">
        <v>12000</v>
      </c>
      <c r="AD1215" s="451">
        <f>IF(Table13[[#This Row],[Column2]]="","",SUM(Table13[[#This Row],[Column31]]+Table13[[#This Row],[Column32]]))</f>
        <v>0</v>
      </c>
      <c r="AE1215" s="453"/>
      <c r="AF1215" s="646"/>
      <c r="AG1215" s="405"/>
      <c r="AH1215" s="380" t="s">
        <v>1205</v>
      </c>
      <c r="AI1215" s="576"/>
      <c r="AJ1215" s="576"/>
      <c r="AK1215" s="576"/>
      <c r="AL1215" s="576"/>
      <c r="AM1215" s="576"/>
      <c r="AN1215" s="576"/>
      <c r="AO1215" s="303" t="s">
        <v>175</v>
      </c>
      <c r="AP1215" s="378"/>
      <c r="AQ1215" s="237"/>
    </row>
    <row r="1216" spans="1:43" s="238" customFormat="1" ht="75" customHeight="1" x14ac:dyDescent="0.25">
      <c r="A1216" s="297" t="s">
        <v>1440</v>
      </c>
      <c r="B1216" s="627" t="str">
        <f>VLOOKUP(Table13[[#This Row],[Column1]],[1]Sheet1!$A:$AO,2,FALSE)</f>
        <v>LAPTOP (CLERICAL WORK)</v>
      </c>
      <c r="C1216" s="298" t="str">
        <f>VLOOKUP(Table13[[#This Row],[Column1]],[1]Sheet1!$A:$AO,3,FALSE)</f>
        <v>PGO</v>
      </c>
      <c r="D1216" s="298" t="s">
        <v>712</v>
      </c>
      <c r="E1216" s="450" t="str">
        <f>VLOOKUP(Table13[[#This Row],[Column1]],[1]Sheet1!$A:$AO,5,FALSE)</f>
        <v>NP-53.9 - Small Value Procurement</v>
      </c>
      <c r="F1216" s="446" t="str">
        <f>VLOOKUP(Table13[[#This Row],[Column1]],[1]Sheet1!$A:$AO,6,FALSE)</f>
        <v>N/A</v>
      </c>
      <c r="G1216" s="402">
        <f>VLOOKUP(Table13[[#This Row],[Column1]],[1]Sheet1!$A:$AO,7,FALSE)</f>
        <v>45468</v>
      </c>
      <c r="H1216" s="374"/>
      <c r="I1216" s="402"/>
      <c r="J1216" s="402"/>
      <c r="K1216" s="402"/>
      <c r="L1216" s="404"/>
      <c r="M1216" s="402"/>
      <c r="N1216" s="402"/>
      <c r="O1216" s="402"/>
      <c r="P1216" s="375"/>
      <c r="Q1216" s="375"/>
      <c r="R1216" s="376"/>
      <c r="S1216" s="583"/>
      <c r="T1216" s="583"/>
      <c r="U1216" s="583"/>
      <c r="V1216" s="376"/>
      <c r="W1216" s="376"/>
      <c r="X1216" s="402"/>
      <c r="Y1216" s="402"/>
      <c r="Z1216" s="610" t="s">
        <v>1478</v>
      </c>
      <c r="AA1216" s="454">
        <f>IF(Table13[[#This Row],[Column2]]="","",SUM(Table13[[#This Row],[Column28]]+Table13[[#This Row],[Column29]]))</f>
        <v>39000</v>
      </c>
      <c r="AB1216" s="466"/>
      <c r="AC1216" s="502">
        <v>39000</v>
      </c>
      <c r="AD1216" s="451">
        <f>IF(Table13[[#This Row],[Column2]]="","",SUM(Table13[[#This Row],[Column31]]+Table13[[#This Row],[Column32]]))</f>
        <v>0</v>
      </c>
      <c r="AE1216" s="453"/>
      <c r="AF1216" s="646"/>
      <c r="AG1216" s="405"/>
      <c r="AH1216" s="380" t="s">
        <v>1205</v>
      </c>
      <c r="AI1216" s="576"/>
      <c r="AJ1216" s="576"/>
      <c r="AK1216" s="576"/>
      <c r="AL1216" s="576"/>
      <c r="AM1216" s="576"/>
      <c r="AN1216" s="576"/>
      <c r="AO1216" s="303" t="s">
        <v>175</v>
      </c>
      <c r="AP1216" s="378"/>
      <c r="AQ1216" s="237"/>
    </row>
    <row r="1217" spans="1:43" s="238" customFormat="1" ht="75" customHeight="1" x14ac:dyDescent="0.25">
      <c r="A1217" s="297" t="s">
        <v>1441</v>
      </c>
      <c r="B1217" s="627" t="str">
        <f>VLOOKUP(Table13[[#This Row],[Column1]],[1]Sheet1!$A:$AO,2,FALSE)</f>
        <v>JANITORIAL SUPPLIES</v>
      </c>
      <c r="C1217" s="298" t="str">
        <f>VLOOKUP(Table13[[#This Row],[Column1]],[1]Sheet1!$A:$AO,3,FALSE)</f>
        <v>PGSO</v>
      </c>
      <c r="D1217" s="298" t="s">
        <v>712</v>
      </c>
      <c r="E1217" s="450" t="str">
        <f>VLOOKUP(Table13[[#This Row],[Column1]],[1]Sheet1!$A:$AO,5,FALSE)</f>
        <v>NP-53.9 - Small Value Procurement</v>
      </c>
      <c r="F1217" s="446" t="str">
        <f>VLOOKUP(Table13[[#This Row],[Column1]],[1]Sheet1!$A:$AO,6,FALSE)</f>
        <v>N/A</v>
      </c>
      <c r="G1217" s="402">
        <f>VLOOKUP(Table13[[#This Row],[Column1]],[1]Sheet1!$A:$AO,7,FALSE)</f>
        <v>45468</v>
      </c>
      <c r="H1217" s="374"/>
      <c r="I1217" s="402"/>
      <c r="J1217" s="402"/>
      <c r="K1217" s="402"/>
      <c r="L1217" s="404"/>
      <c r="M1217" s="402"/>
      <c r="N1217" s="402"/>
      <c r="O1217" s="402"/>
      <c r="P1217" s="375"/>
      <c r="Q1217" s="375"/>
      <c r="R1217" s="376"/>
      <c r="S1217" s="583"/>
      <c r="T1217" s="583"/>
      <c r="U1217" s="583"/>
      <c r="V1217" s="376"/>
      <c r="W1217" s="376"/>
      <c r="X1217" s="402"/>
      <c r="Y1217" s="402"/>
      <c r="Z1217" s="610" t="s">
        <v>1478</v>
      </c>
      <c r="AA1217" s="454">
        <f>IF(Table13[[#This Row],[Column2]]="","",SUM(Table13[[#This Row],[Column28]]+Table13[[#This Row],[Column29]]))</f>
        <v>93995</v>
      </c>
      <c r="AB1217" s="466"/>
      <c r="AC1217" s="502">
        <v>93995</v>
      </c>
      <c r="AD1217" s="451">
        <f>IF(Table13[[#This Row],[Column2]]="","",SUM(Table13[[#This Row],[Column31]]+Table13[[#This Row],[Column32]]))</f>
        <v>0</v>
      </c>
      <c r="AE1217" s="453"/>
      <c r="AF1217" s="646"/>
      <c r="AG1217" s="405"/>
      <c r="AH1217" s="380" t="s">
        <v>1205</v>
      </c>
      <c r="AI1217" s="576"/>
      <c r="AJ1217" s="576"/>
      <c r="AK1217" s="576"/>
      <c r="AL1217" s="576"/>
      <c r="AM1217" s="576"/>
      <c r="AN1217" s="576"/>
      <c r="AO1217" s="303" t="s">
        <v>175</v>
      </c>
      <c r="AP1217" s="378"/>
      <c r="AQ1217" s="237"/>
    </row>
    <row r="1218" spans="1:43" s="238" customFormat="1" ht="75" customHeight="1" x14ac:dyDescent="0.25">
      <c r="A1218" s="297" t="s">
        <v>1442</v>
      </c>
      <c r="B1218" s="627" t="str">
        <f>VLOOKUP(Table13[[#This Row],[Column1]],[1]Sheet1!$A:$AO,2,FALSE)</f>
        <v>GARDENING TOOLS AND SUPPLIES</v>
      </c>
      <c r="C1218" s="298" t="str">
        <f>VLOOKUP(Table13[[#This Row],[Column1]],[1]Sheet1!$A:$AO,3,FALSE)</f>
        <v>PGSO</v>
      </c>
      <c r="D1218" s="298" t="s">
        <v>712</v>
      </c>
      <c r="E1218" s="450" t="str">
        <f>VLOOKUP(Table13[[#This Row],[Column1]],[1]Sheet1!$A:$AO,5,FALSE)</f>
        <v>NP-53.9 - Small Value Procurement</v>
      </c>
      <c r="F1218" s="446" t="str">
        <f>VLOOKUP(Table13[[#This Row],[Column1]],[1]Sheet1!$A:$AO,6,FALSE)</f>
        <v>N/A</v>
      </c>
      <c r="G1218" s="402">
        <f>VLOOKUP(Table13[[#This Row],[Column1]],[1]Sheet1!$A:$AO,7,FALSE)</f>
        <v>45468</v>
      </c>
      <c r="H1218" s="374"/>
      <c r="I1218" s="402"/>
      <c r="J1218" s="402"/>
      <c r="K1218" s="402"/>
      <c r="L1218" s="404"/>
      <c r="M1218" s="402"/>
      <c r="N1218" s="402"/>
      <c r="O1218" s="402"/>
      <c r="P1218" s="375"/>
      <c r="Q1218" s="375"/>
      <c r="R1218" s="376"/>
      <c r="S1218" s="583"/>
      <c r="T1218" s="583"/>
      <c r="U1218" s="583"/>
      <c r="V1218" s="376"/>
      <c r="W1218" s="376"/>
      <c r="X1218" s="402"/>
      <c r="Y1218" s="402"/>
      <c r="Z1218" s="610" t="s">
        <v>1478</v>
      </c>
      <c r="AA1218" s="454">
        <f>IF(Table13[[#This Row],[Column2]]="","",SUM(Table13[[#This Row],[Column28]]+Table13[[#This Row],[Column29]]))</f>
        <v>38149</v>
      </c>
      <c r="AB1218" s="466"/>
      <c r="AC1218" s="502">
        <v>38149</v>
      </c>
      <c r="AD1218" s="451">
        <f>IF(Table13[[#This Row],[Column2]]="","",SUM(Table13[[#This Row],[Column31]]+Table13[[#This Row],[Column32]]))</f>
        <v>0</v>
      </c>
      <c r="AE1218" s="453"/>
      <c r="AF1218" s="646"/>
      <c r="AG1218" s="405"/>
      <c r="AH1218" s="380" t="s">
        <v>1205</v>
      </c>
      <c r="AI1218" s="576"/>
      <c r="AJ1218" s="576"/>
      <c r="AK1218" s="576"/>
      <c r="AL1218" s="576"/>
      <c r="AM1218" s="576"/>
      <c r="AN1218" s="576"/>
      <c r="AO1218" s="303" t="s">
        <v>175</v>
      </c>
      <c r="AP1218" s="378"/>
      <c r="AQ1218" s="237"/>
    </row>
    <row r="1219" spans="1:43" s="238" customFormat="1" ht="75" customHeight="1" x14ac:dyDescent="0.25">
      <c r="A1219" s="297" t="s">
        <v>1443</v>
      </c>
      <c r="B1219" s="627" t="str">
        <f>VLOOKUP(Table13[[#This Row],[Column1]],[1]Sheet1!$A:$AO,2,FALSE)</f>
        <v>T-SHIRT JERSEY</v>
      </c>
      <c r="C1219" s="298" t="str">
        <f>VLOOKUP(Table13[[#This Row],[Column1]],[1]Sheet1!$A:$AO,3,FALSE)</f>
        <v>PGO</v>
      </c>
      <c r="D1219" s="298" t="s">
        <v>712</v>
      </c>
      <c r="E1219" s="450" t="str">
        <f>VLOOKUP(Table13[[#This Row],[Column1]],[1]Sheet1!$A:$AO,5,FALSE)</f>
        <v>NP-53.9 - Small Value Procurement</v>
      </c>
      <c r="F1219" s="446" t="str">
        <f>VLOOKUP(Table13[[#This Row],[Column1]],[1]Sheet1!$A:$AO,6,FALSE)</f>
        <v>N/A</v>
      </c>
      <c r="G1219" s="402">
        <f>VLOOKUP(Table13[[#This Row],[Column1]],[1]Sheet1!$A:$AO,7,FALSE)</f>
        <v>45468</v>
      </c>
      <c r="H1219" s="374"/>
      <c r="I1219" s="402"/>
      <c r="J1219" s="402"/>
      <c r="K1219" s="402"/>
      <c r="L1219" s="404"/>
      <c r="M1219" s="402"/>
      <c r="N1219" s="402"/>
      <c r="O1219" s="402"/>
      <c r="P1219" s="375"/>
      <c r="Q1219" s="375"/>
      <c r="R1219" s="376"/>
      <c r="S1219" s="583"/>
      <c r="T1219" s="583"/>
      <c r="U1219" s="583"/>
      <c r="V1219" s="376"/>
      <c r="W1219" s="376"/>
      <c r="X1219" s="402"/>
      <c r="Y1219" s="402"/>
      <c r="Z1219" s="610" t="s">
        <v>1478</v>
      </c>
      <c r="AA1219" s="454">
        <f>IF(Table13[[#This Row],[Column2]]="","",SUM(Table13[[#This Row],[Column28]]+Table13[[#This Row],[Column29]]))</f>
        <v>134750</v>
      </c>
      <c r="AB1219" s="466"/>
      <c r="AC1219" s="502">
        <v>134750</v>
      </c>
      <c r="AD1219" s="451">
        <f>IF(Table13[[#This Row],[Column2]]="","",SUM(Table13[[#This Row],[Column31]]+Table13[[#This Row],[Column32]]))</f>
        <v>0</v>
      </c>
      <c r="AE1219" s="453"/>
      <c r="AF1219" s="646"/>
      <c r="AG1219" s="405"/>
      <c r="AH1219" s="380" t="s">
        <v>1205</v>
      </c>
      <c r="AI1219" s="576"/>
      <c r="AJ1219" s="576"/>
      <c r="AK1219" s="576"/>
      <c r="AL1219" s="576"/>
      <c r="AM1219" s="576"/>
      <c r="AN1219" s="576"/>
      <c r="AO1219" s="303" t="s">
        <v>175</v>
      </c>
      <c r="AP1219" s="378"/>
      <c r="AQ1219" s="237"/>
    </row>
    <row r="1220" spans="1:43" s="238" customFormat="1" ht="75" customHeight="1" x14ac:dyDescent="0.25">
      <c r="A1220" s="297" t="s">
        <v>1444</v>
      </c>
      <c r="B1220" s="627" t="str">
        <f>VLOOKUP(Table13[[#This Row],[Column1]],[1]Sheet1!$A:$AO,2,FALSE)</f>
        <v>MINERAL WATER</v>
      </c>
      <c r="C1220" s="298" t="str">
        <f>VLOOKUP(Table13[[#This Row],[Column1]],[1]Sheet1!$A:$AO,3,FALSE)</f>
        <v>PGSO</v>
      </c>
      <c r="D1220" s="298" t="s">
        <v>712</v>
      </c>
      <c r="E1220" s="450" t="str">
        <f>VLOOKUP(Table13[[#This Row],[Column1]],[1]Sheet1!$A:$AO,5,FALSE)</f>
        <v>NP-53.9 - Small Value Procurement</v>
      </c>
      <c r="F1220" s="446" t="str">
        <f>VLOOKUP(Table13[[#This Row],[Column1]],[1]Sheet1!$A:$AO,6,FALSE)</f>
        <v>N/A</v>
      </c>
      <c r="G1220" s="402">
        <f>VLOOKUP(Table13[[#This Row],[Column1]],[1]Sheet1!$A:$AO,7,FALSE)</f>
        <v>45468</v>
      </c>
      <c r="H1220" s="374"/>
      <c r="I1220" s="402"/>
      <c r="J1220" s="402"/>
      <c r="K1220" s="402"/>
      <c r="L1220" s="404"/>
      <c r="M1220" s="402"/>
      <c r="N1220" s="402"/>
      <c r="O1220" s="402"/>
      <c r="P1220" s="375"/>
      <c r="Q1220" s="375"/>
      <c r="R1220" s="376"/>
      <c r="S1220" s="583"/>
      <c r="T1220" s="583"/>
      <c r="U1220" s="583"/>
      <c r="V1220" s="376"/>
      <c r="W1220" s="376"/>
      <c r="X1220" s="402"/>
      <c r="Y1220" s="402"/>
      <c r="Z1220" s="610" t="s">
        <v>1478</v>
      </c>
      <c r="AA1220" s="454">
        <f>IF(Table13[[#This Row],[Column2]]="","",SUM(Table13[[#This Row],[Column28]]+Table13[[#This Row],[Column29]]))</f>
        <v>41000</v>
      </c>
      <c r="AB1220" s="466"/>
      <c r="AC1220" s="502">
        <v>41000</v>
      </c>
      <c r="AD1220" s="451">
        <f>IF(Table13[[#This Row],[Column2]]="","",SUM(Table13[[#This Row],[Column31]]+Table13[[#This Row],[Column32]]))</f>
        <v>0</v>
      </c>
      <c r="AE1220" s="453"/>
      <c r="AF1220" s="646"/>
      <c r="AG1220" s="405"/>
      <c r="AH1220" s="380" t="s">
        <v>1205</v>
      </c>
      <c r="AI1220" s="576"/>
      <c r="AJ1220" s="576"/>
      <c r="AK1220" s="576"/>
      <c r="AL1220" s="576"/>
      <c r="AM1220" s="576"/>
      <c r="AN1220" s="576"/>
      <c r="AO1220" s="303" t="s">
        <v>175</v>
      </c>
      <c r="AP1220" s="378"/>
      <c r="AQ1220" s="237"/>
    </row>
    <row r="1221" spans="1:43" s="238" customFormat="1" ht="75" customHeight="1" x14ac:dyDescent="0.25">
      <c r="A1221" s="297" t="s">
        <v>1445</v>
      </c>
      <c r="B1221" s="627" t="str">
        <f>VLOOKUP(Table13[[#This Row],[Column1]],[1]Sheet1!$A:$AO,2,FALSE)</f>
        <v>COCO LUMBER OR EQUIVALENT</v>
      </c>
      <c r="C1221" s="298" t="str">
        <f>VLOOKUP(Table13[[#This Row],[Column1]],[1]Sheet1!$A:$AO,3,FALSE)</f>
        <v>PEO</v>
      </c>
      <c r="D1221" s="298" t="s">
        <v>712</v>
      </c>
      <c r="E1221" s="450" t="str">
        <f>VLOOKUP(Table13[[#This Row],[Column1]],[1]Sheet1!$A:$AO,5,FALSE)</f>
        <v>NP-53.9 - Small Value Procurement</v>
      </c>
      <c r="F1221" s="446">
        <f>VLOOKUP(Table13[[#This Row],[Column1]],[1]Sheet1!$A:$AO,6,FALSE)</f>
        <v>45468</v>
      </c>
      <c r="G1221" s="402">
        <f>VLOOKUP(Table13[[#This Row],[Column1]],[1]Sheet1!$A:$AO,7,FALSE)</f>
        <v>45471</v>
      </c>
      <c r="H1221" s="374"/>
      <c r="I1221" s="402"/>
      <c r="J1221" s="402"/>
      <c r="K1221" s="402"/>
      <c r="L1221" s="404"/>
      <c r="M1221" s="402"/>
      <c r="N1221" s="402"/>
      <c r="O1221" s="402"/>
      <c r="P1221" s="375"/>
      <c r="Q1221" s="375"/>
      <c r="R1221" s="376"/>
      <c r="S1221" s="583"/>
      <c r="T1221" s="583"/>
      <c r="U1221" s="583"/>
      <c r="V1221" s="376"/>
      <c r="W1221" s="376"/>
      <c r="X1221" s="402"/>
      <c r="Y1221" s="402"/>
      <c r="Z1221" s="610" t="s">
        <v>1478</v>
      </c>
      <c r="AA1221" s="454">
        <f>IF(Table13[[#This Row],[Column2]]="","",SUM(Table13[[#This Row],[Column28]]+Table13[[#This Row],[Column29]]))</f>
        <v>1152</v>
      </c>
      <c r="AB1221" s="466"/>
      <c r="AC1221" s="502">
        <v>1152</v>
      </c>
      <c r="AD1221" s="451">
        <f>IF(Table13[[#This Row],[Column2]]="","",SUM(Table13[[#This Row],[Column31]]+Table13[[#This Row],[Column32]]))</f>
        <v>0</v>
      </c>
      <c r="AE1221" s="453"/>
      <c r="AF1221" s="646"/>
      <c r="AG1221" s="405"/>
      <c r="AH1221" s="380" t="s">
        <v>1205</v>
      </c>
      <c r="AI1221" s="576"/>
      <c r="AJ1221" s="576"/>
      <c r="AK1221" s="576"/>
      <c r="AL1221" s="576"/>
      <c r="AM1221" s="576"/>
      <c r="AN1221" s="576"/>
      <c r="AO1221" s="303" t="s">
        <v>175</v>
      </c>
      <c r="AP1221" s="378"/>
      <c r="AQ1221" s="237"/>
    </row>
    <row r="1222" spans="1:43" s="238" customFormat="1" ht="75" customHeight="1" x14ac:dyDescent="0.25">
      <c r="A1222" s="297" t="s">
        <v>1446</v>
      </c>
      <c r="B1222" s="627" t="str">
        <f>VLOOKUP(Table13[[#This Row],[Column1]],[1]Sheet1!$A:$AO,2,FALSE)</f>
        <v>GROCERY SUPPLIES</v>
      </c>
      <c r="C1222" s="298" t="str">
        <f>VLOOKUP(Table13[[#This Row],[Column1]],[1]Sheet1!$A:$AO,3,FALSE)</f>
        <v>PEEMO</v>
      </c>
      <c r="D1222" s="298" t="s">
        <v>712</v>
      </c>
      <c r="E1222" s="450" t="str">
        <f>VLOOKUP(Table13[[#This Row],[Column1]],[1]Sheet1!$A:$AO,5,FALSE)</f>
        <v>NP-53.9 - Small Value Procurement</v>
      </c>
      <c r="F1222" s="446">
        <f>VLOOKUP(Table13[[#This Row],[Column1]],[1]Sheet1!$A:$AO,6,FALSE)</f>
        <v>45468</v>
      </c>
      <c r="G1222" s="402">
        <f>VLOOKUP(Table13[[#This Row],[Column1]],[1]Sheet1!$A:$AO,7,FALSE)</f>
        <v>45471</v>
      </c>
      <c r="H1222" s="374"/>
      <c r="I1222" s="402"/>
      <c r="J1222" s="402"/>
      <c r="K1222" s="402"/>
      <c r="L1222" s="404"/>
      <c r="M1222" s="402"/>
      <c r="N1222" s="402"/>
      <c r="O1222" s="402"/>
      <c r="P1222" s="375"/>
      <c r="Q1222" s="375"/>
      <c r="R1222" s="376"/>
      <c r="S1222" s="583"/>
      <c r="T1222" s="583"/>
      <c r="U1222" s="583"/>
      <c r="V1222" s="376"/>
      <c r="W1222" s="376"/>
      <c r="X1222" s="402"/>
      <c r="Y1222" s="402"/>
      <c r="Z1222" s="610" t="s">
        <v>1478</v>
      </c>
      <c r="AA1222" s="454">
        <f>IF(Table13[[#This Row],[Column2]]="","",SUM(Table13[[#This Row],[Column28]]+Table13[[#This Row],[Column29]]))</f>
        <v>23714</v>
      </c>
      <c r="AB1222" s="466"/>
      <c r="AC1222" s="502">
        <v>23714</v>
      </c>
      <c r="AD1222" s="451">
        <f>IF(Table13[[#This Row],[Column2]]="","",SUM(Table13[[#This Row],[Column31]]+Table13[[#This Row],[Column32]]))</f>
        <v>0</v>
      </c>
      <c r="AE1222" s="453"/>
      <c r="AF1222" s="646"/>
      <c r="AG1222" s="405"/>
      <c r="AH1222" s="380" t="s">
        <v>1205</v>
      </c>
      <c r="AI1222" s="576"/>
      <c r="AJ1222" s="576"/>
      <c r="AK1222" s="576"/>
      <c r="AL1222" s="576"/>
      <c r="AM1222" s="576"/>
      <c r="AN1222" s="576"/>
      <c r="AO1222" s="303" t="s">
        <v>175</v>
      </c>
      <c r="AP1222" s="378"/>
      <c r="AQ1222" s="237"/>
    </row>
    <row r="1223" spans="1:43" s="238" customFormat="1" ht="75" customHeight="1" x14ac:dyDescent="0.25">
      <c r="A1223" s="297" t="s">
        <v>1447</v>
      </c>
      <c r="B1223" s="627" t="str">
        <f>VLOOKUP(Table13[[#This Row],[Column1]],[1]Sheet1!$A:$AO,2,FALSE)</f>
        <v>ID SHEETS 10S/PACK</v>
      </c>
      <c r="C1223" s="298" t="str">
        <f>VLOOKUP(Table13[[#This Row],[Column1]],[1]Sheet1!$A:$AO,3,FALSE)</f>
        <v>PHRMDO</v>
      </c>
      <c r="D1223" s="298" t="s">
        <v>712</v>
      </c>
      <c r="E1223" s="450" t="str">
        <f>VLOOKUP(Table13[[#This Row],[Column1]],[1]Sheet1!$A:$AO,5,FALSE)</f>
        <v>NP-53.9 - Small Value Procurement</v>
      </c>
      <c r="F1223" s="446">
        <f>VLOOKUP(Table13[[#This Row],[Column1]],[1]Sheet1!$A:$AO,6,FALSE)</f>
        <v>45468</v>
      </c>
      <c r="G1223" s="402">
        <f>VLOOKUP(Table13[[#This Row],[Column1]],[1]Sheet1!$A:$AO,7,FALSE)</f>
        <v>45471</v>
      </c>
      <c r="H1223" s="374"/>
      <c r="I1223" s="402"/>
      <c r="J1223" s="402"/>
      <c r="K1223" s="402"/>
      <c r="L1223" s="404"/>
      <c r="M1223" s="402"/>
      <c r="N1223" s="402"/>
      <c r="O1223" s="402"/>
      <c r="P1223" s="375"/>
      <c r="Q1223" s="375"/>
      <c r="R1223" s="376"/>
      <c r="S1223" s="583"/>
      <c r="T1223" s="583"/>
      <c r="U1223" s="583"/>
      <c r="V1223" s="376"/>
      <c r="W1223" s="376"/>
      <c r="X1223" s="402"/>
      <c r="Y1223" s="402"/>
      <c r="Z1223" s="610" t="s">
        <v>1478</v>
      </c>
      <c r="AA1223" s="454">
        <f>IF(Table13[[#This Row],[Column2]]="","",SUM(Table13[[#This Row],[Column28]]+Table13[[#This Row],[Column29]]))</f>
        <v>5250</v>
      </c>
      <c r="AB1223" s="466"/>
      <c r="AC1223" s="502">
        <v>5250</v>
      </c>
      <c r="AD1223" s="451">
        <f>IF(Table13[[#This Row],[Column2]]="","",SUM(Table13[[#This Row],[Column31]]+Table13[[#This Row],[Column32]]))</f>
        <v>0</v>
      </c>
      <c r="AE1223" s="453"/>
      <c r="AF1223" s="646"/>
      <c r="AG1223" s="405"/>
      <c r="AH1223" s="380" t="s">
        <v>1205</v>
      </c>
      <c r="AI1223" s="576"/>
      <c r="AJ1223" s="576"/>
      <c r="AK1223" s="576"/>
      <c r="AL1223" s="576"/>
      <c r="AM1223" s="576"/>
      <c r="AN1223" s="576"/>
      <c r="AO1223" s="303" t="s">
        <v>175</v>
      </c>
      <c r="AP1223" s="378"/>
      <c r="AQ1223" s="237"/>
    </row>
    <row r="1224" spans="1:43" s="238" customFormat="1" ht="75" customHeight="1" x14ac:dyDescent="0.25">
      <c r="A1224" s="297" t="s">
        <v>1448</v>
      </c>
      <c r="B1224" s="627" t="str">
        <f>VLOOKUP(Table13[[#This Row],[Column1]],[1]Sheet1!$A:$AO,2,FALSE)</f>
        <v>FOOD SUPPLIES</v>
      </c>
      <c r="C1224" s="298" t="str">
        <f>VLOOKUP(Table13[[#This Row],[Column1]],[1]Sheet1!$A:$AO,3,FALSE)</f>
        <v>SPO</v>
      </c>
      <c r="D1224" s="298" t="s">
        <v>712</v>
      </c>
      <c r="E1224" s="450" t="str">
        <f>VLOOKUP(Table13[[#This Row],[Column1]],[1]Sheet1!$A:$AO,5,FALSE)</f>
        <v>NP-53.9 - Small Value Procurement</v>
      </c>
      <c r="F1224" s="446">
        <f>VLOOKUP(Table13[[#This Row],[Column1]],[1]Sheet1!$A:$AO,6,FALSE)</f>
        <v>45468</v>
      </c>
      <c r="G1224" s="402">
        <f>VLOOKUP(Table13[[#This Row],[Column1]],[1]Sheet1!$A:$AO,7,FALSE)</f>
        <v>45471</v>
      </c>
      <c r="H1224" s="374"/>
      <c r="I1224" s="402"/>
      <c r="J1224" s="402"/>
      <c r="K1224" s="402"/>
      <c r="L1224" s="404"/>
      <c r="M1224" s="402"/>
      <c r="N1224" s="402"/>
      <c r="O1224" s="402"/>
      <c r="P1224" s="375"/>
      <c r="Q1224" s="375"/>
      <c r="R1224" s="376"/>
      <c r="S1224" s="583"/>
      <c r="T1224" s="583"/>
      <c r="U1224" s="583"/>
      <c r="V1224" s="376"/>
      <c r="W1224" s="376"/>
      <c r="X1224" s="402"/>
      <c r="Y1224" s="402"/>
      <c r="Z1224" s="610" t="s">
        <v>1478</v>
      </c>
      <c r="AA1224" s="454">
        <f>IF(Table13[[#This Row],[Column2]]="","",SUM(Table13[[#This Row],[Column28]]+Table13[[#This Row],[Column29]]))</f>
        <v>33775</v>
      </c>
      <c r="AB1224" s="466"/>
      <c r="AC1224" s="502">
        <v>33775</v>
      </c>
      <c r="AD1224" s="451">
        <f>IF(Table13[[#This Row],[Column2]]="","",SUM(Table13[[#This Row],[Column31]]+Table13[[#This Row],[Column32]]))</f>
        <v>0</v>
      </c>
      <c r="AE1224" s="453"/>
      <c r="AF1224" s="646"/>
      <c r="AG1224" s="405"/>
      <c r="AH1224" s="380" t="s">
        <v>1205</v>
      </c>
      <c r="AI1224" s="576"/>
      <c r="AJ1224" s="576"/>
      <c r="AK1224" s="576"/>
      <c r="AL1224" s="576"/>
      <c r="AM1224" s="576"/>
      <c r="AN1224" s="576"/>
      <c r="AO1224" s="303" t="s">
        <v>175</v>
      </c>
      <c r="AP1224" s="378"/>
      <c r="AQ1224" s="237"/>
    </row>
    <row r="1225" spans="1:43" s="238" customFormat="1" ht="75" customHeight="1" x14ac:dyDescent="0.25">
      <c r="A1225" s="297" t="s">
        <v>1449</v>
      </c>
      <c r="B1225" s="627" t="str">
        <f>VLOOKUP(Table13[[#This Row],[Column1]],[1]Sheet1!$A:$AO,2,FALSE)</f>
        <v>MEDICAL SUPPLIES</v>
      </c>
      <c r="C1225" s="298" t="str">
        <f>VLOOKUP(Table13[[#This Row],[Column1]],[1]Sheet1!$A:$AO,3,FALSE)</f>
        <v>PEEMO</v>
      </c>
      <c r="D1225" s="298" t="s">
        <v>712</v>
      </c>
      <c r="E1225" s="450" t="str">
        <f>VLOOKUP(Table13[[#This Row],[Column1]],[1]Sheet1!$A:$AO,5,FALSE)</f>
        <v>NP-53.9 - Small Value Procurement</v>
      </c>
      <c r="F1225" s="446">
        <f>VLOOKUP(Table13[[#This Row],[Column1]],[1]Sheet1!$A:$AO,6,FALSE)</f>
        <v>45468</v>
      </c>
      <c r="G1225" s="402">
        <f>VLOOKUP(Table13[[#This Row],[Column1]],[1]Sheet1!$A:$AO,7,FALSE)</f>
        <v>45471</v>
      </c>
      <c r="H1225" s="374"/>
      <c r="I1225" s="402"/>
      <c r="J1225" s="402"/>
      <c r="K1225" s="402"/>
      <c r="L1225" s="404"/>
      <c r="M1225" s="402"/>
      <c r="N1225" s="402"/>
      <c r="O1225" s="402"/>
      <c r="P1225" s="375"/>
      <c r="Q1225" s="375"/>
      <c r="R1225" s="376"/>
      <c r="S1225" s="583"/>
      <c r="T1225" s="583"/>
      <c r="U1225" s="583"/>
      <c r="V1225" s="376"/>
      <c r="W1225" s="376"/>
      <c r="X1225" s="402"/>
      <c r="Y1225" s="402"/>
      <c r="Z1225" s="610" t="s">
        <v>1478</v>
      </c>
      <c r="AA1225" s="454">
        <f>IF(Table13[[#This Row],[Column2]]="","",SUM(Table13[[#This Row],[Column28]]+Table13[[#This Row],[Column29]]))</f>
        <v>189695</v>
      </c>
      <c r="AB1225" s="466"/>
      <c r="AC1225" s="502">
        <v>189695</v>
      </c>
      <c r="AD1225" s="451">
        <f>IF(Table13[[#This Row],[Column2]]="","",SUM(Table13[[#This Row],[Column31]]+Table13[[#This Row],[Column32]]))</f>
        <v>0</v>
      </c>
      <c r="AE1225" s="453"/>
      <c r="AF1225" s="646"/>
      <c r="AG1225" s="405"/>
      <c r="AH1225" s="380" t="s">
        <v>1205</v>
      </c>
      <c r="AI1225" s="576"/>
      <c r="AJ1225" s="576"/>
      <c r="AK1225" s="576"/>
      <c r="AL1225" s="576"/>
      <c r="AM1225" s="576"/>
      <c r="AN1225" s="576"/>
      <c r="AO1225" s="303" t="s">
        <v>175</v>
      </c>
      <c r="AP1225" s="378"/>
      <c r="AQ1225" s="237"/>
    </row>
    <row r="1226" spans="1:43" s="238" customFormat="1" ht="75" customHeight="1" x14ac:dyDescent="0.25">
      <c r="A1226" s="297" t="s">
        <v>1450</v>
      </c>
      <c r="B1226" s="627" t="str">
        <f>VLOOKUP(Table13[[#This Row],[Column1]],[1]Sheet1!$A:$AO,2,FALSE)</f>
        <v>SPAREPARTS (HEAVY EQUIPMENT POWERKING</v>
      </c>
      <c r="C1226" s="298" t="str">
        <f>VLOOKUP(Table13[[#This Row],[Column1]],[1]Sheet1!$A:$AO,3,FALSE)</f>
        <v>PEO</v>
      </c>
      <c r="D1226" s="298" t="s">
        <v>712</v>
      </c>
      <c r="E1226" s="450" t="str">
        <f>VLOOKUP(Table13[[#This Row],[Column1]],[1]Sheet1!$A:$AO,5,FALSE)</f>
        <v>Direct Contracting</v>
      </c>
      <c r="F1226" s="446">
        <f>VLOOKUP(Table13[[#This Row],[Column1]],[1]Sheet1!$A:$AO,6,FALSE)</f>
        <v>45468</v>
      </c>
      <c r="G1226" s="402">
        <f>VLOOKUP(Table13[[#This Row],[Column1]],[1]Sheet1!$A:$AO,7,FALSE)</f>
        <v>45471</v>
      </c>
      <c r="H1226" s="374"/>
      <c r="I1226" s="402"/>
      <c r="J1226" s="402"/>
      <c r="K1226" s="402"/>
      <c r="L1226" s="404"/>
      <c r="M1226" s="402"/>
      <c r="N1226" s="402"/>
      <c r="O1226" s="402"/>
      <c r="P1226" s="375"/>
      <c r="Q1226" s="375"/>
      <c r="R1226" s="376"/>
      <c r="S1226" s="583"/>
      <c r="T1226" s="583"/>
      <c r="U1226" s="583"/>
      <c r="V1226" s="376"/>
      <c r="W1226" s="376"/>
      <c r="X1226" s="402"/>
      <c r="Y1226" s="402"/>
      <c r="Z1226" s="610" t="s">
        <v>1478</v>
      </c>
      <c r="AA1226" s="454">
        <f>IF(Table13[[#This Row],[Column2]]="","",SUM(Table13[[#This Row],[Column28]]+Table13[[#This Row],[Column29]]))</f>
        <v>1306204.54</v>
      </c>
      <c r="AB1226" s="466"/>
      <c r="AC1226" s="502">
        <v>1306204.54</v>
      </c>
      <c r="AD1226" s="451">
        <f>IF(Table13[[#This Row],[Column2]]="","",SUM(Table13[[#This Row],[Column31]]+Table13[[#This Row],[Column32]]))</f>
        <v>0</v>
      </c>
      <c r="AE1226" s="453"/>
      <c r="AF1226" s="646"/>
      <c r="AG1226" s="405"/>
      <c r="AH1226" s="380" t="s">
        <v>1205</v>
      </c>
      <c r="AI1226" s="576"/>
      <c r="AJ1226" s="576"/>
      <c r="AK1226" s="576"/>
      <c r="AL1226" s="576"/>
      <c r="AM1226" s="576"/>
      <c r="AN1226" s="576"/>
      <c r="AO1226" s="303" t="s">
        <v>175</v>
      </c>
      <c r="AP1226" s="378"/>
      <c r="AQ1226" s="237"/>
    </row>
    <row r="1227" spans="1:43" s="238" customFormat="1" ht="75" customHeight="1" x14ac:dyDescent="0.25">
      <c r="A1227" s="297" t="s">
        <v>1451</v>
      </c>
      <c r="B1227" s="627" t="str">
        <f>VLOOKUP(Table13[[#This Row],[Column1]],[1]Sheet1!$A:$AO,2,FALSE)</f>
        <v>SPAREPARTS (LIGHT VEHICLES)</v>
      </c>
      <c r="C1227" s="298" t="str">
        <f>VLOOKUP(Table13[[#This Row],[Column1]],[1]Sheet1!$A:$AO,3,FALSE)</f>
        <v>PDRRMO</v>
      </c>
      <c r="D1227" s="298" t="s">
        <v>712</v>
      </c>
      <c r="E1227" s="450" t="str">
        <f>VLOOKUP(Table13[[#This Row],[Column1]],[1]Sheet1!$A:$AO,5,FALSE)</f>
        <v>NP-53.9 - Small Value Procurement</v>
      </c>
      <c r="F1227" s="446">
        <f>VLOOKUP(Table13[[#This Row],[Column1]],[1]Sheet1!$A:$AO,6,FALSE)</f>
        <v>45468</v>
      </c>
      <c r="G1227" s="402">
        <f>VLOOKUP(Table13[[#This Row],[Column1]],[1]Sheet1!$A:$AO,7,FALSE)</f>
        <v>45471</v>
      </c>
      <c r="H1227" s="374"/>
      <c r="I1227" s="402"/>
      <c r="J1227" s="402"/>
      <c r="K1227" s="402"/>
      <c r="L1227" s="404"/>
      <c r="M1227" s="402"/>
      <c r="N1227" s="402"/>
      <c r="O1227" s="402"/>
      <c r="P1227" s="375"/>
      <c r="Q1227" s="375"/>
      <c r="R1227" s="376"/>
      <c r="S1227" s="583"/>
      <c r="T1227" s="583"/>
      <c r="U1227" s="583"/>
      <c r="V1227" s="376"/>
      <c r="W1227" s="376"/>
      <c r="X1227" s="402"/>
      <c r="Y1227" s="402"/>
      <c r="Z1227" s="610" t="s">
        <v>1478</v>
      </c>
      <c r="AA1227" s="454">
        <f>IF(Table13[[#This Row],[Column2]]="","",SUM(Table13[[#This Row],[Column28]]+Table13[[#This Row],[Column29]]))</f>
        <v>6875</v>
      </c>
      <c r="AB1227" s="466"/>
      <c r="AC1227" s="502">
        <v>6875</v>
      </c>
      <c r="AD1227" s="451">
        <f>IF(Table13[[#This Row],[Column2]]="","",SUM(Table13[[#This Row],[Column31]]+Table13[[#This Row],[Column32]]))</f>
        <v>0</v>
      </c>
      <c r="AE1227" s="453"/>
      <c r="AF1227" s="646"/>
      <c r="AG1227" s="405"/>
      <c r="AH1227" s="380" t="s">
        <v>1205</v>
      </c>
      <c r="AI1227" s="576"/>
      <c r="AJ1227" s="576"/>
      <c r="AK1227" s="576"/>
      <c r="AL1227" s="576"/>
      <c r="AM1227" s="576"/>
      <c r="AN1227" s="576"/>
      <c r="AO1227" s="303" t="s">
        <v>175</v>
      </c>
      <c r="AP1227" s="378"/>
      <c r="AQ1227" s="237"/>
    </row>
    <row r="1228" spans="1:43" s="238" customFormat="1" ht="75" customHeight="1" x14ac:dyDescent="0.25">
      <c r="A1228" s="297" t="s">
        <v>1452</v>
      </c>
      <c r="B1228" s="627" t="str">
        <f>VLOOKUP(Table13[[#This Row],[Column1]],[1]Sheet1!$A:$AO,2,FALSE)</f>
        <v>SPAREPARTS (LIGHT VEHICLES)</v>
      </c>
      <c r="C1228" s="298" t="str">
        <f>VLOOKUP(Table13[[#This Row],[Column1]],[1]Sheet1!$A:$AO,3,FALSE)</f>
        <v>PEEMO</v>
      </c>
      <c r="D1228" s="298" t="s">
        <v>712</v>
      </c>
      <c r="E1228" s="450" t="str">
        <f>VLOOKUP(Table13[[#This Row],[Column1]],[1]Sheet1!$A:$AO,5,FALSE)</f>
        <v>NP-53.9 - Small Value Procurement</v>
      </c>
      <c r="F1228" s="446">
        <f>VLOOKUP(Table13[[#This Row],[Column1]],[1]Sheet1!$A:$AO,6,FALSE)</f>
        <v>45468</v>
      </c>
      <c r="G1228" s="402">
        <f>VLOOKUP(Table13[[#This Row],[Column1]],[1]Sheet1!$A:$AO,7,FALSE)</f>
        <v>45471</v>
      </c>
      <c r="H1228" s="374"/>
      <c r="I1228" s="402"/>
      <c r="J1228" s="402"/>
      <c r="K1228" s="402"/>
      <c r="L1228" s="404"/>
      <c r="M1228" s="402"/>
      <c r="N1228" s="402"/>
      <c r="O1228" s="402"/>
      <c r="P1228" s="375"/>
      <c r="Q1228" s="375"/>
      <c r="R1228" s="376"/>
      <c r="S1228" s="583"/>
      <c r="T1228" s="583"/>
      <c r="U1228" s="583"/>
      <c r="V1228" s="376"/>
      <c r="W1228" s="376"/>
      <c r="X1228" s="402"/>
      <c r="Y1228" s="402"/>
      <c r="Z1228" s="610" t="s">
        <v>1478</v>
      </c>
      <c r="AA1228" s="454">
        <f>IF(Table13[[#This Row],[Column2]]="","",SUM(Table13[[#This Row],[Column28]]+Table13[[#This Row],[Column29]]))</f>
        <v>251140</v>
      </c>
      <c r="AB1228" s="466"/>
      <c r="AC1228" s="502">
        <v>251140</v>
      </c>
      <c r="AD1228" s="451">
        <f>IF(Table13[[#This Row],[Column2]]="","",SUM(Table13[[#This Row],[Column31]]+Table13[[#This Row],[Column32]]))</f>
        <v>0</v>
      </c>
      <c r="AE1228" s="453"/>
      <c r="AF1228" s="646"/>
      <c r="AG1228" s="405"/>
      <c r="AH1228" s="380" t="s">
        <v>1205</v>
      </c>
      <c r="AI1228" s="576"/>
      <c r="AJ1228" s="576"/>
      <c r="AK1228" s="576"/>
      <c r="AL1228" s="576"/>
      <c r="AM1228" s="576"/>
      <c r="AN1228" s="576"/>
      <c r="AO1228" s="303" t="s">
        <v>175</v>
      </c>
      <c r="AP1228" s="378"/>
      <c r="AQ1228" s="237"/>
    </row>
    <row r="1229" spans="1:43" s="238" customFormat="1" ht="75" customHeight="1" x14ac:dyDescent="0.25">
      <c r="A1229" s="297" t="s">
        <v>1453</v>
      </c>
      <c r="B1229" s="627" t="str">
        <f>VLOOKUP(Table13[[#This Row],[Column1]],[1]Sheet1!$A:$AO,2,FALSE)</f>
        <v>FUEL, OIL, AND LUBRICANTS</v>
      </c>
      <c r="C1229" s="298" t="str">
        <f>VLOOKUP(Table13[[#This Row],[Column1]],[1]Sheet1!$A:$AO,3,FALSE)</f>
        <v>PEEMO</v>
      </c>
      <c r="D1229" s="298" t="s">
        <v>712</v>
      </c>
      <c r="E1229" s="450" t="str">
        <f>VLOOKUP(Table13[[#This Row],[Column1]],[1]Sheet1!$A:$AO,5,FALSE)</f>
        <v>NP-53.9 - Small Value Procurement</v>
      </c>
      <c r="F1229" s="446">
        <f>VLOOKUP(Table13[[#This Row],[Column1]],[1]Sheet1!$A:$AO,6,FALSE)</f>
        <v>45468</v>
      </c>
      <c r="G1229" s="402">
        <f>VLOOKUP(Table13[[#This Row],[Column1]],[1]Sheet1!$A:$AO,7,FALSE)</f>
        <v>45471</v>
      </c>
      <c r="H1229" s="374"/>
      <c r="I1229" s="402"/>
      <c r="J1229" s="402"/>
      <c r="K1229" s="402"/>
      <c r="L1229" s="404"/>
      <c r="M1229" s="402"/>
      <c r="N1229" s="402"/>
      <c r="O1229" s="402"/>
      <c r="P1229" s="375"/>
      <c r="Q1229" s="375"/>
      <c r="R1229" s="376"/>
      <c r="S1229" s="583"/>
      <c r="T1229" s="583"/>
      <c r="U1229" s="583"/>
      <c r="V1229" s="376"/>
      <c r="W1229" s="376"/>
      <c r="X1229" s="402"/>
      <c r="Y1229" s="402"/>
      <c r="Z1229" s="610" t="s">
        <v>1478</v>
      </c>
      <c r="AA1229" s="454">
        <f>IF(Table13[[#This Row],[Column2]]="","",SUM(Table13[[#This Row],[Column28]]+Table13[[#This Row],[Column29]]))</f>
        <v>103520</v>
      </c>
      <c r="AB1229" s="466"/>
      <c r="AC1229" s="502">
        <v>103520</v>
      </c>
      <c r="AD1229" s="451">
        <f>IF(Table13[[#This Row],[Column2]]="","",SUM(Table13[[#This Row],[Column31]]+Table13[[#This Row],[Column32]]))</f>
        <v>0</v>
      </c>
      <c r="AE1229" s="453"/>
      <c r="AF1229" s="646"/>
      <c r="AG1229" s="405"/>
      <c r="AH1229" s="380" t="s">
        <v>1205</v>
      </c>
      <c r="AI1229" s="576"/>
      <c r="AJ1229" s="576"/>
      <c r="AK1229" s="576"/>
      <c r="AL1229" s="576"/>
      <c r="AM1229" s="576"/>
      <c r="AN1229" s="576"/>
      <c r="AO1229" s="303" t="s">
        <v>175</v>
      </c>
      <c r="AP1229" s="378"/>
      <c r="AQ1229" s="237"/>
    </row>
    <row r="1230" spans="1:43" s="238" customFormat="1" ht="75" customHeight="1" x14ac:dyDescent="0.25">
      <c r="A1230" s="297" t="s">
        <v>1454</v>
      </c>
      <c r="B1230" s="627" t="str">
        <f>VLOOKUP(Table13[[#This Row],[Column1]],[1]Sheet1!$A:$AO,2,FALSE)</f>
        <v>MEALS AND SNACKS</v>
      </c>
      <c r="C1230" s="298" t="str">
        <f>VLOOKUP(Table13[[#This Row],[Column1]],[1]Sheet1!$A:$AO,3,FALSE)</f>
        <v>SPO</v>
      </c>
      <c r="D1230" s="298" t="s">
        <v>712</v>
      </c>
      <c r="E1230" s="450" t="str">
        <f>VLOOKUP(Table13[[#This Row],[Column1]],[1]Sheet1!$A:$AO,5,FALSE)</f>
        <v>NP-53.9 - Small Value Procurement</v>
      </c>
      <c r="F1230" s="446">
        <f>VLOOKUP(Table13[[#This Row],[Column1]],[1]Sheet1!$A:$AO,6,FALSE)</f>
        <v>45468</v>
      </c>
      <c r="G1230" s="402">
        <f>VLOOKUP(Table13[[#This Row],[Column1]],[1]Sheet1!$A:$AO,7,FALSE)</f>
        <v>45471</v>
      </c>
      <c r="H1230" s="374"/>
      <c r="I1230" s="402"/>
      <c r="J1230" s="402"/>
      <c r="K1230" s="402"/>
      <c r="L1230" s="404"/>
      <c r="M1230" s="402"/>
      <c r="N1230" s="402"/>
      <c r="O1230" s="402"/>
      <c r="P1230" s="375"/>
      <c r="Q1230" s="375"/>
      <c r="R1230" s="376"/>
      <c r="S1230" s="583"/>
      <c r="T1230" s="583"/>
      <c r="U1230" s="583"/>
      <c r="V1230" s="376"/>
      <c r="W1230" s="376"/>
      <c r="X1230" s="402"/>
      <c r="Y1230" s="402"/>
      <c r="Z1230" s="610" t="s">
        <v>1478</v>
      </c>
      <c r="AA1230" s="454">
        <f>IF(Table13[[#This Row],[Column2]]="","",SUM(Table13[[#This Row],[Column28]]+Table13[[#This Row],[Column29]]))</f>
        <v>200000</v>
      </c>
      <c r="AB1230" s="466"/>
      <c r="AC1230" s="502">
        <v>200000</v>
      </c>
      <c r="AD1230" s="451">
        <f>IF(Table13[[#This Row],[Column2]]="","",SUM(Table13[[#This Row],[Column31]]+Table13[[#This Row],[Column32]]))</f>
        <v>0</v>
      </c>
      <c r="AE1230" s="453"/>
      <c r="AF1230" s="646"/>
      <c r="AG1230" s="405"/>
      <c r="AH1230" s="380" t="s">
        <v>1205</v>
      </c>
      <c r="AI1230" s="576"/>
      <c r="AJ1230" s="576"/>
      <c r="AK1230" s="576"/>
      <c r="AL1230" s="576"/>
      <c r="AM1230" s="576"/>
      <c r="AN1230" s="576"/>
      <c r="AO1230" s="303" t="s">
        <v>175</v>
      </c>
      <c r="AP1230" s="378"/>
      <c r="AQ1230" s="237"/>
    </row>
    <row r="1231" spans="1:43" s="238" customFormat="1" ht="75" customHeight="1" x14ac:dyDescent="0.25">
      <c r="A1231" s="297" t="s">
        <v>1455</v>
      </c>
      <c r="B1231" s="627" t="str">
        <f>VLOOKUP(Table13[[#This Row],[Column1]],[1]Sheet1!$A:$AO,2,FALSE)</f>
        <v>OFFICE SUPPLIES</v>
      </c>
      <c r="C1231" s="298" t="str">
        <f>VLOOKUP(Table13[[#This Row],[Column1]],[1]Sheet1!$A:$AO,3,FALSE)</f>
        <v>PPDO</v>
      </c>
      <c r="D1231" s="298" t="s">
        <v>712</v>
      </c>
      <c r="E1231" s="450" t="str">
        <f>VLOOKUP(Table13[[#This Row],[Column1]],[1]Sheet1!$A:$AO,5,FALSE)</f>
        <v>Shopping 52.1(b) - Regular Office Supplies and Equipment no available in PS</v>
      </c>
      <c r="F1231" s="446">
        <f>VLOOKUP(Table13[[#This Row],[Column1]],[1]Sheet1!$A:$AO,6,FALSE)</f>
        <v>45468</v>
      </c>
      <c r="G1231" s="402">
        <f>VLOOKUP(Table13[[#This Row],[Column1]],[1]Sheet1!$A:$AO,7,FALSE)</f>
        <v>45471</v>
      </c>
      <c r="H1231" s="374"/>
      <c r="I1231" s="402"/>
      <c r="J1231" s="402"/>
      <c r="K1231" s="402"/>
      <c r="L1231" s="404"/>
      <c r="M1231" s="402"/>
      <c r="N1231" s="402"/>
      <c r="O1231" s="402"/>
      <c r="P1231" s="375"/>
      <c r="Q1231" s="375"/>
      <c r="R1231" s="376"/>
      <c r="S1231" s="583"/>
      <c r="T1231" s="583"/>
      <c r="U1231" s="583"/>
      <c r="V1231" s="376"/>
      <c r="W1231" s="376"/>
      <c r="X1231" s="402"/>
      <c r="Y1231" s="402"/>
      <c r="Z1231" s="610" t="s">
        <v>1478</v>
      </c>
      <c r="AA1231" s="454">
        <f>IF(Table13[[#This Row],[Column2]]="","",SUM(Table13[[#This Row],[Column28]]+Table13[[#This Row],[Column29]]))</f>
        <v>9526</v>
      </c>
      <c r="AB1231" s="466"/>
      <c r="AC1231" s="502">
        <v>9526</v>
      </c>
      <c r="AD1231" s="451">
        <f>IF(Table13[[#This Row],[Column2]]="","",SUM(Table13[[#This Row],[Column31]]+Table13[[#This Row],[Column32]]))</f>
        <v>0</v>
      </c>
      <c r="AE1231" s="453"/>
      <c r="AF1231" s="646"/>
      <c r="AG1231" s="405"/>
      <c r="AH1231" s="380" t="s">
        <v>1205</v>
      </c>
      <c r="AI1231" s="576"/>
      <c r="AJ1231" s="576"/>
      <c r="AK1231" s="576"/>
      <c r="AL1231" s="576"/>
      <c r="AM1231" s="576"/>
      <c r="AN1231" s="576"/>
      <c r="AO1231" s="303" t="s">
        <v>175</v>
      </c>
      <c r="AP1231" s="378"/>
      <c r="AQ1231" s="237"/>
    </row>
    <row r="1232" spans="1:43" s="238" customFormat="1" ht="75" customHeight="1" x14ac:dyDescent="0.25">
      <c r="A1232" s="297" t="s">
        <v>1456</v>
      </c>
      <c r="B1232" s="627" t="str">
        <f>VLOOKUP(Table13[[#This Row],[Column1]],[1]Sheet1!$A:$AO,2,FALSE)</f>
        <v>OFFICE SUPPLIES</v>
      </c>
      <c r="C1232" s="298" t="str">
        <f>VLOOKUP(Table13[[#This Row],[Column1]],[1]Sheet1!$A:$AO,3,FALSE)</f>
        <v>PHO</v>
      </c>
      <c r="D1232" s="298" t="s">
        <v>712</v>
      </c>
      <c r="E1232" s="450" t="str">
        <f>VLOOKUP(Table13[[#This Row],[Column1]],[1]Sheet1!$A:$AO,5,FALSE)</f>
        <v>Shopping 52.1(b) - Regular Office Supplies and Equipment no available in PS</v>
      </c>
      <c r="F1232" s="446">
        <f>VLOOKUP(Table13[[#This Row],[Column1]],[1]Sheet1!$A:$AO,6,FALSE)</f>
        <v>45468</v>
      </c>
      <c r="G1232" s="402">
        <f>VLOOKUP(Table13[[#This Row],[Column1]],[1]Sheet1!$A:$AO,7,FALSE)</f>
        <v>45471</v>
      </c>
      <c r="H1232" s="374"/>
      <c r="I1232" s="402"/>
      <c r="J1232" s="402"/>
      <c r="K1232" s="402"/>
      <c r="L1232" s="404"/>
      <c r="M1232" s="402"/>
      <c r="N1232" s="402"/>
      <c r="O1232" s="402"/>
      <c r="P1232" s="375"/>
      <c r="Q1232" s="375"/>
      <c r="R1232" s="376"/>
      <c r="S1232" s="583"/>
      <c r="T1232" s="583"/>
      <c r="U1232" s="583"/>
      <c r="V1232" s="376"/>
      <c r="W1232" s="376"/>
      <c r="X1232" s="402"/>
      <c r="Y1232" s="402"/>
      <c r="Z1232" s="610" t="s">
        <v>1478</v>
      </c>
      <c r="AA1232" s="454">
        <f>IF(Table13[[#This Row],[Column2]]="","",SUM(Table13[[#This Row],[Column28]]+Table13[[#This Row],[Column29]]))</f>
        <v>9560</v>
      </c>
      <c r="AB1232" s="466"/>
      <c r="AC1232" s="502">
        <v>9560</v>
      </c>
      <c r="AD1232" s="451">
        <f>IF(Table13[[#This Row],[Column2]]="","",SUM(Table13[[#This Row],[Column31]]+Table13[[#This Row],[Column32]]))</f>
        <v>0</v>
      </c>
      <c r="AE1232" s="453"/>
      <c r="AF1232" s="646"/>
      <c r="AG1232" s="405"/>
      <c r="AH1232" s="380" t="s">
        <v>1205</v>
      </c>
      <c r="AI1232" s="576"/>
      <c r="AJ1232" s="576"/>
      <c r="AK1232" s="576"/>
      <c r="AL1232" s="576"/>
      <c r="AM1232" s="576"/>
      <c r="AN1232" s="576"/>
      <c r="AO1232" s="303" t="s">
        <v>175</v>
      </c>
      <c r="AP1232" s="378"/>
      <c r="AQ1232" s="237"/>
    </row>
    <row r="1233" spans="1:43" s="238" customFormat="1" ht="75" customHeight="1" x14ac:dyDescent="0.25">
      <c r="A1233" s="297" t="s">
        <v>1457</v>
      </c>
      <c r="B1233" s="627" t="str">
        <f>VLOOKUP(Table13[[#This Row],[Column1]],[1]Sheet1!$A:$AO,2,FALSE)</f>
        <v>JANITORIAL SUPPLIES/HOUSEKEEPING</v>
      </c>
      <c r="C1233" s="298" t="str">
        <f>VLOOKUP(Table13[[#This Row],[Column1]],[1]Sheet1!$A:$AO,3,FALSE)</f>
        <v>PAO-ADMIN</v>
      </c>
      <c r="D1233" s="298" t="s">
        <v>712</v>
      </c>
      <c r="E1233" s="450" t="str">
        <f>VLOOKUP(Table13[[#This Row],[Column1]],[1]Sheet1!$A:$AO,5,FALSE)</f>
        <v>NP-53.9 - Small Value Procurement</v>
      </c>
      <c r="F1233" s="446">
        <f>VLOOKUP(Table13[[#This Row],[Column1]],[1]Sheet1!$A:$AO,6,FALSE)</f>
        <v>45468</v>
      </c>
      <c r="G1233" s="402">
        <f>VLOOKUP(Table13[[#This Row],[Column1]],[1]Sheet1!$A:$AO,7,FALSE)</f>
        <v>45471</v>
      </c>
      <c r="H1233" s="374"/>
      <c r="I1233" s="402"/>
      <c r="J1233" s="402"/>
      <c r="K1233" s="402"/>
      <c r="L1233" s="404"/>
      <c r="M1233" s="402"/>
      <c r="N1233" s="402"/>
      <c r="O1233" s="402"/>
      <c r="P1233" s="375"/>
      <c r="Q1233" s="375"/>
      <c r="R1233" s="376"/>
      <c r="S1233" s="583"/>
      <c r="T1233" s="583"/>
      <c r="U1233" s="583"/>
      <c r="V1233" s="376"/>
      <c r="W1233" s="376"/>
      <c r="X1233" s="402"/>
      <c r="Y1233" s="402"/>
      <c r="Z1233" s="610" t="s">
        <v>1478</v>
      </c>
      <c r="AA1233" s="454">
        <f>IF(Table13[[#This Row],[Column2]]="","",SUM(Table13[[#This Row],[Column28]]+Table13[[#This Row],[Column29]]))</f>
        <v>4513</v>
      </c>
      <c r="AB1233" s="466"/>
      <c r="AC1233" s="502">
        <v>4513</v>
      </c>
      <c r="AD1233" s="451">
        <f>IF(Table13[[#This Row],[Column2]]="","",SUM(Table13[[#This Row],[Column31]]+Table13[[#This Row],[Column32]]))</f>
        <v>0</v>
      </c>
      <c r="AE1233" s="453"/>
      <c r="AF1233" s="646"/>
      <c r="AG1233" s="405"/>
      <c r="AH1233" s="380" t="s">
        <v>1205</v>
      </c>
      <c r="AI1233" s="576"/>
      <c r="AJ1233" s="576"/>
      <c r="AK1233" s="576"/>
      <c r="AL1233" s="576"/>
      <c r="AM1233" s="576"/>
      <c r="AN1233" s="576"/>
      <c r="AO1233" s="303" t="s">
        <v>175</v>
      </c>
      <c r="AP1233" s="378"/>
      <c r="AQ1233" s="237"/>
    </row>
    <row r="1234" spans="1:43" s="238" customFormat="1" ht="75" customHeight="1" x14ac:dyDescent="0.25">
      <c r="A1234" s="297" t="s">
        <v>1458</v>
      </c>
      <c r="B1234" s="627" t="str">
        <f>VLOOKUP(Table13[[#This Row],[Column1]],[1]Sheet1!$A:$AO,2,FALSE)</f>
        <v>OFFICE SUPPLIES</v>
      </c>
      <c r="C1234" s="298" t="str">
        <f>VLOOKUP(Table13[[#This Row],[Column1]],[1]Sheet1!$A:$AO,3,FALSE)</f>
        <v>PICTO</v>
      </c>
      <c r="D1234" s="298" t="s">
        <v>712</v>
      </c>
      <c r="E1234" s="450" t="str">
        <f>VLOOKUP(Table13[[#This Row],[Column1]],[1]Sheet1!$A:$AO,5,FALSE)</f>
        <v>Shopping 52.1(b) - Regular Office Supplies and Equipment no available in PS</v>
      </c>
      <c r="F1234" s="446">
        <f>VLOOKUP(Table13[[#This Row],[Column1]],[1]Sheet1!$A:$AO,6,FALSE)</f>
        <v>45468</v>
      </c>
      <c r="G1234" s="402">
        <f>VLOOKUP(Table13[[#This Row],[Column1]],[1]Sheet1!$A:$AO,7,FALSE)</f>
        <v>45471</v>
      </c>
      <c r="H1234" s="374"/>
      <c r="I1234" s="402"/>
      <c r="J1234" s="402"/>
      <c r="K1234" s="402"/>
      <c r="L1234" s="404"/>
      <c r="M1234" s="402"/>
      <c r="N1234" s="402"/>
      <c r="O1234" s="402"/>
      <c r="P1234" s="375"/>
      <c r="Q1234" s="375"/>
      <c r="R1234" s="376"/>
      <c r="S1234" s="583"/>
      <c r="T1234" s="583"/>
      <c r="U1234" s="583"/>
      <c r="V1234" s="376"/>
      <c r="W1234" s="376"/>
      <c r="X1234" s="402"/>
      <c r="Y1234" s="402"/>
      <c r="Z1234" s="610" t="s">
        <v>1478</v>
      </c>
      <c r="AA1234" s="454">
        <f>IF(Table13[[#This Row],[Column2]]="","",SUM(Table13[[#This Row],[Column28]]+Table13[[#This Row],[Column29]]))</f>
        <v>12741</v>
      </c>
      <c r="AB1234" s="466"/>
      <c r="AC1234" s="502">
        <v>12741</v>
      </c>
      <c r="AD1234" s="451">
        <f>IF(Table13[[#This Row],[Column2]]="","",SUM(Table13[[#This Row],[Column31]]+Table13[[#This Row],[Column32]]))</f>
        <v>0</v>
      </c>
      <c r="AE1234" s="453"/>
      <c r="AF1234" s="646"/>
      <c r="AG1234" s="405"/>
      <c r="AH1234" s="380" t="s">
        <v>1205</v>
      </c>
      <c r="AI1234" s="576"/>
      <c r="AJ1234" s="576"/>
      <c r="AK1234" s="576"/>
      <c r="AL1234" s="576"/>
      <c r="AM1234" s="576"/>
      <c r="AN1234" s="576"/>
      <c r="AO1234" s="303" t="s">
        <v>175</v>
      </c>
      <c r="AP1234" s="378"/>
      <c r="AQ1234" s="237"/>
    </row>
    <row r="1235" spans="1:43" s="238" customFormat="1" ht="75" customHeight="1" x14ac:dyDescent="0.25">
      <c r="A1235" s="297" t="s">
        <v>1459</v>
      </c>
      <c r="B1235" s="627" t="str">
        <f>VLOOKUP(Table13[[#This Row],[Column1]],[1]Sheet1!$A:$AO,2,FALSE)</f>
        <v>OFFICE SUPPLIES</v>
      </c>
      <c r="C1235" s="298" t="str">
        <f>VLOOKUP(Table13[[#This Row],[Column1]],[1]Sheet1!$A:$AO,3,FALSE)</f>
        <v>PGO</v>
      </c>
      <c r="D1235" s="298" t="s">
        <v>712</v>
      </c>
      <c r="E1235" s="450" t="str">
        <f>VLOOKUP(Table13[[#This Row],[Column1]],[1]Sheet1!$A:$AO,5,FALSE)</f>
        <v>Shopping 52.1(b) - Regular Office Supplies and Equipment no available in PS</v>
      </c>
      <c r="F1235" s="446">
        <f>VLOOKUP(Table13[[#This Row],[Column1]],[1]Sheet1!$A:$AO,6,FALSE)</f>
        <v>45468</v>
      </c>
      <c r="G1235" s="402">
        <f>VLOOKUP(Table13[[#This Row],[Column1]],[1]Sheet1!$A:$AO,7,FALSE)</f>
        <v>45471</v>
      </c>
      <c r="H1235" s="374"/>
      <c r="I1235" s="402"/>
      <c r="J1235" s="402"/>
      <c r="K1235" s="402"/>
      <c r="L1235" s="404"/>
      <c r="M1235" s="402"/>
      <c r="N1235" s="402"/>
      <c r="O1235" s="402"/>
      <c r="P1235" s="375"/>
      <c r="Q1235" s="375"/>
      <c r="R1235" s="376"/>
      <c r="S1235" s="583"/>
      <c r="T1235" s="583"/>
      <c r="U1235" s="583"/>
      <c r="V1235" s="376"/>
      <c r="W1235" s="376"/>
      <c r="X1235" s="402"/>
      <c r="Y1235" s="402"/>
      <c r="Z1235" s="610" t="s">
        <v>1478</v>
      </c>
      <c r="AA1235" s="454">
        <f>IF(Table13[[#This Row],[Column2]]="","",SUM(Table13[[#This Row],[Column28]]+Table13[[#This Row],[Column29]]))</f>
        <v>29928</v>
      </c>
      <c r="AB1235" s="455"/>
      <c r="AC1235" s="502">
        <v>29928</v>
      </c>
      <c r="AD1235" s="451">
        <f>IF(Table13[[#This Row],[Column2]]="","",SUM(Table13[[#This Row],[Column31]]+Table13[[#This Row],[Column32]]))</f>
        <v>0</v>
      </c>
      <c r="AE1235" s="453"/>
      <c r="AF1235" s="646"/>
      <c r="AG1235" s="405"/>
      <c r="AH1235" s="380" t="s">
        <v>1205</v>
      </c>
      <c r="AI1235" s="576"/>
      <c r="AJ1235" s="576"/>
      <c r="AK1235" s="576"/>
      <c r="AL1235" s="576"/>
      <c r="AM1235" s="576"/>
      <c r="AN1235" s="576"/>
      <c r="AO1235" s="303" t="s">
        <v>175</v>
      </c>
      <c r="AP1235" s="378"/>
      <c r="AQ1235" s="237"/>
    </row>
    <row r="1236" spans="1:43" s="238" customFormat="1" ht="75" customHeight="1" x14ac:dyDescent="0.25">
      <c r="A1236" s="297" t="s">
        <v>1460</v>
      </c>
      <c r="B1236" s="627" t="str">
        <f>VLOOKUP(Table13[[#This Row],[Column1]],[1]Sheet1!$A:$AO,2,FALSE)</f>
        <v>CRAYFISH BREEDER (TRIO-2 FEMALE AND 1 MALE)</v>
      </c>
      <c r="C1236" s="298" t="str">
        <f>VLOOKUP(Table13[[#This Row],[Column1]],[1]Sheet1!$A:$AO,3,FALSE)</f>
        <v>PAGRO</v>
      </c>
      <c r="D1236" s="298" t="s">
        <v>712</v>
      </c>
      <c r="E1236" s="450" t="str">
        <f>VLOOKUP(Table13[[#This Row],[Column1]],[1]Sheet1!$A:$AO,5,FALSE)</f>
        <v>NP-53.9 - Small Value Procurement</v>
      </c>
      <c r="F1236" s="446">
        <f>VLOOKUP(Table13[[#This Row],[Column1]],[1]Sheet1!$A:$AO,6,FALSE)</f>
        <v>45468</v>
      </c>
      <c r="G1236" s="402">
        <f>VLOOKUP(Table13[[#This Row],[Column1]],[1]Sheet1!$A:$AO,7,FALSE)</f>
        <v>45471</v>
      </c>
      <c r="H1236" s="374"/>
      <c r="I1236" s="402"/>
      <c r="J1236" s="402"/>
      <c r="K1236" s="402"/>
      <c r="L1236" s="404"/>
      <c r="M1236" s="402"/>
      <c r="N1236" s="402"/>
      <c r="O1236" s="402"/>
      <c r="P1236" s="375"/>
      <c r="Q1236" s="375"/>
      <c r="R1236" s="376"/>
      <c r="S1236" s="583"/>
      <c r="T1236" s="583"/>
      <c r="U1236" s="583"/>
      <c r="V1236" s="376"/>
      <c r="W1236" s="376"/>
      <c r="X1236" s="402"/>
      <c r="Y1236" s="402"/>
      <c r="Z1236" s="610" t="s">
        <v>1478</v>
      </c>
      <c r="AA1236" s="454">
        <f>IF(Table13[[#This Row],[Column2]]="","",SUM(Table13[[#This Row],[Column28]]+Table13[[#This Row],[Column29]]))</f>
        <v>8250</v>
      </c>
      <c r="AB1236" s="455"/>
      <c r="AC1236" s="502">
        <v>8250</v>
      </c>
      <c r="AD1236" s="451">
        <f>IF(Table13[[#This Row],[Column2]]="","",SUM(Table13[[#This Row],[Column31]]+Table13[[#This Row],[Column32]]))</f>
        <v>0</v>
      </c>
      <c r="AE1236" s="453"/>
      <c r="AF1236" s="646"/>
      <c r="AG1236" s="405"/>
      <c r="AH1236" s="380" t="s">
        <v>1205</v>
      </c>
      <c r="AI1236" s="576"/>
      <c r="AJ1236" s="576"/>
      <c r="AK1236" s="576"/>
      <c r="AL1236" s="576"/>
      <c r="AM1236" s="576"/>
      <c r="AN1236" s="576"/>
      <c r="AO1236" s="303" t="s">
        <v>175</v>
      </c>
      <c r="AP1236" s="378"/>
      <c r="AQ1236" s="237"/>
    </row>
    <row r="1237" spans="1:43" s="238" customFormat="1" ht="75" customHeight="1" x14ac:dyDescent="0.25">
      <c r="A1237" s="297" t="s">
        <v>1461</v>
      </c>
      <c r="B1237" s="627" t="str">
        <f>VLOOKUP(Table13[[#This Row],[Column1]],[1]Sheet1!$A:$AO,2,FALSE)</f>
        <v>OFFICE SUPPLIES</v>
      </c>
      <c r="C1237" s="298" t="str">
        <f>VLOOKUP(Table13[[#This Row],[Column1]],[1]Sheet1!$A:$AO,3,FALSE)</f>
        <v>PHO</v>
      </c>
      <c r="D1237" s="298" t="s">
        <v>712</v>
      </c>
      <c r="E1237" s="450" t="str">
        <f>VLOOKUP(Table13[[#This Row],[Column1]],[1]Sheet1!$A:$AO,5,FALSE)</f>
        <v>Shopping 52.1(b) - Regular Office Supplies and Equipment no available in PS</v>
      </c>
      <c r="F1237" s="446" t="str">
        <f>VLOOKUP(Table13[[#This Row],[Column1]],[1]Sheet1!$A:$AO,6,FALSE)</f>
        <v>N/A</v>
      </c>
      <c r="G1237" s="402">
        <f>VLOOKUP(Table13[[#This Row],[Column1]],[1]Sheet1!$A:$AO,7,FALSE)</f>
        <v>45471</v>
      </c>
      <c r="H1237" s="374"/>
      <c r="I1237" s="402"/>
      <c r="J1237" s="402"/>
      <c r="K1237" s="402"/>
      <c r="L1237" s="404"/>
      <c r="M1237" s="402"/>
      <c r="N1237" s="402"/>
      <c r="O1237" s="402"/>
      <c r="P1237" s="375"/>
      <c r="Q1237" s="375"/>
      <c r="R1237" s="376"/>
      <c r="S1237" s="583"/>
      <c r="T1237" s="583"/>
      <c r="U1237" s="583"/>
      <c r="V1237" s="376"/>
      <c r="W1237" s="376"/>
      <c r="X1237" s="402"/>
      <c r="Y1237" s="402"/>
      <c r="Z1237" s="610" t="s">
        <v>1478</v>
      </c>
      <c r="AA1237" s="454">
        <f>IF(Table13[[#This Row],[Column2]]="","",SUM(Table13[[#This Row],[Column28]]+Table13[[#This Row],[Column29]]))</f>
        <v>101637</v>
      </c>
      <c r="AB1237" s="455"/>
      <c r="AC1237" s="502">
        <v>101637</v>
      </c>
      <c r="AD1237" s="451">
        <f>IF(Table13[[#This Row],[Column2]]="","",SUM(Table13[[#This Row],[Column31]]+Table13[[#This Row],[Column32]]))</f>
        <v>0</v>
      </c>
      <c r="AE1237" s="453"/>
      <c r="AF1237" s="646"/>
      <c r="AG1237" s="405"/>
      <c r="AH1237" s="380" t="s">
        <v>1205</v>
      </c>
      <c r="AI1237" s="576"/>
      <c r="AJ1237" s="576"/>
      <c r="AK1237" s="576"/>
      <c r="AL1237" s="576"/>
      <c r="AM1237" s="576"/>
      <c r="AN1237" s="576"/>
      <c r="AO1237" s="303" t="s">
        <v>175</v>
      </c>
      <c r="AP1237" s="378"/>
      <c r="AQ1237" s="237"/>
    </row>
    <row r="1238" spans="1:43" s="238" customFormat="1" ht="75" customHeight="1" x14ac:dyDescent="0.25">
      <c r="A1238" s="297" t="s">
        <v>1462</v>
      </c>
      <c r="B1238" s="627" t="str">
        <f>VLOOKUP(Table13[[#This Row],[Column1]],[1]Sheet1!$A:$AO,2,FALSE)</f>
        <v>COCO COIR DUST</v>
      </c>
      <c r="C1238" s="298" t="str">
        <f>VLOOKUP(Table13[[#This Row],[Column1]],[1]Sheet1!$A:$AO,3,FALSE)</f>
        <v>PAGRO</v>
      </c>
      <c r="D1238" s="298" t="s">
        <v>712</v>
      </c>
      <c r="E1238" s="450" t="str">
        <f>VLOOKUP(Table13[[#This Row],[Column1]],[1]Sheet1!$A:$AO,5,FALSE)</f>
        <v>NP-53.9 - Small Value Procurement</v>
      </c>
      <c r="F1238" s="446" t="str">
        <f>VLOOKUP(Table13[[#This Row],[Column1]],[1]Sheet1!$A:$AO,6,FALSE)</f>
        <v>N/A</v>
      </c>
      <c r="G1238" s="402">
        <f>VLOOKUP(Table13[[#This Row],[Column1]],[1]Sheet1!$A:$AO,7,FALSE)</f>
        <v>45471</v>
      </c>
      <c r="H1238" s="374"/>
      <c r="I1238" s="402"/>
      <c r="J1238" s="402"/>
      <c r="K1238" s="402"/>
      <c r="L1238" s="404"/>
      <c r="M1238" s="402"/>
      <c r="N1238" s="402"/>
      <c r="O1238" s="402"/>
      <c r="P1238" s="375"/>
      <c r="Q1238" s="375"/>
      <c r="R1238" s="376"/>
      <c r="S1238" s="583"/>
      <c r="T1238" s="583"/>
      <c r="U1238" s="583"/>
      <c r="V1238" s="376"/>
      <c r="W1238" s="376"/>
      <c r="X1238" s="402"/>
      <c r="Y1238" s="402"/>
      <c r="Z1238" s="610" t="s">
        <v>1478</v>
      </c>
      <c r="AA1238" s="454">
        <f>IF(Table13[[#This Row],[Column2]]="","",SUM(Table13[[#This Row],[Column28]]+Table13[[#This Row],[Column29]]))</f>
        <v>58350</v>
      </c>
      <c r="AB1238" s="455"/>
      <c r="AC1238" s="502">
        <v>58350</v>
      </c>
      <c r="AD1238" s="451">
        <f>IF(Table13[[#This Row],[Column2]]="","",SUM(Table13[[#This Row],[Column31]]+Table13[[#This Row],[Column32]]))</f>
        <v>0</v>
      </c>
      <c r="AE1238" s="453"/>
      <c r="AF1238" s="646"/>
      <c r="AG1238" s="405"/>
      <c r="AH1238" s="380" t="s">
        <v>1205</v>
      </c>
      <c r="AI1238" s="576"/>
      <c r="AJ1238" s="576"/>
      <c r="AK1238" s="576"/>
      <c r="AL1238" s="576"/>
      <c r="AM1238" s="576"/>
      <c r="AN1238" s="576"/>
      <c r="AO1238" s="303" t="s">
        <v>175</v>
      </c>
      <c r="AP1238" s="378"/>
      <c r="AQ1238" s="237"/>
    </row>
    <row r="1239" spans="1:43" s="238" customFormat="1" ht="75" hidden="1" customHeight="1" x14ac:dyDescent="0.25">
      <c r="A1239" s="297"/>
      <c r="B1239" s="627"/>
      <c r="C1239" s="298"/>
      <c r="D1239" s="298"/>
      <c r="E1239" s="402"/>
      <c r="F1239" s="446"/>
      <c r="G1239" s="402"/>
      <c r="H1239" s="374"/>
      <c r="I1239" s="402"/>
      <c r="J1239" s="402"/>
      <c r="K1239" s="402"/>
      <c r="L1239" s="404"/>
      <c r="M1239" s="402"/>
      <c r="N1239" s="402"/>
      <c r="O1239" s="402"/>
      <c r="P1239" s="375"/>
      <c r="Q1239" s="375"/>
      <c r="R1239" s="376"/>
      <c r="S1239" s="583"/>
      <c r="T1239" s="583"/>
      <c r="U1239" s="583"/>
      <c r="V1239" s="376"/>
      <c r="W1239" s="376"/>
      <c r="X1239" s="402"/>
      <c r="Y1239" s="402"/>
      <c r="Z1239" s="377"/>
      <c r="AA1239" s="454" t="str">
        <f>IF(Table13[[#This Row],[Column2]]="","",SUM(Table13[[#This Row],[Column28]]+Table13[[#This Row],[Column29]]))</f>
        <v/>
      </c>
      <c r="AB1239" s="455"/>
      <c r="AC1239" s="452"/>
      <c r="AD1239" s="451" t="str">
        <f>IF(Table13[[#This Row],[Column2]]="","",SUM(Table13[[#This Row],[Column31]]+Table13[[#This Row],[Column32]]))</f>
        <v/>
      </c>
      <c r="AE1239" s="453"/>
      <c r="AF1239" s="646"/>
      <c r="AG1239" s="405"/>
      <c r="AH1239" s="380" t="s">
        <v>1205</v>
      </c>
      <c r="AI1239" s="576" t="e">
        <f>VLOOKUP(Table13[[#This Row],[Column1]],[1]Sheet1!$A:$AO,35,FALSE)</f>
        <v>#N/A</v>
      </c>
      <c r="AJ1239" s="576" t="e">
        <f>VLOOKUP(Table13[[#This Row],[Column1]],[1]Sheet1!$A:$AO,36,FALSE)</f>
        <v>#N/A</v>
      </c>
      <c r="AK1239" s="576" t="e">
        <f>VLOOKUP(Table13[[#This Row],[Column1]],[1]Sheet1!$A:$AO,37,FALSE)</f>
        <v>#N/A</v>
      </c>
      <c r="AL1239" s="576" t="e">
        <f>VLOOKUP(Table13[[#This Row],[Column1]],[1]Sheet1!$A:$AO,38,FALSE)</f>
        <v>#N/A</v>
      </c>
      <c r="AM1239" s="576" t="e">
        <f>VLOOKUP(Table13[[#This Row],[Column1]],[1]Sheet1!$A:$AO,39,FALSE)</f>
        <v>#N/A</v>
      </c>
      <c r="AN1239" s="576" t="e">
        <f>VLOOKUP(Table13[[#This Row],[Column1]],[1]Sheet1!$A:$AO,40,FALSE)</f>
        <v>#N/A</v>
      </c>
      <c r="AO1239" s="303"/>
      <c r="AP1239" s="378"/>
      <c r="AQ1239" s="237"/>
    </row>
    <row r="1240" spans="1:43" s="238" customFormat="1" ht="75" hidden="1" customHeight="1" x14ac:dyDescent="0.25">
      <c r="A1240" s="297"/>
      <c r="B1240" s="627"/>
      <c r="C1240" s="298"/>
      <c r="D1240" s="298"/>
      <c r="E1240" s="402"/>
      <c r="F1240" s="446"/>
      <c r="G1240" s="402"/>
      <c r="H1240" s="374"/>
      <c r="I1240" s="402"/>
      <c r="J1240" s="402"/>
      <c r="K1240" s="402"/>
      <c r="L1240" s="404"/>
      <c r="M1240" s="402"/>
      <c r="N1240" s="402"/>
      <c r="O1240" s="402"/>
      <c r="P1240" s="375"/>
      <c r="Q1240" s="375"/>
      <c r="R1240" s="376"/>
      <c r="S1240" s="583"/>
      <c r="T1240" s="583"/>
      <c r="U1240" s="583"/>
      <c r="V1240" s="376"/>
      <c r="W1240" s="376"/>
      <c r="X1240" s="402"/>
      <c r="Y1240" s="402"/>
      <c r="Z1240" s="377"/>
      <c r="AA1240" s="454" t="str">
        <f>IF(Table13[[#This Row],[Column2]]="","",SUM(Table13[[#This Row],[Column28]]+Table13[[#This Row],[Column29]]))</f>
        <v/>
      </c>
      <c r="AB1240" s="455"/>
      <c r="AC1240" s="452"/>
      <c r="AD1240" s="451" t="str">
        <f>IF(Table13[[#This Row],[Column2]]="","",SUM(Table13[[#This Row],[Column31]]+Table13[[#This Row],[Column32]]))</f>
        <v/>
      </c>
      <c r="AE1240" s="453"/>
      <c r="AF1240" s="646"/>
      <c r="AG1240" s="405"/>
      <c r="AH1240" s="380" t="s">
        <v>1205</v>
      </c>
      <c r="AI1240" s="576" t="e">
        <f>VLOOKUP(Table13[[#This Row],[Column1]],[1]Sheet1!$A:$AO,35,FALSE)</f>
        <v>#N/A</v>
      </c>
      <c r="AJ1240" s="576" t="e">
        <f>VLOOKUP(Table13[[#This Row],[Column1]],[1]Sheet1!$A:$AO,36,FALSE)</f>
        <v>#N/A</v>
      </c>
      <c r="AK1240" s="576" t="e">
        <f>VLOOKUP(Table13[[#This Row],[Column1]],[1]Sheet1!$A:$AO,37,FALSE)</f>
        <v>#N/A</v>
      </c>
      <c r="AL1240" s="576" t="e">
        <f>VLOOKUP(Table13[[#This Row],[Column1]],[1]Sheet1!$A:$AO,38,FALSE)</f>
        <v>#N/A</v>
      </c>
      <c r="AM1240" s="576" t="e">
        <f>VLOOKUP(Table13[[#This Row],[Column1]],[1]Sheet1!$A:$AO,39,FALSE)</f>
        <v>#N/A</v>
      </c>
      <c r="AN1240" s="576" t="e">
        <f>VLOOKUP(Table13[[#This Row],[Column1]],[1]Sheet1!$A:$AO,40,FALSE)</f>
        <v>#N/A</v>
      </c>
      <c r="AO1240" s="303"/>
      <c r="AP1240" s="378"/>
      <c r="AQ1240" s="237"/>
    </row>
    <row r="1241" spans="1:43" s="238" customFormat="1" ht="75" hidden="1" customHeight="1" x14ac:dyDescent="0.25">
      <c r="A1241" s="297"/>
      <c r="B1241" s="627"/>
      <c r="C1241" s="298"/>
      <c r="D1241" s="298"/>
      <c r="E1241" s="402"/>
      <c r="F1241" s="446"/>
      <c r="G1241" s="402"/>
      <c r="H1241" s="374"/>
      <c r="I1241" s="402"/>
      <c r="J1241" s="402"/>
      <c r="K1241" s="402"/>
      <c r="L1241" s="404"/>
      <c r="M1241" s="402"/>
      <c r="N1241" s="402"/>
      <c r="O1241" s="402"/>
      <c r="P1241" s="375"/>
      <c r="Q1241" s="375"/>
      <c r="R1241" s="376"/>
      <c r="S1241" s="583"/>
      <c r="T1241" s="583"/>
      <c r="U1241" s="583"/>
      <c r="V1241" s="376"/>
      <c r="W1241" s="376"/>
      <c r="X1241" s="402"/>
      <c r="Y1241" s="402"/>
      <c r="Z1241" s="377"/>
      <c r="AA1241" s="454" t="str">
        <f>IF(Table13[[#This Row],[Column2]]="","",SUM(Table13[[#This Row],[Column28]]+Table13[[#This Row],[Column29]]))</f>
        <v/>
      </c>
      <c r="AB1241" s="455"/>
      <c r="AC1241" s="452"/>
      <c r="AD1241" s="451" t="str">
        <f>IF(Table13[[#This Row],[Column2]]="","",SUM(Table13[[#This Row],[Column31]]+Table13[[#This Row],[Column32]]))</f>
        <v/>
      </c>
      <c r="AE1241" s="453"/>
      <c r="AF1241" s="646"/>
      <c r="AG1241" s="405"/>
      <c r="AH1241" s="380" t="s">
        <v>1205</v>
      </c>
      <c r="AI1241" s="576" t="e">
        <f>VLOOKUP(Table13[[#This Row],[Column1]],[1]Sheet1!$A:$AO,35,FALSE)</f>
        <v>#N/A</v>
      </c>
      <c r="AJ1241" s="576" t="e">
        <f>VLOOKUP(Table13[[#This Row],[Column1]],[1]Sheet1!$A:$AO,36,FALSE)</f>
        <v>#N/A</v>
      </c>
      <c r="AK1241" s="576" t="e">
        <f>VLOOKUP(Table13[[#This Row],[Column1]],[1]Sheet1!$A:$AO,37,FALSE)</f>
        <v>#N/A</v>
      </c>
      <c r="AL1241" s="576" t="e">
        <f>VLOOKUP(Table13[[#This Row],[Column1]],[1]Sheet1!$A:$AO,38,FALSE)</f>
        <v>#N/A</v>
      </c>
      <c r="AM1241" s="576" t="e">
        <f>VLOOKUP(Table13[[#This Row],[Column1]],[1]Sheet1!$A:$AO,39,FALSE)</f>
        <v>#N/A</v>
      </c>
      <c r="AN1241" s="576" t="e">
        <f>VLOOKUP(Table13[[#This Row],[Column1]],[1]Sheet1!$A:$AO,40,FALSE)</f>
        <v>#N/A</v>
      </c>
      <c r="AO1241" s="303"/>
      <c r="AP1241" s="378"/>
      <c r="AQ1241" s="237"/>
    </row>
    <row r="1242" spans="1:43" s="238" customFormat="1" ht="75" hidden="1" customHeight="1" x14ac:dyDescent="0.25">
      <c r="A1242" s="297"/>
      <c r="B1242" s="627"/>
      <c r="C1242" s="298"/>
      <c r="D1242" s="298"/>
      <c r="E1242" s="402"/>
      <c r="F1242" s="446"/>
      <c r="G1242" s="402"/>
      <c r="H1242" s="374"/>
      <c r="I1242" s="402"/>
      <c r="J1242" s="402"/>
      <c r="K1242" s="402"/>
      <c r="L1242" s="404"/>
      <c r="M1242" s="402"/>
      <c r="N1242" s="402"/>
      <c r="O1242" s="402"/>
      <c r="P1242" s="375"/>
      <c r="Q1242" s="375"/>
      <c r="R1242" s="376"/>
      <c r="S1242" s="583"/>
      <c r="T1242" s="583"/>
      <c r="U1242" s="583"/>
      <c r="V1242" s="376"/>
      <c r="W1242" s="376"/>
      <c r="X1242" s="402"/>
      <c r="Y1242" s="402"/>
      <c r="Z1242" s="377"/>
      <c r="AA1242" s="454" t="str">
        <f>IF(Table13[[#This Row],[Column2]]="","",SUM(Table13[[#This Row],[Column28]]+Table13[[#This Row],[Column29]]))</f>
        <v/>
      </c>
      <c r="AB1242" s="455"/>
      <c r="AC1242" s="452"/>
      <c r="AD1242" s="451" t="str">
        <f>IF(Table13[[#This Row],[Column2]]="","",SUM(Table13[[#This Row],[Column31]]+Table13[[#This Row],[Column32]]))</f>
        <v/>
      </c>
      <c r="AE1242" s="453"/>
      <c r="AF1242" s="646"/>
      <c r="AG1242" s="405"/>
      <c r="AH1242" s="380" t="s">
        <v>1205</v>
      </c>
      <c r="AI1242" s="576" t="e">
        <f>VLOOKUP(Table13[[#This Row],[Column1]],[1]Sheet1!$A:$AO,35,FALSE)</f>
        <v>#N/A</v>
      </c>
      <c r="AJ1242" s="576" t="e">
        <f>VLOOKUP(Table13[[#This Row],[Column1]],[1]Sheet1!$A:$AO,36,FALSE)</f>
        <v>#N/A</v>
      </c>
      <c r="AK1242" s="576" t="e">
        <f>VLOOKUP(Table13[[#This Row],[Column1]],[1]Sheet1!$A:$AO,37,FALSE)</f>
        <v>#N/A</v>
      </c>
      <c r="AL1242" s="576" t="e">
        <f>VLOOKUP(Table13[[#This Row],[Column1]],[1]Sheet1!$A:$AO,38,FALSE)</f>
        <v>#N/A</v>
      </c>
      <c r="AM1242" s="576" t="e">
        <f>VLOOKUP(Table13[[#This Row],[Column1]],[1]Sheet1!$A:$AO,39,FALSE)</f>
        <v>#N/A</v>
      </c>
      <c r="AN1242" s="576" t="e">
        <f>VLOOKUP(Table13[[#This Row],[Column1]],[1]Sheet1!$A:$AO,40,FALSE)</f>
        <v>#N/A</v>
      </c>
      <c r="AO1242" s="303"/>
      <c r="AP1242" s="378"/>
      <c r="AQ1242" s="237"/>
    </row>
    <row r="1243" spans="1:43" s="238" customFormat="1" ht="75" hidden="1" customHeight="1" x14ac:dyDescent="0.25">
      <c r="A1243" s="297"/>
      <c r="B1243" s="627"/>
      <c r="C1243" s="298"/>
      <c r="D1243" s="298"/>
      <c r="E1243" s="402"/>
      <c r="F1243" s="446"/>
      <c r="G1243" s="402"/>
      <c r="H1243" s="374"/>
      <c r="I1243" s="402"/>
      <c r="J1243" s="402"/>
      <c r="K1243" s="402"/>
      <c r="L1243" s="404"/>
      <c r="M1243" s="402"/>
      <c r="N1243" s="402"/>
      <c r="O1243" s="402"/>
      <c r="P1243" s="375"/>
      <c r="Q1243" s="375"/>
      <c r="R1243" s="376"/>
      <c r="S1243" s="583"/>
      <c r="T1243" s="583"/>
      <c r="U1243" s="583"/>
      <c r="V1243" s="376"/>
      <c r="W1243" s="376"/>
      <c r="X1243" s="402"/>
      <c r="Y1243" s="402"/>
      <c r="Z1243" s="377"/>
      <c r="AA1243" s="454" t="str">
        <f>IF(Table13[[#This Row],[Column2]]="","",SUM(Table13[[#This Row],[Column28]]+Table13[[#This Row],[Column29]]))</f>
        <v/>
      </c>
      <c r="AB1243" s="455"/>
      <c r="AC1243" s="452"/>
      <c r="AD1243" s="451" t="str">
        <f>IF(Table13[[#This Row],[Column2]]="","",SUM(Table13[[#This Row],[Column31]]+Table13[[#This Row],[Column32]]))</f>
        <v/>
      </c>
      <c r="AE1243" s="453"/>
      <c r="AF1243" s="646"/>
      <c r="AG1243" s="405"/>
      <c r="AH1243" s="380" t="s">
        <v>1205</v>
      </c>
      <c r="AI1243" s="576" t="e">
        <f>VLOOKUP(Table13[[#This Row],[Column1]],[1]Sheet1!$A:$AO,35,FALSE)</f>
        <v>#N/A</v>
      </c>
      <c r="AJ1243" s="576" t="e">
        <f>VLOOKUP(Table13[[#This Row],[Column1]],[1]Sheet1!$A:$AO,36,FALSE)</f>
        <v>#N/A</v>
      </c>
      <c r="AK1243" s="576" t="e">
        <f>VLOOKUP(Table13[[#This Row],[Column1]],[1]Sheet1!$A:$AO,37,FALSE)</f>
        <v>#N/A</v>
      </c>
      <c r="AL1243" s="576" t="e">
        <f>VLOOKUP(Table13[[#This Row],[Column1]],[1]Sheet1!$A:$AO,38,FALSE)</f>
        <v>#N/A</v>
      </c>
      <c r="AM1243" s="576" t="e">
        <f>VLOOKUP(Table13[[#This Row],[Column1]],[1]Sheet1!$A:$AO,39,FALSE)</f>
        <v>#N/A</v>
      </c>
      <c r="AN1243" s="576" t="e">
        <f>VLOOKUP(Table13[[#This Row],[Column1]],[1]Sheet1!$A:$AO,40,FALSE)</f>
        <v>#N/A</v>
      </c>
      <c r="AO1243" s="303"/>
      <c r="AP1243" s="378"/>
      <c r="AQ1243" s="237"/>
    </row>
    <row r="1244" spans="1:43" s="238" customFormat="1" ht="75" hidden="1" customHeight="1" x14ac:dyDescent="0.25">
      <c r="A1244" s="297"/>
      <c r="B1244" s="627"/>
      <c r="C1244" s="298"/>
      <c r="D1244" s="298"/>
      <c r="E1244" s="402"/>
      <c r="F1244" s="446"/>
      <c r="G1244" s="402"/>
      <c r="H1244" s="374"/>
      <c r="I1244" s="402"/>
      <c r="J1244" s="402"/>
      <c r="K1244" s="402"/>
      <c r="L1244" s="404"/>
      <c r="M1244" s="402"/>
      <c r="N1244" s="402"/>
      <c r="O1244" s="402"/>
      <c r="P1244" s="375"/>
      <c r="Q1244" s="375"/>
      <c r="R1244" s="376"/>
      <c r="S1244" s="583"/>
      <c r="T1244" s="583"/>
      <c r="U1244" s="583"/>
      <c r="V1244" s="376"/>
      <c r="W1244" s="376"/>
      <c r="X1244" s="402"/>
      <c r="Y1244" s="402"/>
      <c r="Z1244" s="377"/>
      <c r="AA1244" s="454" t="str">
        <f>IF(Table13[[#This Row],[Column2]]="","",SUM(Table13[[#This Row],[Column28]]+Table13[[#This Row],[Column29]]))</f>
        <v/>
      </c>
      <c r="AB1244" s="455"/>
      <c r="AC1244" s="452"/>
      <c r="AD1244" s="451" t="str">
        <f>IF(Table13[[#This Row],[Column2]]="","",SUM(Table13[[#This Row],[Column31]]+Table13[[#This Row],[Column32]]))</f>
        <v/>
      </c>
      <c r="AE1244" s="453"/>
      <c r="AF1244" s="646"/>
      <c r="AG1244" s="405"/>
      <c r="AH1244" s="380" t="s">
        <v>1205</v>
      </c>
      <c r="AI1244" s="576" t="e">
        <f>VLOOKUP(Table13[[#This Row],[Column1]],[1]Sheet1!$A:$AO,35,FALSE)</f>
        <v>#N/A</v>
      </c>
      <c r="AJ1244" s="576" t="e">
        <f>VLOOKUP(Table13[[#This Row],[Column1]],[1]Sheet1!$A:$AO,36,FALSE)</f>
        <v>#N/A</v>
      </c>
      <c r="AK1244" s="576" t="e">
        <f>VLOOKUP(Table13[[#This Row],[Column1]],[1]Sheet1!$A:$AO,37,FALSE)</f>
        <v>#N/A</v>
      </c>
      <c r="AL1244" s="576" t="e">
        <f>VLOOKUP(Table13[[#This Row],[Column1]],[1]Sheet1!$A:$AO,38,FALSE)</f>
        <v>#N/A</v>
      </c>
      <c r="AM1244" s="576" t="e">
        <f>VLOOKUP(Table13[[#This Row],[Column1]],[1]Sheet1!$A:$AO,39,FALSE)</f>
        <v>#N/A</v>
      </c>
      <c r="AN1244" s="576" t="e">
        <f>VLOOKUP(Table13[[#This Row],[Column1]],[1]Sheet1!$A:$AO,40,FALSE)</f>
        <v>#N/A</v>
      </c>
      <c r="AO1244" s="303"/>
      <c r="AP1244" s="378"/>
      <c r="AQ1244" s="237"/>
    </row>
    <row r="1245" spans="1:43" s="238" customFormat="1" ht="75" hidden="1" customHeight="1" x14ac:dyDescent="0.25">
      <c r="A1245" s="297"/>
      <c r="B1245" s="627"/>
      <c r="C1245" s="298"/>
      <c r="D1245" s="298"/>
      <c r="E1245" s="402"/>
      <c r="F1245" s="446"/>
      <c r="G1245" s="402"/>
      <c r="H1245" s="374"/>
      <c r="I1245" s="402"/>
      <c r="J1245" s="402"/>
      <c r="K1245" s="402"/>
      <c r="L1245" s="404"/>
      <c r="M1245" s="402"/>
      <c r="N1245" s="402"/>
      <c r="O1245" s="402"/>
      <c r="P1245" s="375"/>
      <c r="Q1245" s="375"/>
      <c r="R1245" s="376"/>
      <c r="S1245" s="583"/>
      <c r="T1245" s="583"/>
      <c r="U1245" s="583"/>
      <c r="V1245" s="376"/>
      <c r="W1245" s="376"/>
      <c r="X1245" s="402"/>
      <c r="Y1245" s="402"/>
      <c r="Z1245" s="377"/>
      <c r="AA1245" s="454" t="str">
        <f>IF(Table13[[#This Row],[Column2]]="","",SUM(Table13[[#This Row],[Column28]]+Table13[[#This Row],[Column29]]))</f>
        <v/>
      </c>
      <c r="AB1245" s="455"/>
      <c r="AC1245" s="452"/>
      <c r="AD1245" s="451" t="str">
        <f>IF(Table13[[#This Row],[Column2]]="","",SUM(Table13[[#This Row],[Column31]]+Table13[[#This Row],[Column32]]))</f>
        <v/>
      </c>
      <c r="AE1245" s="453"/>
      <c r="AF1245" s="646"/>
      <c r="AG1245" s="405"/>
      <c r="AH1245" s="380" t="s">
        <v>1205</v>
      </c>
      <c r="AI1245" s="576" t="e">
        <f>VLOOKUP(Table13[[#This Row],[Column1]],[1]Sheet1!$A:$AO,35,FALSE)</f>
        <v>#N/A</v>
      </c>
      <c r="AJ1245" s="576" t="e">
        <f>VLOOKUP(Table13[[#This Row],[Column1]],[1]Sheet1!$A:$AO,36,FALSE)</f>
        <v>#N/A</v>
      </c>
      <c r="AK1245" s="576" t="e">
        <f>VLOOKUP(Table13[[#This Row],[Column1]],[1]Sheet1!$A:$AO,37,FALSE)</f>
        <v>#N/A</v>
      </c>
      <c r="AL1245" s="576" t="e">
        <f>VLOOKUP(Table13[[#This Row],[Column1]],[1]Sheet1!$A:$AO,38,FALSE)</f>
        <v>#N/A</v>
      </c>
      <c r="AM1245" s="576" t="e">
        <f>VLOOKUP(Table13[[#This Row],[Column1]],[1]Sheet1!$A:$AO,39,FALSE)</f>
        <v>#N/A</v>
      </c>
      <c r="AN1245" s="576" t="e">
        <f>VLOOKUP(Table13[[#This Row],[Column1]],[1]Sheet1!$A:$AO,40,FALSE)</f>
        <v>#N/A</v>
      </c>
      <c r="AO1245" s="303"/>
      <c r="AP1245" s="378"/>
      <c r="AQ1245" s="237"/>
    </row>
    <row r="1246" spans="1:43" s="238" customFormat="1" ht="75" hidden="1" customHeight="1" x14ac:dyDescent="0.25">
      <c r="A1246" s="297"/>
      <c r="B1246" s="627"/>
      <c r="C1246" s="298"/>
      <c r="D1246" s="298"/>
      <c r="E1246" s="402"/>
      <c r="F1246" s="446"/>
      <c r="G1246" s="402"/>
      <c r="H1246" s="374"/>
      <c r="I1246" s="402"/>
      <c r="J1246" s="402"/>
      <c r="K1246" s="402"/>
      <c r="L1246" s="404"/>
      <c r="M1246" s="402"/>
      <c r="N1246" s="402"/>
      <c r="O1246" s="402"/>
      <c r="P1246" s="375"/>
      <c r="Q1246" s="375"/>
      <c r="R1246" s="376"/>
      <c r="S1246" s="583"/>
      <c r="T1246" s="583"/>
      <c r="U1246" s="583"/>
      <c r="V1246" s="376"/>
      <c r="W1246" s="376"/>
      <c r="X1246" s="402"/>
      <c r="Y1246" s="402"/>
      <c r="Z1246" s="377"/>
      <c r="AA1246" s="454" t="str">
        <f>IF(Table13[[#This Row],[Column2]]="","",SUM(Table13[[#This Row],[Column28]]+Table13[[#This Row],[Column29]]))</f>
        <v/>
      </c>
      <c r="AB1246" s="455"/>
      <c r="AC1246" s="452"/>
      <c r="AD1246" s="451" t="str">
        <f>IF(Table13[[#This Row],[Column2]]="","",SUM(Table13[[#This Row],[Column31]]+Table13[[#This Row],[Column32]]))</f>
        <v/>
      </c>
      <c r="AE1246" s="453"/>
      <c r="AF1246" s="646"/>
      <c r="AG1246" s="405"/>
      <c r="AH1246" s="380" t="s">
        <v>1205</v>
      </c>
      <c r="AI1246" s="576" t="e">
        <f>VLOOKUP(Table13[[#This Row],[Column1]],[1]Sheet1!$A:$AO,35,FALSE)</f>
        <v>#N/A</v>
      </c>
      <c r="AJ1246" s="576" t="e">
        <f>VLOOKUP(Table13[[#This Row],[Column1]],[1]Sheet1!$A:$AO,36,FALSE)</f>
        <v>#N/A</v>
      </c>
      <c r="AK1246" s="576" t="e">
        <f>VLOOKUP(Table13[[#This Row],[Column1]],[1]Sheet1!$A:$AO,37,FALSE)</f>
        <v>#N/A</v>
      </c>
      <c r="AL1246" s="576" t="e">
        <f>VLOOKUP(Table13[[#This Row],[Column1]],[1]Sheet1!$A:$AO,38,FALSE)</f>
        <v>#N/A</v>
      </c>
      <c r="AM1246" s="576" t="e">
        <f>VLOOKUP(Table13[[#This Row],[Column1]],[1]Sheet1!$A:$AO,39,FALSE)</f>
        <v>#N/A</v>
      </c>
      <c r="AN1246" s="576" t="e">
        <f>VLOOKUP(Table13[[#This Row],[Column1]],[1]Sheet1!$A:$AO,40,FALSE)</f>
        <v>#N/A</v>
      </c>
      <c r="AO1246" s="303"/>
      <c r="AP1246" s="378"/>
      <c r="AQ1246" s="237"/>
    </row>
    <row r="1247" spans="1:43" s="238" customFormat="1" ht="75" hidden="1" customHeight="1" x14ac:dyDescent="0.25">
      <c r="A1247" s="297"/>
      <c r="B1247" s="627"/>
      <c r="C1247" s="298"/>
      <c r="D1247" s="298"/>
      <c r="E1247" s="402"/>
      <c r="F1247" s="446"/>
      <c r="G1247" s="402"/>
      <c r="H1247" s="374"/>
      <c r="I1247" s="402"/>
      <c r="J1247" s="402"/>
      <c r="K1247" s="402"/>
      <c r="L1247" s="404"/>
      <c r="M1247" s="402"/>
      <c r="N1247" s="402"/>
      <c r="O1247" s="402"/>
      <c r="P1247" s="375"/>
      <c r="Q1247" s="375"/>
      <c r="R1247" s="376"/>
      <c r="S1247" s="583"/>
      <c r="T1247" s="583"/>
      <c r="U1247" s="583"/>
      <c r="V1247" s="376"/>
      <c r="W1247" s="376"/>
      <c r="X1247" s="402"/>
      <c r="Y1247" s="402"/>
      <c r="Z1247" s="377"/>
      <c r="AA1247" s="454" t="str">
        <f>IF(Table13[[#This Row],[Column2]]="","",SUM(Table13[[#This Row],[Column28]]+Table13[[#This Row],[Column29]]))</f>
        <v/>
      </c>
      <c r="AB1247" s="455"/>
      <c r="AC1247" s="452"/>
      <c r="AD1247" s="451" t="str">
        <f>IF(Table13[[#This Row],[Column2]]="","",SUM(Table13[[#This Row],[Column31]]+Table13[[#This Row],[Column32]]))</f>
        <v/>
      </c>
      <c r="AE1247" s="453"/>
      <c r="AF1247" s="646"/>
      <c r="AG1247" s="405"/>
      <c r="AH1247" s="380" t="s">
        <v>1205</v>
      </c>
      <c r="AI1247" s="576" t="e">
        <f>VLOOKUP(Table13[[#This Row],[Column1]],[1]Sheet1!$A:$AO,35,FALSE)</f>
        <v>#N/A</v>
      </c>
      <c r="AJ1247" s="576" t="e">
        <f>VLOOKUP(Table13[[#This Row],[Column1]],[1]Sheet1!$A:$AO,36,FALSE)</f>
        <v>#N/A</v>
      </c>
      <c r="AK1247" s="576" t="e">
        <f>VLOOKUP(Table13[[#This Row],[Column1]],[1]Sheet1!$A:$AO,37,FALSE)</f>
        <v>#N/A</v>
      </c>
      <c r="AL1247" s="576" t="e">
        <f>VLOOKUP(Table13[[#This Row],[Column1]],[1]Sheet1!$A:$AO,38,FALSE)</f>
        <v>#N/A</v>
      </c>
      <c r="AM1247" s="576" t="e">
        <f>VLOOKUP(Table13[[#This Row],[Column1]],[1]Sheet1!$A:$AO,39,FALSE)</f>
        <v>#N/A</v>
      </c>
      <c r="AN1247" s="576" t="e">
        <f>VLOOKUP(Table13[[#This Row],[Column1]],[1]Sheet1!$A:$AO,40,FALSE)</f>
        <v>#N/A</v>
      </c>
      <c r="AO1247" s="303"/>
      <c r="AP1247" s="378"/>
      <c r="AQ1247" s="237"/>
    </row>
    <row r="1248" spans="1:43" s="238" customFormat="1" ht="48" thickBot="1" x14ac:dyDescent="0.3">
      <c r="A1248" s="297"/>
      <c r="B1248" s="627"/>
      <c r="C1248" s="380"/>
      <c r="D1248" s="298"/>
      <c r="E1248" s="299"/>
      <c r="F1248" s="434"/>
      <c r="G1248" s="434"/>
      <c r="H1248" s="374"/>
      <c r="I1248" s="435"/>
      <c r="J1248" s="434"/>
      <c r="K1248" s="434"/>
      <c r="L1248" s="404"/>
      <c r="M1248" s="434"/>
      <c r="N1248" s="434"/>
      <c r="O1248" s="435"/>
      <c r="P1248" s="375"/>
      <c r="Q1248" s="375"/>
      <c r="R1248" s="376"/>
      <c r="S1248" s="576"/>
      <c r="T1248" s="576"/>
      <c r="U1248" s="576"/>
      <c r="V1248" s="376"/>
      <c r="W1248" s="376"/>
      <c r="X1248" s="402"/>
      <c r="Y1248" s="392"/>
      <c r="Z1248" s="377" t="s">
        <v>48</v>
      </c>
      <c r="AA1248" s="454">
        <f>SUBTOTAL(109,Table13[Column27])</f>
        <v>560063080.43000007</v>
      </c>
      <c r="AB1248" s="455">
        <f>SUBTOTAL(109,Table13[Column28])</f>
        <v>21192165.499999996</v>
      </c>
      <c r="AC1248" s="452">
        <f>SUBTOTAL(109,Table13[Column29])</f>
        <v>538870914.93000007</v>
      </c>
      <c r="AD1248" s="451">
        <f>SUBTOTAL(109,Table13[Column30])</f>
        <v>77489220.480000019</v>
      </c>
      <c r="AE1248" s="453">
        <f>SUBTOTAL(109,Table13[Column31])</f>
        <v>19801452.169999994</v>
      </c>
      <c r="AF1248" s="646">
        <f>SUBTOTAL(109,Table13[Column32])</f>
        <v>57687768.310000017</v>
      </c>
      <c r="AG1248" s="405"/>
      <c r="AH1248" s="380"/>
      <c r="AI1248" s="576"/>
      <c r="AJ1248" s="576"/>
      <c r="AK1248" s="576"/>
      <c r="AL1248" s="576"/>
      <c r="AM1248" s="576"/>
      <c r="AN1248" s="576"/>
      <c r="AO1248" s="303"/>
      <c r="AP1248" s="378"/>
      <c r="AQ1248" s="237"/>
    </row>
    <row r="1249" spans="1:43" s="70" customFormat="1" ht="40.15" customHeight="1" thickBot="1" x14ac:dyDescent="0.3">
      <c r="A1249" s="354"/>
      <c r="B1249" s="628"/>
      <c r="C1249" s="355"/>
      <c r="D1249" s="356"/>
      <c r="E1249" s="357"/>
      <c r="F1249" s="355"/>
      <c r="G1249" s="355"/>
      <c r="H1249" s="358" t="e">
        <f>SUBTOTAL(101,Table13[Column8])</f>
        <v>#N/A</v>
      </c>
      <c r="I1249" s="355"/>
      <c r="J1249" s="355"/>
      <c r="K1249" s="355"/>
      <c r="L1249" s="359"/>
      <c r="M1249" s="355"/>
      <c r="N1249" s="355"/>
      <c r="O1249" s="355"/>
      <c r="P1249" s="360"/>
      <c r="Q1249" s="360"/>
      <c r="R1249" s="361"/>
      <c r="S1249" s="584"/>
      <c r="T1249" s="585"/>
      <c r="U1249" s="585"/>
      <c r="V1249" s="331"/>
      <c r="W1249" s="331"/>
      <c r="X1249" s="251"/>
      <c r="Y1249" s="250"/>
      <c r="Z1249" s="252" t="s">
        <v>48</v>
      </c>
      <c r="AA1249" s="477">
        <f>SUBTOTAL(109,Table13[Column27])</f>
        <v>560063080.43000007</v>
      </c>
      <c r="AB1249" s="478">
        <f>SUBTOTAL(109,Table13[Column28])</f>
        <v>21192165.499999996</v>
      </c>
      <c r="AC1249" s="518">
        <f>SUBTOTAL(109,Table13[Column29])</f>
        <v>538870914.93000007</v>
      </c>
      <c r="AD1249" s="519">
        <f>SUBTOTAL(109,Table13[Column30])</f>
        <v>77489220.480000019</v>
      </c>
      <c r="AE1249" s="520">
        <f>SUBTOTAL(109,Table13[Column31])</f>
        <v>19801452.169999994</v>
      </c>
      <c r="AF1249" s="673">
        <f>SUBTOTAL(109,Table13[Column32])</f>
        <v>57687768.310000017</v>
      </c>
      <c r="AG1249" s="253">
        <f>SUBTOTAL(101,Table13[Column33])</f>
        <v>1.6126488016968105E-2</v>
      </c>
      <c r="AH1249" s="426"/>
      <c r="AI1249" s="585"/>
      <c r="AJ1249" s="585"/>
      <c r="AK1249" s="585"/>
      <c r="AL1249" s="585"/>
      <c r="AM1249" s="585"/>
      <c r="AN1249" s="585"/>
      <c r="AO1249" s="250"/>
      <c r="AP1249" s="291"/>
      <c r="AQ1249" s="217"/>
    </row>
    <row r="1250" spans="1:43" s="70" customFormat="1" ht="40.15" customHeight="1" thickTop="1" x14ac:dyDescent="0.25">
      <c r="A1250" s="364"/>
      <c r="B1250" s="629"/>
      <c r="C1250" s="365"/>
      <c r="D1250" s="366"/>
      <c r="E1250" s="367"/>
      <c r="F1250" s="365"/>
      <c r="G1250" s="365"/>
      <c r="H1250" s="368"/>
      <c r="I1250" s="365"/>
      <c r="J1250" s="365"/>
      <c r="K1250" s="365"/>
      <c r="L1250" s="369"/>
      <c r="M1250" s="365"/>
      <c r="N1250" s="365"/>
      <c r="O1250" s="365"/>
      <c r="P1250" s="370"/>
      <c r="Q1250" s="370"/>
      <c r="R1250" s="371"/>
      <c r="S1250" s="586"/>
      <c r="T1250" s="586"/>
      <c r="U1250" s="586"/>
      <c r="V1250" s="371"/>
      <c r="W1250" s="371"/>
      <c r="X1250" s="366"/>
      <c r="Y1250" s="365"/>
      <c r="Z1250" s="372"/>
      <c r="AA1250" s="479"/>
      <c r="AB1250" s="480"/>
      <c r="AC1250" s="521"/>
      <c r="AD1250" s="522"/>
      <c r="AE1250" s="523"/>
      <c r="AF1250" s="647"/>
      <c r="AG1250" s="373"/>
      <c r="AH1250" s="427"/>
      <c r="AI1250" s="586"/>
      <c r="AJ1250" s="586"/>
      <c r="AK1250" s="586"/>
      <c r="AL1250" s="586"/>
      <c r="AM1250" s="586"/>
      <c r="AN1250" s="586"/>
      <c r="AO1250" s="365"/>
      <c r="AP1250" s="366"/>
      <c r="AQ1250" s="217"/>
    </row>
    <row r="1251" spans="1:43" s="40" customFormat="1" ht="28.5" x14ac:dyDescent="0.45">
      <c r="A1251" s="39"/>
      <c r="B1251" s="630"/>
      <c r="C1251" s="76"/>
      <c r="D1251" s="76"/>
      <c r="E1251" s="76"/>
      <c r="F1251" s="76"/>
      <c r="G1251" s="76"/>
      <c r="H1251" s="90"/>
      <c r="I1251" s="76"/>
      <c r="J1251" s="76"/>
      <c r="K1251" s="76"/>
      <c r="L1251" s="90"/>
      <c r="M1251" s="76"/>
      <c r="N1251" s="76"/>
      <c r="O1251" s="76"/>
      <c r="P1251" s="332"/>
      <c r="Q1251" s="333"/>
      <c r="R1251" s="333"/>
      <c r="S1251" s="569"/>
      <c r="T1251" s="569"/>
      <c r="U1251" s="569"/>
      <c r="V1251" s="349"/>
      <c r="W1251" s="332"/>
      <c r="X1251" s="76"/>
      <c r="Y1251" s="76"/>
      <c r="Z1251" s="76"/>
      <c r="AA1251" s="456"/>
      <c r="AB1251" s="104"/>
      <c r="AC1251" s="485"/>
      <c r="AD1251" s="486"/>
      <c r="AE1251" s="485"/>
      <c r="AF1251" s="634"/>
      <c r="AG1251" s="101"/>
      <c r="AH1251" s="223"/>
      <c r="AI1251" s="569"/>
      <c r="AJ1251" s="569"/>
      <c r="AK1251" s="569"/>
      <c r="AL1251" s="569"/>
      <c r="AM1251" s="569"/>
      <c r="AN1251" s="589"/>
      <c r="AO1251" s="86"/>
      <c r="AP1251" s="128"/>
      <c r="AQ1251" s="129"/>
    </row>
    <row r="1252" spans="1:43" s="40" customFormat="1" ht="30.75" x14ac:dyDescent="0.45">
      <c r="A1252" s="280"/>
      <c r="B1252" s="631"/>
      <c r="C1252" s="281" t="s">
        <v>49</v>
      </c>
      <c r="D1252" s="281"/>
      <c r="E1252" s="280"/>
      <c r="F1252" s="280"/>
      <c r="G1252" s="280"/>
      <c r="H1252" s="282"/>
      <c r="I1252" s="280"/>
      <c r="J1252" s="280"/>
      <c r="K1252" s="280"/>
      <c r="L1252" s="282"/>
      <c r="M1252" s="283" t="s">
        <v>1469</v>
      </c>
      <c r="N1252" s="280"/>
      <c r="O1252" s="280"/>
      <c r="P1252" s="334"/>
      <c r="Q1252" s="335"/>
      <c r="R1252" s="335"/>
      <c r="S1252" s="587"/>
      <c r="T1252" s="587"/>
      <c r="U1252" s="587"/>
      <c r="V1252" s="350"/>
      <c r="W1252" s="334"/>
      <c r="X1252" s="280"/>
      <c r="Y1252" s="280"/>
      <c r="Z1252" s="284"/>
      <c r="AA1252" s="481"/>
      <c r="AB1252" s="482"/>
      <c r="AC1252" s="524"/>
      <c r="AD1252" s="525" t="s">
        <v>1467</v>
      </c>
      <c r="AE1252" s="526"/>
      <c r="AF1252" s="648"/>
      <c r="AG1252" s="285"/>
      <c r="AH1252" s="428"/>
      <c r="AI1252" s="606"/>
      <c r="AJ1252" s="607"/>
      <c r="AK1252" s="607"/>
      <c r="AL1252" s="607"/>
      <c r="AM1252" s="606"/>
      <c r="AN1252" s="606"/>
      <c r="AO1252" s="286"/>
      <c r="AP1252" s="287"/>
      <c r="AQ1252" s="284"/>
    </row>
    <row r="1253" spans="1:43" s="280" customFormat="1" ht="30.75" hidden="1" x14ac:dyDescent="0.45">
      <c r="A1253" s="76"/>
      <c r="B1253" s="630"/>
      <c r="C1253" s="102"/>
      <c r="D1253" s="102"/>
      <c r="E1253" s="102"/>
      <c r="F1253" s="102"/>
      <c r="G1253" s="102"/>
      <c r="H1253" s="103"/>
      <c r="I1253" s="102"/>
      <c r="J1253" s="102"/>
      <c r="K1253" s="102"/>
      <c r="L1253" s="103"/>
      <c r="M1253" s="81"/>
      <c r="N1253" s="80"/>
      <c r="O1253" s="80"/>
      <c r="P1253" s="336"/>
      <c r="Q1253" s="337"/>
      <c r="R1253" s="337"/>
      <c r="S1253" s="588"/>
      <c r="T1253" s="569"/>
      <c r="U1253" s="569"/>
      <c r="V1253" s="337"/>
      <c r="W1253" s="338"/>
      <c r="X1253" s="76"/>
      <c r="Y1253" s="76"/>
      <c r="Z1253" s="80"/>
      <c r="AA1253" s="457"/>
      <c r="AB1253" s="483"/>
      <c r="AC1253" s="487"/>
      <c r="AD1253" s="486"/>
      <c r="AE1253" s="527"/>
      <c r="AF1253" s="635"/>
      <c r="AG1253" s="220"/>
      <c r="AH1253" s="223"/>
      <c r="AI1253" s="608"/>
      <c r="AJ1253" s="570"/>
      <c r="AK1253" s="570"/>
      <c r="AL1253" s="570"/>
      <c r="AM1253" s="570"/>
      <c r="AN1253" s="590"/>
      <c r="AO1253" s="86"/>
      <c r="AP1253" s="221"/>
      <c r="AQ1253" s="222"/>
    </row>
    <row r="1254" spans="1:43" s="280" customFormat="1" ht="30.75" x14ac:dyDescent="0.45">
      <c r="A1254" s="76"/>
      <c r="B1254" s="630"/>
      <c r="C1254" s="102"/>
      <c r="D1254" s="102"/>
      <c r="E1254" s="102"/>
      <c r="F1254" s="102"/>
      <c r="G1254" s="102"/>
      <c r="H1254" s="103"/>
      <c r="I1254" s="102"/>
      <c r="J1254" s="102"/>
      <c r="K1254" s="102"/>
      <c r="L1254" s="103"/>
      <c r="M1254" s="81"/>
      <c r="N1254" s="80"/>
      <c r="O1254" s="80"/>
      <c r="P1254" s="336"/>
      <c r="Q1254" s="337"/>
      <c r="R1254" s="337"/>
      <c r="S1254" s="588"/>
      <c r="T1254" s="569"/>
      <c r="U1254" s="569"/>
      <c r="V1254" s="337"/>
      <c r="W1254" s="338"/>
      <c r="X1254" s="76"/>
      <c r="Y1254" s="76"/>
      <c r="Z1254" s="80"/>
      <c r="AA1254" s="457"/>
      <c r="AB1254" s="483"/>
      <c r="AC1254" s="487"/>
      <c r="AD1254" s="486"/>
      <c r="AE1254" s="527"/>
      <c r="AF1254" s="635"/>
      <c r="AG1254" s="220"/>
      <c r="AH1254" s="223"/>
      <c r="AI1254" s="608"/>
      <c r="AJ1254" s="570"/>
      <c r="AK1254" s="570"/>
      <c r="AL1254" s="570"/>
      <c r="AM1254" s="570"/>
      <c r="AN1254" s="590"/>
      <c r="AO1254" s="86"/>
      <c r="AP1254" s="221"/>
      <c r="AQ1254" s="222"/>
    </row>
    <row r="1255" spans="1:43" s="280" customFormat="1" ht="30.75" x14ac:dyDescent="0.45">
      <c r="A1255" s="76"/>
      <c r="B1255" s="630"/>
      <c r="C1255" s="102"/>
      <c r="D1255" s="102"/>
      <c r="E1255" s="102"/>
      <c r="F1255" s="102"/>
      <c r="G1255" s="102"/>
      <c r="H1255" s="103"/>
      <c r="I1255" s="102"/>
      <c r="J1255" s="102"/>
      <c r="K1255" s="102"/>
      <c r="L1255" s="103"/>
      <c r="M1255" s="81"/>
      <c r="N1255" s="80"/>
      <c r="O1255" s="80"/>
      <c r="P1255" s="336"/>
      <c r="Q1255" s="337"/>
      <c r="R1255" s="337"/>
      <c r="S1255" s="588"/>
      <c r="T1255" s="569"/>
      <c r="U1255" s="569"/>
      <c r="V1255" s="337"/>
      <c r="W1255" s="338"/>
      <c r="X1255" s="76"/>
      <c r="Y1255" s="76"/>
      <c r="Z1255" s="80"/>
      <c r="AA1255" s="457"/>
      <c r="AB1255" s="483"/>
      <c r="AC1255" s="487"/>
      <c r="AD1255" s="486"/>
      <c r="AE1255" s="527"/>
      <c r="AF1255" s="635"/>
      <c r="AG1255" s="220"/>
      <c r="AH1255" s="223"/>
      <c r="AI1255" s="608"/>
      <c r="AJ1255" s="570"/>
      <c r="AK1255" s="570"/>
      <c r="AL1255" s="570"/>
      <c r="AM1255" s="570"/>
      <c r="AN1255" s="590"/>
      <c r="AO1255" s="86"/>
      <c r="AP1255" s="221"/>
      <c r="AQ1255" s="222"/>
    </row>
    <row r="1256" spans="1:43" s="280" customFormat="1" ht="30.75" x14ac:dyDescent="0.45">
      <c r="A1256" s="76"/>
      <c r="B1256" s="630"/>
      <c r="C1256" s="568" t="s">
        <v>1463</v>
      </c>
      <c r="D1256" s="102"/>
      <c r="E1256" s="102"/>
      <c r="F1256" s="102"/>
      <c r="G1256" s="102"/>
      <c r="H1256" s="103"/>
      <c r="I1256" s="102"/>
      <c r="J1256" s="102"/>
      <c r="K1256" s="102"/>
      <c r="L1256" s="103"/>
      <c r="M1256" s="81"/>
      <c r="N1256" s="80" t="s">
        <v>1471</v>
      </c>
      <c r="O1256" s="80"/>
      <c r="P1256" s="336"/>
      <c r="Q1256" s="337"/>
      <c r="R1256" s="337"/>
      <c r="S1256" s="588"/>
      <c r="T1256" s="569"/>
      <c r="U1256" s="569"/>
      <c r="V1256" s="337"/>
      <c r="W1256" s="338"/>
      <c r="X1256" s="76"/>
      <c r="Y1256" s="76"/>
      <c r="Z1256" s="80"/>
      <c r="AA1256" s="457"/>
      <c r="AB1256" s="483"/>
      <c r="AC1256" s="487"/>
      <c r="AD1256" s="568" t="s">
        <v>1468</v>
      </c>
      <c r="AE1256" s="527"/>
      <c r="AF1256" s="635"/>
      <c r="AG1256" s="220"/>
      <c r="AH1256" s="223"/>
      <c r="AI1256" s="608"/>
      <c r="AJ1256" s="570"/>
      <c r="AK1256" s="570"/>
      <c r="AL1256" s="570"/>
      <c r="AM1256" s="570"/>
      <c r="AN1256" s="590"/>
      <c r="AO1256" s="86"/>
      <c r="AP1256" s="221"/>
      <c r="AQ1256" s="222"/>
    </row>
    <row r="1257" spans="1:43" s="280" customFormat="1" ht="30.75" x14ac:dyDescent="0.45">
      <c r="A1257" s="76"/>
      <c r="B1257" s="630"/>
      <c r="C1257" s="102" t="s">
        <v>1464</v>
      </c>
      <c r="D1257" s="102"/>
      <c r="E1257" s="102"/>
      <c r="F1257" s="102"/>
      <c r="G1257" s="102"/>
      <c r="H1257" s="103"/>
      <c r="I1257" s="102"/>
      <c r="J1257" s="102"/>
      <c r="K1257" s="102"/>
      <c r="L1257" s="103"/>
      <c r="M1257" s="81"/>
      <c r="N1257" s="80" t="s">
        <v>1470</v>
      </c>
      <c r="O1257" s="80"/>
      <c r="P1257" s="336"/>
      <c r="Q1257" s="337"/>
      <c r="R1257" s="337"/>
      <c r="S1257" s="588"/>
      <c r="T1257" s="569"/>
      <c r="U1257" s="569"/>
      <c r="V1257" s="337"/>
      <c r="W1257" s="338"/>
      <c r="X1257" s="76"/>
      <c r="Y1257" s="76"/>
      <c r="Z1257" s="80"/>
      <c r="AA1257" s="457"/>
      <c r="AB1257" s="483"/>
      <c r="AC1257" s="487"/>
      <c r="AD1257" s="76" t="s">
        <v>50</v>
      </c>
      <c r="AE1257" s="527"/>
      <c r="AF1257" s="635"/>
      <c r="AG1257" s="220"/>
      <c r="AH1257" s="223"/>
      <c r="AI1257" s="608"/>
      <c r="AJ1257" s="570"/>
      <c r="AK1257" s="570"/>
      <c r="AL1257" s="570"/>
      <c r="AM1257" s="570"/>
      <c r="AN1257" s="590"/>
      <c r="AO1257" s="86"/>
      <c r="AP1257" s="221"/>
      <c r="AQ1257" s="222"/>
    </row>
    <row r="1258" spans="1:43" s="140" customFormat="1" ht="36" x14ac:dyDescent="0.55000000000000004">
      <c r="A1258" s="76"/>
      <c r="B1258" s="630"/>
      <c r="C1258" s="567"/>
      <c r="D1258" s="102"/>
      <c r="E1258" s="102"/>
      <c r="F1258" s="102"/>
      <c r="G1258" s="102"/>
      <c r="H1258" s="103"/>
      <c r="I1258" s="102"/>
      <c r="J1258" s="102"/>
      <c r="K1258" s="102"/>
      <c r="L1258" s="103"/>
      <c r="M1258" s="565"/>
      <c r="N1258" s="566"/>
      <c r="O1258" s="566"/>
      <c r="P1258" s="338"/>
      <c r="Q1258" s="339"/>
      <c r="R1258" s="339"/>
      <c r="S1258" s="588"/>
      <c r="T1258" s="569"/>
      <c r="U1258" s="569"/>
      <c r="V1258" s="337"/>
      <c r="W1258" s="351"/>
      <c r="X1258" s="76"/>
      <c r="Y1258" s="76"/>
      <c r="Z1258" s="80"/>
      <c r="AA1258" s="457"/>
      <c r="AB1258" s="483"/>
      <c r="AC1258" s="487"/>
      <c r="AD1258" s="567"/>
      <c r="AE1258" s="527"/>
      <c r="AF1258" s="635"/>
      <c r="AG1258" s="220"/>
      <c r="AH1258" s="223"/>
      <c r="AI1258" s="608"/>
      <c r="AJ1258" s="570"/>
      <c r="AK1258" s="570"/>
      <c r="AL1258" s="570"/>
      <c r="AM1258" s="570"/>
      <c r="AN1258" s="590"/>
      <c r="AO1258" s="86"/>
      <c r="AP1258" s="221"/>
      <c r="AQ1258" s="222"/>
    </row>
    <row r="1259" spans="1:43" s="140" customFormat="1" ht="28.5" hidden="1" x14ac:dyDescent="0.45">
      <c r="A1259" s="76"/>
      <c r="B1259" s="630"/>
      <c r="C1259" s="102"/>
      <c r="D1259" s="102"/>
      <c r="E1259" s="102"/>
      <c r="F1259" s="102"/>
      <c r="G1259" s="102"/>
      <c r="H1259" s="103"/>
      <c r="I1259" s="102"/>
      <c r="J1259" s="102"/>
      <c r="K1259" s="102"/>
      <c r="L1259" s="103"/>
      <c r="M1259" s="565"/>
      <c r="N1259" s="566"/>
      <c r="O1259" s="566"/>
      <c r="P1259" s="338"/>
      <c r="Q1259" s="339"/>
      <c r="R1259" s="339"/>
      <c r="S1259" s="588"/>
      <c r="T1259" s="569"/>
      <c r="U1259" s="569"/>
      <c r="V1259" s="337"/>
      <c r="W1259" s="351"/>
      <c r="X1259" s="76"/>
      <c r="Y1259" s="76"/>
      <c r="Z1259" s="80"/>
      <c r="AA1259" s="457"/>
      <c r="AB1259" s="483"/>
      <c r="AC1259" s="487"/>
      <c r="AD1259" s="486" t="s">
        <v>1468</v>
      </c>
      <c r="AE1259" s="527"/>
      <c r="AF1259" s="635"/>
      <c r="AG1259" s="220"/>
      <c r="AH1259" s="223"/>
      <c r="AI1259" s="608"/>
      <c r="AJ1259" s="570"/>
      <c r="AK1259" s="570"/>
      <c r="AL1259" s="570"/>
      <c r="AM1259" s="570"/>
      <c r="AN1259" s="590"/>
      <c r="AO1259" s="86"/>
      <c r="AP1259" s="221"/>
      <c r="AQ1259" s="222"/>
    </row>
    <row r="1260" spans="1:43" s="140" customFormat="1" ht="408.75" hidden="1" customHeight="1" x14ac:dyDescent="0.45">
      <c r="A1260" s="280"/>
      <c r="B1260" s="631"/>
      <c r="C1260" s="526"/>
      <c r="D1260" s="280"/>
      <c r="E1260" s="280"/>
      <c r="F1260" s="280"/>
      <c r="G1260" s="280"/>
      <c r="H1260" s="282"/>
      <c r="I1260" s="280"/>
      <c r="J1260" s="280"/>
      <c r="K1260" s="280"/>
      <c r="L1260" s="282"/>
      <c r="M1260" s="288"/>
      <c r="N1260" s="280"/>
      <c r="O1260" s="280"/>
      <c r="P1260" s="334"/>
      <c r="Q1260" s="335"/>
      <c r="R1260" s="335"/>
      <c r="S1260" s="587"/>
      <c r="T1260" s="587"/>
      <c r="U1260" s="587"/>
      <c r="V1260" s="350"/>
      <c r="W1260" s="334"/>
      <c r="X1260" s="280"/>
      <c r="Y1260" s="280"/>
      <c r="Z1260" s="284"/>
      <c r="AA1260" s="481"/>
      <c r="AB1260" s="482"/>
      <c r="AC1260" s="524"/>
      <c r="AD1260" s="526"/>
      <c r="AE1260" s="526"/>
      <c r="AF1260" s="649"/>
      <c r="AG1260" s="285"/>
      <c r="AH1260" s="428"/>
      <c r="AI1260" s="609"/>
      <c r="AJ1260" s="587"/>
      <c r="AK1260" s="587"/>
      <c r="AL1260" s="587"/>
      <c r="AM1260" s="587"/>
      <c r="AN1260" s="607"/>
      <c r="AO1260" s="286"/>
      <c r="AP1260" s="287"/>
      <c r="AQ1260" s="284"/>
    </row>
    <row r="1261" spans="1:43" s="280" customFormat="1" ht="30.75" hidden="1" x14ac:dyDescent="0.45">
      <c r="A1261" s="39"/>
      <c r="B1261" s="630"/>
      <c r="C1261" s="76"/>
      <c r="D1261" s="76"/>
      <c r="E1261" s="76"/>
      <c r="G1261" s="76"/>
      <c r="H1261" s="90"/>
      <c r="I1261" s="76"/>
      <c r="J1261" s="76"/>
      <c r="K1261" s="76"/>
      <c r="L1261" s="90"/>
      <c r="M1261" s="76"/>
      <c r="N1261" s="76"/>
      <c r="O1261" s="76"/>
      <c r="P1261" s="332"/>
      <c r="Q1261" s="333"/>
      <c r="R1261" s="333"/>
      <c r="S1261" s="569"/>
      <c r="T1261" s="569"/>
      <c r="U1261" s="569"/>
      <c r="V1261" s="349"/>
      <c r="W1261" s="332"/>
      <c r="X1261" s="76"/>
      <c r="Y1261" s="76"/>
      <c r="Z1261" s="76"/>
      <c r="AA1261" s="456"/>
      <c r="AB1261" s="104"/>
      <c r="AC1261" s="485"/>
      <c r="AD1261" s="486"/>
      <c r="AE1261" s="485"/>
      <c r="AF1261" s="634"/>
      <c r="AG1261" s="101"/>
      <c r="AH1261" s="223"/>
      <c r="AI1261" s="569"/>
      <c r="AJ1261" s="569"/>
      <c r="AK1261" s="569"/>
      <c r="AL1261" s="569"/>
      <c r="AM1261" s="569"/>
      <c r="AN1261" s="589"/>
      <c r="AO1261" s="86"/>
      <c r="AP1261" s="128"/>
      <c r="AQ1261" s="129"/>
    </row>
    <row r="1262" spans="1:43" s="40" customFormat="1" ht="21" hidden="1" customHeight="1" x14ac:dyDescent="0.45">
      <c r="A1262" s="39"/>
      <c r="B1262" s="630"/>
      <c r="C1262" s="76"/>
      <c r="D1262" s="76"/>
      <c r="E1262" s="76"/>
      <c r="F1262" s="76"/>
      <c r="G1262" s="76"/>
      <c r="H1262" s="90"/>
      <c r="I1262" s="76"/>
      <c r="J1262" s="76"/>
      <c r="K1262" s="76"/>
      <c r="L1262" s="90"/>
      <c r="M1262" s="76"/>
      <c r="N1262" s="76"/>
      <c r="O1262" s="76"/>
      <c r="P1262" s="332"/>
      <c r="Q1262" s="333"/>
      <c r="R1262" s="333"/>
      <c r="S1262" s="569"/>
      <c r="T1262" s="569"/>
      <c r="U1262" s="569"/>
      <c r="V1262" s="349"/>
      <c r="W1262" s="332"/>
      <c r="X1262" s="76"/>
      <c r="Y1262" s="76"/>
      <c r="Z1262" s="76"/>
      <c r="AA1262" s="456"/>
      <c r="AB1262" s="104"/>
      <c r="AC1262" s="485"/>
      <c r="AD1262" s="486"/>
      <c r="AE1262" s="485"/>
      <c r="AF1262" s="634"/>
      <c r="AG1262" s="101"/>
      <c r="AH1262" s="223"/>
      <c r="AI1262" s="569"/>
      <c r="AJ1262" s="569"/>
      <c r="AK1262" s="569"/>
      <c r="AL1262" s="569"/>
      <c r="AM1262" s="569"/>
      <c r="AN1262" s="589"/>
      <c r="AO1262" s="86"/>
      <c r="AP1262" s="38"/>
      <c r="AQ1262" s="117"/>
    </row>
    <row r="1263" spans="1:43" ht="28.5" hidden="1" x14ac:dyDescent="0.45">
      <c r="A1263" s="39"/>
      <c r="B1263" s="630"/>
      <c r="C1263" s="76"/>
      <c r="D1263" s="76"/>
      <c r="E1263" s="76"/>
      <c r="F1263" s="76"/>
      <c r="G1263" s="76"/>
      <c r="H1263" s="90"/>
      <c r="I1263" s="76"/>
      <c r="J1263" s="76"/>
      <c r="K1263" s="76"/>
      <c r="L1263" s="90"/>
      <c r="M1263" s="76"/>
      <c r="N1263" s="76"/>
      <c r="O1263" s="76"/>
      <c r="P1263" s="332"/>
      <c r="Q1263" s="333"/>
      <c r="R1263" s="333"/>
      <c r="S1263" s="569"/>
      <c r="T1263" s="569"/>
      <c r="U1263" s="569"/>
      <c r="V1263" s="349"/>
      <c r="W1263" s="332"/>
      <c r="X1263" s="76"/>
      <c r="Y1263" s="76"/>
      <c r="Z1263" s="76"/>
      <c r="AA1263" s="456"/>
      <c r="AB1263" s="104"/>
      <c r="AC1263" s="485"/>
      <c r="AD1263" s="486"/>
      <c r="AE1263" s="485"/>
      <c r="AF1263" s="634"/>
      <c r="AG1263" s="101"/>
      <c r="AH1263" s="223"/>
      <c r="AI1263" s="569"/>
      <c r="AJ1263" s="569"/>
      <c r="AK1263" s="569"/>
      <c r="AL1263" s="569"/>
      <c r="AM1263" s="569"/>
      <c r="AN1263" s="589"/>
      <c r="AO1263" s="86"/>
      <c r="AP1263" s="38"/>
    </row>
    <row r="1264" spans="1:43" s="562" customFormat="1" ht="28.5" hidden="1" x14ac:dyDescent="0.45">
      <c r="A1264" s="39"/>
      <c r="B1264" s="630"/>
      <c r="C1264" s="76"/>
      <c r="D1264" s="76"/>
      <c r="E1264" s="76"/>
      <c r="F1264" s="76"/>
      <c r="G1264" s="76"/>
      <c r="H1264" s="90"/>
      <c r="I1264" s="76"/>
      <c r="J1264" s="76"/>
      <c r="K1264" s="76"/>
      <c r="L1264" s="90"/>
      <c r="M1264" s="76"/>
      <c r="N1264" s="76"/>
      <c r="O1264" s="76"/>
      <c r="P1264" s="332"/>
      <c r="Q1264" s="333"/>
      <c r="R1264" s="333"/>
      <c r="S1264" s="569"/>
      <c r="T1264" s="569"/>
      <c r="U1264" s="569"/>
      <c r="V1264" s="349"/>
      <c r="W1264" s="332"/>
      <c r="X1264" s="76"/>
      <c r="Y1264" s="76"/>
      <c r="Z1264" s="76"/>
      <c r="AA1264" s="456"/>
      <c r="AB1264" s="104"/>
      <c r="AC1264" s="485"/>
      <c r="AD1264" s="486"/>
      <c r="AE1264" s="485"/>
      <c r="AF1264" s="634"/>
      <c r="AG1264" s="101"/>
      <c r="AH1264" s="223"/>
      <c r="AI1264" s="569"/>
      <c r="AJ1264" s="569"/>
      <c r="AK1264" s="569"/>
      <c r="AL1264" s="569"/>
      <c r="AM1264" s="569"/>
      <c r="AN1264" s="589"/>
      <c r="AO1264" s="86"/>
      <c r="AP1264" s="38"/>
      <c r="AQ1264" s="117"/>
    </row>
    <row r="1265" spans="1:43" ht="28.5" hidden="1" x14ac:dyDescent="0.45">
      <c r="A1265" s="39"/>
      <c r="B1265" s="630"/>
      <c r="C1265" s="76"/>
      <c r="D1265" s="76"/>
      <c r="E1265" s="76"/>
      <c r="F1265" s="76"/>
      <c r="G1265" s="76"/>
      <c r="H1265" s="90"/>
      <c r="I1265" s="76"/>
      <c r="J1265" s="76"/>
      <c r="K1265" s="76"/>
      <c r="L1265" s="90"/>
      <c r="M1265" s="76"/>
      <c r="N1265" s="76"/>
      <c r="O1265" s="76"/>
      <c r="P1265" s="332"/>
      <c r="Q1265" s="333"/>
      <c r="R1265" s="333"/>
      <c r="S1265" s="569"/>
      <c r="T1265" s="569"/>
      <c r="U1265" s="569"/>
      <c r="V1265" s="349"/>
      <c r="W1265" s="332"/>
      <c r="X1265" s="76"/>
      <c r="Y1265" s="76"/>
      <c r="Z1265" s="76"/>
      <c r="AA1265" s="456"/>
      <c r="AB1265" s="104"/>
      <c r="AC1265" s="485"/>
      <c r="AD1265" s="486"/>
      <c r="AE1265" s="485"/>
      <c r="AF1265" s="634"/>
      <c r="AG1265" s="101"/>
      <c r="AH1265" s="223"/>
      <c r="AI1265" s="569"/>
      <c r="AJ1265" s="569"/>
      <c r="AK1265" s="569"/>
      <c r="AL1265" s="569"/>
      <c r="AM1265" s="569"/>
      <c r="AN1265" s="589"/>
      <c r="AO1265" s="86"/>
      <c r="AP1265" s="38"/>
    </row>
    <row r="1266" spans="1:43" ht="23.25" x14ac:dyDescent="0.35">
      <c r="A1266" s="4"/>
      <c r="B1266" s="614"/>
      <c r="C1266" s="104"/>
      <c r="D1266" s="104"/>
      <c r="E1266" s="71"/>
      <c r="F1266" s="71"/>
      <c r="G1266" s="71"/>
      <c r="H1266" s="87"/>
      <c r="I1266" s="71"/>
      <c r="J1266" s="71"/>
      <c r="K1266" s="71"/>
      <c r="L1266" s="87"/>
      <c r="M1266" s="71"/>
      <c r="N1266" s="71"/>
      <c r="O1266" s="71"/>
      <c r="P1266" s="311"/>
      <c r="Q1266" s="312"/>
      <c r="R1266" s="312"/>
      <c r="S1266" s="569"/>
      <c r="T1266" s="569"/>
      <c r="U1266" s="569"/>
      <c r="V1266" s="341"/>
      <c r="W1266" s="311"/>
      <c r="X1266" s="71"/>
      <c r="Y1266" s="71"/>
      <c r="Z1266" s="71"/>
      <c r="AA1266" s="456"/>
      <c r="AB1266" s="104"/>
      <c r="AC1266" s="485"/>
      <c r="AD1266" s="528" t="s">
        <v>1465</v>
      </c>
      <c r="AE1266" s="485"/>
      <c r="AF1266" s="634"/>
      <c r="AG1266" s="97"/>
      <c r="AH1266" s="223"/>
      <c r="AI1266" s="569"/>
      <c r="AJ1266" s="569"/>
      <c r="AK1266" s="569"/>
      <c r="AL1266" s="569"/>
      <c r="AM1266" s="569"/>
      <c r="AN1266" s="589"/>
      <c r="AO1266" s="84"/>
      <c r="AP1266" s="38"/>
    </row>
    <row r="1267" spans="1:43" ht="23.25" x14ac:dyDescent="0.35">
      <c r="A1267" s="4"/>
      <c r="B1267" s="614"/>
      <c r="C1267" s="104"/>
      <c r="D1267" s="104"/>
      <c r="E1267" s="71"/>
      <c r="F1267" s="71"/>
      <c r="G1267" s="71"/>
      <c r="H1267" s="87"/>
      <c r="I1267" s="71"/>
      <c r="J1267" s="71"/>
      <c r="K1267" s="71"/>
      <c r="L1267" s="87"/>
      <c r="M1267" s="71"/>
      <c r="N1267" s="71"/>
      <c r="O1267" s="71"/>
      <c r="P1267" s="311"/>
      <c r="Q1267" s="312"/>
      <c r="R1267" s="312"/>
      <c r="S1267" s="569"/>
      <c r="T1267" s="569"/>
      <c r="U1267" s="569"/>
      <c r="V1267" s="341"/>
      <c r="W1267" s="311"/>
      <c r="X1267" s="71"/>
      <c r="Y1267" s="71"/>
      <c r="Z1267" s="71"/>
      <c r="AA1267" s="456"/>
      <c r="AB1267" s="104"/>
      <c r="AC1267" s="485"/>
      <c r="AD1267" s="486"/>
      <c r="AE1267" s="485"/>
      <c r="AF1267" s="634"/>
      <c r="AG1267" s="97"/>
      <c r="AH1267" s="223"/>
      <c r="AI1267" s="569"/>
      <c r="AJ1267" s="569"/>
      <c r="AK1267" s="569"/>
      <c r="AL1267" s="569"/>
      <c r="AM1267" s="569"/>
      <c r="AN1267" s="589"/>
      <c r="AO1267" s="84"/>
      <c r="AP1267" s="38"/>
    </row>
    <row r="1268" spans="1:43" s="562" customFormat="1" ht="23.25" x14ac:dyDescent="0.35">
      <c r="A1268" s="4"/>
      <c r="B1268" s="614"/>
      <c r="C1268" s="104"/>
      <c r="D1268" s="104"/>
      <c r="E1268" s="71"/>
      <c r="F1268" s="71"/>
      <c r="G1268" s="71"/>
      <c r="H1268" s="87"/>
      <c r="I1268" s="71"/>
      <c r="J1268" s="71"/>
      <c r="K1268" s="71"/>
      <c r="L1268" s="87"/>
      <c r="M1268" s="71"/>
      <c r="N1268" s="71"/>
      <c r="O1268" s="71"/>
      <c r="P1268" s="311"/>
      <c r="Q1268" s="312"/>
      <c r="R1268" s="312"/>
      <c r="S1268" s="569"/>
      <c r="T1268" s="569"/>
      <c r="U1268" s="569"/>
      <c r="V1268" s="341"/>
      <c r="W1268" s="311"/>
      <c r="X1268" s="71"/>
      <c r="Y1268" s="71"/>
      <c r="Z1268" s="71"/>
      <c r="AA1268" s="456"/>
      <c r="AB1268" s="104"/>
      <c r="AC1268" s="485"/>
      <c r="AD1268" s="486"/>
      <c r="AE1268" s="485"/>
      <c r="AF1268" s="634"/>
      <c r="AG1268" s="97"/>
      <c r="AH1268" s="223"/>
      <c r="AI1268" s="569"/>
      <c r="AJ1268" s="569"/>
      <c r="AK1268" s="569"/>
      <c r="AL1268" s="569"/>
      <c r="AM1268" s="569"/>
      <c r="AN1268" s="589"/>
      <c r="AO1268" s="84"/>
      <c r="AP1268" s="38"/>
      <c r="AQ1268" s="117"/>
    </row>
    <row r="1269" spans="1:43" ht="23.25" x14ac:dyDescent="0.35">
      <c r="A1269" s="4"/>
      <c r="B1269" s="614"/>
      <c r="C1269" s="71"/>
      <c r="D1269" s="71"/>
      <c r="E1269" s="71"/>
      <c r="F1269" s="71"/>
      <c r="G1269" s="71"/>
      <c r="H1269" s="87"/>
      <c r="I1269" s="71"/>
      <c r="J1269" s="71"/>
      <c r="K1269" s="71"/>
      <c r="L1269" s="87"/>
      <c r="M1269" s="71"/>
      <c r="N1269" s="71"/>
      <c r="O1269" s="71"/>
      <c r="P1269" s="311"/>
      <c r="Q1269" s="312"/>
      <c r="R1269" s="312"/>
      <c r="S1269" s="569"/>
      <c r="T1269" s="569"/>
      <c r="U1269" s="569"/>
      <c r="V1269" s="341"/>
      <c r="W1269" s="311"/>
      <c r="X1269" s="71"/>
      <c r="Y1269" s="71"/>
      <c r="Z1269" s="71"/>
      <c r="AA1269" s="456"/>
      <c r="AB1269" s="104"/>
      <c r="AC1269" s="485"/>
      <c r="AD1269" s="486"/>
      <c r="AE1269" s="485"/>
      <c r="AF1269" s="634"/>
      <c r="AG1269" s="97"/>
      <c r="AH1269" s="223"/>
      <c r="AI1269" s="569"/>
      <c r="AJ1269" s="569"/>
      <c r="AK1269" s="569"/>
      <c r="AL1269" s="569"/>
      <c r="AM1269" s="569"/>
      <c r="AN1269" s="589"/>
      <c r="AO1269" s="84"/>
      <c r="AP1269" s="38"/>
    </row>
    <row r="1270" spans="1:43" ht="27" x14ac:dyDescent="0.35">
      <c r="A1270" s="4"/>
      <c r="B1270" s="614"/>
      <c r="C1270" s="71"/>
      <c r="D1270" s="71"/>
      <c r="E1270" s="71"/>
      <c r="F1270" s="71"/>
      <c r="G1270" s="71"/>
      <c r="H1270" s="87"/>
      <c r="I1270" s="71"/>
      <c r="J1270" s="71"/>
      <c r="K1270" s="71"/>
      <c r="L1270" s="87"/>
      <c r="M1270" s="71"/>
      <c r="N1270" s="71"/>
      <c r="O1270" s="71"/>
      <c r="P1270" s="311"/>
      <c r="Q1270" s="312"/>
      <c r="R1270" s="312"/>
      <c r="S1270" s="569"/>
      <c r="T1270" s="569"/>
      <c r="U1270" s="569"/>
      <c r="V1270" s="341"/>
      <c r="W1270" s="311"/>
      <c r="X1270" s="71"/>
      <c r="Y1270" s="71"/>
      <c r="Z1270" s="71"/>
      <c r="AA1270" s="456"/>
      <c r="AB1270" s="104"/>
      <c r="AC1270" s="485"/>
      <c r="AD1270" s="568" t="s">
        <v>1466</v>
      </c>
      <c r="AE1270" s="526"/>
      <c r="AF1270" s="634"/>
      <c r="AG1270" s="97"/>
      <c r="AH1270" s="223"/>
      <c r="AI1270" s="569"/>
      <c r="AJ1270" s="569"/>
      <c r="AK1270" s="569"/>
      <c r="AL1270" s="569"/>
      <c r="AM1270" s="569"/>
      <c r="AN1270" s="589"/>
      <c r="AO1270" s="84"/>
      <c r="AP1270" s="38"/>
    </row>
    <row r="1271" spans="1:43" ht="23.25" x14ac:dyDescent="0.35">
      <c r="A1271" s="4"/>
      <c r="B1271" s="614"/>
      <c r="C1271" s="71"/>
      <c r="D1271" s="71"/>
      <c r="E1271" s="71"/>
      <c r="F1271" s="71"/>
      <c r="G1271" s="71"/>
      <c r="H1271" s="87"/>
      <c r="I1271" s="71"/>
      <c r="J1271" s="71"/>
      <c r="K1271" s="71"/>
      <c r="L1271" s="87"/>
      <c r="M1271" s="71"/>
      <c r="N1271" s="71"/>
      <c r="O1271" s="71"/>
      <c r="P1271" s="311"/>
      <c r="Q1271" s="312"/>
      <c r="R1271" s="312"/>
      <c r="S1271" s="569"/>
      <c r="T1271" s="569"/>
      <c r="U1271" s="569"/>
      <c r="V1271" s="341"/>
      <c r="W1271" s="311"/>
      <c r="X1271" s="71"/>
      <c r="Y1271" s="71"/>
      <c r="Z1271" s="71"/>
      <c r="AA1271" s="456"/>
      <c r="AB1271" s="104"/>
      <c r="AC1271" s="485"/>
      <c r="AD1271" s="482" t="s">
        <v>51</v>
      </c>
      <c r="AE1271" s="526"/>
      <c r="AF1271" s="634"/>
      <c r="AG1271" s="97"/>
      <c r="AH1271" s="223"/>
      <c r="AI1271" s="569"/>
      <c r="AJ1271" s="569"/>
      <c r="AK1271" s="569"/>
      <c r="AL1271" s="569"/>
      <c r="AM1271" s="569"/>
      <c r="AN1271" s="589"/>
      <c r="AO1271" s="84"/>
      <c r="AP1271" s="38"/>
    </row>
    <row r="1272" spans="1:43" ht="21" customHeight="1" x14ac:dyDescent="0.35">
      <c r="A1272" s="4"/>
      <c r="B1272" s="614"/>
      <c r="C1272" s="71"/>
      <c r="D1272" s="71"/>
      <c r="E1272" s="71"/>
      <c r="F1272" s="71"/>
      <c r="G1272" s="71"/>
      <c r="H1272" s="87"/>
      <c r="I1272" s="71"/>
      <c r="J1272" s="71"/>
      <c r="K1272" s="71"/>
      <c r="L1272" s="87"/>
      <c r="M1272" s="71"/>
      <c r="N1272" s="71"/>
      <c r="O1272" s="71"/>
      <c r="P1272" s="311"/>
      <c r="Q1272" s="312"/>
      <c r="R1272" s="312"/>
      <c r="S1272" s="569"/>
      <c r="T1272" s="569"/>
      <c r="U1272" s="569"/>
      <c r="V1272" s="341"/>
      <c r="W1272" s="311"/>
      <c r="X1272" s="71"/>
      <c r="Y1272" s="71"/>
      <c r="Z1272" s="71"/>
      <c r="AA1272" s="456"/>
      <c r="AB1272" s="104"/>
      <c r="AC1272" s="485"/>
      <c r="AD1272" s="486"/>
      <c r="AE1272" s="485"/>
      <c r="AF1272" s="634"/>
      <c r="AG1272" s="97"/>
      <c r="AH1272" s="223"/>
      <c r="AI1272" s="569"/>
      <c r="AJ1272" s="569"/>
      <c r="AK1272" s="569"/>
      <c r="AL1272" s="569"/>
      <c r="AM1272" s="569"/>
      <c r="AN1272" s="589"/>
      <c r="AO1272" s="84"/>
      <c r="AP1272" s="38"/>
    </row>
    <row r="1273" spans="1:43" ht="23.25" x14ac:dyDescent="0.35">
      <c r="A1273" s="4"/>
      <c r="B1273" s="614"/>
      <c r="C1273" s="71"/>
      <c r="D1273" s="71"/>
      <c r="E1273" s="71"/>
      <c r="F1273" s="71"/>
      <c r="G1273" s="71"/>
      <c r="H1273" s="87"/>
      <c r="I1273" s="71"/>
      <c r="J1273" s="71"/>
      <c r="K1273" s="71"/>
      <c r="L1273" s="87"/>
      <c r="M1273" s="71"/>
      <c r="N1273" s="71"/>
      <c r="O1273" s="71"/>
      <c r="P1273" s="311"/>
      <c r="Q1273" s="312"/>
      <c r="R1273" s="312"/>
      <c r="S1273" s="569"/>
      <c r="T1273" s="569"/>
      <c r="U1273" s="569"/>
      <c r="V1273" s="341"/>
      <c r="W1273" s="311"/>
      <c r="X1273" s="71"/>
      <c r="Y1273" s="71"/>
      <c r="Z1273" s="71"/>
      <c r="AA1273" s="456"/>
      <c r="AB1273" s="104"/>
      <c r="AC1273" s="485"/>
      <c r="AD1273" s="486"/>
      <c r="AE1273" s="485"/>
      <c r="AF1273" s="634"/>
      <c r="AG1273" s="97"/>
      <c r="AH1273" s="223"/>
      <c r="AI1273" s="569"/>
      <c r="AJ1273" s="569"/>
      <c r="AK1273" s="569"/>
      <c r="AL1273" s="569"/>
      <c r="AM1273" s="569"/>
      <c r="AN1273" s="589"/>
      <c r="AO1273" s="84"/>
      <c r="AP1273" s="38"/>
    </row>
    <row r="1274" spans="1:43" ht="23.25" x14ac:dyDescent="0.35">
      <c r="A1274" s="4"/>
      <c r="B1274" s="614"/>
      <c r="C1274" s="71"/>
      <c r="D1274" s="71"/>
      <c r="E1274" s="71"/>
      <c r="F1274" s="71"/>
      <c r="G1274" s="71"/>
      <c r="H1274" s="87"/>
      <c r="I1274" s="71"/>
      <c r="J1274" s="71"/>
      <c r="K1274" s="71"/>
      <c r="L1274" s="87"/>
      <c r="M1274" s="71"/>
      <c r="N1274" s="71"/>
      <c r="O1274" s="71"/>
      <c r="P1274" s="311"/>
      <c r="Q1274" s="312"/>
      <c r="R1274" s="312"/>
      <c r="S1274" s="569"/>
      <c r="T1274" s="569"/>
      <c r="U1274" s="569"/>
      <c r="V1274" s="341"/>
      <c r="W1274" s="311"/>
      <c r="X1274" s="71"/>
      <c r="Y1274" s="71"/>
      <c r="Z1274" s="71"/>
      <c r="AA1274" s="456"/>
      <c r="AB1274" s="104"/>
      <c r="AC1274" s="485"/>
      <c r="AD1274" s="486"/>
      <c r="AE1274" s="485"/>
      <c r="AF1274" s="634"/>
      <c r="AG1274" s="97"/>
      <c r="AH1274" s="223"/>
      <c r="AI1274" s="569"/>
      <c r="AJ1274" s="569"/>
      <c r="AK1274" s="569"/>
      <c r="AL1274" s="569"/>
      <c r="AM1274" s="569"/>
      <c r="AN1274" s="589"/>
      <c r="AO1274" s="84"/>
      <c r="AP1274" s="38"/>
    </row>
    <row r="1275" spans="1:43" ht="23.25" x14ac:dyDescent="0.35">
      <c r="A1275" s="4"/>
      <c r="B1275" s="614"/>
      <c r="C1275" s="71"/>
      <c r="D1275" s="71"/>
      <c r="E1275" s="71"/>
      <c r="F1275" s="71"/>
      <c r="G1275" s="71"/>
      <c r="H1275" s="87"/>
      <c r="I1275" s="71"/>
      <c r="J1275" s="71"/>
      <c r="K1275" s="71"/>
      <c r="L1275" s="87"/>
      <c r="M1275" s="71"/>
      <c r="N1275" s="71"/>
      <c r="O1275" s="71"/>
      <c r="P1275" s="311"/>
      <c r="Q1275" s="312"/>
      <c r="R1275" s="312"/>
      <c r="S1275" s="569"/>
      <c r="T1275" s="569"/>
      <c r="U1275" s="569"/>
      <c r="V1275" s="341"/>
      <c r="W1275" s="311"/>
      <c r="X1275" s="71"/>
      <c r="Y1275" s="71"/>
      <c r="Z1275" s="71"/>
      <c r="AA1275" s="456"/>
      <c r="AB1275" s="104"/>
      <c r="AC1275" s="485"/>
      <c r="AD1275" s="486"/>
      <c r="AE1275" s="485"/>
      <c r="AF1275" s="634"/>
      <c r="AG1275" s="97"/>
      <c r="AH1275" s="223"/>
      <c r="AI1275" s="569"/>
      <c r="AJ1275" s="569"/>
      <c r="AK1275" s="569"/>
      <c r="AL1275" s="569"/>
      <c r="AM1275" s="569"/>
      <c r="AN1275" s="589"/>
      <c r="AO1275" s="84"/>
      <c r="AP1275" s="38"/>
    </row>
    <row r="1276" spans="1:43" ht="23.25" x14ac:dyDescent="0.35">
      <c r="A1276" s="4"/>
      <c r="B1276" s="614"/>
      <c r="C1276" s="71"/>
      <c r="D1276" s="71"/>
      <c r="E1276" s="71"/>
      <c r="F1276" s="71"/>
      <c r="G1276" s="71"/>
      <c r="H1276" s="87"/>
      <c r="I1276" s="71"/>
      <c r="J1276" s="71"/>
      <c r="K1276" s="71"/>
      <c r="L1276" s="87"/>
      <c r="M1276" s="71"/>
      <c r="N1276" s="71"/>
      <c r="O1276" s="71"/>
      <c r="P1276" s="311"/>
      <c r="Q1276" s="312"/>
      <c r="R1276" s="312"/>
      <c r="S1276" s="569"/>
      <c r="T1276" s="569"/>
      <c r="U1276" s="569"/>
      <c r="V1276" s="341"/>
      <c r="W1276" s="311"/>
      <c r="X1276" s="71"/>
      <c r="Y1276" s="71"/>
      <c r="Z1276" s="71"/>
      <c r="AA1276" s="456"/>
      <c r="AB1276" s="104"/>
      <c r="AC1276" s="485"/>
      <c r="AD1276" s="486"/>
      <c r="AE1276" s="485"/>
      <c r="AF1276" s="634"/>
      <c r="AG1276" s="97"/>
      <c r="AH1276" s="223"/>
      <c r="AI1276" s="569"/>
      <c r="AJ1276" s="569"/>
      <c r="AK1276" s="569"/>
      <c r="AL1276" s="569"/>
      <c r="AM1276" s="569"/>
      <c r="AN1276" s="589"/>
      <c r="AO1276" s="84"/>
      <c r="AP1276" s="38"/>
    </row>
    <row r="1277" spans="1:43" ht="13.5" customHeight="1" x14ac:dyDescent="0.35">
      <c r="A1277" s="4"/>
      <c r="B1277" s="614"/>
      <c r="C1277" s="71"/>
      <c r="D1277" s="71"/>
      <c r="E1277" s="71"/>
      <c r="F1277" s="71"/>
      <c r="G1277" s="71"/>
      <c r="H1277" s="87"/>
      <c r="I1277" s="71"/>
      <c r="J1277" s="71"/>
      <c r="K1277" s="71"/>
      <c r="L1277" s="87"/>
      <c r="M1277" s="71"/>
      <c r="N1277" s="71"/>
      <c r="O1277" s="71"/>
      <c r="P1277" s="311"/>
      <c r="Q1277" s="312"/>
      <c r="R1277" s="312"/>
      <c r="S1277" s="569"/>
      <c r="T1277" s="569"/>
      <c r="U1277" s="569"/>
      <c r="V1277" s="341"/>
      <c r="W1277" s="311"/>
      <c r="X1277" s="71"/>
      <c r="Y1277" s="71"/>
      <c r="Z1277" s="71"/>
      <c r="AA1277" s="456"/>
      <c r="AB1277" s="104"/>
      <c r="AC1277" s="485"/>
      <c r="AD1277" s="486"/>
      <c r="AE1277" s="485"/>
      <c r="AF1277" s="634"/>
      <c r="AG1277" s="97"/>
      <c r="AH1277" s="223"/>
      <c r="AI1277" s="569"/>
      <c r="AJ1277" s="569"/>
      <c r="AK1277" s="569"/>
      <c r="AL1277" s="569"/>
      <c r="AM1277" s="569"/>
      <c r="AN1277" s="589"/>
      <c r="AO1277" s="84"/>
      <c r="AP1277" s="38"/>
    </row>
    <row r="1278" spans="1:43" ht="13.5" customHeight="1" x14ac:dyDescent="0.35">
      <c r="A1278" s="4"/>
      <c r="B1278" s="614"/>
      <c r="C1278" s="71"/>
      <c r="D1278" s="71"/>
      <c r="E1278" s="71"/>
      <c r="F1278" s="71"/>
      <c r="G1278" s="71"/>
      <c r="H1278" s="87"/>
      <c r="I1278" s="71"/>
      <c r="J1278" s="71"/>
      <c r="K1278" s="71"/>
      <c r="L1278" s="87"/>
      <c r="M1278" s="71"/>
      <c r="N1278" s="71"/>
      <c r="O1278" s="71"/>
      <c r="P1278" s="311"/>
      <c r="Q1278" s="312"/>
      <c r="R1278" s="312"/>
      <c r="S1278" s="569"/>
      <c r="T1278" s="569"/>
      <c r="U1278" s="569"/>
      <c r="V1278" s="341"/>
      <c r="W1278" s="311"/>
      <c r="X1278" s="71"/>
      <c r="Y1278" s="71"/>
      <c r="Z1278" s="71"/>
      <c r="AA1278" s="456"/>
      <c r="AB1278" s="104"/>
      <c r="AC1278" s="485"/>
      <c r="AD1278" s="486"/>
      <c r="AE1278" s="485"/>
      <c r="AF1278" s="634"/>
      <c r="AG1278" s="97"/>
      <c r="AH1278" s="223"/>
      <c r="AI1278" s="569"/>
      <c r="AJ1278" s="569"/>
      <c r="AK1278" s="569"/>
      <c r="AL1278" s="569"/>
      <c r="AM1278" s="569"/>
      <c r="AN1278" s="589"/>
      <c r="AO1278" s="84"/>
      <c r="AP1278" s="38"/>
    </row>
    <row r="1279" spans="1:43" ht="13.5" customHeight="1" x14ac:dyDescent="0.35">
      <c r="A1279" s="4"/>
      <c r="B1279" s="614"/>
      <c r="C1279" s="71"/>
      <c r="D1279" s="71"/>
      <c r="E1279" s="71"/>
      <c r="F1279" s="71"/>
      <c r="G1279" s="71"/>
      <c r="H1279" s="87"/>
      <c r="I1279" s="71"/>
      <c r="J1279" s="71"/>
      <c r="K1279" s="71"/>
      <c r="L1279" s="87"/>
      <c r="M1279" s="71"/>
      <c r="N1279" s="71"/>
      <c r="O1279" s="71"/>
      <c r="P1279" s="311"/>
      <c r="Q1279" s="312"/>
      <c r="R1279" s="312"/>
      <c r="S1279" s="569"/>
      <c r="T1279" s="569"/>
      <c r="U1279" s="569"/>
      <c r="V1279" s="341"/>
      <c r="W1279" s="311"/>
      <c r="X1279" s="71"/>
      <c r="Y1279" s="71"/>
      <c r="Z1279" s="71"/>
      <c r="AA1279" s="456"/>
      <c r="AB1279" s="104"/>
      <c r="AC1279" s="485"/>
      <c r="AD1279" s="486"/>
      <c r="AE1279" s="485"/>
      <c r="AF1279" s="634"/>
      <c r="AG1279" s="97"/>
      <c r="AH1279" s="223"/>
      <c r="AI1279" s="569"/>
      <c r="AJ1279" s="569"/>
      <c r="AK1279" s="569"/>
      <c r="AL1279" s="569"/>
      <c r="AM1279" s="569"/>
      <c r="AN1279" s="589"/>
      <c r="AO1279" s="84"/>
      <c r="AP1279" s="38"/>
    </row>
    <row r="1280" spans="1:43" ht="13.5" customHeight="1" x14ac:dyDescent="0.35">
      <c r="A1280" s="4"/>
      <c r="B1280" s="614"/>
      <c r="C1280" s="71"/>
      <c r="D1280" s="71"/>
      <c r="E1280" s="71"/>
      <c r="F1280" s="71"/>
      <c r="G1280" s="71"/>
      <c r="H1280" s="87"/>
      <c r="I1280" s="71"/>
      <c r="J1280" s="71"/>
      <c r="K1280" s="71"/>
      <c r="L1280" s="87"/>
      <c r="M1280" s="71"/>
      <c r="N1280" s="71"/>
      <c r="O1280" s="71"/>
      <c r="P1280" s="311"/>
      <c r="Q1280" s="312"/>
      <c r="R1280" s="312"/>
      <c r="S1280" s="569"/>
      <c r="T1280" s="569"/>
      <c r="U1280" s="569"/>
      <c r="V1280" s="341"/>
      <c r="W1280" s="311"/>
      <c r="X1280" s="71"/>
      <c r="Y1280" s="71"/>
      <c r="Z1280" s="71"/>
      <c r="AA1280" s="456"/>
      <c r="AB1280" s="104"/>
      <c r="AC1280" s="485"/>
      <c r="AD1280" s="486"/>
      <c r="AE1280" s="485"/>
      <c r="AF1280" s="634"/>
      <c r="AG1280" s="97"/>
      <c r="AH1280" s="223"/>
      <c r="AI1280" s="569"/>
      <c r="AJ1280" s="569"/>
      <c r="AK1280" s="569"/>
      <c r="AL1280" s="569"/>
      <c r="AM1280" s="569"/>
      <c r="AN1280" s="589"/>
      <c r="AO1280" s="84"/>
      <c r="AP1280" s="38"/>
    </row>
    <row r="1281" spans="1:42" ht="13.5" customHeight="1" x14ac:dyDescent="0.35">
      <c r="A1281" s="4"/>
      <c r="B1281" s="614"/>
      <c r="C1281" s="71"/>
      <c r="D1281" s="71"/>
      <c r="E1281" s="71"/>
      <c r="F1281" s="71"/>
      <c r="G1281" s="71"/>
      <c r="H1281" s="87"/>
      <c r="I1281" s="71"/>
      <c r="J1281" s="71"/>
      <c r="K1281" s="71"/>
      <c r="L1281" s="87"/>
      <c r="M1281" s="71"/>
      <c r="N1281" s="71"/>
      <c r="O1281" s="71"/>
      <c r="P1281" s="311"/>
      <c r="Q1281" s="312"/>
      <c r="R1281" s="312"/>
      <c r="S1281" s="569"/>
      <c r="T1281" s="569"/>
      <c r="U1281" s="569"/>
      <c r="V1281" s="341"/>
      <c r="W1281" s="311"/>
      <c r="X1281" s="71"/>
      <c r="Y1281" s="71"/>
      <c r="Z1281" s="71"/>
      <c r="AA1281" s="456"/>
      <c r="AB1281" s="104"/>
      <c r="AC1281" s="485"/>
      <c r="AD1281" s="486"/>
      <c r="AE1281" s="485"/>
      <c r="AF1281" s="634"/>
      <c r="AG1281" s="97"/>
      <c r="AH1281" s="223"/>
      <c r="AI1281" s="569"/>
      <c r="AJ1281" s="569"/>
      <c r="AK1281" s="569"/>
      <c r="AL1281" s="569"/>
      <c r="AM1281" s="569"/>
      <c r="AN1281" s="589"/>
      <c r="AO1281" s="84"/>
      <c r="AP1281" s="38"/>
    </row>
    <row r="1282" spans="1:42" ht="13.5" customHeight="1" x14ac:dyDescent="0.35">
      <c r="A1282" s="4"/>
      <c r="B1282" s="614"/>
      <c r="C1282" s="71"/>
      <c r="D1282" s="71"/>
      <c r="E1282" s="71"/>
      <c r="F1282" s="71"/>
      <c r="G1282" s="71"/>
      <c r="H1282" s="87"/>
      <c r="I1282" s="71"/>
      <c r="J1282" s="71"/>
      <c r="K1282" s="71"/>
      <c r="L1282" s="87"/>
      <c r="M1282" s="71"/>
      <c r="N1282" s="71"/>
      <c r="O1282" s="71"/>
      <c r="P1282" s="311"/>
      <c r="Q1282" s="312"/>
      <c r="R1282" s="312"/>
      <c r="S1282" s="569"/>
      <c r="T1282" s="569"/>
      <c r="U1282" s="569"/>
      <c r="V1282" s="341"/>
      <c r="W1282" s="311"/>
      <c r="X1282" s="71"/>
      <c r="Y1282" s="71"/>
      <c r="Z1282" s="71"/>
      <c r="AA1282" s="456"/>
      <c r="AB1282" s="104"/>
      <c r="AC1282" s="485"/>
      <c r="AD1282" s="486"/>
      <c r="AE1282" s="485"/>
      <c r="AF1282" s="634"/>
      <c r="AG1282" s="97"/>
      <c r="AH1282" s="223"/>
      <c r="AI1282" s="569"/>
      <c r="AJ1282" s="569"/>
      <c r="AK1282" s="569"/>
      <c r="AL1282" s="569"/>
      <c r="AM1282" s="569"/>
      <c r="AN1282" s="589"/>
      <c r="AO1282" s="84"/>
      <c r="AP1282" s="38"/>
    </row>
    <row r="1283" spans="1:42" ht="13.5" customHeight="1" x14ac:dyDescent="0.35">
      <c r="A1283" s="4"/>
      <c r="B1283" s="614"/>
      <c r="C1283" s="71"/>
      <c r="D1283" s="71"/>
      <c r="E1283" s="71"/>
      <c r="F1283" s="71"/>
      <c r="G1283" s="71"/>
      <c r="H1283" s="87"/>
      <c r="I1283" s="71"/>
      <c r="J1283" s="71"/>
      <c r="K1283" s="71"/>
      <c r="L1283" s="87"/>
      <c r="M1283" s="71"/>
      <c r="N1283" s="71"/>
      <c r="O1283" s="71"/>
      <c r="P1283" s="311"/>
      <c r="Q1283" s="312"/>
      <c r="R1283" s="312"/>
      <c r="S1283" s="569"/>
      <c r="T1283" s="569"/>
      <c r="U1283" s="569"/>
      <c r="V1283" s="341"/>
      <c r="W1283" s="311"/>
      <c r="X1283" s="71"/>
      <c r="Y1283" s="71"/>
      <c r="Z1283" s="71"/>
      <c r="AA1283" s="456"/>
      <c r="AB1283" s="104"/>
      <c r="AC1283" s="485"/>
      <c r="AD1283" s="486"/>
      <c r="AE1283" s="485"/>
      <c r="AF1283" s="634"/>
      <c r="AG1283" s="97"/>
      <c r="AH1283" s="223"/>
      <c r="AI1283" s="569"/>
      <c r="AJ1283" s="569"/>
      <c r="AK1283" s="569"/>
      <c r="AL1283" s="569"/>
      <c r="AM1283" s="569"/>
      <c r="AN1283" s="589"/>
      <c r="AO1283" s="84"/>
      <c r="AP1283" s="38"/>
    </row>
    <row r="1284" spans="1:42" ht="13.5" customHeight="1" x14ac:dyDescent="0.35">
      <c r="A1284" s="4"/>
      <c r="B1284" s="614"/>
      <c r="C1284" s="71"/>
      <c r="D1284" s="71"/>
      <c r="E1284" s="71"/>
      <c r="F1284" s="71"/>
      <c r="G1284" s="71"/>
      <c r="H1284" s="87"/>
      <c r="I1284" s="71"/>
      <c r="J1284" s="71"/>
      <c r="K1284" s="71"/>
      <c r="L1284" s="87"/>
      <c r="M1284" s="71"/>
      <c r="N1284" s="71"/>
      <c r="O1284" s="71"/>
      <c r="P1284" s="311"/>
      <c r="Q1284" s="312"/>
      <c r="R1284" s="312"/>
      <c r="S1284" s="569"/>
      <c r="T1284" s="569"/>
      <c r="U1284" s="569"/>
      <c r="V1284" s="341"/>
      <c r="W1284" s="311"/>
      <c r="X1284" s="71"/>
      <c r="Y1284" s="71"/>
      <c r="Z1284" s="71"/>
      <c r="AA1284" s="456"/>
      <c r="AB1284" s="104"/>
      <c r="AC1284" s="485"/>
      <c r="AD1284" s="486"/>
      <c r="AE1284" s="485"/>
      <c r="AF1284" s="634"/>
      <c r="AG1284" s="97"/>
      <c r="AH1284" s="223"/>
      <c r="AI1284" s="569"/>
      <c r="AJ1284" s="569"/>
      <c r="AK1284" s="569"/>
      <c r="AL1284" s="569"/>
      <c r="AM1284" s="569"/>
      <c r="AN1284" s="589"/>
      <c r="AO1284" s="84"/>
      <c r="AP1284" s="38"/>
    </row>
    <row r="1285" spans="1:42" ht="13.5" customHeight="1" x14ac:dyDescent="0.35">
      <c r="A1285" s="4"/>
      <c r="B1285" s="614"/>
      <c r="C1285" s="71"/>
      <c r="D1285" s="71"/>
      <c r="E1285" s="71"/>
      <c r="F1285" s="71"/>
      <c r="G1285" s="71"/>
      <c r="H1285" s="87"/>
      <c r="I1285" s="71"/>
      <c r="J1285" s="71"/>
      <c r="K1285" s="71"/>
      <c r="L1285" s="87"/>
      <c r="M1285" s="71"/>
      <c r="N1285" s="71"/>
      <c r="O1285" s="71"/>
      <c r="P1285" s="311"/>
      <c r="Q1285" s="312"/>
      <c r="R1285" s="312"/>
      <c r="S1285" s="569"/>
      <c r="T1285" s="569"/>
      <c r="U1285" s="569"/>
      <c r="V1285" s="341"/>
      <c r="W1285" s="311"/>
      <c r="X1285" s="71"/>
      <c r="Y1285" s="71"/>
      <c r="Z1285" s="71"/>
      <c r="AA1285" s="456"/>
      <c r="AB1285" s="104"/>
      <c r="AC1285" s="485"/>
      <c r="AD1285" s="486"/>
      <c r="AE1285" s="485"/>
      <c r="AF1285" s="634"/>
      <c r="AG1285" s="97"/>
      <c r="AH1285" s="223"/>
      <c r="AI1285" s="569"/>
      <c r="AJ1285" s="569"/>
      <c r="AK1285" s="569"/>
      <c r="AL1285" s="569"/>
      <c r="AM1285" s="569"/>
      <c r="AN1285" s="589"/>
      <c r="AO1285" s="84"/>
      <c r="AP1285" s="38"/>
    </row>
    <row r="1286" spans="1:42" ht="13.5" customHeight="1" x14ac:dyDescent="0.35">
      <c r="A1286" s="4"/>
      <c r="B1286" s="614"/>
      <c r="C1286" s="71"/>
      <c r="D1286" s="71"/>
      <c r="E1286" s="71"/>
      <c r="F1286" s="71"/>
      <c r="G1286" s="71"/>
      <c r="H1286" s="87"/>
      <c r="I1286" s="71"/>
      <c r="J1286" s="71"/>
      <c r="K1286" s="71"/>
      <c r="L1286" s="87"/>
      <c r="M1286" s="71"/>
      <c r="N1286" s="71"/>
      <c r="O1286" s="71"/>
      <c r="P1286" s="311"/>
      <c r="Q1286" s="312"/>
      <c r="R1286" s="312"/>
      <c r="S1286" s="569"/>
      <c r="T1286" s="569"/>
      <c r="U1286" s="569"/>
      <c r="V1286" s="341"/>
      <c r="W1286" s="311"/>
      <c r="X1286" s="71"/>
      <c r="Y1286" s="71"/>
      <c r="Z1286" s="71"/>
      <c r="AA1286" s="456"/>
      <c r="AB1286" s="104"/>
      <c r="AC1286" s="485"/>
      <c r="AD1286" s="486"/>
      <c r="AE1286" s="485"/>
      <c r="AF1286" s="634"/>
      <c r="AG1286" s="97"/>
      <c r="AH1286" s="223"/>
      <c r="AI1286" s="569"/>
      <c r="AJ1286" s="569"/>
      <c r="AK1286" s="569"/>
      <c r="AL1286" s="569"/>
      <c r="AM1286" s="569"/>
      <c r="AN1286" s="589"/>
      <c r="AO1286" s="84"/>
      <c r="AP1286" s="38"/>
    </row>
    <row r="1287" spans="1:42" ht="13.5" customHeight="1" x14ac:dyDescent="0.35">
      <c r="A1287" s="4"/>
      <c r="B1287" s="614"/>
      <c r="C1287" s="71"/>
      <c r="D1287" s="71"/>
      <c r="E1287" s="71"/>
      <c r="F1287" s="71"/>
      <c r="G1287" s="71"/>
      <c r="H1287" s="87"/>
      <c r="I1287" s="71"/>
      <c r="J1287" s="71"/>
      <c r="K1287" s="71"/>
      <c r="L1287" s="87"/>
      <c r="M1287" s="71"/>
      <c r="N1287" s="71"/>
      <c r="O1287" s="71"/>
      <c r="P1287" s="311"/>
      <c r="Q1287" s="312"/>
      <c r="R1287" s="312"/>
      <c r="S1287" s="569"/>
      <c r="T1287" s="569"/>
      <c r="U1287" s="569"/>
      <c r="V1287" s="341"/>
      <c r="W1287" s="311"/>
      <c r="X1287" s="71"/>
      <c r="Y1287" s="71"/>
      <c r="Z1287" s="71"/>
      <c r="AA1287" s="456"/>
      <c r="AB1287" s="104"/>
      <c r="AC1287" s="485"/>
      <c r="AD1287" s="486"/>
      <c r="AE1287" s="485"/>
      <c r="AF1287" s="634"/>
      <c r="AG1287" s="97"/>
      <c r="AH1287" s="223"/>
      <c r="AI1287" s="569"/>
      <c r="AJ1287" s="569"/>
      <c r="AK1287" s="569"/>
      <c r="AL1287" s="569"/>
      <c r="AM1287" s="569"/>
      <c r="AN1287" s="589"/>
      <c r="AO1287" s="84"/>
      <c r="AP1287" s="38"/>
    </row>
    <row r="1288" spans="1:42" ht="13.5" customHeight="1" x14ac:dyDescent="0.35">
      <c r="A1288" s="4"/>
      <c r="B1288" s="614"/>
      <c r="C1288" s="71"/>
      <c r="D1288" s="71"/>
      <c r="E1288" s="71"/>
      <c r="F1288" s="71"/>
      <c r="G1288" s="71"/>
      <c r="H1288" s="87"/>
      <c r="I1288" s="71"/>
      <c r="J1288" s="71"/>
      <c r="K1288" s="71"/>
      <c r="L1288" s="87"/>
      <c r="M1288" s="71"/>
      <c r="N1288" s="71"/>
      <c r="O1288" s="71"/>
      <c r="P1288" s="311"/>
      <c r="Q1288" s="312"/>
      <c r="R1288" s="312"/>
      <c r="S1288" s="569"/>
      <c r="T1288" s="569"/>
      <c r="U1288" s="569"/>
      <c r="V1288" s="341"/>
      <c r="W1288" s="311"/>
      <c r="X1288" s="71"/>
      <c r="Y1288" s="71"/>
      <c r="Z1288" s="71"/>
      <c r="AA1288" s="456"/>
      <c r="AB1288" s="104"/>
      <c r="AC1288" s="485"/>
      <c r="AD1288" s="486"/>
      <c r="AE1288" s="485"/>
      <c r="AF1288" s="634"/>
      <c r="AG1288" s="97"/>
      <c r="AH1288" s="223"/>
      <c r="AI1288" s="569"/>
      <c r="AJ1288" s="569"/>
      <c r="AK1288" s="569"/>
      <c r="AL1288" s="569"/>
      <c r="AM1288" s="569"/>
      <c r="AN1288" s="589"/>
      <c r="AO1288" s="84"/>
      <c r="AP1288" s="38"/>
    </row>
    <row r="1289" spans="1:42" ht="13.5" customHeight="1" x14ac:dyDescent="0.35">
      <c r="A1289" s="4"/>
      <c r="B1289" s="614"/>
      <c r="C1289" s="71"/>
      <c r="D1289" s="71"/>
      <c r="E1289" s="71"/>
      <c r="F1289" s="71"/>
      <c r="G1289" s="71"/>
      <c r="H1289" s="87"/>
      <c r="I1289" s="71"/>
      <c r="J1289" s="71"/>
      <c r="K1289" s="71"/>
      <c r="L1289" s="87"/>
      <c r="M1289" s="71"/>
      <c r="N1289" s="71"/>
      <c r="O1289" s="71"/>
      <c r="P1289" s="311"/>
      <c r="Q1289" s="312"/>
      <c r="R1289" s="312"/>
      <c r="S1289" s="569"/>
      <c r="T1289" s="569"/>
      <c r="U1289" s="569"/>
      <c r="V1289" s="341"/>
      <c r="W1289" s="311"/>
      <c r="X1289" s="71"/>
      <c r="Y1289" s="71"/>
      <c r="Z1289" s="71"/>
      <c r="AA1289" s="456"/>
      <c r="AB1289" s="104"/>
      <c r="AC1289" s="485"/>
      <c r="AD1289" s="486"/>
      <c r="AE1289" s="485"/>
      <c r="AF1289" s="634"/>
      <c r="AG1289" s="97"/>
      <c r="AH1289" s="223"/>
      <c r="AI1289" s="569"/>
      <c r="AJ1289" s="569"/>
      <c r="AK1289" s="569"/>
      <c r="AL1289" s="569"/>
      <c r="AM1289" s="569"/>
      <c r="AN1289" s="589"/>
      <c r="AO1289" s="84"/>
      <c r="AP1289" s="38"/>
    </row>
    <row r="1290" spans="1:42" ht="13.5" customHeight="1" x14ac:dyDescent="0.35">
      <c r="A1290" s="4"/>
      <c r="B1290" s="614"/>
      <c r="C1290" s="71"/>
      <c r="D1290" s="71"/>
      <c r="E1290" s="71"/>
      <c r="F1290" s="71"/>
      <c r="G1290" s="71"/>
      <c r="H1290" s="87"/>
      <c r="I1290" s="71"/>
      <c r="J1290" s="71"/>
      <c r="K1290" s="71"/>
      <c r="L1290" s="87"/>
      <c r="M1290" s="71"/>
      <c r="N1290" s="71"/>
      <c r="O1290" s="71"/>
      <c r="P1290" s="311"/>
      <c r="Q1290" s="312"/>
      <c r="R1290" s="312"/>
      <c r="S1290" s="569"/>
      <c r="T1290" s="569"/>
      <c r="U1290" s="569"/>
      <c r="V1290" s="341"/>
      <c r="W1290" s="311"/>
      <c r="X1290" s="71"/>
      <c r="Y1290" s="71"/>
      <c r="Z1290" s="71"/>
      <c r="AA1290" s="456"/>
      <c r="AB1290" s="104"/>
      <c r="AC1290" s="485"/>
      <c r="AD1290" s="486"/>
      <c r="AE1290" s="485"/>
      <c r="AF1290" s="634"/>
      <c r="AG1290" s="97"/>
      <c r="AH1290" s="223"/>
      <c r="AI1290" s="569"/>
      <c r="AJ1290" s="569"/>
      <c r="AK1290" s="569"/>
      <c r="AL1290" s="569"/>
      <c r="AM1290" s="569"/>
      <c r="AN1290" s="589"/>
      <c r="AO1290" s="84"/>
      <c r="AP1290" s="38"/>
    </row>
    <row r="1291" spans="1:42" ht="13.5" customHeight="1" x14ac:dyDescent="0.35">
      <c r="A1291" s="4"/>
      <c r="B1291" s="614"/>
      <c r="C1291" s="71"/>
      <c r="D1291" s="71"/>
      <c r="E1291" s="71"/>
      <c r="F1291" s="71"/>
      <c r="G1291" s="71"/>
      <c r="H1291" s="87"/>
      <c r="I1291" s="71"/>
      <c r="J1291" s="71"/>
      <c r="K1291" s="71"/>
      <c r="L1291" s="87"/>
      <c r="M1291" s="71"/>
      <c r="N1291" s="71"/>
      <c r="O1291" s="71"/>
      <c r="P1291" s="311"/>
      <c r="Q1291" s="312"/>
      <c r="R1291" s="312"/>
      <c r="S1291" s="569"/>
      <c r="T1291" s="569"/>
      <c r="U1291" s="569"/>
      <c r="V1291" s="341"/>
      <c r="W1291" s="311"/>
      <c r="X1291" s="71"/>
      <c r="Y1291" s="71"/>
      <c r="Z1291" s="71"/>
      <c r="AA1291" s="456"/>
      <c r="AB1291" s="104"/>
      <c r="AC1291" s="485"/>
      <c r="AD1291" s="486"/>
      <c r="AE1291" s="485"/>
      <c r="AF1291" s="634"/>
      <c r="AG1291" s="97"/>
      <c r="AH1291" s="223"/>
      <c r="AI1291" s="569"/>
      <c r="AJ1291" s="569"/>
      <c r="AK1291" s="569"/>
      <c r="AL1291" s="569"/>
      <c r="AM1291" s="569"/>
      <c r="AN1291" s="589"/>
      <c r="AO1291" s="84"/>
      <c r="AP1291" s="38"/>
    </row>
    <row r="1292" spans="1:42" ht="13.5" customHeight="1" x14ac:dyDescent="0.35">
      <c r="A1292" s="4"/>
      <c r="B1292" s="614"/>
      <c r="C1292" s="71"/>
      <c r="D1292" s="71"/>
      <c r="E1292" s="71"/>
      <c r="F1292" s="71"/>
      <c r="G1292" s="71"/>
      <c r="H1292" s="87"/>
      <c r="I1292" s="71"/>
      <c r="J1292" s="71"/>
      <c r="K1292" s="71"/>
      <c r="L1292" s="87"/>
      <c r="M1292" s="71"/>
      <c r="N1292" s="71"/>
      <c r="O1292" s="71"/>
      <c r="P1292" s="311"/>
      <c r="Q1292" s="312"/>
      <c r="R1292" s="312"/>
      <c r="S1292" s="569"/>
      <c r="T1292" s="569"/>
      <c r="U1292" s="569"/>
      <c r="V1292" s="341"/>
      <c r="W1292" s="311"/>
      <c r="X1292" s="71"/>
      <c r="Y1292" s="71"/>
      <c r="Z1292" s="71"/>
      <c r="AA1292" s="456"/>
      <c r="AB1292" s="104"/>
      <c r="AC1292" s="485"/>
      <c r="AD1292" s="486"/>
      <c r="AE1292" s="485"/>
      <c r="AF1292" s="634"/>
      <c r="AG1292" s="97"/>
      <c r="AH1292" s="223"/>
      <c r="AI1292" s="569"/>
      <c r="AJ1292" s="569"/>
      <c r="AK1292" s="569"/>
      <c r="AL1292" s="569"/>
      <c r="AM1292" s="569"/>
      <c r="AN1292" s="589"/>
      <c r="AO1292" s="84"/>
      <c r="AP1292" s="38"/>
    </row>
    <row r="1293" spans="1:42" ht="13.5" customHeight="1" x14ac:dyDescent="0.35">
      <c r="A1293" s="4"/>
      <c r="B1293" s="614"/>
      <c r="C1293" s="71"/>
      <c r="D1293" s="71"/>
      <c r="E1293" s="71"/>
      <c r="F1293" s="71"/>
      <c r="G1293" s="71"/>
      <c r="H1293" s="87"/>
      <c r="I1293" s="71"/>
      <c r="J1293" s="71"/>
      <c r="K1293" s="71"/>
      <c r="L1293" s="87"/>
      <c r="M1293" s="71"/>
      <c r="N1293" s="71"/>
      <c r="O1293" s="71"/>
      <c r="P1293" s="311"/>
      <c r="Q1293" s="312"/>
      <c r="R1293" s="312"/>
      <c r="S1293" s="569"/>
      <c r="T1293" s="569"/>
      <c r="U1293" s="569"/>
      <c r="V1293" s="341"/>
      <c r="W1293" s="311"/>
      <c r="X1293" s="71"/>
      <c r="Y1293" s="71"/>
      <c r="Z1293" s="71"/>
      <c r="AA1293" s="456"/>
      <c r="AB1293" s="104"/>
      <c r="AC1293" s="485"/>
      <c r="AD1293" s="486"/>
      <c r="AE1293" s="485"/>
      <c r="AF1293" s="634"/>
      <c r="AG1293" s="97"/>
      <c r="AH1293" s="223"/>
      <c r="AI1293" s="569"/>
      <c r="AJ1293" s="569"/>
      <c r="AK1293" s="569"/>
      <c r="AL1293" s="569"/>
      <c r="AM1293" s="569"/>
      <c r="AN1293" s="589"/>
      <c r="AO1293" s="84"/>
      <c r="AP1293" s="38"/>
    </row>
    <row r="1294" spans="1:42" ht="13.5" customHeight="1" x14ac:dyDescent="0.35">
      <c r="A1294" s="4"/>
      <c r="B1294" s="614"/>
      <c r="C1294" s="71"/>
      <c r="D1294" s="71"/>
      <c r="E1294" s="71"/>
      <c r="F1294" s="71"/>
      <c r="G1294" s="71"/>
      <c r="H1294" s="87"/>
      <c r="I1294" s="71"/>
      <c r="J1294" s="71"/>
      <c r="K1294" s="71"/>
      <c r="L1294" s="87"/>
      <c r="M1294" s="71"/>
      <c r="N1294" s="71"/>
      <c r="O1294" s="71"/>
      <c r="P1294" s="311"/>
      <c r="Q1294" s="312"/>
      <c r="R1294" s="312"/>
      <c r="S1294" s="569"/>
      <c r="T1294" s="569"/>
      <c r="U1294" s="569"/>
      <c r="V1294" s="341"/>
      <c r="W1294" s="311"/>
      <c r="X1294" s="71"/>
      <c r="Y1294" s="71"/>
      <c r="Z1294" s="71"/>
      <c r="AA1294" s="456"/>
      <c r="AB1294" s="104"/>
      <c r="AC1294" s="485"/>
      <c r="AD1294" s="486"/>
      <c r="AE1294" s="485"/>
      <c r="AF1294" s="634"/>
      <c r="AG1294" s="97"/>
      <c r="AH1294" s="223"/>
      <c r="AI1294" s="569"/>
      <c r="AJ1294" s="569"/>
      <c r="AK1294" s="569"/>
      <c r="AL1294" s="569"/>
      <c r="AM1294" s="569"/>
      <c r="AN1294" s="589"/>
      <c r="AO1294" s="84"/>
      <c r="AP1294" s="38"/>
    </row>
    <row r="1295" spans="1:42" ht="13.5" customHeight="1" x14ac:dyDescent="0.35">
      <c r="A1295" s="4"/>
      <c r="B1295" s="614"/>
      <c r="C1295" s="71"/>
      <c r="D1295" s="71"/>
      <c r="E1295" s="71"/>
      <c r="F1295" s="71"/>
      <c r="G1295" s="71"/>
      <c r="H1295" s="87"/>
      <c r="I1295" s="71"/>
      <c r="J1295" s="71"/>
      <c r="K1295" s="71"/>
      <c r="L1295" s="87"/>
      <c r="M1295" s="71"/>
      <c r="N1295" s="71"/>
      <c r="O1295" s="71"/>
      <c r="P1295" s="311"/>
      <c r="Q1295" s="312"/>
      <c r="R1295" s="312"/>
      <c r="S1295" s="569"/>
      <c r="T1295" s="569"/>
      <c r="U1295" s="569"/>
      <c r="V1295" s="341"/>
      <c r="W1295" s="311"/>
      <c r="X1295" s="71"/>
      <c r="Y1295" s="71"/>
      <c r="Z1295" s="71"/>
      <c r="AA1295" s="456"/>
      <c r="AB1295" s="104"/>
      <c r="AC1295" s="485"/>
      <c r="AD1295" s="486"/>
      <c r="AE1295" s="485"/>
      <c r="AF1295" s="634"/>
      <c r="AG1295" s="97"/>
      <c r="AH1295" s="223"/>
      <c r="AI1295" s="569"/>
      <c r="AJ1295" s="569"/>
      <c r="AK1295" s="569"/>
      <c r="AL1295" s="569"/>
      <c r="AM1295" s="569"/>
      <c r="AN1295" s="589"/>
      <c r="AO1295" s="84"/>
      <c r="AP1295" s="38"/>
    </row>
    <row r="1296" spans="1:42" ht="13.5" customHeight="1" x14ac:dyDescent="0.35">
      <c r="A1296" s="4"/>
      <c r="B1296" s="614"/>
      <c r="C1296" s="71"/>
      <c r="D1296" s="71"/>
      <c r="E1296" s="71"/>
      <c r="F1296" s="71"/>
      <c r="G1296" s="71"/>
      <c r="H1296" s="87"/>
      <c r="I1296" s="71"/>
      <c r="J1296" s="71"/>
      <c r="K1296" s="71"/>
      <c r="L1296" s="87"/>
      <c r="M1296" s="71"/>
      <c r="N1296" s="71"/>
      <c r="O1296" s="71"/>
      <c r="P1296" s="311"/>
      <c r="Q1296" s="312"/>
      <c r="R1296" s="312"/>
      <c r="S1296" s="569"/>
      <c r="T1296" s="569"/>
      <c r="U1296" s="569"/>
      <c r="V1296" s="341"/>
      <c r="W1296" s="311"/>
      <c r="X1296" s="71"/>
      <c r="Y1296" s="71"/>
      <c r="Z1296" s="71"/>
      <c r="AA1296" s="456"/>
      <c r="AB1296" s="104"/>
      <c r="AC1296" s="485"/>
      <c r="AD1296" s="486"/>
      <c r="AE1296" s="485"/>
      <c r="AF1296" s="634"/>
      <c r="AG1296" s="97"/>
      <c r="AH1296" s="223"/>
      <c r="AI1296" s="569"/>
      <c r="AJ1296" s="569"/>
      <c r="AK1296" s="569"/>
      <c r="AL1296" s="569"/>
      <c r="AM1296" s="569"/>
      <c r="AN1296" s="589"/>
      <c r="AO1296" s="84"/>
      <c r="AP1296" s="38"/>
    </row>
    <row r="1297" spans="1:42" ht="13.5" customHeight="1" x14ac:dyDescent="0.35">
      <c r="A1297" s="4"/>
      <c r="B1297" s="614"/>
      <c r="C1297" s="71"/>
      <c r="D1297" s="71"/>
      <c r="E1297" s="71"/>
      <c r="F1297" s="71"/>
      <c r="G1297" s="71"/>
      <c r="H1297" s="87"/>
      <c r="I1297" s="71"/>
      <c r="J1297" s="71"/>
      <c r="K1297" s="71"/>
      <c r="L1297" s="87"/>
      <c r="M1297" s="71"/>
      <c r="N1297" s="71"/>
      <c r="O1297" s="71"/>
      <c r="P1297" s="311"/>
      <c r="Q1297" s="312"/>
      <c r="R1297" s="312"/>
      <c r="S1297" s="569"/>
      <c r="T1297" s="569"/>
      <c r="U1297" s="569"/>
      <c r="V1297" s="341"/>
      <c r="W1297" s="311"/>
      <c r="X1297" s="71"/>
      <c r="Y1297" s="71"/>
      <c r="Z1297" s="71"/>
      <c r="AA1297" s="456"/>
      <c r="AB1297" s="104"/>
      <c r="AC1297" s="485"/>
      <c r="AD1297" s="486"/>
      <c r="AE1297" s="485"/>
      <c r="AF1297" s="634"/>
      <c r="AG1297" s="97"/>
      <c r="AH1297" s="223"/>
      <c r="AI1297" s="569"/>
      <c r="AJ1297" s="569"/>
      <c r="AK1297" s="569"/>
      <c r="AL1297" s="569"/>
      <c r="AM1297" s="569"/>
      <c r="AN1297" s="589"/>
      <c r="AO1297" s="84"/>
      <c r="AP1297" s="38"/>
    </row>
    <row r="1298" spans="1:42" ht="13.5" customHeight="1" x14ac:dyDescent="0.35">
      <c r="A1298" s="4"/>
      <c r="B1298" s="614"/>
      <c r="C1298" s="71"/>
      <c r="D1298" s="71"/>
      <c r="E1298" s="71"/>
      <c r="F1298" s="71"/>
      <c r="G1298" s="71"/>
      <c r="H1298" s="87"/>
      <c r="I1298" s="71"/>
      <c r="J1298" s="71"/>
      <c r="K1298" s="71"/>
      <c r="L1298" s="87"/>
      <c r="M1298" s="71"/>
      <c r="N1298" s="71"/>
      <c r="O1298" s="71"/>
      <c r="P1298" s="311"/>
      <c r="Q1298" s="312"/>
      <c r="R1298" s="312"/>
      <c r="S1298" s="569"/>
      <c r="T1298" s="569"/>
      <c r="U1298" s="569"/>
      <c r="V1298" s="341"/>
      <c r="W1298" s="311"/>
      <c r="X1298" s="71"/>
      <c r="Y1298" s="71"/>
      <c r="Z1298" s="71"/>
      <c r="AA1298" s="456"/>
      <c r="AB1298" s="104"/>
      <c r="AC1298" s="485"/>
      <c r="AD1298" s="486"/>
      <c r="AE1298" s="485"/>
      <c r="AF1298" s="634"/>
      <c r="AG1298" s="97"/>
      <c r="AH1298" s="223"/>
      <c r="AI1298" s="569"/>
      <c r="AJ1298" s="569"/>
      <c r="AK1298" s="569"/>
      <c r="AL1298" s="569"/>
      <c r="AM1298" s="569"/>
      <c r="AN1298" s="589"/>
      <c r="AO1298" s="84"/>
      <c r="AP1298" s="38"/>
    </row>
    <row r="1299" spans="1:42" ht="13.5" customHeight="1" x14ac:dyDescent="0.35">
      <c r="A1299" s="4"/>
      <c r="B1299" s="614"/>
      <c r="C1299" s="71"/>
      <c r="D1299" s="71"/>
      <c r="E1299" s="71"/>
      <c r="F1299" s="71"/>
      <c r="G1299" s="71"/>
      <c r="H1299" s="87"/>
      <c r="I1299" s="71"/>
      <c r="J1299" s="71"/>
      <c r="K1299" s="71"/>
      <c r="L1299" s="87"/>
      <c r="M1299" s="71"/>
      <c r="N1299" s="71"/>
      <c r="O1299" s="71"/>
      <c r="P1299" s="311"/>
      <c r="Q1299" s="312"/>
      <c r="R1299" s="312"/>
      <c r="S1299" s="569"/>
      <c r="T1299" s="569"/>
      <c r="U1299" s="569"/>
      <c r="V1299" s="341"/>
      <c r="W1299" s="311"/>
      <c r="X1299" s="71"/>
      <c r="Y1299" s="71"/>
      <c r="Z1299" s="71"/>
      <c r="AA1299" s="456"/>
      <c r="AB1299" s="104"/>
      <c r="AC1299" s="485"/>
      <c r="AD1299" s="486"/>
      <c r="AE1299" s="485"/>
      <c r="AF1299" s="634"/>
      <c r="AG1299" s="97"/>
      <c r="AH1299" s="223"/>
      <c r="AI1299" s="569"/>
      <c r="AJ1299" s="569"/>
      <c r="AK1299" s="569"/>
      <c r="AL1299" s="569"/>
      <c r="AM1299" s="569"/>
      <c r="AN1299" s="589"/>
      <c r="AO1299" s="84"/>
      <c r="AP1299" s="38"/>
    </row>
    <row r="1300" spans="1:42" ht="13.5" customHeight="1" x14ac:dyDescent="0.35">
      <c r="A1300" s="4"/>
      <c r="B1300" s="614"/>
      <c r="C1300" s="71"/>
      <c r="D1300" s="71"/>
      <c r="E1300" s="71"/>
      <c r="F1300" s="71"/>
      <c r="G1300" s="71"/>
      <c r="H1300" s="87"/>
      <c r="I1300" s="71"/>
      <c r="J1300" s="71"/>
      <c r="K1300" s="71"/>
      <c r="L1300" s="87"/>
      <c r="M1300" s="71"/>
      <c r="N1300" s="71"/>
      <c r="O1300" s="71"/>
      <c r="P1300" s="311"/>
      <c r="Q1300" s="312"/>
      <c r="R1300" s="312"/>
      <c r="S1300" s="569"/>
      <c r="T1300" s="569"/>
      <c r="U1300" s="569"/>
      <c r="V1300" s="341"/>
      <c r="W1300" s="311"/>
      <c r="X1300" s="71"/>
      <c r="Y1300" s="71"/>
      <c r="Z1300" s="71"/>
      <c r="AA1300" s="456"/>
      <c r="AB1300" s="104"/>
      <c r="AC1300" s="485"/>
      <c r="AD1300" s="486"/>
      <c r="AE1300" s="485"/>
      <c r="AF1300" s="634"/>
      <c r="AG1300" s="97"/>
      <c r="AH1300" s="223"/>
      <c r="AI1300" s="569"/>
      <c r="AJ1300" s="569"/>
      <c r="AK1300" s="569"/>
      <c r="AL1300" s="569"/>
      <c r="AM1300" s="569"/>
      <c r="AN1300" s="589"/>
      <c r="AO1300" s="84"/>
      <c r="AP1300" s="38"/>
    </row>
    <row r="1301" spans="1:42" ht="13.5" customHeight="1" x14ac:dyDescent="0.35">
      <c r="A1301" s="4"/>
      <c r="B1301" s="614"/>
      <c r="C1301" s="71"/>
      <c r="D1301" s="71"/>
      <c r="E1301" s="71"/>
      <c r="F1301" s="71"/>
      <c r="G1301" s="71"/>
      <c r="H1301" s="87"/>
      <c r="I1301" s="71"/>
      <c r="J1301" s="71"/>
      <c r="K1301" s="71"/>
      <c r="L1301" s="87"/>
      <c r="M1301" s="71"/>
      <c r="N1301" s="71"/>
      <c r="O1301" s="71"/>
      <c r="P1301" s="311"/>
      <c r="Q1301" s="312"/>
      <c r="R1301" s="312"/>
      <c r="S1301" s="569"/>
      <c r="T1301" s="569"/>
      <c r="U1301" s="569"/>
      <c r="V1301" s="341"/>
      <c r="W1301" s="311"/>
      <c r="X1301" s="71"/>
      <c r="Y1301" s="71"/>
      <c r="Z1301" s="71"/>
      <c r="AA1301" s="456"/>
      <c r="AB1301" s="104"/>
      <c r="AC1301" s="485"/>
      <c r="AD1301" s="486"/>
      <c r="AE1301" s="485"/>
      <c r="AF1301" s="634"/>
      <c r="AG1301" s="97"/>
      <c r="AH1301" s="223"/>
      <c r="AI1301" s="569"/>
      <c r="AJ1301" s="569"/>
      <c r="AK1301" s="569"/>
      <c r="AL1301" s="569"/>
      <c r="AM1301" s="569"/>
      <c r="AN1301" s="589"/>
      <c r="AO1301" s="84"/>
      <c r="AP1301" s="38"/>
    </row>
    <row r="1302" spans="1:42" ht="13.5" customHeight="1" x14ac:dyDescent="0.35">
      <c r="A1302" s="4"/>
      <c r="B1302" s="614"/>
      <c r="C1302" s="71"/>
      <c r="D1302" s="71"/>
      <c r="E1302" s="71"/>
      <c r="F1302" s="71"/>
      <c r="G1302" s="71"/>
      <c r="H1302" s="87"/>
      <c r="I1302" s="71"/>
      <c r="J1302" s="71"/>
      <c r="K1302" s="71"/>
      <c r="L1302" s="87"/>
      <c r="M1302" s="71"/>
      <c r="N1302" s="71"/>
      <c r="O1302" s="71"/>
      <c r="P1302" s="311"/>
      <c r="Q1302" s="312"/>
      <c r="R1302" s="312"/>
      <c r="S1302" s="569"/>
      <c r="T1302" s="569"/>
      <c r="U1302" s="569"/>
      <c r="V1302" s="341"/>
      <c r="W1302" s="311"/>
      <c r="X1302" s="71"/>
      <c r="Y1302" s="71"/>
      <c r="Z1302" s="71"/>
      <c r="AA1302" s="456"/>
      <c r="AB1302" s="104"/>
      <c r="AC1302" s="485"/>
      <c r="AD1302" s="486"/>
      <c r="AE1302" s="485"/>
      <c r="AF1302" s="634"/>
      <c r="AG1302" s="97"/>
      <c r="AH1302" s="223"/>
      <c r="AI1302" s="569"/>
      <c r="AJ1302" s="569"/>
      <c r="AK1302" s="569"/>
      <c r="AL1302" s="569"/>
      <c r="AM1302" s="569"/>
      <c r="AN1302" s="589"/>
      <c r="AO1302" s="84"/>
      <c r="AP1302" s="38"/>
    </row>
    <row r="1303" spans="1:42" ht="13.5" customHeight="1" x14ac:dyDescent="0.35">
      <c r="A1303" s="4"/>
      <c r="B1303" s="614"/>
      <c r="C1303" s="71"/>
      <c r="D1303" s="71"/>
      <c r="E1303" s="71"/>
      <c r="F1303" s="71"/>
      <c r="G1303" s="71"/>
      <c r="H1303" s="87"/>
      <c r="I1303" s="71"/>
      <c r="J1303" s="71"/>
      <c r="K1303" s="71"/>
      <c r="L1303" s="87"/>
      <c r="M1303" s="71"/>
      <c r="N1303" s="71"/>
      <c r="O1303" s="71"/>
      <c r="P1303" s="311"/>
      <c r="Q1303" s="312"/>
      <c r="R1303" s="312"/>
      <c r="S1303" s="569"/>
      <c r="T1303" s="569"/>
      <c r="U1303" s="569"/>
      <c r="V1303" s="341"/>
      <c r="W1303" s="311"/>
      <c r="X1303" s="71"/>
      <c r="Y1303" s="71"/>
      <c r="Z1303" s="71"/>
      <c r="AA1303" s="456"/>
      <c r="AB1303" s="104"/>
      <c r="AC1303" s="485"/>
      <c r="AD1303" s="486"/>
      <c r="AE1303" s="485"/>
      <c r="AF1303" s="634"/>
      <c r="AG1303" s="97"/>
      <c r="AH1303" s="223"/>
      <c r="AI1303" s="569"/>
      <c r="AJ1303" s="569"/>
      <c r="AK1303" s="569"/>
      <c r="AL1303" s="569"/>
      <c r="AM1303" s="569"/>
      <c r="AN1303" s="589"/>
      <c r="AO1303" s="84"/>
      <c r="AP1303" s="38"/>
    </row>
    <row r="1304" spans="1:42" ht="13.5" customHeight="1" x14ac:dyDescent="0.35">
      <c r="A1304" s="4"/>
      <c r="B1304" s="614"/>
      <c r="C1304" s="71"/>
      <c r="D1304" s="71"/>
      <c r="E1304" s="71"/>
      <c r="F1304" s="71"/>
      <c r="G1304" s="71"/>
      <c r="H1304" s="87"/>
      <c r="I1304" s="71"/>
      <c r="J1304" s="71"/>
      <c r="K1304" s="71"/>
      <c r="L1304" s="87"/>
      <c r="M1304" s="71"/>
      <c r="N1304" s="71"/>
      <c r="O1304" s="71"/>
      <c r="P1304" s="311"/>
      <c r="Q1304" s="312"/>
      <c r="R1304" s="312"/>
      <c r="S1304" s="569"/>
      <c r="T1304" s="569"/>
      <c r="U1304" s="569"/>
      <c r="V1304" s="341"/>
      <c r="W1304" s="311"/>
      <c r="X1304" s="71"/>
      <c r="Y1304" s="71"/>
      <c r="Z1304" s="71"/>
      <c r="AA1304" s="456"/>
      <c r="AB1304" s="104"/>
      <c r="AC1304" s="485"/>
      <c r="AD1304" s="486"/>
      <c r="AE1304" s="485"/>
      <c r="AF1304" s="634"/>
      <c r="AG1304" s="97"/>
      <c r="AH1304" s="223"/>
      <c r="AI1304" s="569"/>
      <c r="AJ1304" s="569"/>
      <c r="AK1304" s="569"/>
      <c r="AL1304" s="569"/>
      <c r="AM1304" s="569"/>
      <c r="AN1304" s="589"/>
      <c r="AO1304" s="84"/>
      <c r="AP1304" s="38"/>
    </row>
    <row r="1305" spans="1:42" ht="13.5" customHeight="1" x14ac:dyDescent="0.35">
      <c r="A1305" s="4"/>
      <c r="B1305" s="614"/>
      <c r="C1305" s="71"/>
      <c r="D1305" s="71"/>
      <c r="E1305" s="71"/>
      <c r="F1305" s="71"/>
      <c r="G1305" s="71"/>
      <c r="H1305" s="87"/>
      <c r="I1305" s="71"/>
      <c r="J1305" s="71"/>
      <c r="K1305" s="71"/>
      <c r="L1305" s="87"/>
      <c r="M1305" s="71"/>
      <c r="N1305" s="71"/>
      <c r="O1305" s="71"/>
      <c r="P1305" s="311"/>
      <c r="Q1305" s="312"/>
      <c r="R1305" s="312"/>
      <c r="S1305" s="569"/>
      <c r="T1305" s="569"/>
      <c r="U1305" s="569"/>
      <c r="V1305" s="341"/>
      <c r="W1305" s="311"/>
      <c r="X1305" s="71"/>
      <c r="Y1305" s="71"/>
      <c r="Z1305" s="71"/>
      <c r="AA1305" s="456"/>
      <c r="AB1305" s="104"/>
      <c r="AC1305" s="485"/>
      <c r="AD1305" s="486"/>
      <c r="AE1305" s="485"/>
      <c r="AF1305" s="634"/>
      <c r="AG1305" s="97"/>
      <c r="AH1305" s="223"/>
      <c r="AI1305" s="569"/>
      <c r="AJ1305" s="569"/>
      <c r="AK1305" s="569"/>
      <c r="AL1305" s="569"/>
      <c r="AM1305" s="569"/>
      <c r="AN1305" s="589"/>
      <c r="AO1305" s="84"/>
      <c r="AP1305" s="38"/>
    </row>
    <row r="1306" spans="1:42" ht="13.5" customHeight="1" x14ac:dyDescent="0.35">
      <c r="A1306" s="4"/>
      <c r="B1306" s="614"/>
      <c r="C1306" s="71"/>
      <c r="D1306" s="71"/>
      <c r="E1306" s="71"/>
      <c r="F1306" s="71"/>
      <c r="G1306" s="71"/>
      <c r="H1306" s="87"/>
      <c r="I1306" s="71"/>
      <c r="J1306" s="71"/>
      <c r="K1306" s="71"/>
      <c r="L1306" s="87"/>
      <c r="M1306" s="71"/>
      <c r="N1306" s="71"/>
      <c r="O1306" s="71"/>
      <c r="P1306" s="311"/>
      <c r="Q1306" s="312"/>
      <c r="R1306" s="312"/>
      <c r="S1306" s="569"/>
      <c r="T1306" s="569"/>
      <c r="U1306" s="569"/>
      <c r="V1306" s="341"/>
      <c r="W1306" s="311"/>
      <c r="X1306" s="71"/>
      <c r="Y1306" s="71"/>
      <c r="Z1306" s="71"/>
      <c r="AA1306" s="456"/>
      <c r="AB1306" s="104"/>
      <c r="AC1306" s="485"/>
      <c r="AD1306" s="486"/>
      <c r="AE1306" s="485"/>
      <c r="AF1306" s="634"/>
      <c r="AG1306" s="97"/>
      <c r="AH1306" s="223"/>
      <c r="AI1306" s="569"/>
      <c r="AJ1306" s="569"/>
      <c r="AK1306" s="569"/>
      <c r="AL1306" s="569"/>
      <c r="AM1306" s="569"/>
      <c r="AN1306" s="589"/>
      <c r="AO1306" s="84"/>
      <c r="AP1306" s="38"/>
    </row>
    <row r="1307" spans="1:42" ht="13.5" customHeight="1" x14ac:dyDescent="0.35">
      <c r="A1307" s="4"/>
      <c r="B1307" s="614"/>
      <c r="C1307" s="71"/>
      <c r="D1307" s="71"/>
      <c r="E1307" s="71"/>
      <c r="F1307" s="71"/>
      <c r="G1307" s="71"/>
      <c r="H1307" s="87"/>
      <c r="I1307" s="71"/>
      <c r="J1307" s="71"/>
      <c r="K1307" s="71"/>
      <c r="L1307" s="87"/>
      <c r="M1307" s="71"/>
      <c r="N1307" s="71"/>
      <c r="O1307" s="71"/>
      <c r="P1307" s="311"/>
      <c r="Q1307" s="312"/>
      <c r="R1307" s="312"/>
      <c r="S1307" s="569"/>
      <c r="T1307" s="569"/>
      <c r="U1307" s="569"/>
      <c r="V1307" s="341"/>
      <c r="W1307" s="311"/>
      <c r="X1307" s="71"/>
      <c r="Y1307" s="71"/>
      <c r="Z1307" s="71"/>
      <c r="AA1307" s="456"/>
      <c r="AB1307" s="104"/>
      <c r="AC1307" s="485"/>
      <c r="AD1307" s="486"/>
      <c r="AE1307" s="485"/>
      <c r="AF1307" s="634"/>
      <c r="AG1307" s="97"/>
      <c r="AH1307" s="223"/>
      <c r="AI1307" s="569"/>
      <c r="AJ1307" s="569"/>
      <c r="AK1307" s="569"/>
      <c r="AL1307" s="569"/>
      <c r="AM1307" s="569"/>
      <c r="AN1307" s="589"/>
      <c r="AO1307" s="84"/>
      <c r="AP1307" s="38"/>
    </row>
    <row r="1308" spans="1:42" ht="13.5" customHeight="1" x14ac:dyDescent="0.35">
      <c r="A1308" s="4"/>
      <c r="B1308" s="614"/>
      <c r="C1308" s="71"/>
      <c r="D1308" s="71"/>
      <c r="E1308" s="71"/>
      <c r="F1308" s="71"/>
      <c r="G1308" s="71"/>
      <c r="H1308" s="87"/>
      <c r="I1308" s="71"/>
      <c r="J1308" s="71"/>
      <c r="K1308" s="71"/>
      <c r="L1308" s="87"/>
      <c r="M1308" s="71"/>
      <c r="N1308" s="71"/>
      <c r="O1308" s="71"/>
      <c r="P1308" s="311"/>
      <c r="Q1308" s="312"/>
      <c r="R1308" s="312"/>
      <c r="S1308" s="569"/>
      <c r="T1308" s="569"/>
      <c r="U1308" s="569"/>
      <c r="V1308" s="341"/>
      <c r="W1308" s="311"/>
      <c r="X1308" s="71"/>
      <c r="Y1308" s="71"/>
      <c r="Z1308" s="71"/>
      <c r="AA1308" s="456"/>
      <c r="AB1308" s="104"/>
      <c r="AC1308" s="485"/>
      <c r="AD1308" s="486"/>
      <c r="AE1308" s="485"/>
      <c r="AF1308" s="634"/>
      <c r="AG1308" s="97"/>
      <c r="AH1308" s="223"/>
      <c r="AI1308" s="569"/>
      <c r="AJ1308" s="569"/>
      <c r="AK1308" s="569"/>
      <c r="AL1308" s="569"/>
      <c r="AM1308" s="569"/>
      <c r="AN1308" s="589"/>
      <c r="AO1308" s="84"/>
      <c r="AP1308" s="38"/>
    </row>
    <row r="1309" spans="1:42" ht="13.5" customHeight="1" x14ac:dyDescent="0.35">
      <c r="A1309" s="4"/>
      <c r="B1309" s="614"/>
      <c r="C1309" s="71"/>
      <c r="D1309" s="71"/>
      <c r="E1309" s="71"/>
      <c r="F1309" s="71"/>
      <c r="G1309" s="71"/>
      <c r="H1309" s="87"/>
      <c r="I1309" s="71"/>
      <c r="J1309" s="71"/>
      <c r="K1309" s="71"/>
      <c r="L1309" s="87"/>
      <c r="M1309" s="71"/>
      <c r="N1309" s="71"/>
      <c r="O1309" s="71"/>
      <c r="P1309" s="311"/>
      <c r="Q1309" s="312"/>
      <c r="R1309" s="312"/>
      <c r="S1309" s="569"/>
      <c r="T1309" s="569"/>
      <c r="U1309" s="569"/>
      <c r="V1309" s="341"/>
      <c r="W1309" s="311"/>
      <c r="X1309" s="71"/>
      <c r="Y1309" s="71"/>
      <c r="Z1309" s="71"/>
      <c r="AA1309" s="456"/>
      <c r="AB1309" s="104"/>
      <c r="AC1309" s="485"/>
      <c r="AD1309" s="486"/>
      <c r="AE1309" s="485"/>
      <c r="AF1309" s="634"/>
      <c r="AG1309" s="97"/>
      <c r="AH1309" s="223"/>
      <c r="AI1309" s="569"/>
      <c r="AJ1309" s="569"/>
      <c r="AK1309" s="569"/>
      <c r="AL1309" s="569"/>
      <c r="AM1309" s="569"/>
      <c r="AN1309" s="589"/>
      <c r="AO1309" s="84"/>
      <c r="AP1309" s="38"/>
    </row>
    <row r="1310" spans="1:42" ht="13.5" customHeight="1" x14ac:dyDescent="0.35">
      <c r="A1310" s="4"/>
      <c r="B1310" s="614"/>
      <c r="C1310" s="71"/>
      <c r="D1310" s="71"/>
      <c r="E1310" s="71"/>
      <c r="F1310" s="71"/>
      <c r="G1310" s="71"/>
      <c r="H1310" s="87"/>
      <c r="I1310" s="71"/>
      <c r="J1310" s="71"/>
      <c r="K1310" s="71"/>
      <c r="L1310" s="87"/>
      <c r="M1310" s="71"/>
      <c r="N1310" s="71"/>
      <c r="O1310" s="71"/>
      <c r="P1310" s="311"/>
      <c r="Q1310" s="312"/>
      <c r="R1310" s="312"/>
      <c r="S1310" s="569"/>
      <c r="T1310" s="569"/>
      <c r="U1310" s="569"/>
      <c r="V1310" s="341"/>
      <c r="W1310" s="311"/>
      <c r="X1310" s="71"/>
      <c r="Y1310" s="71"/>
      <c r="Z1310" s="71"/>
      <c r="AA1310" s="456"/>
      <c r="AB1310" s="104"/>
      <c r="AC1310" s="485"/>
      <c r="AD1310" s="486"/>
      <c r="AE1310" s="485"/>
      <c r="AF1310" s="634"/>
      <c r="AG1310" s="97"/>
      <c r="AH1310" s="223"/>
      <c r="AI1310" s="569"/>
      <c r="AJ1310" s="569"/>
      <c r="AK1310" s="569"/>
      <c r="AL1310" s="569"/>
      <c r="AM1310" s="569"/>
      <c r="AN1310" s="589"/>
      <c r="AO1310" s="84"/>
      <c r="AP1310" s="38"/>
    </row>
    <row r="1311" spans="1:42" ht="13.5" customHeight="1" x14ac:dyDescent="0.35">
      <c r="A1311" s="4"/>
      <c r="B1311" s="614"/>
      <c r="C1311" s="71"/>
      <c r="D1311" s="71"/>
      <c r="E1311" s="71"/>
      <c r="F1311" s="71"/>
      <c r="G1311" s="71"/>
      <c r="H1311" s="87"/>
      <c r="I1311" s="71"/>
      <c r="J1311" s="71"/>
      <c r="K1311" s="71"/>
      <c r="L1311" s="87"/>
      <c r="M1311" s="71"/>
      <c r="N1311" s="71"/>
      <c r="O1311" s="71"/>
      <c r="P1311" s="311"/>
      <c r="Q1311" s="312"/>
      <c r="R1311" s="312"/>
      <c r="S1311" s="569"/>
      <c r="T1311" s="569"/>
      <c r="U1311" s="569"/>
      <c r="V1311" s="341"/>
      <c r="W1311" s="311"/>
      <c r="X1311" s="71"/>
      <c r="Y1311" s="71"/>
      <c r="Z1311" s="71"/>
      <c r="AA1311" s="456"/>
      <c r="AB1311" s="104"/>
      <c r="AC1311" s="485"/>
      <c r="AD1311" s="486"/>
      <c r="AE1311" s="485"/>
      <c r="AF1311" s="634"/>
      <c r="AG1311" s="97"/>
      <c r="AH1311" s="223"/>
      <c r="AI1311" s="569"/>
      <c r="AJ1311" s="569"/>
      <c r="AK1311" s="569"/>
      <c r="AL1311" s="569"/>
      <c r="AM1311" s="569"/>
      <c r="AN1311" s="589"/>
      <c r="AO1311" s="84"/>
      <c r="AP1311" s="38"/>
    </row>
    <row r="1312" spans="1:42" ht="13.5" customHeight="1" x14ac:dyDescent="0.35">
      <c r="A1312" s="4"/>
      <c r="B1312" s="614"/>
      <c r="C1312" s="71"/>
      <c r="D1312" s="71"/>
      <c r="E1312" s="71"/>
      <c r="F1312" s="71"/>
      <c r="G1312" s="71"/>
      <c r="H1312" s="87"/>
      <c r="I1312" s="71"/>
      <c r="J1312" s="71"/>
      <c r="K1312" s="71"/>
      <c r="L1312" s="87"/>
      <c r="M1312" s="71"/>
      <c r="N1312" s="71"/>
      <c r="O1312" s="71"/>
      <c r="P1312" s="311"/>
      <c r="Q1312" s="312"/>
      <c r="R1312" s="312"/>
      <c r="S1312" s="569"/>
      <c r="T1312" s="569"/>
      <c r="U1312" s="569"/>
      <c r="V1312" s="341"/>
      <c r="W1312" s="311"/>
      <c r="X1312" s="71"/>
      <c r="Y1312" s="71"/>
      <c r="Z1312" s="71"/>
      <c r="AA1312" s="456"/>
      <c r="AB1312" s="104"/>
      <c r="AC1312" s="485"/>
      <c r="AD1312" s="486"/>
      <c r="AE1312" s="485"/>
      <c r="AF1312" s="634"/>
      <c r="AG1312" s="97"/>
      <c r="AH1312" s="223"/>
      <c r="AI1312" s="569"/>
      <c r="AJ1312" s="569"/>
      <c r="AK1312" s="569"/>
      <c r="AL1312" s="569"/>
      <c r="AM1312" s="569"/>
      <c r="AN1312" s="589"/>
      <c r="AO1312" s="84"/>
      <c r="AP1312" s="38"/>
    </row>
    <row r="1313" spans="1:42" ht="13.5" customHeight="1" x14ac:dyDescent="0.35">
      <c r="A1313" s="4"/>
      <c r="B1313" s="614"/>
      <c r="C1313" s="71"/>
      <c r="D1313" s="71"/>
      <c r="E1313" s="71"/>
      <c r="F1313" s="71"/>
      <c r="G1313" s="71"/>
      <c r="H1313" s="87"/>
      <c r="I1313" s="71"/>
      <c r="J1313" s="71"/>
      <c r="K1313" s="71"/>
      <c r="L1313" s="87"/>
      <c r="M1313" s="71"/>
      <c r="N1313" s="71"/>
      <c r="O1313" s="71"/>
      <c r="P1313" s="311"/>
      <c r="Q1313" s="312"/>
      <c r="R1313" s="312"/>
      <c r="S1313" s="569"/>
      <c r="T1313" s="569"/>
      <c r="U1313" s="569"/>
      <c r="V1313" s="341"/>
      <c r="W1313" s="311"/>
      <c r="X1313" s="71"/>
      <c r="Y1313" s="71"/>
      <c r="Z1313" s="71"/>
      <c r="AA1313" s="456"/>
      <c r="AB1313" s="104"/>
      <c r="AC1313" s="485"/>
      <c r="AD1313" s="486"/>
      <c r="AE1313" s="485"/>
      <c r="AF1313" s="634"/>
      <c r="AG1313" s="97"/>
      <c r="AH1313" s="223"/>
      <c r="AI1313" s="569"/>
      <c r="AJ1313" s="569"/>
      <c r="AK1313" s="569"/>
      <c r="AL1313" s="569"/>
      <c r="AM1313" s="569"/>
      <c r="AN1313" s="589"/>
      <c r="AO1313" s="84"/>
      <c r="AP1313" s="38"/>
    </row>
    <row r="1314" spans="1:42" ht="13.5" customHeight="1" x14ac:dyDescent="0.35">
      <c r="A1314" s="4"/>
      <c r="B1314" s="614"/>
      <c r="C1314" s="71"/>
      <c r="D1314" s="71"/>
      <c r="E1314" s="71"/>
      <c r="F1314" s="71"/>
      <c r="G1314" s="71"/>
      <c r="H1314" s="87"/>
      <c r="I1314" s="71"/>
      <c r="J1314" s="71"/>
      <c r="K1314" s="71"/>
      <c r="L1314" s="87"/>
      <c r="M1314" s="71"/>
      <c r="N1314" s="71"/>
      <c r="O1314" s="71"/>
      <c r="P1314" s="311"/>
      <c r="Q1314" s="312"/>
      <c r="R1314" s="312"/>
      <c r="S1314" s="569"/>
      <c r="T1314" s="569"/>
      <c r="U1314" s="569"/>
      <c r="V1314" s="341"/>
      <c r="W1314" s="311"/>
      <c r="X1314" s="71"/>
      <c r="Y1314" s="71"/>
      <c r="Z1314" s="71"/>
      <c r="AA1314" s="456"/>
      <c r="AB1314" s="104"/>
      <c r="AC1314" s="485"/>
      <c r="AD1314" s="486"/>
      <c r="AE1314" s="485"/>
      <c r="AF1314" s="634"/>
      <c r="AG1314" s="97"/>
      <c r="AH1314" s="223"/>
      <c r="AI1314" s="569"/>
      <c r="AJ1314" s="569"/>
      <c r="AK1314" s="569"/>
      <c r="AL1314" s="569"/>
      <c r="AM1314" s="569"/>
      <c r="AN1314" s="589"/>
      <c r="AO1314" s="84"/>
      <c r="AP1314" s="38"/>
    </row>
    <row r="1315" spans="1:42" ht="13.5" customHeight="1" x14ac:dyDescent="0.35">
      <c r="A1315" s="4"/>
      <c r="B1315" s="614"/>
      <c r="C1315" s="71"/>
      <c r="D1315" s="71"/>
      <c r="E1315" s="71"/>
      <c r="F1315" s="71"/>
      <c r="G1315" s="71"/>
      <c r="H1315" s="87"/>
      <c r="I1315" s="71"/>
      <c r="J1315" s="71"/>
      <c r="K1315" s="71"/>
      <c r="L1315" s="87"/>
      <c r="M1315" s="71"/>
      <c r="N1315" s="71"/>
      <c r="O1315" s="71"/>
      <c r="P1315" s="311"/>
      <c r="Q1315" s="312"/>
      <c r="R1315" s="312"/>
      <c r="S1315" s="569"/>
      <c r="T1315" s="569"/>
      <c r="U1315" s="569"/>
      <c r="V1315" s="341"/>
      <c r="W1315" s="311"/>
      <c r="X1315" s="71"/>
      <c r="Y1315" s="71"/>
      <c r="Z1315" s="71"/>
      <c r="AA1315" s="456"/>
      <c r="AB1315" s="104"/>
      <c r="AC1315" s="485"/>
      <c r="AD1315" s="486"/>
      <c r="AE1315" s="485"/>
      <c r="AF1315" s="634"/>
      <c r="AG1315" s="97"/>
      <c r="AH1315" s="223"/>
      <c r="AI1315" s="569"/>
      <c r="AJ1315" s="569"/>
      <c r="AK1315" s="569"/>
      <c r="AL1315" s="569"/>
      <c r="AM1315" s="569"/>
      <c r="AN1315" s="589"/>
      <c r="AO1315" s="84"/>
      <c r="AP1315" s="38"/>
    </row>
    <row r="1316" spans="1:42" ht="13.5" customHeight="1" x14ac:dyDescent="0.35">
      <c r="A1316" s="4"/>
      <c r="B1316" s="614"/>
      <c r="C1316" s="71"/>
      <c r="D1316" s="71"/>
      <c r="E1316" s="71"/>
      <c r="F1316" s="71"/>
      <c r="G1316" s="71"/>
      <c r="H1316" s="87"/>
      <c r="I1316" s="71"/>
      <c r="J1316" s="71"/>
      <c r="K1316" s="71"/>
      <c r="L1316" s="87"/>
      <c r="M1316" s="71"/>
      <c r="N1316" s="71"/>
      <c r="O1316" s="71"/>
      <c r="P1316" s="311"/>
      <c r="Q1316" s="312"/>
      <c r="R1316" s="312"/>
      <c r="S1316" s="569"/>
      <c r="T1316" s="569"/>
      <c r="U1316" s="569"/>
      <c r="V1316" s="341"/>
      <c r="W1316" s="311"/>
      <c r="X1316" s="71"/>
      <c r="Y1316" s="71"/>
      <c r="Z1316" s="71"/>
      <c r="AA1316" s="456"/>
      <c r="AB1316" s="104"/>
      <c r="AC1316" s="485"/>
      <c r="AD1316" s="486"/>
      <c r="AE1316" s="485"/>
      <c r="AF1316" s="634"/>
      <c r="AG1316" s="97"/>
      <c r="AH1316" s="223"/>
      <c r="AI1316" s="569"/>
      <c r="AJ1316" s="569"/>
      <c r="AK1316" s="569"/>
      <c r="AL1316" s="569"/>
      <c r="AM1316" s="569"/>
      <c r="AN1316" s="589"/>
      <c r="AO1316" s="84"/>
      <c r="AP1316" s="38"/>
    </row>
    <row r="1317" spans="1:42" ht="13.5" customHeight="1" x14ac:dyDescent="0.35">
      <c r="A1317" s="4"/>
      <c r="B1317" s="614"/>
      <c r="C1317" s="71"/>
      <c r="D1317" s="71"/>
      <c r="E1317" s="71"/>
      <c r="F1317" s="71"/>
      <c r="G1317" s="71"/>
      <c r="H1317" s="87"/>
      <c r="I1317" s="71"/>
      <c r="J1317" s="71"/>
      <c r="K1317" s="71"/>
      <c r="L1317" s="87"/>
      <c r="M1317" s="71"/>
      <c r="N1317" s="71"/>
      <c r="O1317" s="71"/>
      <c r="P1317" s="311"/>
      <c r="Q1317" s="312"/>
      <c r="R1317" s="312"/>
      <c r="S1317" s="569"/>
      <c r="T1317" s="569"/>
      <c r="U1317" s="569"/>
      <c r="V1317" s="341"/>
      <c r="W1317" s="311"/>
      <c r="X1317" s="71"/>
      <c r="Y1317" s="71"/>
      <c r="Z1317" s="71"/>
      <c r="AA1317" s="456"/>
      <c r="AB1317" s="104"/>
      <c r="AC1317" s="485"/>
      <c r="AD1317" s="486"/>
      <c r="AE1317" s="485"/>
      <c r="AF1317" s="634"/>
      <c r="AG1317" s="97"/>
      <c r="AH1317" s="223"/>
      <c r="AI1317" s="569"/>
      <c r="AJ1317" s="569"/>
      <c r="AK1317" s="569"/>
      <c r="AL1317" s="569"/>
      <c r="AM1317" s="569"/>
      <c r="AN1317" s="589"/>
      <c r="AO1317" s="84"/>
      <c r="AP1317" s="38"/>
    </row>
    <row r="1318" spans="1:42" ht="13.5" customHeight="1" x14ac:dyDescent="0.35">
      <c r="A1318" s="4"/>
      <c r="B1318" s="614"/>
      <c r="C1318" s="71"/>
      <c r="D1318" s="71"/>
      <c r="E1318" s="71"/>
      <c r="F1318" s="71"/>
      <c r="G1318" s="71"/>
      <c r="H1318" s="87"/>
      <c r="I1318" s="71"/>
      <c r="J1318" s="71"/>
      <c r="K1318" s="71"/>
      <c r="L1318" s="87"/>
      <c r="M1318" s="71"/>
      <c r="N1318" s="71"/>
      <c r="O1318" s="71"/>
      <c r="P1318" s="311"/>
      <c r="Q1318" s="312"/>
      <c r="R1318" s="312"/>
      <c r="S1318" s="569"/>
      <c r="T1318" s="569"/>
      <c r="U1318" s="569"/>
      <c r="V1318" s="341"/>
      <c r="W1318" s="311"/>
      <c r="X1318" s="71"/>
      <c r="Y1318" s="71"/>
      <c r="Z1318" s="71"/>
      <c r="AA1318" s="456"/>
      <c r="AB1318" s="104"/>
      <c r="AC1318" s="485"/>
      <c r="AD1318" s="486"/>
      <c r="AE1318" s="485"/>
      <c r="AF1318" s="634"/>
      <c r="AG1318" s="97"/>
      <c r="AH1318" s="223"/>
      <c r="AI1318" s="569"/>
      <c r="AJ1318" s="569"/>
      <c r="AK1318" s="569"/>
      <c r="AL1318" s="569"/>
      <c r="AM1318" s="569"/>
      <c r="AN1318" s="589"/>
      <c r="AO1318" s="84"/>
      <c r="AP1318" s="38"/>
    </row>
    <row r="1319" spans="1:42" ht="13.5" customHeight="1" x14ac:dyDescent="0.35">
      <c r="A1319" s="4"/>
      <c r="B1319" s="614"/>
      <c r="C1319" s="71"/>
      <c r="D1319" s="71"/>
      <c r="E1319" s="71"/>
      <c r="F1319" s="71"/>
      <c r="G1319" s="71"/>
      <c r="H1319" s="87"/>
      <c r="I1319" s="71"/>
      <c r="J1319" s="71"/>
      <c r="K1319" s="71"/>
      <c r="L1319" s="87"/>
      <c r="M1319" s="71"/>
      <c r="N1319" s="71"/>
      <c r="O1319" s="71"/>
      <c r="P1319" s="311"/>
      <c r="Q1319" s="312"/>
      <c r="R1319" s="312"/>
      <c r="S1319" s="569"/>
      <c r="T1319" s="569"/>
      <c r="U1319" s="569"/>
      <c r="V1319" s="341"/>
      <c r="W1319" s="311"/>
      <c r="X1319" s="71"/>
      <c r="Y1319" s="71"/>
      <c r="Z1319" s="71"/>
      <c r="AA1319" s="456"/>
      <c r="AB1319" s="104"/>
      <c r="AC1319" s="485"/>
      <c r="AD1319" s="486"/>
      <c r="AE1319" s="485"/>
      <c r="AF1319" s="634"/>
      <c r="AG1319" s="97"/>
      <c r="AH1319" s="223"/>
      <c r="AI1319" s="569"/>
      <c r="AJ1319" s="569"/>
      <c r="AK1319" s="569"/>
      <c r="AL1319" s="569"/>
      <c r="AM1319" s="569"/>
      <c r="AN1319" s="589"/>
      <c r="AO1319" s="84"/>
      <c r="AP1319" s="38"/>
    </row>
    <row r="1320" spans="1:42" ht="13.5" customHeight="1" x14ac:dyDescent="0.35">
      <c r="A1320" s="4"/>
      <c r="B1320" s="614"/>
      <c r="C1320" s="71"/>
      <c r="D1320" s="71"/>
      <c r="E1320" s="71"/>
      <c r="F1320" s="71"/>
      <c r="G1320" s="71"/>
      <c r="H1320" s="87"/>
      <c r="I1320" s="71"/>
      <c r="J1320" s="71"/>
      <c r="K1320" s="71"/>
      <c r="L1320" s="87"/>
      <c r="M1320" s="71"/>
      <c r="N1320" s="71"/>
      <c r="O1320" s="71"/>
      <c r="P1320" s="311"/>
      <c r="Q1320" s="312"/>
      <c r="R1320" s="312"/>
      <c r="S1320" s="569"/>
      <c r="T1320" s="569"/>
      <c r="U1320" s="569"/>
      <c r="V1320" s="341"/>
      <c r="W1320" s="311"/>
      <c r="X1320" s="71"/>
      <c r="Y1320" s="71"/>
      <c r="Z1320" s="71"/>
      <c r="AA1320" s="456"/>
      <c r="AB1320" s="104"/>
      <c r="AC1320" s="485"/>
      <c r="AD1320" s="486"/>
      <c r="AE1320" s="485"/>
      <c r="AF1320" s="634"/>
      <c r="AG1320" s="97"/>
      <c r="AH1320" s="223"/>
      <c r="AI1320" s="569"/>
      <c r="AJ1320" s="569"/>
      <c r="AK1320" s="569"/>
      <c r="AL1320" s="569"/>
      <c r="AM1320" s="569"/>
      <c r="AN1320" s="589"/>
      <c r="AO1320" s="84"/>
      <c r="AP1320" s="38"/>
    </row>
    <row r="1321" spans="1:42" ht="13.5" customHeight="1" x14ac:dyDescent="0.35">
      <c r="A1321" s="4"/>
      <c r="B1321" s="614"/>
      <c r="C1321" s="71"/>
      <c r="D1321" s="71"/>
      <c r="E1321" s="71"/>
      <c r="F1321" s="71"/>
      <c r="G1321" s="71"/>
      <c r="H1321" s="87"/>
      <c r="I1321" s="71"/>
      <c r="J1321" s="71"/>
      <c r="K1321" s="71"/>
      <c r="L1321" s="87"/>
      <c r="M1321" s="71"/>
      <c r="N1321" s="71"/>
      <c r="O1321" s="71"/>
      <c r="P1321" s="311"/>
      <c r="Q1321" s="312"/>
      <c r="R1321" s="312"/>
      <c r="S1321" s="569"/>
      <c r="T1321" s="569"/>
      <c r="U1321" s="569"/>
      <c r="V1321" s="341"/>
      <c r="W1321" s="311"/>
      <c r="X1321" s="71"/>
      <c r="Y1321" s="71"/>
      <c r="Z1321" s="71"/>
      <c r="AA1321" s="456"/>
      <c r="AB1321" s="104"/>
      <c r="AC1321" s="485"/>
      <c r="AD1321" s="486"/>
      <c r="AE1321" s="485"/>
      <c r="AF1321" s="634"/>
      <c r="AG1321" s="97"/>
      <c r="AH1321" s="223"/>
      <c r="AI1321" s="569"/>
      <c r="AJ1321" s="569"/>
      <c r="AK1321" s="569"/>
      <c r="AL1321" s="569"/>
      <c r="AM1321" s="569"/>
      <c r="AN1321" s="589"/>
      <c r="AO1321" s="84"/>
      <c r="AP1321" s="38"/>
    </row>
    <row r="1322" spans="1:42" ht="13.5" customHeight="1" x14ac:dyDescent="0.35">
      <c r="A1322" s="4"/>
      <c r="B1322" s="614"/>
      <c r="C1322" s="71"/>
      <c r="D1322" s="71"/>
      <c r="E1322" s="71"/>
      <c r="F1322" s="71"/>
      <c r="G1322" s="71"/>
      <c r="H1322" s="87"/>
      <c r="I1322" s="71"/>
      <c r="J1322" s="71"/>
      <c r="K1322" s="71"/>
      <c r="L1322" s="87"/>
      <c r="M1322" s="71"/>
      <c r="N1322" s="71"/>
      <c r="O1322" s="71"/>
      <c r="P1322" s="311"/>
      <c r="Q1322" s="312"/>
      <c r="R1322" s="312"/>
      <c r="S1322" s="569"/>
      <c r="T1322" s="569"/>
      <c r="U1322" s="569"/>
      <c r="V1322" s="341"/>
      <c r="W1322" s="311"/>
      <c r="X1322" s="71"/>
      <c r="Y1322" s="71"/>
      <c r="Z1322" s="71"/>
      <c r="AA1322" s="456"/>
      <c r="AB1322" s="104"/>
      <c r="AC1322" s="485"/>
      <c r="AD1322" s="486"/>
      <c r="AE1322" s="485"/>
      <c r="AF1322" s="634"/>
      <c r="AG1322" s="97"/>
      <c r="AH1322" s="223"/>
      <c r="AI1322" s="569"/>
      <c r="AJ1322" s="569"/>
      <c r="AK1322" s="569"/>
      <c r="AL1322" s="569"/>
      <c r="AM1322" s="569"/>
      <c r="AN1322" s="589"/>
      <c r="AO1322" s="84"/>
      <c r="AP1322" s="38"/>
    </row>
    <row r="1323" spans="1:42" ht="13.5" customHeight="1" x14ac:dyDescent="0.35">
      <c r="A1323" s="4"/>
      <c r="B1323" s="614"/>
      <c r="C1323" s="71"/>
      <c r="D1323" s="71"/>
      <c r="E1323" s="71"/>
      <c r="F1323" s="71"/>
      <c r="G1323" s="71"/>
      <c r="H1323" s="87"/>
      <c r="I1323" s="71"/>
      <c r="J1323" s="71"/>
      <c r="K1323" s="71"/>
      <c r="L1323" s="87"/>
      <c r="M1323" s="71"/>
      <c r="N1323" s="71"/>
      <c r="O1323" s="71"/>
      <c r="P1323" s="311"/>
      <c r="Q1323" s="312"/>
      <c r="R1323" s="312"/>
      <c r="S1323" s="569"/>
      <c r="T1323" s="569"/>
      <c r="U1323" s="569"/>
      <c r="V1323" s="341"/>
      <c r="W1323" s="311"/>
      <c r="X1323" s="71"/>
      <c r="Y1323" s="71"/>
      <c r="Z1323" s="71"/>
      <c r="AA1323" s="456"/>
      <c r="AB1323" s="104"/>
      <c r="AC1323" s="485"/>
      <c r="AD1323" s="486"/>
      <c r="AE1323" s="485"/>
      <c r="AF1323" s="634"/>
      <c r="AG1323" s="97"/>
      <c r="AH1323" s="223"/>
      <c r="AI1323" s="569"/>
      <c r="AJ1323" s="569"/>
      <c r="AK1323" s="569"/>
      <c r="AL1323" s="569"/>
      <c r="AM1323" s="569"/>
      <c r="AN1323" s="589"/>
      <c r="AO1323" s="84"/>
      <c r="AP1323" s="38"/>
    </row>
    <row r="1324" spans="1:42" ht="13.5" customHeight="1" x14ac:dyDescent="0.35">
      <c r="A1324" s="4"/>
      <c r="B1324" s="614"/>
      <c r="C1324" s="71"/>
      <c r="D1324" s="71"/>
      <c r="E1324" s="71"/>
      <c r="F1324" s="71"/>
      <c r="G1324" s="71"/>
      <c r="H1324" s="87"/>
      <c r="I1324" s="71"/>
      <c r="J1324" s="71"/>
      <c r="K1324" s="71"/>
      <c r="L1324" s="87"/>
      <c r="M1324" s="71"/>
      <c r="N1324" s="71"/>
      <c r="O1324" s="71"/>
      <c r="P1324" s="311"/>
      <c r="Q1324" s="312"/>
      <c r="R1324" s="312"/>
      <c r="S1324" s="569"/>
      <c r="T1324" s="569"/>
      <c r="U1324" s="569"/>
      <c r="V1324" s="341"/>
      <c r="W1324" s="311"/>
      <c r="X1324" s="71"/>
      <c r="Y1324" s="71"/>
      <c r="Z1324" s="71"/>
      <c r="AA1324" s="456"/>
      <c r="AB1324" s="104"/>
      <c r="AC1324" s="485"/>
      <c r="AD1324" s="486"/>
      <c r="AE1324" s="485"/>
      <c r="AF1324" s="634"/>
      <c r="AG1324" s="97"/>
      <c r="AH1324" s="223"/>
      <c r="AI1324" s="569"/>
      <c r="AJ1324" s="569"/>
      <c r="AK1324" s="569"/>
      <c r="AL1324" s="569"/>
      <c r="AM1324" s="569"/>
      <c r="AN1324" s="589"/>
      <c r="AO1324" s="84"/>
      <c r="AP1324" s="38"/>
    </row>
    <row r="1325" spans="1:42" ht="13.5" customHeight="1" x14ac:dyDescent="0.35">
      <c r="A1325" s="4"/>
      <c r="B1325" s="614"/>
      <c r="C1325" s="71"/>
      <c r="D1325" s="71"/>
      <c r="E1325" s="71"/>
      <c r="F1325" s="71"/>
      <c r="G1325" s="71"/>
      <c r="H1325" s="87"/>
      <c r="I1325" s="71"/>
      <c r="J1325" s="71"/>
      <c r="K1325" s="71"/>
      <c r="L1325" s="87"/>
      <c r="M1325" s="71"/>
      <c r="N1325" s="71"/>
      <c r="O1325" s="71"/>
      <c r="P1325" s="311"/>
      <c r="Q1325" s="312"/>
      <c r="R1325" s="312"/>
      <c r="S1325" s="569"/>
      <c r="T1325" s="569"/>
      <c r="U1325" s="569"/>
      <c r="V1325" s="341"/>
      <c r="W1325" s="311"/>
      <c r="X1325" s="71"/>
      <c r="Y1325" s="71"/>
      <c r="Z1325" s="71"/>
      <c r="AA1325" s="456"/>
      <c r="AB1325" s="104"/>
      <c r="AC1325" s="485"/>
      <c r="AD1325" s="486"/>
      <c r="AE1325" s="485"/>
      <c r="AF1325" s="634"/>
      <c r="AG1325" s="97"/>
      <c r="AH1325" s="223"/>
      <c r="AI1325" s="569"/>
      <c r="AJ1325" s="569"/>
      <c r="AK1325" s="569"/>
      <c r="AL1325" s="569"/>
      <c r="AM1325" s="569"/>
      <c r="AN1325" s="589"/>
      <c r="AO1325" s="84"/>
      <c r="AP1325" s="38"/>
    </row>
    <row r="1326" spans="1:42" ht="13.5" customHeight="1" x14ac:dyDescent="0.35">
      <c r="A1326" s="4"/>
      <c r="B1326" s="614"/>
      <c r="C1326" s="71"/>
      <c r="D1326" s="71"/>
      <c r="E1326" s="71"/>
      <c r="F1326" s="71"/>
      <c r="G1326" s="71"/>
      <c r="H1326" s="87"/>
      <c r="I1326" s="71"/>
      <c r="J1326" s="71"/>
      <c r="K1326" s="71"/>
      <c r="L1326" s="87"/>
      <c r="M1326" s="71"/>
      <c r="N1326" s="71"/>
      <c r="O1326" s="71"/>
      <c r="P1326" s="311"/>
      <c r="Q1326" s="312"/>
      <c r="R1326" s="312"/>
      <c r="S1326" s="569"/>
      <c r="T1326" s="569"/>
      <c r="U1326" s="569"/>
      <c r="V1326" s="341"/>
      <c r="W1326" s="311"/>
      <c r="X1326" s="71"/>
      <c r="Y1326" s="71"/>
      <c r="Z1326" s="71"/>
      <c r="AA1326" s="456"/>
      <c r="AB1326" s="104"/>
      <c r="AC1326" s="485"/>
      <c r="AD1326" s="486"/>
      <c r="AE1326" s="485"/>
      <c r="AF1326" s="634"/>
      <c r="AG1326" s="97"/>
      <c r="AH1326" s="223"/>
      <c r="AI1326" s="569"/>
      <c r="AJ1326" s="569"/>
      <c r="AK1326" s="569"/>
      <c r="AL1326" s="569"/>
      <c r="AM1326" s="569"/>
      <c r="AN1326" s="589"/>
      <c r="AO1326" s="84"/>
      <c r="AP1326" s="38"/>
    </row>
    <row r="1327" spans="1:42" ht="13.5" customHeight="1" x14ac:dyDescent="0.35">
      <c r="A1327" s="4"/>
      <c r="B1327" s="614"/>
      <c r="C1327" s="71"/>
      <c r="D1327" s="71"/>
      <c r="E1327" s="71"/>
      <c r="F1327" s="71"/>
      <c r="G1327" s="71"/>
      <c r="H1327" s="87"/>
      <c r="I1327" s="71"/>
      <c r="J1327" s="71"/>
      <c r="K1327" s="71"/>
      <c r="L1327" s="87"/>
      <c r="M1327" s="71"/>
      <c r="N1327" s="71"/>
      <c r="O1327" s="71"/>
      <c r="P1327" s="311"/>
      <c r="Q1327" s="312"/>
      <c r="R1327" s="312"/>
      <c r="S1327" s="569"/>
      <c r="T1327" s="569"/>
      <c r="U1327" s="569"/>
      <c r="V1327" s="341"/>
      <c r="W1327" s="311"/>
      <c r="X1327" s="71"/>
      <c r="Y1327" s="71"/>
      <c r="Z1327" s="71"/>
      <c r="AA1327" s="456"/>
      <c r="AB1327" s="104"/>
      <c r="AC1327" s="485"/>
      <c r="AD1327" s="486"/>
      <c r="AE1327" s="485"/>
      <c r="AF1327" s="634"/>
      <c r="AG1327" s="97"/>
      <c r="AH1327" s="223"/>
      <c r="AI1327" s="569"/>
      <c r="AJ1327" s="569"/>
      <c r="AK1327" s="569"/>
      <c r="AL1327" s="569"/>
      <c r="AM1327" s="569"/>
      <c r="AN1327" s="589"/>
      <c r="AO1327" s="84"/>
      <c r="AP1327" s="38"/>
    </row>
    <row r="1328" spans="1:42" ht="13.5" customHeight="1" x14ac:dyDescent="0.35">
      <c r="A1328" s="4"/>
      <c r="B1328" s="614"/>
      <c r="C1328" s="71"/>
      <c r="D1328" s="71"/>
      <c r="E1328" s="71"/>
      <c r="F1328" s="71"/>
      <c r="G1328" s="71"/>
      <c r="H1328" s="87"/>
      <c r="I1328" s="71"/>
      <c r="J1328" s="71"/>
      <c r="K1328" s="71"/>
      <c r="L1328" s="87"/>
      <c r="M1328" s="71"/>
      <c r="N1328" s="71"/>
      <c r="O1328" s="71"/>
      <c r="P1328" s="311"/>
      <c r="Q1328" s="312"/>
      <c r="R1328" s="312"/>
      <c r="S1328" s="569"/>
      <c r="T1328" s="569"/>
      <c r="U1328" s="569"/>
      <c r="V1328" s="341"/>
      <c r="W1328" s="311"/>
      <c r="X1328" s="71"/>
      <c r="Y1328" s="71"/>
      <c r="Z1328" s="71"/>
      <c r="AA1328" s="456"/>
      <c r="AB1328" s="104"/>
      <c r="AC1328" s="485"/>
      <c r="AD1328" s="486"/>
      <c r="AE1328" s="485"/>
      <c r="AF1328" s="634"/>
      <c r="AG1328" s="97"/>
      <c r="AH1328" s="223"/>
      <c r="AI1328" s="569"/>
      <c r="AJ1328" s="569"/>
      <c r="AK1328" s="569"/>
      <c r="AL1328" s="569"/>
      <c r="AM1328" s="569"/>
      <c r="AN1328" s="589"/>
      <c r="AO1328" s="84"/>
      <c r="AP1328" s="38"/>
    </row>
    <row r="1329" spans="1:42" ht="13.5" customHeight="1" x14ac:dyDescent="0.35">
      <c r="A1329" s="4"/>
      <c r="B1329" s="614"/>
      <c r="C1329" s="71"/>
      <c r="D1329" s="71"/>
      <c r="E1329" s="71"/>
      <c r="F1329" s="71"/>
      <c r="G1329" s="71"/>
      <c r="H1329" s="87"/>
      <c r="I1329" s="71"/>
      <c r="J1329" s="71"/>
      <c r="K1329" s="71"/>
      <c r="L1329" s="87"/>
      <c r="M1329" s="71"/>
      <c r="N1329" s="71"/>
      <c r="O1329" s="71"/>
      <c r="P1329" s="311"/>
      <c r="Q1329" s="312"/>
      <c r="R1329" s="312"/>
      <c r="S1329" s="569"/>
      <c r="T1329" s="569"/>
      <c r="U1329" s="569"/>
      <c r="V1329" s="341"/>
      <c r="W1329" s="311"/>
      <c r="X1329" s="71"/>
      <c r="Y1329" s="71"/>
      <c r="Z1329" s="71"/>
      <c r="AA1329" s="456"/>
      <c r="AB1329" s="104"/>
      <c r="AC1329" s="485"/>
      <c r="AD1329" s="486"/>
      <c r="AE1329" s="485"/>
      <c r="AF1329" s="634"/>
      <c r="AG1329" s="97"/>
      <c r="AH1329" s="223"/>
      <c r="AI1329" s="569"/>
      <c r="AJ1329" s="569"/>
      <c r="AK1329" s="569"/>
      <c r="AL1329" s="569"/>
      <c r="AM1329" s="569"/>
      <c r="AN1329" s="589"/>
      <c r="AO1329" s="84"/>
      <c r="AP1329" s="38"/>
    </row>
    <row r="1330" spans="1:42" ht="13.5" customHeight="1" x14ac:dyDescent="0.35">
      <c r="A1330" s="4"/>
      <c r="B1330" s="614"/>
      <c r="C1330" s="71"/>
      <c r="D1330" s="71"/>
      <c r="E1330" s="71"/>
      <c r="F1330" s="71"/>
      <c r="G1330" s="71"/>
      <c r="H1330" s="87"/>
      <c r="I1330" s="71"/>
      <c r="J1330" s="71"/>
      <c r="K1330" s="71"/>
      <c r="L1330" s="87"/>
      <c r="M1330" s="71"/>
      <c r="N1330" s="71"/>
      <c r="O1330" s="71"/>
      <c r="P1330" s="311"/>
      <c r="Q1330" s="312"/>
      <c r="R1330" s="312"/>
      <c r="S1330" s="569"/>
      <c r="T1330" s="569"/>
      <c r="U1330" s="569"/>
      <c r="V1330" s="341"/>
      <c r="W1330" s="311"/>
      <c r="X1330" s="71"/>
      <c r="Y1330" s="71"/>
      <c r="Z1330" s="71"/>
      <c r="AA1330" s="456"/>
      <c r="AB1330" s="104"/>
      <c r="AC1330" s="485"/>
      <c r="AD1330" s="486"/>
      <c r="AE1330" s="485"/>
      <c r="AF1330" s="634"/>
      <c r="AG1330" s="97"/>
      <c r="AH1330" s="223"/>
      <c r="AI1330" s="569"/>
      <c r="AJ1330" s="569"/>
      <c r="AK1330" s="569"/>
      <c r="AL1330" s="569"/>
      <c r="AM1330" s="569"/>
      <c r="AN1330" s="589"/>
      <c r="AO1330" s="84"/>
      <c r="AP1330" s="38"/>
    </row>
    <row r="1331" spans="1:42" ht="13.5" customHeight="1" x14ac:dyDescent="0.35">
      <c r="A1331" s="4"/>
      <c r="B1331" s="614"/>
      <c r="C1331" s="71"/>
      <c r="D1331" s="71"/>
      <c r="E1331" s="71"/>
      <c r="F1331" s="71"/>
      <c r="G1331" s="71"/>
      <c r="H1331" s="87"/>
      <c r="I1331" s="71"/>
      <c r="J1331" s="71"/>
      <c r="K1331" s="71"/>
      <c r="L1331" s="87"/>
      <c r="M1331" s="71"/>
      <c r="N1331" s="71"/>
      <c r="O1331" s="71"/>
      <c r="P1331" s="311"/>
      <c r="Q1331" s="312"/>
      <c r="R1331" s="312"/>
      <c r="S1331" s="569"/>
      <c r="T1331" s="569"/>
      <c r="U1331" s="569"/>
      <c r="V1331" s="341"/>
      <c r="W1331" s="311"/>
      <c r="X1331" s="71"/>
      <c r="Y1331" s="71"/>
      <c r="Z1331" s="71"/>
      <c r="AA1331" s="456"/>
      <c r="AB1331" s="104"/>
      <c r="AC1331" s="485"/>
      <c r="AD1331" s="486"/>
      <c r="AE1331" s="485"/>
      <c r="AF1331" s="634"/>
      <c r="AG1331" s="97"/>
      <c r="AH1331" s="223"/>
      <c r="AI1331" s="569"/>
      <c r="AJ1331" s="569"/>
      <c r="AK1331" s="569"/>
      <c r="AL1331" s="569"/>
      <c r="AM1331" s="569"/>
      <c r="AN1331" s="589"/>
      <c r="AO1331" s="84"/>
      <c r="AP1331" s="38"/>
    </row>
    <row r="1332" spans="1:42" ht="13.5" customHeight="1" x14ac:dyDescent="0.35">
      <c r="A1332" s="4"/>
      <c r="B1332" s="614"/>
      <c r="C1332" s="71"/>
      <c r="D1332" s="71"/>
      <c r="E1332" s="71"/>
      <c r="F1332" s="71"/>
      <c r="G1332" s="71"/>
      <c r="H1332" s="87"/>
      <c r="I1332" s="71"/>
      <c r="J1332" s="71"/>
      <c r="K1332" s="71"/>
      <c r="L1332" s="87"/>
      <c r="M1332" s="71"/>
      <c r="N1332" s="71"/>
      <c r="O1332" s="71"/>
      <c r="P1332" s="311"/>
      <c r="Q1332" s="312"/>
      <c r="R1332" s="312"/>
      <c r="S1332" s="569"/>
      <c r="T1332" s="569"/>
      <c r="U1332" s="569"/>
      <c r="V1332" s="341"/>
      <c r="W1332" s="311"/>
      <c r="X1332" s="71"/>
      <c r="Y1332" s="71"/>
      <c r="Z1332" s="71"/>
      <c r="AA1332" s="456"/>
      <c r="AB1332" s="104"/>
      <c r="AC1332" s="485"/>
      <c r="AD1332" s="486"/>
      <c r="AE1332" s="485"/>
      <c r="AF1332" s="634"/>
      <c r="AG1332" s="97"/>
      <c r="AH1332" s="223"/>
      <c r="AI1332" s="569"/>
      <c r="AJ1332" s="569"/>
      <c r="AK1332" s="569"/>
      <c r="AL1332" s="569"/>
      <c r="AM1332" s="569"/>
      <c r="AN1332" s="589"/>
      <c r="AO1332" s="84"/>
      <c r="AP1332" s="38"/>
    </row>
    <row r="1333" spans="1:42" ht="13.5" customHeight="1" x14ac:dyDescent="0.35">
      <c r="A1333" s="4"/>
      <c r="B1333" s="614"/>
      <c r="C1333" s="71"/>
      <c r="D1333" s="71"/>
      <c r="E1333" s="71"/>
      <c r="F1333" s="71"/>
      <c r="G1333" s="71"/>
      <c r="H1333" s="87"/>
      <c r="I1333" s="71"/>
      <c r="J1333" s="71"/>
      <c r="K1333" s="71"/>
      <c r="L1333" s="87"/>
      <c r="M1333" s="71"/>
      <c r="N1333" s="71"/>
      <c r="O1333" s="71"/>
      <c r="P1333" s="311"/>
      <c r="Q1333" s="312"/>
      <c r="R1333" s="312"/>
      <c r="S1333" s="569"/>
      <c r="T1333" s="569"/>
      <c r="U1333" s="569"/>
      <c r="V1333" s="341"/>
      <c r="W1333" s="311"/>
      <c r="X1333" s="71"/>
      <c r="Y1333" s="71"/>
      <c r="Z1333" s="71"/>
      <c r="AA1333" s="456"/>
      <c r="AB1333" s="104"/>
      <c r="AC1333" s="485"/>
      <c r="AD1333" s="486"/>
      <c r="AE1333" s="485"/>
      <c r="AF1333" s="634"/>
      <c r="AG1333" s="97"/>
      <c r="AH1333" s="223"/>
      <c r="AI1333" s="569"/>
      <c r="AJ1333" s="569"/>
      <c r="AK1333" s="569"/>
      <c r="AL1333" s="569"/>
      <c r="AM1333" s="569"/>
      <c r="AN1333" s="589"/>
      <c r="AO1333" s="84"/>
      <c r="AP1333" s="38"/>
    </row>
    <row r="1334" spans="1:42" ht="13.5" customHeight="1" x14ac:dyDescent="0.35">
      <c r="A1334" s="4"/>
      <c r="B1334" s="614"/>
      <c r="C1334" s="71"/>
      <c r="D1334" s="71"/>
      <c r="E1334" s="71"/>
      <c r="F1334" s="71"/>
      <c r="G1334" s="71"/>
      <c r="H1334" s="87"/>
      <c r="I1334" s="71"/>
      <c r="J1334" s="71"/>
      <c r="K1334" s="71"/>
      <c r="L1334" s="87"/>
      <c r="M1334" s="71"/>
      <c r="N1334" s="71"/>
      <c r="O1334" s="71"/>
      <c r="P1334" s="311"/>
      <c r="Q1334" s="312"/>
      <c r="R1334" s="312"/>
      <c r="S1334" s="569"/>
      <c r="T1334" s="569"/>
      <c r="U1334" s="569"/>
      <c r="V1334" s="341"/>
      <c r="W1334" s="311"/>
      <c r="X1334" s="71"/>
      <c r="Y1334" s="71"/>
      <c r="Z1334" s="71"/>
      <c r="AA1334" s="456"/>
      <c r="AB1334" s="104"/>
      <c r="AC1334" s="485"/>
      <c r="AD1334" s="486"/>
      <c r="AE1334" s="485"/>
      <c r="AF1334" s="634"/>
      <c r="AG1334" s="97"/>
      <c r="AH1334" s="223"/>
      <c r="AI1334" s="569"/>
      <c r="AJ1334" s="569"/>
      <c r="AK1334" s="569"/>
      <c r="AL1334" s="569"/>
      <c r="AM1334" s="569"/>
      <c r="AN1334" s="589"/>
      <c r="AO1334" s="84"/>
      <c r="AP1334" s="38"/>
    </row>
    <row r="1335" spans="1:42" ht="13.5" customHeight="1" x14ac:dyDescent="0.35">
      <c r="A1335" s="4"/>
      <c r="B1335" s="614"/>
      <c r="C1335" s="71"/>
      <c r="D1335" s="71"/>
      <c r="E1335" s="71"/>
      <c r="F1335" s="71"/>
      <c r="G1335" s="71"/>
      <c r="H1335" s="87"/>
      <c r="I1335" s="71"/>
      <c r="J1335" s="71"/>
      <c r="K1335" s="71"/>
      <c r="L1335" s="87"/>
      <c r="M1335" s="71"/>
      <c r="N1335" s="71"/>
      <c r="O1335" s="71"/>
      <c r="P1335" s="311"/>
      <c r="Q1335" s="312"/>
      <c r="R1335" s="312"/>
      <c r="S1335" s="569"/>
      <c r="T1335" s="569"/>
      <c r="U1335" s="569"/>
      <c r="V1335" s="341"/>
      <c r="W1335" s="311"/>
      <c r="X1335" s="71"/>
      <c r="Y1335" s="71"/>
      <c r="Z1335" s="71"/>
      <c r="AA1335" s="456"/>
      <c r="AB1335" s="104"/>
      <c r="AC1335" s="485"/>
      <c r="AD1335" s="486"/>
      <c r="AE1335" s="485"/>
      <c r="AF1335" s="634"/>
      <c r="AG1335" s="97"/>
      <c r="AH1335" s="223"/>
      <c r="AI1335" s="569"/>
      <c r="AJ1335" s="569"/>
      <c r="AK1335" s="569"/>
      <c r="AL1335" s="569"/>
      <c r="AM1335" s="569"/>
      <c r="AN1335" s="589"/>
      <c r="AO1335" s="84"/>
      <c r="AP1335" s="38"/>
    </row>
    <row r="1336" spans="1:42" ht="13.5" customHeight="1" x14ac:dyDescent="0.35">
      <c r="A1336" s="4"/>
      <c r="B1336" s="614"/>
      <c r="C1336" s="71"/>
      <c r="D1336" s="71"/>
      <c r="E1336" s="71"/>
      <c r="F1336" s="71"/>
      <c r="G1336" s="71"/>
      <c r="H1336" s="87"/>
      <c r="I1336" s="71"/>
      <c r="J1336" s="71"/>
      <c r="K1336" s="71"/>
      <c r="L1336" s="87"/>
      <c r="M1336" s="71"/>
      <c r="N1336" s="71"/>
      <c r="O1336" s="71"/>
      <c r="P1336" s="311"/>
      <c r="Q1336" s="312"/>
      <c r="R1336" s="312"/>
      <c r="S1336" s="569"/>
      <c r="T1336" s="569"/>
      <c r="U1336" s="569"/>
      <c r="V1336" s="341"/>
      <c r="W1336" s="311"/>
      <c r="X1336" s="71"/>
      <c r="Y1336" s="71"/>
      <c r="Z1336" s="71"/>
      <c r="AA1336" s="456"/>
      <c r="AB1336" s="104"/>
      <c r="AC1336" s="485"/>
      <c r="AD1336" s="486"/>
      <c r="AE1336" s="485"/>
      <c r="AF1336" s="634"/>
      <c r="AG1336" s="97"/>
      <c r="AH1336" s="223"/>
      <c r="AI1336" s="569"/>
      <c r="AJ1336" s="569"/>
      <c r="AK1336" s="569"/>
      <c r="AL1336" s="569"/>
      <c r="AM1336" s="569"/>
      <c r="AN1336" s="589"/>
      <c r="AO1336" s="84"/>
      <c r="AP1336" s="38"/>
    </row>
    <row r="1337" spans="1:42" ht="13.5" customHeight="1" x14ac:dyDescent="0.35">
      <c r="A1337" s="4"/>
      <c r="B1337" s="614"/>
      <c r="C1337" s="71"/>
      <c r="D1337" s="71"/>
      <c r="E1337" s="71"/>
      <c r="F1337" s="71"/>
      <c r="G1337" s="71"/>
      <c r="H1337" s="87"/>
      <c r="I1337" s="71"/>
      <c r="J1337" s="71"/>
      <c r="K1337" s="71"/>
      <c r="L1337" s="87"/>
      <c r="M1337" s="71"/>
      <c r="N1337" s="71"/>
      <c r="O1337" s="71"/>
      <c r="P1337" s="311"/>
      <c r="Q1337" s="312"/>
      <c r="R1337" s="312"/>
      <c r="S1337" s="569"/>
      <c r="T1337" s="569"/>
      <c r="U1337" s="569"/>
      <c r="V1337" s="341"/>
      <c r="W1337" s="311"/>
      <c r="X1337" s="71"/>
      <c r="Y1337" s="71"/>
      <c r="Z1337" s="71"/>
      <c r="AA1337" s="456"/>
      <c r="AB1337" s="104"/>
      <c r="AC1337" s="485"/>
      <c r="AD1337" s="486"/>
      <c r="AE1337" s="485"/>
      <c r="AF1337" s="634"/>
      <c r="AG1337" s="97"/>
      <c r="AH1337" s="223"/>
      <c r="AI1337" s="569"/>
      <c r="AJ1337" s="569"/>
      <c r="AK1337" s="569"/>
      <c r="AL1337" s="569"/>
      <c r="AM1337" s="569"/>
      <c r="AN1337" s="589"/>
      <c r="AO1337" s="84"/>
      <c r="AP1337" s="38"/>
    </row>
    <row r="1338" spans="1:42" ht="13.5" customHeight="1" x14ac:dyDescent="0.35">
      <c r="A1338" s="4"/>
      <c r="B1338" s="614"/>
      <c r="C1338" s="71"/>
      <c r="D1338" s="71"/>
      <c r="E1338" s="71"/>
      <c r="F1338" s="71"/>
      <c r="G1338" s="71"/>
      <c r="H1338" s="87"/>
      <c r="I1338" s="71"/>
      <c r="J1338" s="71"/>
      <c r="K1338" s="71"/>
      <c r="L1338" s="87"/>
      <c r="M1338" s="71"/>
      <c r="N1338" s="71"/>
      <c r="O1338" s="71"/>
      <c r="P1338" s="311"/>
      <c r="Q1338" s="312"/>
      <c r="R1338" s="312"/>
      <c r="S1338" s="569"/>
      <c r="T1338" s="569"/>
      <c r="U1338" s="569"/>
      <c r="V1338" s="341"/>
      <c r="W1338" s="311"/>
      <c r="X1338" s="71"/>
      <c r="Y1338" s="71"/>
      <c r="Z1338" s="71"/>
      <c r="AA1338" s="456"/>
      <c r="AB1338" s="104"/>
      <c r="AC1338" s="485"/>
      <c r="AD1338" s="486"/>
      <c r="AE1338" s="485"/>
      <c r="AF1338" s="634"/>
      <c r="AG1338" s="97"/>
      <c r="AH1338" s="223"/>
      <c r="AI1338" s="569"/>
      <c r="AJ1338" s="569"/>
      <c r="AK1338" s="569"/>
      <c r="AL1338" s="569"/>
      <c r="AM1338" s="569"/>
      <c r="AN1338" s="589"/>
      <c r="AO1338" s="84"/>
      <c r="AP1338" s="38"/>
    </row>
    <row r="1339" spans="1:42" ht="13.5" customHeight="1" x14ac:dyDescent="0.35">
      <c r="A1339" s="4"/>
      <c r="B1339" s="614"/>
      <c r="C1339" s="71"/>
      <c r="D1339" s="71"/>
      <c r="E1339" s="71"/>
      <c r="F1339" s="71"/>
      <c r="G1339" s="71"/>
      <c r="H1339" s="87"/>
      <c r="I1339" s="71"/>
      <c r="J1339" s="71"/>
      <c r="K1339" s="71"/>
      <c r="L1339" s="87"/>
      <c r="M1339" s="71"/>
      <c r="N1339" s="71"/>
      <c r="O1339" s="71"/>
      <c r="P1339" s="311"/>
      <c r="Q1339" s="312"/>
      <c r="R1339" s="312"/>
      <c r="S1339" s="569"/>
      <c r="T1339" s="569"/>
      <c r="U1339" s="569"/>
      <c r="V1339" s="341"/>
      <c r="W1339" s="311"/>
      <c r="X1339" s="71"/>
      <c r="Y1339" s="71"/>
      <c r="Z1339" s="71"/>
      <c r="AA1339" s="456"/>
      <c r="AB1339" s="104"/>
      <c r="AC1339" s="485"/>
      <c r="AD1339" s="486"/>
      <c r="AE1339" s="485"/>
      <c r="AF1339" s="634"/>
      <c r="AG1339" s="97"/>
      <c r="AH1339" s="223"/>
      <c r="AI1339" s="569"/>
      <c r="AJ1339" s="569"/>
      <c r="AK1339" s="569"/>
      <c r="AL1339" s="569"/>
      <c r="AM1339" s="569"/>
      <c r="AN1339" s="589"/>
      <c r="AO1339" s="84"/>
      <c r="AP1339" s="38"/>
    </row>
    <row r="1340" spans="1:42" ht="13.5" customHeight="1" x14ac:dyDescent="0.35">
      <c r="A1340" s="4"/>
      <c r="B1340" s="614"/>
      <c r="C1340" s="71"/>
      <c r="D1340" s="71"/>
      <c r="E1340" s="71"/>
      <c r="F1340" s="71"/>
      <c r="G1340" s="71"/>
      <c r="H1340" s="87"/>
      <c r="I1340" s="71"/>
      <c r="J1340" s="71"/>
      <c r="K1340" s="71"/>
      <c r="L1340" s="87"/>
      <c r="M1340" s="71"/>
      <c r="N1340" s="71"/>
      <c r="O1340" s="71"/>
      <c r="P1340" s="311"/>
      <c r="Q1340" s="312"/>
      <c r="R1340" s="312"/>
      <c r="S1340" s="569"/>
      <c r="T1340" s="569"/>
      <c r="U1340" s="569"/>
      <c r="V1340" s="341"/>
      <c r="W1340" s="311"/>
      <c r="X1340" s="71"/>
      <c r="Y1340" s="71"/>
      <c r="Z1340" s="71"/>
      <c r="AA1340" s="456"/>
      <c r="AB1340" s="104"/>
      <c r="AC1340" s="485"/>
      <c r="AD1340" s="486"/>
      <c r="AE1340" s="485"/>
      <c r="AF1340" s="634"/>
      <c r="AG1340" s="97"/>
      <c r="AH1340" s="223"/>
      <c r="AI1340" s="569"/>
      <c r="AJ1340" s="569"/>
      <c r="AK1340" s="569"/>
      <c r="AL1340" s="569"/>
      <c r="AM1340" s="569"/>
      <c r="AN1340" s="589"/>
      <c r="AO1340" s="84"/>
      <c r="AP1340" s="38"/>
    </row>
    <row r="1341" spans="1:42" ht="13.5" customHeight="1" x14ac:dyDescent="0.35">
      <c r="A1341" s="4"/>
      <c r="B1341" s="614"/>
      <c r="C1341" s="71"/>
      <c r="D1341" s="71"/>
      <c r="E1341" s="71"/>
      <c r="F1341" s="71"/>
      <c r="G1341" s="71"/>
      <c r="H1341" s="87"/>
      <c r="I1341" s="71"/>
      <c r="J1341" s="71"/>
      <c r="K1341" s="71"/>
      <c r="L1341" s="87"/>
      <c r="M1341" s="71"/>
      <c r="N1341" s="71"/>
      <c r="O1341" s="71"/>
      <c r="P1341" s="311"/>
      <c r="Q1341" s="312"/>
      <c r="R1341" s="312"/>
      <c r="S1341" s="569"/>
      <c r="T1341" s="569"/>
      <c r="U1341" s="569"/>
      <c r="V1341" s="341"/>
      <c r="W1341" s="311"/>
      <c r="X1341" s="71"/>
      <c r="Y1341" s="71"/>
      <c r="Z1341" s="71"/>
      <c r="AA1341" s="456"/>
      <c r="AB1341" s="104"/>
      <c r="AC1341" s="485"/>
      <c r="AD1341" s="486"/>
      <c r="AE1341" s="485"/>
      <c r="AF1341" s="634"/>
      <c r="AG1341" s="97"/>
      <c r="AH1341" s="223"/>
      <c r="AI1341" s="569"/>
      <c r="AJ1341" s="569"/>
      <c r="AK1341" s="569"/>
      <c r="AL1341" s="569"/>
      <c r="AM1341" s="569"/>
      <c r="AN1341" s="589"/>
      <c r="AO1341" s="84"/>
      <c r="AP1341" s="38"/>
    </row>
    <row r="1342" spans="1:42" ht="13.5" customHeight="1" x14ac:dyDescent="0.35">
      <c r="A1342" s="4"/>
      <c r="B1342" s="614"/>
      <c r="C1342" s="71"/>
      <c r="D1342" s="71"/>
      <c r="E1342" s="71"/>
      <c r="F1342" s="71"/>
      <c r="G1342" s="71"/>
      <c r="H1342" s="87"/>
      <c r="I1342" s="71"/>
      <c r="J1342" s="71"/>
      <c r="K1342" s="71"/>
      <c r="L1342" s="87"/>
      <c r="M1342" s="71"/>
      <c r="N1342" s="71"/>
      <c r="O1342" s="71"/>
      <c r="P1342" s="311"/>
      <c r="Q1342" s="312"/>
      <c r="R1342" s="312"/>
      <c r="S1342" s="569"/>
      <c r="T1342" s="569"/>
      <c r="U1342" s="569"/>
      <c r="V1342" s="341"/>
      <c r="W1342" s="311"/>
      <c r="X1342" s="71"/>
      <c r="Y1342" s="71"/>
      <c r="Z1342" s="71"/>
      <c r="AA1342" s="456"/>
      <c r="AB1342" s="104"/>
      <c r="AC1342" s="485"/>
      <c r="AD1342" s="486"/>
      <c r="AE1342" s="485"/>
      <c r="AF1342" s="634"/>
      <c r="AG1342" s="97"/>
      <c r="AH1342" s="223"/>
      <c r="AI1342" s="569"/>
      <c r="AJ1342" s="569"/>
      <c r="AK1342" s="569"/>
      <c r="AL1342" s="569"/>
      <c r="AM1342" s="569"/>
      <c r="AN1342" s="589"/>
      <c r="AO1342" s="84"/>
      <c r="AP1342" s="38"/>
    </row>
    <row r="1343" spans="1:42" ht="13.5" customHeight="1" x14ac:dyDescent="0.35">
      <c r="A1343" s="4"/>
      <c r="B1343" s="614"/>
      <c r="C1343" s="71"/>
      <c r="D1343" s="71"/>
      <c r="E1343" s="71"/>
      <c r="F1343" s="71"/>
      <c r="G1343" s="71"/>
      <c r="H1343" s="87"/>
      <c r="I1343" s="71"/>
      <c r="J1343" s="71"/>
      <c r="K1343" s="71"/>
      <c r="L1343" s="87"/>
      <c r="M1343" s="71"/>
      <c r="N1343" s="71"/>
      <c r="O1343" s="71"/>
      <c r="P1343" s="311"/>
      <c r="Q1343" s="312"/>
      <c r="R1343" s="312"/>
      <c r="S1343" s="569"/>
      <c r="T1343" s="569"/>
      <c r="U1343" s="569"/>
      <c r="V1343" s="341"/>
      <c r="W1343" s="311"/>
      <c r="X1343" s="71"/>
      <c r="Y1343" s="71"/>
      <c r="Z1343" s="71"/>
      <c r="AA1343" s="456"/>
      <c r="AB1343" s="104"/>
      <c r="AC1343" s="485"/>
      <c r="AD1343" s="486"/>
      <c r="AE1343" s="485"/>
      <c r="AF1343" s="634"/>
      <c r="AG1343" s="97"/>
      <c r="AH1343" s="223"/>
      <c r="AI1343" s="569"/>
      <c r="AJ1343" s="569"/>
      <c r="AK1343" s="569"/>
      <c r="AL1343" s="569"/>
      <c r="AM1343" s="569"/>
      <c r="AN1343" s="589"/>
      <c r="AO1343" s="84"/>
      <c r="AP1343" s="38"/>
    </row>
    <row r="1344" spans="1:42" ht="13.5" customHeight="1" x14ac:dyDescent="0.35">
      <c r="A1344" s="4"/>
      <c r="B1344" s="614"/>
      <c r="C1344" s="71"/>
      <c r="D1344" s="71"/>
      <c r="E1344" s="71"/>
      <c r="F1344" s="71"/>
      <c r="G1344" s="71"/>
      <c r="H1344" s="87"/>
      <c r="I1344" s="71"/>
      <c r="J1344" s="71"/>
      <c r="K1344" s="71"/>
      <c r="L1344" s="87"/>
      <c r="M1344" s="71"/>
      <c r="N1344" s="71"/>
      <c r="O1344" s="71"/>
      <c r="P1344" s="311"/>
      <c r="Q1344" s="312"/>
      <c r="R1344" s="312"/>
      <c r="S1344" s="569"/>
      <c r="T1344" s="569"/>
      <c r="U1344" s="569"/>
      <c r="V1344" s="341"/>
      <c r="W1344" s="311"/>
      <c r="X1344" s="71"/>
      <c r="Y1344" s="71"/>
      <c r="Z1344" s="71"/>
      <c r="AA1344" s="456"/>
      <c r="AB1344" s="104"/>
      <c r="AC1344" s="485"/>
      <c r="AD1344" s="486"/>
      <c r="AE1344" s="485"/>
      <c r="AF1344" s="634"/>
      <c r="AG1344" s="97"/>
      <c r="AH1344" s="223"/>
      <c r="AI1344" s="569"/>
      <c r="AJ1344" s="569"/>
      <c r="AK1344" s="569"/>
      <c r="AL1344" s="569"/>
      <c r="AM1344" s="569"/>
      <c r="AN1344" s="589"/>
      <c r="AO1344" s="84"/>
      <c r="AP1344" s="38"/>
    </row>
    <row r="1345" spans="1:42" ht="13.5" customHeight="1" x14ac:dyDescent="0.35">
      <c r="A1345" s="4"/>
      <c r="B1345" s="614"/>
      <c r="C1345" s="71"/>
      <c r="D1345" s="71"/>
      <c r="E1345" s="71"/>
      <c r="F1345" s="71"/>
      <c r="G1345" s="71"/>
      <c r="H1345" s="87"/>
      <c r="I1345" s="71"/>
      <c r="J1345" s="71"/>
      <c r="K1345" s="71"/>
      <c r="L1345" s="87"/>
      <c r="M1345" s="71"/>
      <c r="N1345" s="71"/>
      <c r="O1345" s="71"/>
      <c r="P1345" s="311"/>
      <c r="Q1345" s="312"/>
      <c r="R1345" s="312"/>
      <c r="S1345" s="569"/>
      <c r="T1345" s="569"/>
      <c r="U1345" s="569"/>
      <c r="V1345" s="341"/>
      <c r="W1345" s="311"/>
      <c r="X1345" s="71"/>
      <c r="Y1345" s="71"/>
      <c r="Z1345" s="71"/>
      <c r="AA1345" s="456"/>
      <c r="AB1345" s="104"/>
      <c r="AC1345" s="485"/>
      <c r="AD1345" s="486"/>
      <c r="AE1345" s="485"/>
      <c r="AF1345" s="634"/>
      <c r="AG1345" s="97"/>
      <c r="AH1345" s="223"/>
      <c r="AI1345" s="569"/>
      <c r="AJ1345" s="569"/>
      <c r="AK1345" s="569"/>
      <c r="AL1345" s="569"/>
      <c r="AM1345" s="569"/>
      <c r="AN1345" s="589"/>
      <c r="AO1345" s="84"/>
      <c r="AP1345" s="38"/>
    </row>
    <row r="1346" spans="1:42" ht="13.5" customHeight="1" x14ac:dyDescent="0.35">
      <c r="A1346" s="4"/>
      <c r="B1346" s="614"/>
      <c r="C1346" s="71"/>
      <c r="D1346" s="71"/>
      <c r="E1346" s="71"/>
      <c r="F1346" s="71"/>
      <c r="G1346" s="71"/>
      <c r="H1346" s="87"/>
      <c r="I1346" s="71"/>
      <c r="J1346" s="71"/>
      <c r="K1346" s="71"/>
      <c r="L1346" s="87"/>
      <c r="M1346" s="71"/>
      <c r="N1346" s="71"/>
      <c r="O1346" s="71"/>
      <c r="P1346" s="311"/>
      <c r="Q1346" s="312"/>
      <c r="R1346" s="312"/>
      <c r="S1346" s="569"/>
      <c r="T1346" s="569"/>
      <c r="U1346" s="569"/>
      <c r="V1346" s="341"/>
      <c r="W1346" s="311"/>
      <c r="X1346" s="71"/>
      <c r="Y1346" s="71"/>
      <c r="Z1346" s="71"/>
      <c r="AA1346" s="456"/>
      <c r="AB1346" s="104"/>
      <c r="AC1346" s="485"/>
      <c r="AD1346" s="486"/>
      <c r="AE1346" s="485"/>
      <c r="AF1346" s="634"/>
      <c r="AG1346" s="97"/>
      <c r="AH1346" s="223"/>
      <c r="AI1346" s="569"/>
      <c r="AJ1346" s="569"/>
      <c r="AK1346" s="569"/>
      <c r="AL1346" s="569"/>
      <c r="AM1346" s="569"/>
      <c r="AN1346" s="589"/>
      <c r="AO1346" s="84"/>
      <c r="AP1346" s="38"/>
    </row>
    <row r="1347" spans="1:42" ht="13.5" customHeight="1" x14ac:dyDescent="0.35">
      <c r="A1347" s="4"/>
      <c r="B1347" s="614"/>
      <c r="C1347" s="71"/>
      <c r="D1347" s="71"/>
      <c r="E1347" s="71"/>
      <c r="F1347" s="71"/>
      <c r="G1347" s="71"/>
      <c r="H1347" s="87"/>
      <c r="I1347" s="71"/>
      <c r="J1347" s="71"/>
      <c r="K1347" s="71"/>
      <c r="L1347" s="87"/>
      <c r="M1347" s="71"/>
      <c r="N1347" s="71"/>
      <c r="O1347" s="71"/>
      <c r="P1347" s="311"/>
      <c r="Q1347" s="312"/>
      <c r="R1347" s="312"/>
      <c r="S1347" s="569"/>
      <c r="T1347" s="569"/>
      <c r="U1347" s="569"/>
      <c r="V1347" s="341"/>
      <c r="W1347" s="311"/>
      <c r="X1347" s="71"/>
      <c r="Y1347" s="71"/>
      <c r="Z1347" s="71"/>
      <c r="AA1347" s="456"/>
      <c r="AB1347" s="104"/>
      <c r="AC1347" s="485"/>
      <c r="AD1347" s="486"/>
      <c r="AE1347" s="485"/>
      <c r="AF1347" s="634"/>
      <c r="AG1347" s="97"/>
      <c r="AH1347" s="223"/>
      <c r="AI1347" s="569"/>
      <c r="AJ1347" s="569"/>
      <c r="AK1347" s="569"/>
      <c r="AL1347" s="569"/>
      <c r="AM1347" s="569"/>
      <c r="AN1347" s="589"/>
      <c r="AO1347" s="84"/>
      <c r="AP1347" s="38"/>
    </row>
    <row r="1348" spans="1:42" ht="13.5" customHeight="1" x14ac:dyDescent="0.35">
      <c r="A1348" s="4"/>
      <c r="B1348" s="614"/>
      <c r="C1348" s="71"/>
      <c r="D1348" s="71"/>
      <c r="E1348" s="71"/>
      <c r="F1348" s="71"/>
      <c r="G1348" s="71"/>
      <c r="H1348" s="87"/>
      <c r="I1348" s="71"/>
      <c r="J1348" s="71"/>
      <c r="K1348" s="71"/>
      <c r="L1348" s="87"/>
      <c r="M1348" s="71"/>
      <c r="N1348" s="71"/>
      <c r="O1348" s="71"/>
      <c r="P1348" s="311"/>
      <c r="Q1348" s="312"/>
      <c r="R1348" s="312"/>
      <c r="S1348" s="569"/>
      <c r="T1348" s="569"/>
      <c r="U1348" s="569"/>
      <c r="V1348" s="341"/>
      <c r="W1348" s="311"/>
      <c r="X1348" s="71"/>
      <c r="Y1348" s="71"/>
      <c r="Z1348" s="71"/>
      <c r="AA1348" s="456"/>
      <c r="AB1348" s="104"/>
      <c r="AC1348" s="485"/>
      <c r="AD1348" s="486"/>
      <c r="AE1348" s="485"/>
      <c r="AF1348" s="634"/>
      <c r="AG1348" s="97"/>
      <c r="AH1348" s="223"/>
      <c r="AI1348" s="569"/>
      <c r="AJ1348" s="569"/>
      <c r="AK1348" s="569"/>
      <c r="AL1348" s="569"/>
      <c r="AM1348" s="569"/>
      <c r="AN1348" s="589"/>
      <c r="AO1348" s="84"/>
      <c r="AP1348" s="38"/>
    </row>
    <row r="1349" spans="1:42" ht="13.5" customHeight="1" x14ac:dyDescent="0.35">
      <c r="A1349" s="4"/>
      <c r="B1349" s="614"/>
      <c r="C1349" s="71"/>
      <c r="D1349" s="71"/>
      <c r="E1349" s="71"/>
      <c r="F1349" s="71"/>
      <c r="G1349" s="71"/>
      <c r="H1349" s="87"/>
      <c r="I1349" s="71"/>
      <c r="J1349" s="71"/>
      <c r="K1349" s="71"/>
      <c r="L1349" s="87"/>
      <c r="M1349" s="71"/>
      <c r="N1349" s="71"/>
      <c r="O1349" s="71"/>
      <c r="P1349" s="311"/>
      <c r="Q1349" s="312"/>
      <c r="R1349" s="312"/>
      <c r="S1349" s="569"/>
      <c r="T1349" s="569"/>
      <c r="U1349" s="569"/>
      <c r="V1349" s="341"/>
      <c r="W1349" s="311"/>
      <c r="X1349" s="71"/>
      <c r="Y1349" s="71"/>
      <c r="Z1349" s="71"/>
      <c r="AA1349" s="456"/>
      <c r="AB1349" s="104"/>
      <c r="AC1349" s="485"/>
      <c r="AD1349" s="486"/>
      <c r="AE1349" s="485"/>
      <c r="AF1349" s="634"/>
      <c r="AG1349" s="97"/>
      <c r="AH1349" s="223"/>
      <c r="AI1349" s="569"/>
      <c r="AJ1349" s="569"/>
      <c r="AK1349" s="569"/>
      <c r="AL1349" s="569"/>
      <c r="AM1349" s="569"/>
      <c r="AN1349" s="589"/>
      <c r="AO1349" s="84"/>
      <c r="AP1349" s="38"/>
    </row>
    <row r="1350" spans="1:42" ht="13.5" customHeight="1" x14ac:dyDescent="0.35">
      <c r="A1350" s="4"/>
      <c r="B1350" s="614"/>
      <c r="C1350" s="71"/>
      <c r="D1350" s="71"/>
      <c r="E1350" s="71"/>
      <c r="F1350" s="71"/>
      <c r="G1350" s="71"/>
      <c r="H1350" s="87"/>
      <c r="I1350" s="71"/>
      <c r="J1350" s="71"/>
      <c r="K1350" s="71"/>
      <c r="L1350" s="87"/>
      <c r="M1350" s="71"/>
      <c r="N1350" s="71"/>
      <c r="O1350" s="71"/>
      <c r="P1350" s="311"/>
      <c r="Q1350" s="312"/>
      <c r="R1350" s="312"/>
      <c r="S1350" s="569"/>
      <c r="T1350" s="569"/>
      <c r="U1350" s="569"/>
      <c r="V1350" s="341"/>
      <c r="W1350" s="311"/>
      <c r="X1350" s="71"/>
      <c r="Y1350" s="71"/>
      <c r="Z1350" s="71"/>
      <c r="AA1350" s="456"/>
      <c r="AB1350" s="104"/>
      <c r="AC1350" s="485"/>
      <c r="AD1350" s="486"/>
      <c r="AE1350" s="485"/>
      <c r="AF1350" s="634"/>
      <c r="AG1350" s="97"/>
      <c r="AH1350" s="223"/>
      <c r="AI1350" s="569"/>
      <c r="AJ1350" s="569"/>
      <c r="AK1350" s="569"/>
      <c r="AL1350" s="569"/>
      <c r="AM1350" s="569"/>
      <c r="AN1350" s="589"/>
      <c r="AO1350" s="84"/>
      <c r="AP1350" s="38"/>
    </row>
    <row r="1351" spans="1:42" ht="13.5" customHeight="1" x14ac:dyDescent="0.35">
      <c r="A1351" s="4"/>
      <c r="B1351" s="614"/>
      <c r="C1351" s="71"/>
      <c r="D1351" s="71"/>
      <c r="E1351" s="71"/>
      <c r="F1351" s="71"/>
      <c r="G1351" s="71"/>
      <c r="H1351" s="87"/>
      <c r="I1351" s="71"/>
      <c r="J1351" s="71"/>
      <c r="K1351" s="71"/>
      <c r="L1351" s="87"/>
      <c r="M1351" s="71"/>
      <c r="N1351" s="71"/>
      <c r="O1351" s="71"/>
      <c r="P1351" s="311"/>
      <c r="Q1351" s="312"/>
      <c r="R1351" s="312"/>
      <c r="S1351" s="569"/>
      <c r="T1351" s="569"/>
      <c r="U1351" s="569"/>
      <c r="V1351" s="341"/>
      <c r="W1351" s="311"/>
      <c r="X1351" s="71"/>
      <c r="Y1351" s="71"/>
      <c r="Z1351" s="71"/>
      <c r="AA1351" s="456"/>
      <c r="AB1351" s="104"/>
      <c r="AC1351" s="485"/>
      <c r="AD1351" s="486"/>
      <c r="AE1351" s="485"/>
      <c r="AF1351" s="634"/>
      <c r="AG1351" s="97"/>
      <c r="AH1351" s="223"/>
      <c r="AI1351" s="569"/>
      <c r="AJ1351" s="569"/>
      <c r="AK1351" s="569"/>
      <c r="AL1351" s="569"/>
      <c r="AM1351" s="569"/>
      <c r="AN1351" s="589"/>
      <c r="AO1351" s="84"/>
      <c r="AP1351" s="38"/>
    </row>
    <row r="1352" spans="1:42" ht="13.5" customHeight="1" x14ac:dyDescent="0.35">
      <c r="A1352" s="4"/>
      <c r="B1352" s="614"/>
      <c r="C1352" s="71"/>
      <c r="D1352" s="71"/>
      <c r="E1352" s="71"/>
      <c r="F1352" s="71"/>
      <c r="G1352" s="71"/>
      <c r="H1352" s="87"/>
      <c r="I1352" s="71"/>
      <c r="J1352" s="71"/>
      <c r="K1352" s="71"/>
      <c r="L1352" s="87"/>
      <c r="M1352" s="71"/>
      <c r="N1352" s="71"/>
      <c r="O1352" s="71"/>
      <c r="P1352" s="311"/>
      <c r="Q1352" s="312"/>
      <c r="R1352" s="312"/>
      <c r="S1352" s="569"/>
      <c r="T1352" s="569"/>
      <c r="U1352" s="569"/>
      <c r="V1352" s="341"/>
      <c r="W1352" s="311"/>
      <c r="X1352" s="71"/>
      <c r="Y1352" s="71"/>
      <c r="Z1352" s="71"/>
      <c r="AA1352" s="456"/>
      <c r="AB1352" s="104"/>
      <c r="AC1352" s="485"/>
      <c r="AD1352" s="486"/>
      <c r="AE1352" s="485"/>
      <c r="AF1352" s="634"/>
      <c r="AG1352" s="97"/>
      <c r="AH1352" s="223"/>
      <c r="AI1352" s="569"/>
      <c r="AJ1352" s="569"/>
      <c r="AK1352" s="569"/>
      <c r="AL1352" s="569"/>
      <c r="AM1352" s="569"/>
      <c r="AN1352" s="589"/>
      <c r="AO1352" s="84"/>
      <c r="AP1352" s="38"/>
    </row>
    <row r="1353" spans="1:42" ht="13.5" customHeight="1" x14ac:dyDescent="0.35">
      <c r="A1353" s="4"/>
      <c r="B1353" s="614"/>
      <c r="C1353" s="71"/>
      <c r="D1353" s="71"/>
      <c r="E1353" s="71"/>
      <c r="F1353" s="71"/>
      <c r="G1353" s="71"/>
      <c r="H1353" s="87"/>
      <c r="I1353" s="71"/>
      <c r="J1353" s="71"/>
      <c r="K1353" s="71"/>
      <c r="L1353" s="87"/>
      <c r="M1353" s="71"/>
      <c r="N1353" s="71"/>
      <c r="O1353" s="71"/>
      <c r="P1353" s="311"/>
      <c r="Q1353" s="312"/>
      <c r="R1353" s="312"/>
      <c r="S1353" s="569"/>
      <c r="T1353" s="569"/>
      <c r="U1353" s="569"/>
      <c r="V1353" s="341"/>
      <c r="W1353" s="311"/>
      <c r="X1353" s="71"/>
      <c r="Y1353" s="71"/>
      <c r="Z1353" s="71"/>
      <c r="AA1353" s="456"/>
      <c r="AB1353" s="104"/>
      <c r="AC1353" s="485"/>
      <c r="AD1353" s="486"/>
      <c r="AE1353" s="485"/>
      <c r="AF1353" s="634"/>
      <c r="AG1353" s="97"/>
      <c r="AH1353" s="223"/>
      <c r="AI1353" s="569"/>
      <c r="AJ1353" s="569"/>
      <c r="AK1353" s="569"/>
      <c r="AL1353" s="569"/>
      <c r="AM1353" s="569"/>
      <c r="AN1353" s="589"/>
      <c r="AO1353" s="84"/>
      <c r="AP1353" s="38"/>
    </row>
    <row r="1354" spans="1:42" ht="13.5" customHeight="1" x14ac:dyDescent="0.35">
      <c r="A1354" s="4"/>
      <c r="B1354" s="614"/>
      <c r="C1354" s="71"/>
      <c r="D1354" s="71"/>
      <c r="E1354" s="71"/>
      <c r="F1354" s="71"/>
      <c r="G1354" s="71"/>
      <c r="H1354" s="87"/>
      <c r="I1354" s="71"/>
      <c r="J1354" s="71"/>
      <c r="K1354" s="71"/>
      <c r="L1354" s="87"/>
      <c r="M1354" s="71"/>
      <c r="N1354" s="71"/>
      <c r="O1354" s="71"/>
      <c r="P1354" s="311"/>
      <c r="Q1354" s="312"/>
      <c r="R1354" s="312"/>
      <c r="S1354" s="569"/>
      <c r="T1354" s="569"/>
      <c r="U1354" s="569"/>
      <c r="V1354" s="341"/>
      <c r="W1354" s="311"/>
      <c r="X1354" s="71"/>
      <c r="Y1354" s="71"/>
      <c r="Z1354" s="71"/>
      <c r="AA1354" s="456"/>
      <c r="AB1354" s="104"/>
      <c r="AC1354" s="485"/>
      <c r="AD1354" s="486"/>
      <c r="AE1354" s="485"/>
      <c r="AF1354" s="634"/>
      <c r="AG1354" s="97"/>
      <c r="AH1354" s="223"/>
      <c r="AI1354" s="569"/>
      <c r="AJ1354" s="569"/>
      <c r="AK1354" s="569"/>
      <c r="AL1354" s="569"/>
      <c r="AM1354" s="569"/>
      <c r="AN1354" s="589"/>
      <c r="AO1354" s="84"/>
      <c r="AP1354" s="5"/>
    </row>
    <row r="1355" spans="1:42" ht="13.5" customHeight="1" x14ac:dyDescent="0.35">
      <c r="A1355" s="4"/>
      <c r="B1355" s="614"/>
      <c r="C1355" s="71"/>
      <c r="D1355" s="71"/>
      <c r="E1355" s="71"/>
      <c r="F1355" s="71"/>
      <c r="G1355" s="71"/>
      <c r="H1355" s="87"/>
      <c r="I1355" s="71"/>
      <c r="J1355" s="71"/>
      <c r="K1355" s="71"/>
      <c r="L1355" s="87"/>
      <c r="M1355" s="71"/>
      <c r="N1355" s="71"/>
      <c r="O1355" s="71"/>
      <c r="P1355" s="311"/>
      <c r="Q1355" s="312"/>
      <c r="R1355" s="312"/>
      <c r="S1355" s="569"/>
      <c r="T1355" s="569"/>
      <c r="U1355" s="569"/>
      <c r="V1355" s="341"/>
      <c r="W1355" s="311"/>
      <c r="X1355" s="71"/>
      <c r="Y1355" s="71"/>
      <c r="Z1355" s="71"/>
      <c r="AA1355" s="456"/>
      <c r="AB1355" s="104"/>
      <c r="AC1355" s="485"/>
      <c r="AD1355" s="486"/>
      <c r="AE1355" s="485"/>
      <c r="AF1355" s="634"/>
      <c r="AG1355" s="97"/>
      <c r="AH1355" s="223"/>
      <c r="AI1355" s="569"/>
      <c r="AJ1355" s="569"/>
      <c r="AK1355" s="569"/>
      <c r="AL1355" s="569"/>
      <c r="AM1355" s="569"/>
      <c r="AN1355" s="589"/>
      <c r="AO1355" s="84"/>
      <c r="AP1355" s="5"/>
    </row>
    <row r="1356" spans="1:42" ht="13.5" customHeight="1" x14ac:dyDescent="0.35">
      <c r="A1356" s="4"/>
      <c r="B1356" s="614"/>
      <c r="C1356" s="71"/>
      <c r="D1356" s="71"/>
      <c r="E1356" s="71"/>
      <c r="F1356" s="71"/>
      <c r="G1356" s="71"/>
      <c r="H1356" s="87"/>
      <c r="I1356" s="71"/>
      <c r="J1356" s="71"/>
      <c r="K1356" s="71"/>
      <c r="L1356" s="87"/>
      <c r="M1356" s="71"/>
      <c r="N1356" s="71"/>
      <c r="O1356" s="71"/>
      <c r="P1356" s="311"/>
      <c r="Q1356" s="312"/>
      <c r="R1356" s="312"/>
      <c r="S1356" s="569"/>
      <c r="T1356" s="569"/>
      <c r="U1356" s="569"/>
      <c r="V1356" s="341"/>
      <c r="W1356" s="311"/>
      <c r="X1356" s="71"/>
      <c r="Y1356" s="71"/>
      <c r="Z1356" s="71"/>
      <c r="AA1356" s="456"/>
      <c r="AB1356" s="104"/>
      <c r="AC1356" s="485"/>
      <c r="AD1356" s="486"/>
      <c r="AE1356" s="485"/>
      <c r="AF1356" s="634"/>
      <c r="AG1356" s="97"/>
      <c r="AH1356" s="223"/>
      <c r="AI1356" s="569"/>
      <c r="AJ1356" s="569"/>
      <c r="AK1356" s="569"/>
      <c r="AL1356" s="569"/>
      <c r="AM1356" s="569"/>
      <c r="AN1356" s="589"/>
      <c r="AO1356" s="84"/>
      <c r="AP1356" s="5"/>
    </row>
    <row r="1357" spans="1:42" ht="13.5" customHeight="1" x14ac:dyDescent="0.35">
      <c r="A1357" s="4"/>
      <c r="B1357" s="614"/>
      <c r="C1357" s="71"/>
      <c r="D1357" s="71"/>
      <c r="E1357" s="71"/>
      <c r="F1357" s="71"/>
      <c r="G1357" s="71"/>
      <c r="H1357" s="87"/>
      <c r="I1357" s="71"/>
      <c r="J1357" s="71"/>
      <c r="K1357" s="71"/>
      <c r="L1357" s="87"/>
      <c r="M1357" s="71"/>
      <c r="N1357" s="71"/>
      <c r="O1357" s="71"/>
      <c r="P1357" s="311"/>
      <c r="Q1357" s="312"/>
      <c r="R1357" s="312"/>
      <c r="S1357" s="569"/>
      <c r="T1357" s="569"/>
      <c r="U1357" s="569"/>
      <c r="V1357" s="341"/>
      <c r="W1357" s="311"/>
      <c r="X1357" s="71"/>
      <c r="Y1357" s="71"/>
      <c r="Z1357" s="71"/>
      <c r="AA1357" s="456"/>
      <c r="AB1357" s="104"/>
      <c r="AC1357" s="485"/>
      <c r="AD1357" s="486"/>
      <c r="AE1357" s="485"/>
      <c r="AF1357" s="634"/>
      <c r="AG1357" s="97"/>
      <c r="AH1357" s="223"/>
      <c r="AI1357" s="569"/>
      <c r="AJ1357" s="569"/>
      <c r="AK1357" s="569"/>
      <c r="AL1357" s="569"/>
      <c r="AM1357" s="569"/>
      <c r="AN1357" s="589"/>
      <c r="AO1357" s="84"/>
      <c r="AP1357" s="5"/>
    </row>
    <row r="1358" spans="1:42" ht="13.5" customHeight="1" x14ac:dyDescent="0.35">
      <c r="A1358" s="4"/>
      <c r="B1358" s="614"/>
      <c r="C1358" s="71"/>
      <c r="D1358" s="71"/>
      <c r="E1358" s="71"/>
      <c r="F1358" s="71"/>
      <c r="G1358" s="71"/>
      <c r="H1358" s="87"/>
      <c r="I1358" s="71"/>
      <c r="J1358" s="71"/>
      <c r="K1358" s="71"/>
      <c r="L1358" s="87"/>
      <c r="M1358" s="71"/>
      <c r="N1358" s="71"/>
      <c r="O1358" s="71"/>
      <c r="P1358" s="311"/>
      <c r="Q1358" s="312"/>
      <c r="R1358" s="312"/>
      <c r="S1358" s="569"/>
      <c r="T1358" s="569"/>
      <c r="U1358" s="569"/>
      <c r="V1358" s="341"/>
      <c r="W1358" s="311"/>
      <c r="X1358" s="71"/>
      <c r="Y1358" s="71"/>
      <c r="Z1358" s="71"/>
      <c r="AA1358" s="456"/>
      <c r="AB1358" s="104"/>
      <c r="AC1358" s="485"/>
      <c r="AD1358" s="486"/>
      <c r="AE1358" s="485"/>
      <c r="AF1358" s="634"/>
      <c r="AG1358" s="97"/>
      <c r="AH1358" s="223"/>
      <c r="AI1358" s="569"/>
      <c r="AJ1358" s="569"/>
      <c r="AK1358" s="569"/>
      <c r="AL1358" s="569"/>
      <c r="AM1358" s="569"/>
      <c r="AN1358" s="589"/>
      <c r="AO1358" s="84"/>
      <c r="AP1358" s="5"/>
    </row>
    <row r="1359" spans="1:42" ht="13.5" customHeight="1" x14ac:dyDescent="0.35">
      <c r="A1359" s="4"/>
      <c r="B1359" s="614"/>
      <c r="C1359" s="71"/>
      <c r="D1359" s="71"/>
      <c r="E1359" s="71"/>
      <c r="F1359" s="71"/>
      <c r="G1359" s="71"/>
      <c r="H1359" s="87"/>
      <c r="I1359" s="71"/>
      <c r="J1359" s="71"/>
      <c r="K1359" s="71"/>
      <c r="L1359" s="87"/>
      <c r="M1359" s="71"/>
      <c r="N1359" s="71"/>
      <c r="O1359" s="71"/>
      <c r="P1359" s="311"/>
      <c r="Q1359" s="312"/>
      <c r="R1359" s="312"/>
      <c r="S1359" s="569"/>
      <c r="T1359" s="569"/>
      <c r="U1359" s="569"/>
      <c r="V1359" s="341"/>
      <c r="W1359" s="311"/>
      <c r="X1359" s="71"/>
      <c r="Y1359" s="71"/>
      <c r="Z1359" s="71"/>
      <c r="AA1359" s="456"/>
      <c r="AB1359" s="104"/>
      <c r="AC1359" s="485"/>
      <c r="AD1359" s="486"/>
      <c r="AE1359" s="485"/>
      <c r="AF1359" s="634"/>
      <c r="AG1359" s="97"/>
      <c r="AH1359" s="223"/>
      <c r="AI1359" s="569"/>
      <c r="AJ1359" s="569"/>
      <c r="AK1359" s="569"/>
      <c r="AL1359" s="569"/>
      <c r="AM1359" s="569"/>
      <c r="AN1359" s="589"/>
      <c r="AO1359" s="84"/>
      <c r="AP1359" s="5"/>
    </row>
    <row r="1360" spans="1:42" ht="13.5" customHeight="1" x14ac:dyDescent="0.35">
      <c r="A1360" s="4"/>
      <c r="B1360" s="614"/>
      <c r="C1360" s="71"/>
      <c r="D1360" s="71"/>
      <c r="E1360" s="71"/>
      <c r="F1360" s="71"/>
      <c r="G1360" s="71"/>
      <c r="H1360" s="87"/>
      <c r="I1360" s="71"/>
      <c r="J1360" s="71"/>
      <c r="K1360" s="71"/>
      <c r="L1360" s="87"/>
      <c r="M1360" s="71"/>
      <c r="N1360" s="71"/>
      <c r="O1360" s="71"/>
      <c r="P1360" s="311"/>
      <c r="Q1360" s="312"/>
      <c r="R1360" s="312"/>
      <c r="S1360" s="569"/>
      <c r="T1360" s="569"/>
      <c r="U1360" s="569"/>
      <c r="V1360" s="341"/>
      <c r="W1360" s="311"/>
      <c r="X1360" s="71"/>
      <c r="Y1360" s="71"/>
      <c r="Z1360" s="71"/>
      <c r="AA1360" s="456"/>
      <c r="AB1360" s="104"/>
      <c r="AC1360" s="485"/>
      <c r="AD1360" s="486"/>
      <c r="AE1360" s="485"/>
      <c r="AF1360" s="634"/>
      <c r="AG1360" s="97"/>
      <c r="AH1360" s="223"/>
      <c r="AI1360" s="569"/>
      <c r="AJ1360" s="569"/>
      <c r="AK1360" s="569"/>
      <c r="AL1360" s="569"/>
      <c r="AM1360" s="569"/>
      <c r="AN1360" s="589"/>
      <c r="AO1360" s="84"/>
      <c r="AP1360" s="5"/>
    </row>
    <row r="1361" spans="1:42" ht="13.5" customHeight="1" x14ac:dyDescent="0.35">
      <c r="A1361" s="4"/>
      <c r="B1361" s="614"/>
      <c r="C1361" s="71"/>
      <c r="D1361" s="71"/>
      <c r="E1361" s="71"/>
      <c r="F1361" s="71"/>
      <c r="G1361" s="71"/>
      <c r="H1361" s="87"/>
      <c r="I1361" s="71"/>
      <c r="J1361" s="71"/>
      <c r="K1361" s="71"/>
      <c r="L1361" s="87"/>
      <c r="M1361" s="71"/>
      <c r="N1361" s="71"/>
      <c r="O1361" s="71"/>
      <c r="P1361" s="311"/>
      <c r="Q1361" s="312"/>
      <c r="R1361" s="312"/>
      <c r="S1361" s="569"/>
      <c r="T1361" s="569"/>
      <c r="U1361" s="569"/>
      <c r="V1361" s="341"/>
      <c r="W1361" s="311"/>
      <c r="X1361" s="71"/>
      <c r="Y1361" s="71"/>
      <c r="Z1361" s="71"/>
      <c r="AA1361" s="456"/>
      <c r="AB1361" s="104"/>
      <c r="AC1361" s="485"/>
      <c r="AD1361" s="486"/>
      <c r="AE1361" s="485"/>
      <c r="AF1361" s="634"/>
      <c r="AG1361" s="97"/>
      <c r="AH1361" s="223"/>
      <c r="AI1361" s="569"/>
      <c r="AJ1361" s="569"/>
      <c r="AK1361" s="569"/>
      <c r="AL1361" s="569"/>
      <c r="AM1361" s="569"/>
      <c r="AN1361" s="589"/>
      <c r="AO1361" s="84"/>
      <c r="AP1361" s="5"/>
    </row>
    <row r="1362" spans="1:42" ht="13.5" customHeight="1" x14ac:dyDescent="0.35">
      <c r="A1362" s="4"/>
      <c r="B1362" s="614"/>
      <c r="C1362" s="71"/>
      <c r="D1362" s="71"/>
      <c r="E1362" s="71"/>
      <c r="F1362" s="71"/>
      <c r="G1362" s="71"/>
      <c r="H1362" s="87"/>
      <c r="I1362" s="71"/>
      <c r="J1362" s="71"/>
      <c r="K1362" s="71"/>
      <c r="L1362" s="87"/>
      <c r="M1362" s="71"/>
      <c r="N1362" s="71"/>
      <c r="O1362" s="71"/>
      <c r="P1362" s="311"/>
      <c r="Q1362" s="312"/>
      <c r="R1362" s="312"/>
      <c r="S1362" s="569"/>
      <c r="T1362" s="569"/>
      <c r="U1362" s="569"/>
      <c r="V1362" s="341"/>
      <c r="W1362" s="311"/>
      <c r="X1362" s="71"/>
      <c r="Y1362" s="71"/>
      <c r="Z1362" s="71"/>
      <c r="AA1362" s="456"/>
      <c r="AB1362" s="104"/>
      <c r="AC1362" s="485"/>
      <c r="AD1362" s="486"/>
      <c r="AE1362" s="485"/>
      <c r="AF1362" s="634"/>
      <c r="AG1362" s="97"/>
      <c r="AH1362" s="223"/>
      <c r="AI1362" s="569"/>
      <c r="AJ1362" s="569"/>
      <c r="AK1362" s="569"/>
      <c r="AL1362" s="569"/>
      <c r="AM1362" s="569"/>
      <c r="AN1362" s="589"/>
      <c r="AO1362" s="84"/>
      <c r="AP1362" s="5"/>
    </row>
    <row r="1363" spans="1:42" ht="13.5" customHeight="1" x14ac:dyDescent="0.35">
      <c r="A1363" s="4"/>
      <c r="B1363" s="614"/>
      <c r="C1363" s="71"/>
      <c r="D1363" s="71"/>
      <c r="E1363" s="71"/>
      <c r="F1363" s="71"/>
      <c r="G1363" s="71"/>
      <c r="H1363" s="87"/>
      <c r="I1363" s="71"/>
      <c r="J1363" s="71"/>
      <c r="K1363" s="71"/>
      <c r="L1363" s="87"/>
      <c r="M1363" s="71"/>
      <c r="N1363" s="71"/>
      <c r="O1363" s="71"/>
      <c r="P1363" s="311"/>
      <c r="Q1363" s="312"/>
      <c r="R1363" s="312"/>
      <c r="S1363" s="569"/>
      <c r="T1363" s="569"/>
      <c r="U1363" s="569"/>
      <c r="V1363" s="341"/>
      <c r="W1363" s="311"/>
      <c r="X1363" s="71"/>
      <c r="Y1363" s="71"/>
      <c r="Z1363" s="71"/>
      <c r="AA1363" s="456"/>
      <c r="AB1363" s="104"/>
      <c r="AC1363" s="485"/>
      <c r="AD1363" s="486"/>
      <c r="AE1363" s="485"/>
      <c r="AF1363" s="634"/>
      <c r="AG1363" s="97"/>
      <c r="AH1363" s="223"/>
      <c r="AI1363" s="569"/>
      <c r="AJ1363" s="569"/>
      <c r="AK1363" s="569"/>
      <c r="AL1363" s="569"/>
      <c r="AM1363" s="569"/>
      <c r="AN1363" s="589"/>
      <c r="AO1363" s="84"/>
      <c r="AP1363" s="5"/>
    </row>
    <row r="1364" spans="1:42" ht="13.5" customHeight="1" x14ac:dyDescent="0.35">
      <c r="A1364" s="4"/>
      <c r="B1364" s="614"/>
      <c r="C1364" s="71"/>
      <c r="D1364" s="71"/>
      <c r="E1364" s="71"/>
      <c r="F1364" s="71"/>
      <c r="G1364" s="71"/>
      <c r="H1364" s="87"/>
      <c r="I1364" s="71"/>
      <c r="J1364" s="71"/>
      <c r="K1364" s="71"/>
      <c r="L1364" s="87"/>
      <c r="M1364" s="71"/>
      <c r="N1364" s="71"/>
      <c r="O1364" s="71"/>
      <c r="P1364" s="311"/>
      <c r="Q1364" s="312"/>
      <c r="R1364" s="312"/>
      <c r="S1364" s="569"/>
      <c r="T1364" s="569"/>
      <c r="U1364" s="569"/>
      <c r="V1364" s="341"/>
      <c r="W1364" s="311"/>
      <c r="X1364" s="71"/>
      <c r="Y1364" s="71"/>
      <c r="Z1364" s="71"/>
      <c r="AA1364" s="456"/>
      <c r="AB1364" s="104"/>
      <c r="AC1364" s="485"/>
      <c r="AD1364" s="486"/>
      <c r="AE1364" s="485"/>
      <c r="AF1364" s="634"/>
      <c r="AG1364" s="97"/>
      <c r="AH1364" s="223"/>
      <c r="AI1364" s="569"/>
      <c r="AJ1364" s="569"/>
      <c r="AK1364" s="569"/>
      <c r="AL1364" s="569"/>
      <c r="AM1364" s="569"/>
      <c r="AN1364" s="589"/>
      <c r="AO1364" s="84"/>
      <c r="AP1364" s="5"/>
    </row>
    <row r="1365" spans="1:42" ht="13.5" customHeight="1" x14ac:dyDescent="0.35">
      <c r="A1365" s="4"/>
      <c r="B1365" s="614"/>
      <c r="C1365" s="71"/>
      <c r="D1365" s="71"/>
      <c r="E1365" s="71"/>
      <c r="F1365" s="71"/>
      <c r="G1365" s="71"/>
      <c r="H1365" s="87"/>
      <c r="I1365" s="71"/>
      <c r="J1365" s="71"/>
      <c r="K1365" s="71"/>
      <c r="L1365" s="87"/>
      <c r="M1365" s="71"/>
      <c r="N1365" s="71"/>
      <c r="O1365" s="71"/>
      <c r="P1365" s="311"/>
      <c r="Q1365" s="312"/>
      <c r="R1365" s="312"/>
      <c r="S1365" s="569"/>
      <c r="T1365" s="569"/>
      <c r="U1365" s="569"/>
      <c r="V1365" s="341"/>
      <c r="W1365" s="311"/>
      <c r="X1365" s="71"/>
      <c r="Y1365" s="71"/>
      <c r="Z1365" s="71"/>
      <c r="AA1365" s="456"/>
      <c r="AB1365" s="104"/>
      <c r="AC1365" s="485"/>
      <c r="AD1365" s="486"/>
      <c r="AE1365" s="485"/>
      <c r="AF1365" s="634"/>
      <c r="AG1365" s="97"/>
      <c r="AH1365" s="223"/>
      <c r="AI1365" s="569"/>
      <c r="AJ1365" s="569"/>
      <c r="AK1365" s="569"/>
      <c r="AL1365" s="569"/>
      <c r="AM1365" s="569"/>
      <c r="AN1365" s="589"/>
      <c r="AO1365" s="84"/>
      <c r="AP1365" s="5"/>
    </row>
    <row r="1366" spans="1:42" ht="13.5" customHeight="1" x14ac:dyDescent="0.35">
      <c r="A1366" s="4"/>
      <c r="B1366" s="614"/>
      <c r="C1366" s="71"/>
      <c r="D1366" s="71"/>
      <c r="E1366" s="71"/>
      <c r="F1366" s="71"/>
      <c r="G1366" s="71"/>
      <c r="H1366" s="87"/>
      <c r="I1366" s="71"/>
      <c r="J1366" s="71"/>
      <c r="K1366" s="71"/>
      <c r="L1366" s="87"/>
      <c r="M1366" s="71"/>
      <c r="N1366" s="71"/>
      <c r="O1366" s="71"/>
      <c r="P1366" s="311"/>
      <c r="Q1366" s="312"/>
      <c r="R1366" s="312"/>
      <c r="S1366" s="569"/>
      <c r="T1366" s="569"/>
      <c r="U1366" s="569"/>
      <c r="V1366" s="341"/>
      <c r="W1366" s="311"/>
      <c r="X1366" s="71"/>
      <c r="Y1366" s="71"/>
      <c r="Z1366" s="71"/>
      <c r="AA1366" s="456"/>
      <c r="AB1366" s="104"/>
      <c r="AC1366" s="485"/>
      <c r="AD1366" s="486"/>
      <c r="AE1366" s="485"/>
      <c r="AF1366" s="634"/>
      <c r="AG1366" s="97"/>
      <c r="AH1366" s="223"/>
      <c r="AI1366" s="569"/>
      <c r="AJ1366" s="569"/>
      <c r="AK1366" s="569"/>
      <c r="AL1366" s="569"/>
      <c r="AM1366" s="569"/>
      <c r="AN1366" s="589"/>
      <c r="AO1366" s="84"/>
      <c r="AP1366" s="5"/>
    </row>
    <row r="1367" spans="1:42" ht="13.5" customHeight="1" x14ac:dyDescent="0.35">
      <c r="A1367" s="4"/>
      <c r="B1367" s="614"/>
      <c r="C1367" s="71"/>
      <c r="D1367" s="71"/>
      <c r="E1367" s="71"/>
      <c r="F1367" s="71"/>
      <c r="G1367" s="71"/>
      <c r="H1367" s="87"/>
      <c r="I1367" s="71"/>
      <c r="J1367" s="71"/>
      <c r="K1367" s="71"/>
      <c r="L1367" s="87"/>
      <c r="M1367" s="71"/>
      <c r="N1367" s="71"/>
      <c r="O1367" s="71"/>
      <c r="P1367" s="311"/>
      <c r="Q1367" s="312"/>
      <c r="R1367" s="312"/>
      <c r="S1367" s="569"/>
      <c r="T1367" s="569"/>
      <c r="U1367" s="569"/>
      <c r="V1367" s="341"/>
      <c r="W1367" s="311"/>
      <c r="X1367" s="71"/>
      <c r="Y1367" s="71"/>
      <c r="Z1367" s="71"/>
      <c r="AA1367" s="456"/>
      <c r="AB1367" s="104"/>
      <c r="AC1367" s="485"/>
      <c r="AD1367" s="486"/>
      <c r="AE1367" s="485"/>
      <c r="AF1367" s="634"/>
      <c r="AG1367" s="97"/>
      <c r="AH1367" s="223"/>
      <c r="AI1367" s="569"/>
      <c r="AJ1367" s="569"/>
      <c r="AK1367" s="569"/>
      <c r="AL1367" s="569"/>
      <c r="AM1367" s="569"/>
      <c r="AN1367" s="589"/>
      <c r="AO1367" s="84"/>
      <c r="AP1367" s="5"/>
    </row>
    <row r="1368" spans="1:42" ht="13.5" customHeight="1" x14ac:dyDescent="0.35">
      <c r="A1368" s="4"/>
      <c r="B1368" s="614"/>
      <c r="C1368" s="71"/>
      <c r="D1368" s="71"/>
      <c r="E1368" s="71"/>
      <c r="F1368" s="71"/>
      <c r="G1368" s="71"/>
      <c r="H1368" s="87"/>
      <c r="I1368" s="71"/>
      <c r="J1368" s="71"/>
      <c r="K1368" s="71"/>
      <c r="L1368" s="87"/>
      <c r="M1368" s="71"/>
      <c r="N1368" s="71"/>
      <c r="O1368" s="71"/>
      <c r="P1368" s="311"/>
      <c r="Q1368" s="312"/>
      <c r="R1368" s="312"/>
      <c r="S1368" s="569"/>
      <c r="T1368" s="569"/>
      <c r="U1368" s="569"/>
      <c r="V1368" s="341"/>
      <c r="W1368" s="311"/>
      <c r="X1368" s="71"/>
      <c r="Y1368" s="71"/>
      <c r="Z1368" s="71"/>
      <c r="AA1368" s="456"/>
      <c r="AB1368" s="104"/>
      <c r="AC1368" s="485"/>
      <c r="AD1368" s="486"/>
      <c r="AE1368" s="485"/>
      <c r="AF1368" s="634"/>
      <c r="AG1368" s="97"/>
      <c r="AH1368" s="223"/>
      <c r="AI1368" s="569"/>
      <c r="AJ1368" s="569"/>
      <c r="AK1368" s="569"/>
      <c r="AL1368" s="569"/>
      <c r="AM1368" s="569"/>
      <c r="AN1368" s="589"/>
      <c r="AO1368" s="84"/>
      <c r="AP1368" s="5"/>
    </row>
    <row r="1369" spans="1:42" ht="13.5" customHeight="1" x14ac:dyDescent="0.35">
      <c r="A1369" s="4"/>
      <c r="B1369" s="614"/>
      <c r="C1369" s="71"/>
      <c r="D1369" s="71"/>
      <c r="E1369" s="71"/>
      <c r="F1369" s="71"/>
      <c r="G1369" s="71"/>
      <c r="H1369" s="87"/>
      <c r="I1369" s="71"/>
      <c r="J1369" s="71"/>
      <c r="K1369" s="71"/>
      <c r="L1369" s="87"/>
      <c r="M1369" s="71"/>
      <c r="N1369" s="71"/>
      <c r="O1369" s="71"/>
      <c r="P1369" s="311"/>
      <c r="Q1369" s="312"/>
      <c r="R1369" s="312"/>
      <c r="S1369" s="569"/>
      <c r="T1369" s="569"/>
      <c r="U1369" s="569"/>
      <c r="V1369" s="341"/>
      <c r="W1369" s="311"/>
      <c r="X1369" s="71"/>
      <c r="Y1369" s="71"/>
      <c r="Z1369" s="71"/>
      <c r="AA1369" s="456"/>
      <c r="AB1369" s="104"/>
      <c r="AC1369" s="485"/>
      <c r="AD1369" s="486"/>
      <c r="AE1369" s="485"/>
      <c r="AF1369" s="634"/>
      <c r="AG1369" s="97"/>
      <c r="AH1369" s="223"/>
      <c r="AI1369" s="569"/>
      <c r="AJ1369" s="569"/>
      <c r="AK1369" s="569"/>
      <c r="AL1369" s="569"/>
      <c r="AM1369" s="569"/>
      <c r="AN1369" s="589"/>
      <c r="AO1369" s="84"/>
      <c r="AP1369" s="5"/>
    </row>
    <row r="1370" spans="1:42" ht="13.5" customHeight="1" x14ac:dyDescent="0.35">
      <c r="A1370" s="4"/>
      <c r="B1370" s="614"/>
      <c r="C1370" s="71"/>
      <c r="D1370" s="71"/>
      <c r="E1370" s="71"/>
      <c r="F1370" s="71"/>
      <c r="G1370" s="71"/>
      <c r="H1370" s="87"/>
      <c r="I1370" s="71"/>
      <c r="J1370" s="71"/>
      <c r="K1370" s="71"/>
      <c r="L1370" s="87"/>
      <c r="M1370" s="71"/>
      <c r="N1370" s="71"/>
      <c r="O1370" s="71"/>
      <c r="P1370" s="311"/>
      <c r="Q1370" s="312"/>
      <c r="R1370" s="312"/>
      <c r="S1370" s="569"/>
      <c r="T1370" s="569"/>
      <c r="U1370" s="569"/>
      <c r="V1370" s="341"/>
      <c r="W1370" s="311"/>
      <c r="X1370" s="71"/>
      <c r="Y1370" s="71"/>
      <c r="Z1370" s="71"/>
      <c r="AA1370" s="456"/>
      <c r="AB1370" s="104"/>
      <c r="AC1370" s="485"/>
      <c r="AD1370" s="486"/>
      <c r="AE1370" s="485"/>
      <c r="AF1370" s="634"/>
      <c r="AG1370" s="97"/>
      <c r="AH1370" s="223"/>
      <c r="AI1370" s="569"/>
      <c r="AJ1370" s="569"/>
      <c r="AK1370" s="569"/>
      <c r="AL1370" s="569"/>
      <c r="AM1370" s="569"/>
      <c r="AN1370" s="589"/>
      <c r="AO1370" s="84"/>
      <c r="AP1370" s="5"/>
    </row>
    <row r="1371" spans="1:42" ht="13.5" customHeight="1" x14ac:dyDescent="0.35">
      <c r="A1371" s="4"/>
      <c r="B1371" s="614"/>
      <c r="C1371" s="71"/>
      <c r="D1371" s="71"/>
      <c r="E1371" s="71"/>
      <c r="F1371" s="71"/>
      <c r="G1371" s="71"/>
      <c r="H1371" s="87"/>
      <c r="I1371" s="71"/>
      <c r="J1371" s="71"/>
      <c r="K1371" s="71"/>
      <c r="L1371" s="87"/>
      <c r="M1371" s="71"/>
      <c r="N1371" s="71"/>
      <c r="O1371" s="71"/>
      <c r="P1371" s="311"/>
      <c r="Q1371" s="312"/>
      <c r="R1371" s="312"/>
      <c r="S1371" s="569"/>
      <c r="T1371" s="569"/>
      <c r="U1371" s="569"/>
      <c r="V1371" s="341"/>
      <c r="W1371" s="311"/>
      <c r="X1371" s="71"/>
      <c r="Y1371" s="71"/>
      <c r="Z1371" s="71"/>
      <c r="AA1371" s="456"/>
      <c r="AB1371" s="104"/>
      <c r="AC1371" s="485"/>
      <c r="AD1371" s="486"/>
      <c r="AE1371" s="485"/>
      <c r="AF1371" s="634"/>
      <c r="AG1371" s="97"/>
      <c r="AH1371" s="223"/>
      <c r="AI1371" s="569"/>
      <c r="AJ1371" s="569"/>
      <c r="AK1371" s="569"/>
      <c r="AL1371" s="569"/>
      <c r="AM1371" s="569"/>
      <c r="AN1371" s="589"/>
      <c r="AO1371" s="84"/>
      <c r="AP1371" s="5"/>
    </row>
    <row r="1372" spans="1:42" ht="13.5" customHeight="1" x14ac:dyDescent="0.35">
      <c r="A1372" s="4"/>
      <c r="B1372" s="614"/>
      <c r="C1372" s="71"/>
      <c r="D1372" s="71"/>
      <c r="E1372" s="71"/>
      <c r="F1372" s="71"/>
      <c r="G1372" s="71"/>
      <c r="H1372" s="87"/>
      <c r="I1372" s="71"/>
      <c r="J1372" s="71"/>
      <c r="K1372" s="71"/>
      <c r="L1372" s="87"/>
      <c r="M1372" s="71"/>
      <c r="N1372" s="71"/>
      <c r="O1372" s="71"/>
      <c r="P1372" s="311"/>
      <c r="Q1372" s="312"/>
      <c r="R1372" s="312"/>
      <c r="S1372" s="569"/>
      <c r="T1372" s="569"/>
      <c r="U1372" s="569"/>
      <c r="V1372" s="341"/>
      <c r="W1372" s="311"/>
      <c r="X1372" s="71"/>
      <c r="Y1372" s="71"/>
      <c r="Z1372" s="71"/>
      <c r="AA1372" s="456"/>
      <c r="AB1372" s="104"/>
      <c r="AC1372" s="485"/>
      <c r="AD1372" s="486"/>
      <c r="AE1372" s="485"/>
      <c r="AF1372" s="634"/>
      <c r="AG1372" s="97"/>
      <c r="AH1372" s="223"/>
      <c r="AI1372" s="569"/>
      <c r="AJ1372" s="569"/>
      <c r="AK1372" s="569"/>
      <c r="AL1372" s="569"/>
      <c r="AM1372" s="569"/>
      <c r="AN1372" s="589"/>
      <c r="AO1372" s="84"/>
      <c r="AP1372" s="5"/>
    </row>
    <row r="1373" spans="1:42" ht="13.5" customHeight="1" x14ac:dyDescent="0.35">
      <c r="A1373" s="4"/>
      <c r="B1373" s="614"/>
      <c r="C1373" s="71"/>
      <c r="D1373" s="71"/>
      <c r="E1373" s="71"/>
      <c r="F1373" s="71"/>
      <c r="G1373" s="71"/>
      <c r="H1373" s="87"/>
      <c r="I1373" s="71"/>
      <c r="J1373" s="71"/>
      <c r="K1373" s="71"/>
      <c r="L1373" s="87"/>
      <c r="M1373" s="71"/>
      <c r="N1373" s="71"/>
      <c r="O1373" s="71"/>
      <c r="P1373" s="311"/>
      <c r="Q1373" s="312"/>
      <c r="R1373" s="312"/>
      <c r="S1373" s="569"/>
      <c r="T1373" s="569"/>
      <c r="U1373" s="569"/>
      <c r="V1373" s="341"/>
      <c r="W1373" s="311"/>
      <c r="X1373" s="71"/>
      <c r="Y1373" s="71"/>
      <c r="Z1373" s="71"/>
      <c r="AA1373" s="456"/>
      <c r="AB1373" s="104"/>
      <c r="AC1373" s="485"/>
      <c r="AD1373" s="486"/>
      <c r="AE1373" s="485"/>
      <c r="AF1373" s="634"/>
      <c r="AG1373" s="97"/>
      <c r="AH1373" s="223"/>
      <c r="AI1373" s="569"/>
      <c r="AJ1373" s="569"/>
      <c r="AK1373" s="569"/>
      <c r="AL1373" s="569"/>
      <c r="AM1373" s="569"/>
      <c r="AN1373" s="589"/>
      <c r="AO1373" s="84"/>
      <c r="AP1373" s="5"/>
    </row>
    <row r="1374" spans="1:42" ht="13.5" customHeight="1" x14ac:dyDescent="0.35">
      <c r="A1374" s="4"/>
      <c r="B1374" s="614"/>
      <c r="C1374" s="71"/>
      <c r="D1374" s="71"/>
      <c r="E1374" s="71"/>
      <c r="F1374" s="71"/>
      <c r="G1374" s="71"/>
      <c r="H1374" s="87"/>
      <c r="I1374" s="71"/>
      <c r="J1374" s="71"/>
      <c r="K1374" s="71"/>
      <c r="L1374" s="87"/>
      <c r="M1374" s="71"/>
      <c r="N1374" s="71"/>
      <c r="O1374" s="71"/>
      <c r="P1374" s="311"/>
      <c r="Q1374" s="312"/>
      <c r="R1374" s="312"/>
      <c r="S1374" s="569"/>
      <c r="T1374" s="569"/>
      <c r="U1374" s="569"/>
      <c r="V1374" s="341"/>
      <c r="W1374" s="311"/>
      <c r="X1374" s="71"/>
      <c r="Y1374" s="71"/>
      <c r="Z1374" s="71"/>
      <c r="AA1374" s="456"/>
      <c r="AB1374" s="104"/>
      <c r="AC1374" s="485"/>
      <c r="AD1374" s="486"/>
      <c r="AE1374" s="485"/>
      <c r="AF1374" s="634"/>
      <c r="AG1374" s="97"/>
      <c r="AH1374" s="223"/>
      <c r="AI1374" s="569"/>
      <c r="AJ1374" s="569"/>
      <c r="AK1374" s="569"/>
      <c r="AL1374" s="569"/>
      <c r="AM1374" s="569"/>
      <c r="AN1374" s="589"/>
      <c r="AO1374" s="84"/>
      <c r="AP1374" s="5"/>
    </row>
    <row r="1375" spans="1:42" ht="13.5" customHeight="1" x14ac:dyDescent="0.35">
      <c r="A1375" s="4"/>
      <c r="B1375" s="614"/>
      <c r="C1375" s="71"/>
      <c r="D1375" s="71"/>
      <c r="E1375" s="71"/>
      <c r="F1375" s="71"/>
      <c r="G1375" s="71"/>
      <c r="H1375" s="87"/>
      <c r="I1375" s="71"/>
      <c r="J1375" s="71"/>
      <c r="K1375" s="71"/>
      <c r="L1375" s="87"/>
      <c r="M1375" s="71"/>
      <c r="N1375" s="71"/>
      <c r="O1375" s="71"/>
      <c r="P1375" s="311"/>
      <c r="Q1375" s="312"/>
      <c r="R1375" s="312"/>
      <c r="S1375" s="569"/>
      <c r="T1375" s="569"/>
      <c r="U1375" s="569"/>
      <c r="V1375" s="341"/>
      <c r="W1375" s="311"/>
      <c r="X1375" s="71"/>
      <c r="Y1375" s="71"/>
      <c r="Z1375" s="71"/>
      <c r="AA1375" s="456"/>
      <c r="AB1375" s="104"/>
      <c r="AC1375" s="485"/>
      <c r="AD1375" s="486"/>
      <c r="AE1375" s="485"/>
      <c r="AF1375" s="634"/>
      <c r="AG1375" s="97"/>
      <c r="AH1375" s="223"/>
      <c r="AI1375" s="569"/>
      <c r="AJ1375" s="569"/>
      <c r="AK1375" s="569"/>
      <c r="AL1375" s="569"/>
      <c r="AM1375" s="569"/>
      <c r="AN1375" s="589"/>
      <c r="AO1375" s="84"/>
      <c r="AP1375" s="5"/>
    </row>
    <row r="1376" spans="1:42" ht="13.5" customHeight="1" x14ac:dyDescent="0.35">
      <c r="A1376" s="4"/>
      <c r="B1376" s="614"/>
      <c r="C1376" s="71"/>
      <c r="D1376" s="71"/>
      <c r="E1376" s="71"/>
      <c r="F1376" s="71"/>
      <c r="G1376" s="71"/>
      <c r="H1376" s="87"/>
      <c r="I1376" s="71"/>
      <c r="J1376" s="71"/>
      <c r="K1376" s="71"/>
      <c r="L1376" s="87"/>
      <c r="M1376" s="71"/>
      <c r="N1376" s="71"/>
      <c r="O1376" s="71"/>
      <c r="P1376" s="311"/>
      <c r="Q1376" s="312"/>
      <c r="R1376" s="312"/>
      <c r="S1376" s="569"/>
      <c r="T1376" s="569"/>
      <c r="U1376" s="569"/>
      <c r="V1376" s="341"/>
      <c r="W1376" s="311"/>
      <c r="X1376" s="71"/>
      <c r="Y1376" s="71"/>
      <c r="Z1376" s="71"/>
      <c r="AA1376" s="456"/>
      <c r="AB1376" s="104"/>
      <c r="AC1376" s="485"/>
      <c r="AD1376" s="486"/>
      <c r="AE1376" s="485"/>
      <c r="AF1376" s="634"/>
      <c r="AG1376" s="97"/>
      <c r="AH1376" s="223"/>
      <c r="AI1376" s="569"/>
      <c r="AJ1376" s="569"/>
      <c r="AK1376" s="569"/>
      <c r="AL1376" s="569"/>
      <c r="AM1376" s="569"/>
      <c r="AN1376" s="589"/>
      <c r="AO1376" s="84"/>
      <c r="AP1376" s="5"/>
    </row>
    <row r="1377" spans="1:42" ht="13.5" customHeight="1" x14ac:dyDescent="0.35">
      <c r="A1377" s="4"/>
      <c r="B1377" s="614"/>
      <c r="C1377" s="71"/>
      <c r="D1377" s="71"/>
      <c r="E1377" s="71"/>
      <c r="F1377" s="71"/>
      <c r="G1377" s="71"/>
      <c r="H1377" s="87"/>
      <c r="I1377" s="71"/>
      <c r="J1377" s="71"/>
      <c r="K1377" s="71"/>
      <c r="L1377" s="87"/>
      <c r="M1377" s="71"/>
      <c r="N1377" s="71"/>
      <c r="O1377" s="71"/>
      <c r="P1377" s="311"/>
      <c r="Q1377" s="312"/>
      <c r="R1377" s="312"/>
      <c r="S1377" s="569"/>
      <c r="T1377" s="569"/>
      <c r="U1377" s="569"/>
      <c r="V1377" s="341"/>
      <c r="W1377" s="311"/>
      <c r="X1377" s="71"/>
      <c r="Y1377" s="71"/>
      <c r="Z1377" s="71"/>
      <c r="AA1377" s="456"/>
      <c r="AB1377" s="104"/>
      <c r="AC1377" s="485"/>
      <c r="AD1377" s="486"/>
      <c r="AE1377" s="485"/>
      <c r="AF1377" s="634"/>
      <c r="AG1377" s="97"/>
      <c r="AH1377" s="223"/>
      <c r="AI1377" s="569"/>
      <c r="AJ1377" s="569"/>
      <c r="AK1377" s="569"/>
      <c r="AL1377" s="569"/>
      <c r="AM1377" s="569"/>
      <c r="AN1377" s="589"/>
      <c r="AO1377" s="84"/>
      <c r="AP1377" s="5"/>
    </row>
    <row r="1378" spans="1:42" ht="13.5" customHeight="1" x14ac:dyDescent="0.35">
      <c r="A1378" s="4"/>
      <c r="B1378" s="614"/>
      <c r="C1378" s="71"/>
      <c r="D1378" s="71"/>
      <c r="E1378" s="71"/>
      <c r="F1378" s="71"/>
      <c r="G1378" s="71"/>
      <c r="H1378" s="87"/>
      <c r="I1378" s="71"/>
      <c r="J1378" s="71"/>
      <c r="K1378" s="71"/>
      <c r="L1378" s="87"/>
      <c r="M1378" s="71"/>
      <c r="N1378" s="71"/>
      <c r="O1378" s="71"/>
      <c r="P1378" s="311"/>
      <c r="Q1378" s="312"/>
      <c r="R1378" s="312"/>
      <c r="S1378" s="569"/>
      <c r="T1378" s="569"/>
      <c r="U1378" s="569"/>
      <c r="V1378" s="341"/>
      <c r="W1378" s="311"/>
      <c r="X1378" s="71"/>
      <c r="Y1378" s="71"/>
      <c r="Z1378" s="71"/>
      <c r="AA1378" s="456"/>
      <c r="AB1378" s="104"/>
      <c r="AC1378" s="485"/>
      <c r="AD1378" s="486"/>
      <c r="AE1378" s="485"/>
      <c r="AF1378" s="634"/>
      <c r="AG1378" s="97"/>
      <c r="AH1378" s="223"/>
      <c r="AI1378" s="569"/>
      <c r="AJ1378" s="569"/>
      <c r="AK1378" s="569"/>
      <c r="AL1378" s="569"/>
      <c r="AM1378" s="569"/>
      <c r="AN1378" s="589"/>
      <c r="AO1378" s="84"/>
      <c r="AP1378" s="5"/>
    </row>
    <row r="1379" spans="1:42" ht="13.5" customHeight="1" x14ac:dyDescent="0.35">
      <c r="A1379" s="4"/>
      <c r="B1379" s="614"/>
      <c r="C1379" s="71"/>
      <c r="D1379" s="71"/>
      <c r="E1379" s="71"/>
      <c r="F1379" s="71"/>
      <c r="G1379" s="71"/>
      <c r="H1379" s="87"/>
      <c r="I1379" s="71"/>
      <c r="J1379" s="71"/>
      <c r="K1379" s="71"/>
      <c r="L1379" s="87"/>
      <c r="M1379" s="71"/>
      <c r="N1379" s="71"/>
      <c r="O1379" s="71"/>
      <c r="P1379" s="311"/>
      <c r="Q1379" s="312"/>
      <c r="R1379" s="312"/>
      <c r="S1379" s="569"/>
      <c r="T1379" s="569"/>
      <c r="U1379" s="569"/>
      <c r="V1379" s="341"/>
      <c r="W1379" s="311"/>
      <c r="X1379" s="71"/>
      <c r="Y1379" s="71"/>
      <c r="Z1379" s="71"/>
      <c r="AA1379" s="456"/>
      <c r="AB1379" s="104"/>
      <c r="AC1379" s="485"/>
      <c r="AD1379" s="486"/>
      <c r="AE1379" s="485"/>
      <c r="AF1379" s="634"/>
      <c r="AG1379" s="97"/>
      <c r="AH1379" s="223"/>
      <c r="AI1379" s="569"/>
      <c r="AJ1379" s="569"/>
      <c r="AK1379" s="569"/>
      <c r="AL1379" s="569"/>
      <c r="AM1379" s="569"/>
      <c r="AN1379" s="589"/>
      <c r="AO1379" s="84"/>
      <c r="AP1379" s="5"/>
    </row>
    <row r="1380" spans="1:42" ht="13.5" customHeight="1" x14ac:dyDescent="0.35">
      <c r="A1380" s="4"/>
      <c r="B1380" s="614"/>
      <c r="C1380" s="71"/>
      <c r="D1380" s="71"/>
      <c r="E1380" s="71"/>
      <c r="F1380" s="71"/>
      <c r="G1380" s="71"/>
      <c r="H1380" s="87"/>
      <c r="I1380" s="71"/>
      <c r="J1380" s="71"/>
      <c r="K1380" s="71"/>
      <c r="L1380" s="87"/>
      <c r="M1380" s="71"/>
      <c r="N1380" s="71"/>
      <c r="O1380" s="71"/>
      <c r="P1380" s="311"/>
      <c r="Q1380" s="312"/>
      <c r="R1380" s="312"/>
      <c r="S1380" s="569"/>
      <c r="T1380" s="569"/>
      <c r="U1380" s="569"/>
      <c r="V1380" s="341"/>
      <c r="W1380" s="311"/>
      <c r="X1380" s="71"/>
      <c r="Y1380" s="71"/>
      <c r="Z1380" s="71"/>
      <c r="AA1380" s="456"/>
      <c r="AB1380" s="104"/>
      <c r="AC1380" s="485"/>
      <c r="AD1380" s="486"/>
      <c r="AE1380" s="485"/>
      <c r="AF1380" s="634"/>
      <c r="AG1380" s="97"/>
      <c r="AH1380" s="223"/>
      <c r="AI1380" s="569"/>
      <c r="AJ1380" s="569"/>
      <c r="AK1380" s="569"/>
      <c r="AL1380" s="569"/>
      <c r="AM1380" s="569"/>
      <c r="AN1380" s="589"/>
      <c r="AO1380" s="84"/>
      <c r="AP1380" s="5"/>
    </row>
    <row r="1381" spans="1:42" ht="13.5" customHeight="1" x14ac:dyDescent="0.35">
      <c r="A1381" s="4"/>
      <c r="B1381" s="614"/>
      <c r="C1381" s="71"/>
      <c r="D1381" s="71"/>
      <c r="E1381" s="71"/>
      <c r="F1381" s="71"/>
      <c r="G1381" s="71"/>
      <c r="H1381" s="87"/>
      <c r="I1381" s="71"/>
      <c r="J1381" s="71"/>
      <c r="K1381" s="71"/>
      <c r="L1381" s="87"/>
      <c r="M1381" s="71"/>
      <c r="N1381" s="71"/>
      <c r="O1381" s="71"/>
      <c r="P1381" s="311"/>
      <c r="Q1381" s="312"/>
      <c r="R1381" s="312"/>
      <c r="S1381" s="569"/>
      <c r="T1381" s="569"/>
      <c r="U1381" s="569"/>
      <c r="V1381" s="341"/>
      <c r="W1381" s="311"/>
      <c r="X1381" s="71"/>
      <c r="Y1381" s="71"/>
      <c r="Z1381" s="71"/>
      <c r="AA1381" s="456"/>
      <c r="AB1381" s="104"/>
      <c r="AC1381" s="485"/>
      <c r="AD1381" s="486"/>
      <c r="AE1381" s="485"/>
      <c r="AF1381" s="634"/>
      <c r="AG1381" s="97"/>
      <c r="AH1381" s="223"/>
      <c r="AI1381" s="569"/>
      <c r="AJ1381" s="569"/>
      <c r="AK1381" s="569"/>
      <c r="AL1381" s="569"/>
      <c r="AM1381" s="569"/>
      <c r="AN1381" s="589"/>
      <c r="AO1381" s="84"/>
      <c r="AP1381" s="5"/>
    </row>
    <row r="1382" spans="1:42" ht="13.5" customHeight="1" x14ac:dyDescent="0.35">
      <c r="A1382" s="4"/>
      <c r="B1382" s="614"/>
      <c r="C1382" s="71"/>
      <c r="D1382" s="71"/>
      <c r="E1382" s="71"/>
      <c r="F1382" s="71"/>
      <c r="G1382" s="71"/>
      <c r="H1382" s="87"/>
      <c r="I1382" s="71"/>
      <c r="J1382" s="71"/>
      <c r="K1382" s="71"/>
      <c r="L1382" s="87"/>
      <c r="M1382" s="71"/>
      <c r="N1382" s="71"/>
      <c r="O1382" s="71"/>
      <c r="P1382" s="311"/>
      <c r="Q1382" s="312"/>
      <c r="R1382" s="312"/>
      <c r="S1382" s="569"/>
      <c r="T1382" s="569"/>
      <c r="U1382" s="569"/>
      <c r="V1382" s="341"/>
      <c r="W1382" s="311"/>
      <c r="X1382" s="71"/>
      <c r="Y1382" s="71"/>
      <c r="Z1382" s="71"/>
      <c r="AA1382" s="456"/>
      <c r="AB1382" s="104"/>
      <c r="AC1382" s="485"/>
      <c r="AD1382" s="486"/>
      <c r="AE1382" s="485"/>
      <c r="AF1382" s="634"/>
      <c r="AG1382" s="97"/>
      <c r="AH1382" s="223"/>
      <c r="AI1382" s="569"/>
      <c r="AJ1382" s="569"/>
      <c r="AK1382" s="569"/>
      <c r="AL1382" s="569"/>
      <c r="AM1382" s="569"/>
      <c r="AN1382" s="589"/>
      <c r="AO1382" s="84"/>
      <c r="AP1382" s="5"/>
    </row>
    <row r="1383" spans="1:42" ht="13.5" customHeight="1" x14ac:dyDescent="0.35">
      <c r="A1383" s="4"/>
      <c r="B1383" s="614"/>
      <c r="C1383" s="71"/>
      <c r="D1383" s="71"/>
      <c r="E1383" s="71"/>
      <c r="F1383" s="71"/>
      <c r="G1383" s="71"/>
      <c r="H1383" s="87"/>
      <c r="I1383" s="71"/>
      <c r="J1383" s="71"/>
      <c r="K1383" s="71"/>
      <c r="L1383" s="87"/>
      <c r="M1383" s="71"/>
      <c r="N1383" s="71"/>
      <c r="O1383" s="71"/>
      <c r="P1383" s="311"/>
      <c r="Q1383" s="312"/>
      <c r="R1383" s="312"/>
      <c r="S1383" s="569"/>
      <c r="T1383" s="569"/>
      <c r="U1383" s="569"/>
      <c r="V1383" s="341"/>
      <c r="W1383" s="311"/>
      <c r="X1383" s="71"/>
      <c r="Y1383" s="71"/>
      <c r="Z1383" s="71"/>
      <c r="AA1383" s="456"/>
      <c r="AB1383" s="104"/>
      <c r="AC1383" s="485"/>
      <c r="AD1383" s="486"/>
      <c r="AE1383" s="485"/>
      <c r="AF1383" s="634"/>
      <c r="AG1383" s="97"/>
      <c r="AH1383" s="223"/>
      <c r="AI1383" s="569"/>
      <c r="AJ1383" s="569"/>
      <c r="AK1383" s="569"/>
      <c r="AL1383" s="569"/>
      <c r="AM1383" s="569"/>
      <c r="AN1383" s="589"/>
      <c r="AO1383" s="84"/>
      <c r="AP1383" s="5"/>
    </row>
    <row r="1384" spans="1:42" ht="13.5" customHeight="1" x14ac:dyDescent="0.35">
      <c r="A1384" s="4"/>
      <c r="B1384" s="614"/>
      <c r="C1384" s="71"/>
      <c r="D1384" s="71"/>
      <c r="E1384" s="71"/>
      <c r="F1384" s="71"/>
      <c r="G1384" s="71"/>
      <c r="H1384" s="87"/>
      <c r="I1384" s="71"/>
      <c r="J1384" s="71"/>
      <c r="K1384" s="71"/>
      <c r="L1384" s="87"/>
      <c r="M1384" s="71"/>
      <c r="N1384" s="71"/>
      <c r="O1384" s="71"/>
      <c r="P1384" s="311"/>
      <c r="Q1384" s="312"/>
      <c r="R1384" s="312"/>
      <c r="S1384" s="569"/>
      <c r="T1384" s="569"/>
      <c r="U1384" s="569"/>
      <c r="V1384" s="341"/>
      <c r="W1384" s="311"/>
      <c r="X1384" s="71"/>
      <c r="Y1384" s="71"/>
      <c r="Z1384" s="71"/>
      <c r="AA1384" s="456"/>
      <c r="AB1384" s="104"/>
      <c r="AC1384" s="485"/>
      <c r="AD1384" s="486"/>
      <c r="AE1384" s="485"/>
      <c r="AF1384" s="634"/>
      <c r="AG1384" s="97"/>
      <c r="AH1384" s="223"/>
      <c r="AI1384" s="569"/>
      <c r="AJ1384" s="569"/>
      <c r="AK1384" s="569"/>
      <c r="AL1384" s="569"/>
      <c r="AM1384" s="569"/>
      <c r="AN1384" s="589"/>
      <c r="AO1384" s="84"/>
      <c r="AP1384" s="5"/>
    </row>
    <row r="1385" spans="1:42" ht="13.5" customHeight="1" x14ac:dyDescent="0.35">
      <c r="A1385" s="4"/>
      <c r="B1385" s="614"/>
      <c r="C1385" s="71"/>
      <c r="D1385" s="71"/>
      <c r="E1385" s="71"/>
      <c r="F1385" s="71"/>
      <c r="G1385" s="71"/>
      <c r="H1385" s="87"/>
      <c r="I1385" s="71"/>
      <c r="J1385" s="71"/>
      <c r="K1385" s="71"/>
      <c r="L1385" s="87"/>
      <c r="M1385" s="71"/>
      <c r="N1385" s="71"/>
      <c r="O1385" s="71"/>
      <c r="P1385" s="311"/>
      <c r="Q1385" s="312"/>
      <c r="R1385" s="312"/>
      <c r="S1385" s="569"/>
      <c r="T1385" s="569"/>
      <c r="U1385" s="569"/>
      <c r="V1385" s="341"/>
      <c r="W1385" s="311"/>
      <c r="X1385" s="71"/>
      <c r="Y1385" s="71"/>
      <c r="Z1385" s="71"/>
      <c r="AA1385" s="456"/>
      <c r="AB1385" s="104"/>
      <c r="AC1385" s="485"/>
      <c r="AD1385" s="486"/>
      <c r="AE1385" s="485"/>
      <c r="AF1385" s="634"/>
      <c r="AG1385" s="97"/>
      <c r="AH1385" s="223"/>
      <c r="AI1385" s="569"/>
      <c r="AJ1385" s="569"/>
      <c r="AK1385" s="569"/>
      <c r="AL1385" s="569"/>
      <c r="AM1385" s="569"/>
      <c r="AN1385" s="589"/>
      <c r="AO1385" s="84"/>
      <c r="AP1385" s="5"/>
    </row>
    <row r="1386" spans="1:42" ht="13.5" customHeight="1" x14ac:dyDescent="0.35">
      <c r="A1386" s="4"/>
      <c r="B1386" s="614"/>
      <c r="C1386" s="71"/>
      <c r="D1386" s="71"/>
      <c r="E1386" s="71"/>
      <c r="F1386" s="71"/>
      <c r="G1386" s="71"/>
      <c r="H1386" s="87"/>
      <c r="I1386" s="71"/>
      <c r="J1386" s="71"/>
      <c r="K1386" s="71"/>
      <c r="L1386" s="87"/>
      <c r="M1386" s="71"/>
      <c r="N1386" s="71"/>
      <c r="O1386" s="71"/>
      <c r="P1386" s="311"/>
      <c r="Q1386" s="312"/>
      <c r="R1386" s="312"/>
      <c r="S1386" s="569"/>
      <c r="T1386" s="569"/>
      <c r="U1386" s="569"/>
      <c r="V1386" s="341"/>
      <c r="W1386" s="311"/>
      <c r="X1386" s="71"/>
      <c r="Y1386" s="71"/>
      <c r="Z1386" s="71"/>
      <c r="AA1386" s="456"/>
      <c r="AB1386" s="104"/>
      <c r="AC1386" s="485"/>
      <c r="AD1386" s="486"/>
      <c r="AE1386" s="485"/>
      <c r="AF1386" s="634"/>
      <c r="AG1386" s="97"/>
      <c r="AH1386" s="223"/>
      <c r="AI1386" s="569"/>
      <c r="AJ1386" s="569"/>
      <c r="AK1386" s="569"/>
      <c r="AL1386" s="569"/>
      <c r="AM1386" s="569"/>
      <c r="AN1386" s="589"/>
      <c r="AO1386" s="84"/>
      <c r="AP1386" s="5"/>
    </row>
    <row r="1387" spans="1:42" ht="13.5" customHeight="1" x14ac:dyDescent="0.35">
      <c r="A1387" s="4"/>
      <c r="B1387" s="614"/>
      <c r="C1387" s="71"/>
      <c r="D1387" s="71"/>
      <c r="E1387" s="71"/>
      <c r="F1387" s="71"/>
      <c r="G1387" s="71"/>
      <c r="H1387" s="87"/>
      <c r="I1387" s="71"/>
      <c r="J1387" s="71"/>
      <c r="K1387" s="71"/>
      <c r="L1387" s="87"/>
      <c r="M1387" s="71"/>
      <c r="N1387" s="71"/>
      <c r="O1387" s="71"/>
      <c r="P1387" s="311"/>
      <c r="Q1387" s="312"/>
      <c r="R1387" s="312"/>
      <c r="S1387" s="569"/>
      <c r="T1387" s="569"/>
      <c r="U1387" s="569"/>
      <c r="V1387" s="341"/>
      <c r="W1387" s="311"/>
      <c r="X1387" s="71"/>
      <c r="Y1387" s="71"/>
      <c r="Z1387" s="71"/>
      <c r="AA1387" s="456"/>
      <c r="AB1387" s="104"/>
      <c r="AC1387" s="485"/>
      <c r="AD1387" s="486"/>
      <c r="AE1387" s="485"/>
      <c r="AF1387" s="634"/>
      <c r="AG1387" s="97"/>
      <c r="AH1387" s="223"/>
      <c r="AI1387" s="569"/>
      <c r="AJ1387" s="569"/>
      <c r="AK1387" s="569"/>
      <c r="AL1387" s="569"/>
      <c r="AM1387" s="569"/>
      <c r="AN1387" s="589"/>
      <c r="AO1387" s="84"/>
      <c r="AP1387" s="5"/>
    </row>
    <row r="1388" spans="1:42" ht="13.5" customHeight="1" x14ac:dyDescent="0.35">
      <c r="A1388" s="4"/>
      <c r="B1388" s="614"/>
      <c r="C1388" s="71"/>
      <c r="D1388" s="71"/>
      <c r="E1388" s="71"/>
      <c r="F1388" s="71"/>
      <c r="G1388" s="71"/>
      <c r="H1388" s="87"/>
      <c r="I1388" s="71"/>
      <c r="J1388" s="71"/>
      <c r="K1388" s="71"/>
      <c r="L1388" s="87"/>
      <c r="M1388" s="71"/>
      <c r="N1388" s="71"/>
      <c r="O1388" s="71"/>
      <c r="P1388" s="311"/>
      <c r="Q1388" s="312"/>
      <c r="R1388" s="312"/>
      <c r="S1388" s="569"/>
      <c r="T1388" s="569"/>
      <c r="U1388" s="569"/>
      <c r="V1388" s="341"/>
      <c r="W1388" s="311"/>
      <c r="X1388" s="71"/>
      <c r="Y1388" s="71"/>
      <c r="Z1388" s="71"/>
      <c r="AA1388" s="456"/>
      <c r="AB1388" s="104"/>
      <c r="AC1388" s="485"/>
      <c r="AD1388" s="486"/>
      <c r="AE1388" s="485"/>
      <c r="AF1388" s="634"/>
      <c r="AG1388" s="97"/>
      <c r="AH1388" s="223"/>
      <c r="AI1388" s="569"/>
      <c r="AJ1388" s="569"/>
      <c r="AK1388" s="569"/>
      <c r="AL1388" s="569"/>
      <c r="AM1388" s="569"/>
      <c r="AN1388" s="589"/>
      <c r="AO1388" s="84"/>
      <c r="AP1388" s="5"/>
    </row>
    <row r="1389" spans="1:42" ht="13.5" customHeight="1" x14ac:dyDescent="0.35">
      <c r="A1389" s="4"/>
      <c r="B1389" s="614"/>
      <c r="C1389" s="71"/>
      <c r="D1389" s="71"/>
      <c r="E1389" s="71"/>
      <c r="F1389" s="71"/>
      <c r="G1389" s="71"/>
      <c r="H1389" s="87"/>
      <c r="I1389" s="71"/>
      <c r="J1389" s="71"/>
      <c r="K1389" s="71"/>
      <c r="L1389" s="87"/>
      <c r="M1389" s="71"/>
      <c r="N1389" s="71"/>
      <c r="O1389" s="71"/>
      <c r="P1389" s="311"/>
      <c r="Q1389" s="312"/>
      <c r="R1389" s="312"/>
      <c r="S1389" s="569"/>
      <c r="T1389" s="569"/>
      <c r="U1389" s="569"/>
      <c r="V1389" s="341"/>
      <c r="W1389" s="311"/>
      <c r="X1389" s="71"/>
      <c r="Y1389" s="71"/>
      <c r="Z1389" s="71"/>
      <c r="AA1389" s="456"/>
      <c r="AB1389" s="104"/>
      <c r="AC1389" s="485"/>
      <c r="AD1389" s="486"/>
      <c r="AE1389" s="485"/>
      <c r="AF1389" s="634"/>
      <c r="AG1389" s="97"/>
      <c r="AH1389" s="223"/>
      <c r="AI1389" s="569"/>
      <c r="AJ1389" s="569"/>
      <c r="AK1389" s="569"/>
      <c r="AL1389" s="569"/>
      <c r="AM1389" s="569"/>
      <c r="AN1389" s="589"/>
      <c r="AO1389" s="84"/>
      <c r="AP1389" s="5"/>
    </row>
    <row r="1390" spans="1:42" ht="13.5" customHeight="1" x14ac:dyDescent="0.35">
      <c r="A1390" s="4"/>
      <c r="B1390" s="614"/>
      <c r="C1390" s="71"/>
      <c r="D1390" s="71"/>
      <c r="E1390" s="71"/>
      <c r="F1390" s="71"/>
      <c r="G1390" s="71"/>
      <c r="H1390" s="87"/>
      <c r="I1390" s="71"/>
      <c r="J1390" s="71"/>
      <c r="K1390" s="71"/>
      <c r="L1390" s="87"/>
      <c r="M1390" s="71"/>
      <c r="N1390" s="71"/>
      <c r="O1390" s="71"/>
      <c r="P1390" s="311"/>
      <c r="Q1390" s="312"/>
      <c r="R1390" s="312"/>
      <c r="S1390" s="569"/>
      <c r="T1390" s="569"/>
      <c r="U1390" s="569"/>
      <c r="V1390" s="341"/>
      <c r="W1390" s="311"/>
      <c r="X1390" s="71"/>
      <c r="Y1390" s="71"/>
      <c r="Z1390" s="71"/>
      <c r="AA1390" s="456"/>
      <c r="AB1390" s="104"/>
      <c r="AC1390" s="485"/>
      <c r="AD1390" s="486"/>
      <c r="AE1390" s="485"/>
      <c r="AF1390" s="634"/>
      <c r="AG1390" s="97"/>
      <c r="AH1390" s="223"/>
      <c r="AI1390" s="569"/>
      <c r="AJ1390" s="569"/>
      <c r="AK1390" s="569"/>
      <c r="AL1390" s="569"/>
      <c r="AM1390" s="569"/>
      <c r="AN1390" s="589"/>
      <c r="AO1390" s="84"/>
      <c r="AP1390" s="5"/>
    </row>
    <row r="1391" spans="1:42" ht="13.5" customHeight="1" x14ac:dyDescent="0.35">
      <c r="A1391" s="4"/>
      <c r="B1391" s="614"/>
      <c r="C1391" s="71"/>
      <c r="D1391" s="71"/>
      <c r="E1391" s="71"/>
      <c r="F1391" s="71"/>
      <c r="G1391" s="71"/>
      <c r="H1391" s="87"/>
      <c r="I1391" s="71"/>
      <c r="J1391" s="71"/>
      <c r="K1391" s="71"/>
      <c r="L1391" s="87"/>
      <c r="M1391" s="71"/>
      <c r="N1391" s="71"/>
      <c r="O1391" s="71"/>
      <c r="P1391" s="311"/>
      <c r="Q1391" s="312"/>
      <c r="R1391" s="312"/>
      <c r="S1391" s="569"/>
      <c r="T1391" s="569"/>
      <c r="U1391" s="569"/>
      <c r="V1391" s="341"/>
      <c r="W1391" s="311"/>
      <c r="X1391" s="71"/>
      <c r="Y1391" s="71"/>
      <c r="Z1391" s="71"/>
      <c r="AA1391" s="456"/>
      <c r="AB1391" s="104"/>
      <c r="AC1391" s="485"/>
      <c r="AD1391" s="486"/>
      <c r="AE1391" s="485"/>
      <c r="AF1391" s="634"/>
      <c r="AG1391" s="97"/>
      <c r="AH1391" s="223"/>
      <c r="AI1391" s="569"/>
      <c r="AJ1391" s="569"/>
      <c r="AK1391" s="569"/>
      <c r="AL1391" s="569"/>
      <c r="AM1391" s="569"/>
      <c r="AN1391" s="589"/>
      <c r="AO1391" s="84"/>
      <c r="AP1391" s="5"/>
    </row>
    <row r="1392" spans="1:42" ht="13.5" customHeight="1" x14ac:dyDescent="0.35">
      <c r="A1392" s="4"/>
      <c r="B1392" s="614"/>
      <c r="C1392" s="71"/>
      <c r="D1392" s="71"/>
      <c r="E1392" s="71"/>
      <c r="F1392" s="71"/>
      <c r="G1392" s="71"/>
      <c r="H1392" s="87"/>
      <c r="I1392" s="71"/>
      <c r="J1392" s="71"/>
      <c r="K1392" s="71"/>
      <c r="L1392" s="87"/>
      <c r="M1392" s="71"/>
      <c r="N1392" s="71"/>
      <c r="O1392" s="71"/>
      <c r="P1392" s="311"/>
      <c r="Q1392" s="312"/>
      <c r="R1392" s="312"/>
      <c r="S1392" s="569"/>
      <c r="T1392" s="569"/>
      <c r="U1392" s="569"/>
      <c r="V1392" s="341"/>
      <c r="W1392" s="311"/>
      <c r="X1392" s="71"/>
      <c r="Y1392" s="71"/>
      <c r="Z1392" s="71"/>
      <c r="AA1392" s="456"/>
      <c r="AB1392" s="104"/>
      <c r="AC1392" s="485"/>
      <c r="AD1392" s="486"/>
      <c r="AE1392" s="485"/>
      <c r="AF1392" s="634"/>
      <c r="AG1392" s="97"/>
      <c r="AH1392" s="223"/>
      <c r="AI1392" s="569"/>
      <c r="AJ1392" s="569"/>
      <c r="AK1392" s="569"/>
      <c r="AL1392" s="569"/>
      <c r="AM1392" s="569"/>
      <c r="AN1392" s="589"/>
      <c r="AO1392" s="84"/>
      <c r="AP1392" s="5"/>
    </row>
    <row r="1393" spans="1:42" ht="13.5" customHeight="1" x14ac:dyDescent="0.35">
      <c r="A1393" s="4"/>
      <c r="B1393" s="614"/>
      <c r="C1393" s="71"/>
      <c r="D1393" s="71"/>
      <c r="E1393" s="71"/>
      <c r="F1393" s="71"/>
      <c r="G1393" s="71"/>
      <c r="H1393" s="87"/>
      <c r="I1393" s="71"/>
      <c r="J1393" s="71"/>
      <c r="K1393" s="71"/>
      <c r="L1393" s="87"/>
      <c r="M1393" s="71"/>
      <c r="N1393" s="71"/>
      <c r="O1393" s="71"/>
      <c r="P1393" s="311"/>
      <c r="Q1393" s="312"/>
      <c r="R1393" s="312"/>
      <c r="S1393" s="569"/>
      <c r="T1393" s="569"/>
      <c r="U1393" s="569"/>
      <c r="V1393" s="341"/>
      <c r="W1393" s="311"/>
      <c r="X1393" s="71"/>
      <c r="Y1393" s="71"/>
      <c r="Z1393" s="71"/>
      <c r="AA1393" s="456"/>
      <c r="AB1393" s="104"/>
      <c r="AC1393" s="485"/>
      <c r="AD1393" s="486"/>
      <c r="AE1393" s="485"/>
      <c r="AF1393" s="634"/>
      <c r="AG1393" s="97"/>
      <c r="AH1393" s="223"/>
      <c r="AI1393" s="569"/>
      <c r="AJ1393" s="569"/>
      <c r="AK1393" s="569"/>
      <c r="AL1393" s="569"/>
      <c r="AM1393" s="569"/>
      <c r="AN1393" s="589"/>
      <c r="AO1393" s="84"/>
      <c r="AP1393" s="5"/>
    </row>
    <row r="1394" spans="1:42" ht="13.5" customHeight="1" x14ac:dyDescent="0.35">
      <c r="A1394" s="4"/>
      <c r="B1394" s="614"/>
      <c r="C1394" s="71"/>
      <c r="D1394" s="71"/>
      <c r="E1394" s="71"/>
      <c r="F1394" s="71"/>
      <c r="G1394" s="71"/>
      <c r="H1394" s="87"/>
      <c r="I1394" s="71"/>
      <c r="J1394" s="71"/>
      <c r="K1394" s="71"/>
      <c r="L1394" s="87"/>
      <c r="M1394" s="71"/>
      <c r="N1394" s="71"/>
      <c r="O1394" s="71"/>
      <c r="P1394" s="311"/>
      <c r="Q1394" s="312"/>
      <c r="R1394" s="312"/>
      <c r="S1394" s="569"/>
      <c r="T1394" s="569"/>
      <c r="U1394" s="569"/>
      <c r="V1394" s="341"/>
      <c r="W1394" s="311"/>
      <c r="X1394" s="71"/>
      <c r="Y1394" s="71"/>
      <c r="Z1394" s="71"/>
      <c r="AA1394" s="456"/>
      <c r="AB1394" s="104"/>
      <c r="AC1394" s="485"/>
      <c r="AD1394" s="486"/>
      <c r="AE1394" s="485"/>
      <c r="AF1394" s="634"/>
      <c r="AG1394" s="97"/>
      <c r="AH1394" s="223"/>
      <c r="AI1394" s="569"/>
      <c r="AJ1394" s="569"/>
      <c r="AK1394" s="569"/>
      <c r="AL1394" s="569"/>
      <c r="AM1394" s="569"/>
      <c r="AN1394" s="589"/>
      <c r="AO1394" s="84"/>
      <c r="AP1394" s="5"/>
    </row>
    <row r="1395" spans="1:42" ht="13.5" customHeight="1" x14ac:dyDescent="0.35">
      <c r="A1395" s="4"/>
      <c r="B1395" s="614"/>
      <c r="C1395" s="71"/>
      <c r="D1395" s="71"/>
      <c r="E1395" s="71"/>
      <c r="F1395" s="71"/>
      <c r="G1395" s="71"/>
      <c r="H1395" s="87"/>
      <c r="I1395" s="71"/>
      <c r="J1395" s="71"/>
      <c r="K1395" s="71"/>
      <c r="L1395" s="87"/>
      <c r="M1395" s="71"/>
      <c r="N1395" s="71"/>
      <c r="O1395" s="71"/>
      <c r="P1395" s="311"/>
      <c r="Q1395" s="312"/>
      <c r="R1395" s="312"/>
      <c r="S1395" s="569"/>
      <c r="T1395" s="569"/>
      <c r="U1395" s="569"/>
      <c r="V1395" s="341"/>
      <c r="W1395" s="311"/>
      <c r="X1395" s="71"/>
      <c r="Y1395" s="71"/>
      <c r="Z1395" s="71"/>
      <c r="AA1395" s="456"/>
      <c r="AB1395" s="104"/>
      <c r="AC1395" s="485"/>
      <c r="AD1395" s="486"/>
      <c r="AE1395" s="485"/>
      <c r="AF1395" s="634"/>
      <c r="AG1395" s="97"/>
      <c r="AH1395" s="223"/>
      <c r="AI1395" s="569"/>
      <c r="AJ1395" s="569"/>
      <c r="AK1395" s="569"/>
      <c r="AL1395" s="569"/>
      <c r="AM1395" s="569"/>
      <c r="AN1395" s="589"/>
      <c r="AO1395" s="84"/>
      <c r="AP1395" s="5"/>
    </row>
    <row r="1396" spans="1:42" ht="13.5" customHeight="1" x14ac:dyDescent="0.35">
      <c r="A1396" s="4"/>
      <c r="B1396" s="614"/>
      <c r="C1396" s="71"/>
      <c r="D1396" s="71"/>
      <c r="E1396" s="71"/>
      <c r="F1396" s="71"/>
      <c r="G1396" s="71"/>
      <c r="H1396" s="87"/>
      <c r="I1396" s="71"/>
      <c r="J1396" s="71"/>
      <c r="K1396" s="71"/>
      <c r="L1396" s="87"/>
      <c r="M1396" s="71"/>
      <c r="N1396" s="71"/>
      <c r="O1396" s="71"/>
      <c r="P1396" s="311"/>
      <c r="Q1396" s="312"/>
      <c r="R1396" s="312"/>
      <c r="S1396" s="569"/>
      <c r="T1396" s="569"/>
      <c r="U1396" s="569"/>
      <c r="V1396" s="341"/>
      <c r="W1396" s="311"/>
      <c r="X1396" s="71"/>
      <c r="Y1396" s="71"/>
      <c r="Z1396" s="71"/>
      <c r="AA1396" s="456"/>
      <c r="AB1396" s="104"/>
      <c r="AC1396" s="485"/>
      <c r="AD1396" s="486"/>
      <c r="AE1396" s="485"/>
      <c r="AF1396" s="634"/>
      <c r="AG1396" s="97"/>
      <c r="AH1396" s="223"/>
      <c r="AI1396" s="569"/>
      <c r="AJ1396" s="569"/>
      <c r="AK1396" s="569"/>
      <c r="AL1396" s="569"/>
      <c r="AM1396" s="569"/>
      <c r="AN1396" s="589"/>
      <c r="AO1396" s="84"/>
      <c r="AP1396" s="5"/>
    </row>
    <row r="1397" spans="1:42" ht="13.5" customHeight="1" x14ac:dyDescent="0.35">
      <c r="A1397" s="4"/>
      <c r="B1397" s="614"/>
      <c r="C1397" s="71"/>
      <c r="D1397" s="71"/>
      <c r="E1397" s="71"/>
      <c r="F1397" s="71"/>
      <c r="G1397" s="71"/>
      <c r="H1397" s="87"/>
      <c r="I1397" s="71"/>
      <c r="J1397" s="71"/>
      <c r="K1397" s="71"/>
      <c r="L1397" s="87"/>
      <c r="M1397" s="71"/>
      <c r="N1397" s="71"/>
      <c r="O1397" s="71"/>
      <c r="P1397" s="311"/>
      <c r="Q1397" s="312"/>
      <c r="R1397" s="312"/>
      <c r="S1397" s="569"/>
      <c r="T1397" s="569"/>
      <c r="U1397" s="569"/>
      <c r="V1397" s="341"/>
      <c r="W1397" s="311"/>
      <c r="X1397" s="71"/>
      <c r="Y1397" s="71"/>
      <c r="Z1397" s="71"/>
      <c r="AA1397" s="456"/>
      <c r="AB1397" s="104"/>
      <c r="AC1397" s="485"/>
      <c r="AD1397" s="486"/>
      <c r="AE1397" s="485"/>
      <c r="AF1397" s="634"/>
      <c r="AG1397" s="97"/>
      <c r="AH1397" s="223"/>
      <c r="AI1397" s="569"/>
      <c r="AJ1397" s="569"/>
      <c r="AK1397" s="569"/>
      <c r="AL1397" s="569"/>
      <c r="AM1397" s="569"/>
      <c r="AN1397" s="589"/>
      <c r="AO1397" s="84"/>
      <c r="AP1397" s="5"/>
    </row>
    <row r="1398" spans="1:42" ht="13.5" customHeight="1" x14ac:dyDescent="0.35">
      <c r="A1398" s="4"/>
      <c r="B1398" s="614"/>
      <c r="C1398" s="71"/>
      <c r="D1398" s="71"/>
      <c r="E1398" s="71"/>
      <c r="F1398" s="71"/>
      <c r="G1398" s="71"/>
      <c r="H1398" s="87"/>
      <c r="I1398" s="71"/>
      <c r="J1398" s="71"/>
      <c r="K1398" s="71"/>
      <c r="L1398" s="87"/>
      <c r="M1398" s="71"/>
      <c r="N1398" s="71"/>
      <c r="O1398" s="71"/>
      <c r="P1398" s="311"/>
      <c r="Q1398" s="312"/>
      <c r="R1398" s="312"/>
      <c r="S1398" s="569"/>
      <c r="T1398" s="569"/>
      <c r="U1398" s="569"/>
      <c r="V1398" s="341"/>
      <c r="W1398" s="311"/>
      <c r="X1398" s="71"/>
      <c r="Y1398" s="71"/>
      <c r="Z1398" s="71"/>
      <c r="AA1398" s="456"/>
      <c r="AB1398" s="104"/>
      <c r="AC1398" s="485"/>
      <c r="AD1398" s="486"/>
      <c r="AE1398" s="485"/>
      <c r="AF1398" s="634"/>
      <c r="AG1398" s="97"/>
      <c r="AH1398" s="223"/>
      <c r="AI1398" s="569"/>
      <c r="AJ1398" s="569"/>
      <c r="AK1398" s="569"/>
      <c r="AL1398" s="569"/>
      <c r="AM1398" s="569"/>
      <c r="AN1398" s="589"/>
      <c r="AO1398" s="84"/>
      <c r="AP1398" s="5"/>
    </row>
    <row r="1399" spans="1:42" ht="13.5" customHeight="1" x14ac:dyDescent="0.35">
      <c r="A1399" s="4"/>
      <c r="B1399" s="614"/>
      <c r="C1399" s="71"/>
      <c r="D1399" s="71"/>
      <c r="E1399" s="71"/>
      <c r="F1399" s="71"/>
      <c r="G1399" s="71"/>
      <c r="H1399" s="87"/>
      <c r="I1399" s="71"/>
      <c r="J1399" s="71"/>
      <c r="K1399" s="71"/>
      <c r="L1399" s="87"/>
      <c r="M1399" s="71"/>
      <c r="N1399" s="71"/>
      <c r="O1399" s="71"/>
      <c r="P1399" s="311"/>
      <c r="Q1399" s="312"/>
      <c r="R1399" s="312"/>
      <c r="S1399" s="569"/>
      <c r="T1399" s="569"/>
      <c r="U1399" s="569"/>
      <c r="V1399" s="341"/>
      <c r="W1399" s="311"/>
      <c r="X1399" s="71"/>
      <c r="Y1399" s="71"/>
      <c r="Z1399" s="71"/>
      <c r="AA1399" s="456"/>
      <c r="AB1399" s="104"/>
      <c r="AC1399" s="485"/>
      <c r="AD1399" s="486"/>
      <c r="AE1399" s="485"/>
      <c r="AF1399" s="634"/>
      <c r="AG1399" s="97"/>
      <c r="AH1399" s="223"/>
      <c r="AI1399" s="569"/>
      <c r="AJ1399" s="569"/>
      <c r="AK1399" s="569"/>
      <c r="AL1399" s="569"/>
      <c r="AM1399" s="569"/>
      <c r="AN1399" s="589"/>
      <c r="AO1399" s="84"/>
      <c r="AP1399" s="5"/>
    </row>
    <row r="1400" spans="1:42" ht="13.5" customHeight="1" x14ac:dyDescent="0.35">
      <c r="A1400" s="4"/>
      <c r="B1400" s="614"/>
      <c r="C1400" s="71"/>
      <c r="D1400" s="71"/>
      <c r="E1400" s="71"/>
      <c r="F1400" s="71"/>
      <c r="G1400" s="71"/>
      <c r="H1400" s="87"/>
      <c r="I1400" s="71"/>
      <c r="J1400" s="71"/>
      <c r="K1400" s="71"/>
      <c r="L1400" s="87"/>
      <c r="M1400" s="71"/>
      <c r="N1400" s="71"/>
      <c r="O1400" s="71"/>
      <c r="P1400" s="311"/>
      <c r="Q1400" s="312"/>
      <c r="R1400" s="312"/>
      <c r="S1400" s="569"/>
      <c r="T1400" s="569"/>
      <c r="U1400" s="569"/>
      <c r="V1400" s="341"/>
      <c r="W1400" s="311"/>
      <c r="X1400" s="71"/>
      <c r="Y1400" s="71"/>
      <c r="Z1400" s="71"/>
      <c r="AA1400" s="456"/>
      <c r="AB1400" s="104"/>
      <c r="AC1400" s="485"/>
      <c r="AD1400" s="486"/>
      <c r="AE1400" s="485"/>
      <c r="AF1400" s="634"/>
      <c r="AG1400" s="97"/>
      <c r="AH1400" s="223"/>
      <c r="AI1400" s="569"/>
      <c r="AJ1400" s="569"/>
      <c r="AK1400" s="569"/>
      <c r="AL1400" s="569"/>
      <c r="AM1400" s="569"/>
      <c r="AN1400" s="589"/>
      <c r="AO1400" s="84"/>
      <c r="AP1400" s="5"/>
    </row>
    <row r="1401" spans="1:42" ht="13.5" customHeight="1" x14ac:dyDescent="0.35">
      <c r="A1401" s="4"/>
      <c r="B1401" s="614"/>
      <c r="C1401" s="71"/>
      <c r="D1401" s="71"/>
      <c r="E1401" s="71"/>
      <c r="F1401" s="71"/>
      <c r="G1401" s="71"/>
      <c r="H1401" s="87"/>
      <c r="I1401" s="71"/>
      <c r="J1401" s="71"/>
      <c r="K1401" s="71"/>
      <c r="L1401" s="87"/>
      <c r="M1401" s="71"/>
      <c r="N1401" s="71"/>
      <c r="O1401" s="71"/>
      <c r="P1401" s="311"/>
      <c r="Q1401" s="312"/>
      <c r="R1401" s="312"/>
      <c r="S1401" s="569"/>
      <c r="T1401" s="569"/>
      <c r="U1401" s="569"/>
      <c r="V1401" s="341"/>
      <c r="W1401" s="311"/>
      <c r="X1401" s="71"/>
      <c r="Y1401" s="71"/>
      <c r="Z1401" s="71"/>
      <c r="AA1401" s="456"/>
      <c r="AB1401" s="104"/>
      <c r="AC1401" s="485"/>
      <c r="AD1401" s="486"/>
      <c r="AE1401" s="485"/>
      <c r="AF1401" s="634"/>
      <c r="AG1401" s="97"/>
      <c r="AH1401" s="223"/>
      <c r="AI1401" s="569"/>
      <c r="AJ1401" s="569"/>
      <c r="AK1401" s="569"/>
      <c r="AL1401" s="569"/>
      <c r="AM1401" s="569"/>
      <c r="AN1401" s="589"/>
      <c r="AO1401" s="84"/>
      <c r="AP1401" s="5"/>
    </row>
    <row r="1402" spans="1:42" ht="13.5" customHeight="1" x14ac:dyDescent="0.35">
      <c r="A1402" s="4"/>
      <c r="B1402" s="614"/>
      <c r="C1402" s="71"/>
      <c r="D1402" s="71"/>
      <c r="E1402" s="71"/>
      <c r="F1402" s="71"/>
      <c r="G1402" s="71"/>
      <c r="H1402" s="87"/>
      <c r="I1402" s="71"/>
      <c r="J1402" s="71"/>
      <c r="K1402" s="71"/>
      <c r="L1402" s="87"/>
      <c r="M1402" s="71"/>
      <c r="N1402" s="71"/>
      <c r="O1402" s="71"/>
      <c r="P1402" s="311"/>
      <c r="Q1402" s="312"/>
      <c r="R1402" s="312"/>
      <c r="S1402" s="569"/>
      <c r="T1402" s="569"/>
      <c r="U1402" s="569"/>
      <c r="V1402" s="341"/>
      <c r="W1402" s="311"/>
      <c r="X1402" s="71"/>
      <c r="Y1402" s="71"/>
      <c r="Z1402" s="71"/>
      <c r="AA1402" s="456"/>
      <c r="AB1402" s="104"/>
      <c r="AC1402" s="485"/>
      <c r="AD1402" s="486"/>
      <c r="AE1402" s="485"/>
      <c r="AF1402" s="634"/>
      <c r="AG1402" s="97"/>
      <c r="AH1402" s="223"/>
      <c r="AI1402" s="569"/>
      <c r="AJ1402" s="569"/>
      <c r="AK1402" s="569"/>
      <c r="AL1402" s="569"/>
      <c r="AM1402" s="569"/>
      <c r="AN1402" s="589"/>
      <c r="AO1402" s="84"/>
      <c r="AP1402" s="5"/>
    </row>
    <row r="1403" spans="1:42" ht="13.5" customHeight="1" x14ac:dyDescent="0.35">
      <c r="A1403" s="4"/>
      <c r="B1403" s="614"/>
      <c r="C1403" s="71"/>
      <c r="D1403" s="71"/>
      <c r="E1403" s="71"/>
      <c r="F1403" s="71"/>
      <c r="G1403" s="71"/>
      <c r="H1403" s="87"/>
      <c r="I1403" s="71"/>
      <c r="J1403" s="71"/>
      <c r="K1403" s="71"/>
      <c r="L1403" s="87"/>
      <c r="M1403" s="71"/>
      <c r="N1403" s="71"/>
      <c r="O1403" s="71"/>
      <c r="P1403" s="311"/>
      <c r="Q1403" s="312"/>
      <c r="R1403" s="312"/>
      <c r="S1403" s="569"/>
      <c r="T1403" s="569"/>
      <c r="U1403" s="569"/>
      <c r="V1403" s="341"/>
      <c r="W1403" s="311"/>
      <c r="X1403" s="71"/>
      <c r="Y1403" s="71"/>
      <c r="Z1403" s="71"/>
      <c r="AA1403" s="456"/>
      <c r="AB1403" s="104"/>
      <c r="AC1403" s="485"/>
      <c r="AD1403" s="486"/>
      <c r="AE1403" s="485"/>
      <c r="AF1403" s="634"/>
      <c r="AG1403" s="97"/>
      <c r="AH1403" s="223"/>
      <c r="AI1403" s="569"/>
      <c r="AJ1403" s="569"/>
      <c r="AK1403" s="569"/>
      <c r="AL1403" s="569"/>
      <c r="AM1403" s="569"/>
      <c r="AN1403" s="589"/>
      <c r="AO1403" s="84"/>
      <c r="AP1403" s="5"/>
    </row>
    <row r="1404" spans="1:42" ht="13.5" customHeight="1" x14ac:dyDescent="0.35">
      <c r="A1404" s="4"/>
      <c r="B1404" s="614"/>
      <c r="C1404" s="71"/>
      <c r="D1404" s="71"/>
      <c r="E1404" s="71"/>
      <c r="F1404" s="71"/>
      <c r="G1404" s="71"/>
      <c r="H1404" s="87"/>
      <c r="I1404" s="71"/>
      <c r="J1404" s="71"/>
      <c r="K1404" s="71"/>
      <c r="L1404" s="87"/>
      <c r="M1404" s="71"/>
      <c r="N1404" s="71"/>
      <c r="O1404" s="71"/>
      <c r="P1404" s="311"/>
      <c r="Q1404" s="312"/>
      <c r="R1404" s="312"/>
      <c r="S1404" s="569"/>
      <c r="T1404" s="569"/>
      <c r="U1404" s="569"/>
      <c r="V1404" s="341"/>
      <c r="W1404" s="311"/>
      <c r="X1404" s="71"/>
      <c r="Y1404" s="71"/>
      <c r="Z1404" s="71"/>
      <c r="AA1404" s="456"/>
      <c r="AB1404" s="104"/>
      <c r="AC1404" s="485"/>
      <c r="AD1404" s="486"/>
      <c r="AE1404" s="485"/>
      <c r="AF1404" s="634"/>
      <c r="AG1404" s="97"/>
      <c r="AH1404" s="223"/>
      <c r="AI1404" s="569"/>
      <c r="AJ1404" s="569"/>
      <c r="AK1404" s="569"/>
      <c r="AL1404" s="569"/>
      <c r="AM1404" s="569"/>
      <c r="AN1404" s="589"/>
      <c r="AO1404" s="84"/>
      <c r="AP1404" s="5"/>
    </row>
    <row r="1405" spans="1:42" ht="13.5" customHeight="1" x14ac:dyDescent="0.35">
      <c r="A1405" s="4"/>
      <c r="B1405" s="614"/>
      <c r="C1405" s="71"/>
      <c r="D1405" s="71"/>
      <c r="E1405" s="71"/>
      <c r="F1405" s="71"/>
      <c r="G1405" s="71"/>
      <c r="H1405" s="87"/>
      <c r="I1405" s="71"/>
      <c r="J1405" s="71"/>
      <c r="K1405" s="71"/>
      <c r="L1405" s="87"/>
      <c r="M1405" s="71"/>
      <c r="N1405" s="71"/>
      <c r="O1405" s="71"/>
      <c r="P1405" s="311"/>
      <c r="Q1405" s="312"/>
      <c r="R1405" s="312"/>
      <c r="S1405" s="569"/>
      <c r="T1405" s="569"/>
      <c r="U1405" s="569"/>
      <c r="V1405" s="341"/>
      <c r="W1405" s="311"/>
      <c r="X1405" s="71"/>
      <c r="Y1405" s="71"/>
      <c r="Z1405" s="71"/>
      <c r="AA1405" s="456"/>
      <c r="AB1405" s="104"/>
      <c r="AC1405" s="485"/>
      <c r="AD1405" s="486"/>
      <c r="AE1405" s="485"/>
      <c r="AF1405" s="634"/>
      <c r="AG1405" s="97"/>
      <c r="AH1405" s="223"/>
      <c r="AI1405" s="569"/>
      <c r="AJ1405" s="569"/>
      <c r="AK1405" s="569"/>
      <c r="AL1405" s="569"/>
      <c r="AM1405" s="569"/>
      <c r="AN1405" s="589"/>
      <c r="AO1405" s="84"/>
      <c r="AP1405" s="5"/>
    </row>
    <row r="1406" spans="1:42" ht="13.5" customHeight="1" x14ac:dyDescent="0.35">
      <c r="A1406" s="4"/>
      <c r="B1406" s="614"/>
      <c r="C1406" s="71"/>
      <c r="D1406" s="71"/>
      <c r="E1406" s="71"/>
      <c r="F1406" s="71"/>
      <c r="G1406" s="71"/>
      <c r="H1406" s="87"/>
      <c r="I1406" s="71"/>
      <c r="J1406" s="71"/>
      <c r="K1406" s="71"/>
      <c r="L1406" s="87"/>
      <c r="M1406" s="71"/>
      <c r="N1406" s="71"/>
      <c r="O1406" s="71"/>
      <c r="P1406" s="311"/>
      <c r="Q1406" s="312"/>
      <c r="R1406" s="312"/>
      <c r="S1406" s="569"/>
      <c r="T1406" s="569"/>
      <c r="U1406" s="569"/>
      <c r="V1406" s="341"/>
      <c r="W1406" s="311"/>
      <c r="X1406" s="71"/>
      <c r="Y1406" s="71"/>
      <c r="Z1406" s="71"/>
      <c r="AA1406" s="456"/>
      <c r="AB1406" s="104"/>
      <c r="AC1406" s="485"/>
      <c r="AD1406" s="486"/>
      <c r="AE1406" s="485"/>
      <c r="AF1406" s="634"/>
      <c r="AG1406" s="97"/>
      <c r="AH1406" s="223"/>
      <c r="AI1406" s="569"/>
      <c r="AJ1406" s="569"/>
      <c r="AK1406" s="569"/>
      <c r="AL1406" s="569"/>
      <c r="AM1406" s="569"/>
      <c r="AN1406" s="589"/>
      <c r="AO1406" s="84"/>
      <c r="AP1406" s="5"/>
    </row>
    <row r="1407" spans="1:42" ht="13.5" customHeight="1" x14ac:dyDescent="0.35">
      <c r="A1407" s="4"/>
      <c r="B1407" s="614"/>
      <c r="C1407" s="71"/>
      <c r="D1407" s="71"/>
      <c r="E1407" s="71"/>
      <c r="F1407" s="71"/>
      <c r="G1407" s="71"/>
      <c r="H1407" s="87"/>
      <c r="I1407" s="71"/>
      <c r="J1407" s="71"/>
      <c r="K1407" s="71"/>
      <c r="L1407" s="87"/>
      <c r="M1407" s="71"/>
      <c r="N1407" s="71"/>
      <c r="O1407" s="71"/>
      <c r="P1407" s="311"/>
      <c r="Q1407" s="312"/>
      <c r="R1407" s="312"/>
      <c r="S1407" s="569"/>
      <c r="T1407" s="569"/>
      <c r="U1407" s="569"/>
      <c r="V1407" s="341"/>
      <c r="W1407" s="311"/>
      <c r="X1407" s="71"/>
      <c r="Y1407" s="71"/>
      <c r="Z1407" s="71"/>
      <c r="AA1407" s="456"/>
      <c r="AB1407" s="104"/>
      <c r="AC1407" s="485"/>
      <c r="AD1407" s="486"/>
      <c r="AE1407" s="485"/>
      <c r="AF1407" s="634"/>
      <c r="AG1407" s="97"/>
      <c r="AH1407" s="223"/>
      <c r="AI1407" s="569"/>
      <c r="AJ1407" s="569"/>
      <c r="AK1407" s="569"/>
      <c r="AL1407" s="569"/>
      <c r="AM1407" s="569"/>
      <c r="AN1407" s="589"/>
      <c r="AO1407" s="84"/>
      <c r="AP1407" s="5"/>
    </row>
    <row r="1408" spans="1:42" ht="13.5" customHeight="1" x14ac:dyDescent="0.35">
      <c r="A1408" s="4"/>
      <c r="B1408" s="614"/>
      <c r="C1408" s="71"/>
      <c r="D1408" s="71"/>
      <c r="E1408" s="71"/>
      <c r="F1408" s="71"/>
      <c r="G1408" s="71"/>
      <c r="H1408" s="87"/>
      <c r="I1408" s="71"/>
      <c r="J1408" s="71"/>
      <c r="K1408" s="71"/>
      <c r="L1408" s="87"/>
      <c r="M1408" s="71"/>
      <c r="N1408" s="71"/>
      <c r="O1408" s="71"/>
      <c r="P1408" s="311"/>
      <c r="Q1408" s="312"/>
      <c r="R1408" s="312"/>
      <c r="S1408" s="569"/>
      <c r="T1408" s="569"/>
      <c r="U1408" s="569"/>
      <c r="V1408" s="341"/>
      <c r="W1408" s="311"/>
      <c r="X1408" s="71"/>
      <c r="Y1408" s="71"/>
      <c r="Z1408" s="71"/>
      <c r="AA1408" s="456"/>
      <c r="AB1408" s="104"/>
      <c r="AC1408" s="485"/>
      <c r="AD1408" s="486"/>
      <c r="AE1408" s="485"/>
      <c r="AF1408" s="634"/>
      <c r="AG1408" s="97"/>
      <c r="AH1408" s="223"/>
      <c r="AI1408" s="569"/>
      <c r="AJ1408" s="569"/>
      <c r="AK1408" s="569"/>
      <c r="AL1408" s="569"/>
      <c r="AM1408" s="569"/>
      <c r="AN1408" s="589"/>
      <c r="AO1408" s="84"/>
      <c r="AP1408" s="5"/>
    </row>
    <row r="1409" spans="1:42" ht="13.5" customHeight="1" x14ac:dyDescent="0.35">
      <c r="A1409" s="4"/>
      <c r="B1409" s="614"/>
      <c r="C1409" s="71"/>
      <c r="D1409" s="71"/>
      <c r="E1409" s="71"/>
      <c r="F1409" s="71"/>
      <c r="G1409" s="71"/>
      <c r="H1409" s="87"/>
      <c r="I1409" s="71"/>
      <c r="J1409" s="71"/>
      <c r="K1409" s="71"/>
      <c r="L1409" s="87"/>
      <c r="M1409" s="71"/>
      <c r="N1409" s="71"/>
      <c r="O1409" s="71"/>
      <c r="P1409" s="311"/>
      <c r="Q1409" s="312"/>
      <c r="R1409" s="312"/>
      <c r="S1409" s="569"/>
      <c r="T1409" s="569"/>
      <c r="U1409" s="569"/>
      <c r="V1409" s="341"/>
      <c r="W1409" s="311"/>
      <c r="X1409" s="71"/>
      <c r="Y1409" s="71"/>
      <c r="Z1409" s="71"/>
      <c r="AA1409" s="456"/>
      <c r="AB1409" s="104"/>
      <c r="AC1409" s="485"/>
      <c r="AD1409" s="486"/>
      <c r="AE1409" s="485"/>
      <c r="AF1409" s="634"/>
      <c r="AG1409" s="97"/>
      <c r="AH1409" s="223"/>
      <c r="AI1409" s="569"/>
      <c r="AJ1409" s="569"/>
      <c r="AK1409" s="569"/>
      <c r="AL1409" s="569"/>
      <c r="AM1409" s="569"/>
      <c r="AN1409" s="589"/>
      <c r="AO1409" s="84"/>
      <c r="AP1409" s="5"/>
    </row>
    <row r="1410" spans="1:42" ht="13.5" customHeight="1" x14ac:dyDescent="0.35">
      <c r="A1410" s="4"/>
      <c r="B1410" s="614"/>
      <c r="C1410" s="71"/>
      <c r="D1410" s="71"/>
      <c r="E1410" s="71"/>
      <c r="F1410" s="71"/>
      <c r="G1410" s="71"/>
      <c r="H1410" s="87"/>
      <c r="I1410" s="71"/>
      <c r="J1410" s="71"/>
      <c r="K1410" s="71"/>
      <c r="L1410" s="87"/>
      <c r="M1410" s="71"/>
      <c r="N1410" s="71"/>
      <c r="O1410" s="71"/>
      <c r="P1410" s="311"/>
      <c r="Q1410" s="312"/>
      <c r="R1410" s="312"/>
      <c r="S1410" s="569"/>
      <c r="T1410" s="569"/>
      <c r="U1410" s="569"/>
      <c r="V1410" s="341"/>
      <c r="W1410" s="311"/>
      <c r="X1410" s="71"/>
      <c r="Y1410" s="71"/>
      <c r="Z1410" s="71"/>
      <c r="AA1410" s="456"/>
      <c r="AB1410" s="104"/>
      <c r="AC1410" s="485"/>
      <c r="AD1410" s="486"/>
      <c r="AE1410" s="485"/>
      <c r="AF1410" s="634"/>
      <c r="AG1410" s="97"/>
      <c r="AH1410" s="223"/>
      <c r="AI1410" s="569"/>
      <c r="AJ1410" s="569"/>
      <c r="AK1410" s="569"/>
      <c r="AL1410" s="569"/>
      <c r="AM1410" s="569"/>
      <c r="AN1410" s="589"/>
      <c r="AO1410" s="84"/>
      <c r="AP1410" s="5"/>
    </row>
    <row r="1411" spans="1:42" ht="13.5" customHeight="1" x14ac:dyDescent="0.35">
      <c r="A1411" s="4"/>
      <c r="B1411" s="614"/>
      <c r="C1411" s="71"/>
      <c r="D1411" s="71"/>
      <c r="E1411" s="71"/>
      <c r="F1411" s="71"/>
      <c r="G1411" s="71"/>
      <c r="H1411" s="87"/>
      <c r="I1411" s="71"/>
      <c r="J1411" s="71"/>
      <c r="K1411" s="71"/>
      <c r="L1411" s="87"/>
      <c r="M1411" s="71"/>
      <c r="N1411" s="71"/>
      <c r="O1411" s="71"/>
      <c r="P1411" s="311"/>
      <c r="Q1411" s="312"/>
      <c r="R1411" s="312"/>
      <c r="S1411" s="569"/>
      <c r="T1411" s="569"/>
      <c r="U1411" s="569"/>
      <c r="V1411" s="341"/>
      <c r="W1411" s="311"/>
      <c r="X1411" s="71"/>
      <c r="Y1411" s="71"/>
      <c r="Z1411" s="71"/>
      <c r="AA1411" s="456"/>
      <c r="AB1411" s="104"/>
      <c r="AC1411" s="485"/>
      <c r="AD1411" s="486"/>
      <c r="AE1411" s="485"/>
      <c r="AF1411" s="634"/>
      <c r="AG1411" s="97"/>
      <c r="AH1411" s="223"/>
      <c r="AI1411" s="569"/>
      <c r="AJ1411" s="569"/>
      <c r="AK1411" s="569"/>
      <c r="AL1411" s="569"/>
      <c r="AM1411" s="569"/>
      <c r="AN1411" s="589"/>
      <c r="AO1411" s="84"/>
      <c r="AP1411" s="5"/>
    </row>
    <row r="1412" spans="1:42" ht="13.5" customHeight="1" x14ac:dyDescent="0.35">
      <c r="A1412" s="4"/>
      <c r="B1412" s="614"/>
      <c r="C1412" s="71"/>
      <c r="D1412" s="71"/>
      <c r="E1412" s="71"/>
      <c r="F1412" s="71"/>
      <c r="G1412" s="71"/>
      <c r="H1412" s="87"/>
      <c r="I1412" s="71"/>
      <c r="J1412" s="71"/>
      <c r="K1412" s="71"/>
      <c r="L1412" s="87"/>
      <c r="M1412" s="71"/>
      <c r="N1412" s="71"/>
      <c r="O1412" s="71"/>
      <c r="P1412" s="311"/>
      <c r="Q1412" s="312"/>
      <c r="R1412" s="312"/>
      <c r="S1412" s="569"/>
      <c r="T1412" s="569"/>
      <c r="U1412" s="569"/>
      <c r="V1412" s="341"/>
      <c r="W1412" s="311"/>
      <c r="X1412" s="71"/>
      <c r="Y1412" s="71"/>
      <c r="Z1412" s="71"/>
      <c r="AA1412" s="456"/>
      <c r="AB1412" s="104"/>
      <c r="AC1412" s="485"/>
      <c r="AD1412" s="486"/>
      <c r="AE1412" s="485"/>
      <c r="AF1412" s="634"/>
      <c r="AG1412" s="97"/>
      <c r="AH1412" s="223"/>
      <c r="AI1412" s="569"/>
      <c r="AJ1412" s="569"/>
      <c r="AK1412" s="569"/>
      <c r="AL1412" s="569"/>
      <c r="AM1412" s="569"/>
      <c r="AN1412" s="589"/>
      <c r="AO1412" s="84"/>
      <c r="AP1412" s="5"/>
    </row>
    <row r="1413" spans="1:42" ht="13.5" customHeight="1" x14ac:dyDescent="0.35">
      <c r="A1413" s="4"/>
      <c r="B1413" s="614"/>
      <c r="C1413" s="71"/>
      <c r="D1413" s="71"/>
      <c r="E1413" s="71"/>
      <c r="F1413" s="71"/>
      <c r="G1413" s="71"/>
      <c r="H1413" s="87"/>
      <c r="I1413" s="71"/>
      <c r="J1413" s="71"/>
      <c r="K1413" s="71"/>
      <c r="L1413" s="87"/>
      <c r="M1413" s="71"/>
      <c r="N1413" s="71"/>
      <c r="O1413" s="71"/>
      <c r="P1413" s="311"/>
      <c r="Q1413" s="312"/>
      <c r="R1413" s="312"/>
      <c r="S1413" s="569"/>
      <c r="T1413" s="569"/>
      <c r="U1413" s="569"/>
      <c r="V1413" s="341"/>
      <c r="W1413" s="311"/>
      <c r="X1413" s="71"/>
      <c r="Y1413" s="71"/>
      <c r="Z1413" s="71"/>
      <c r="AA1413" s="456"/>
      <c r="AB1413" s="104"/>
      <c r="AC1413" s="485"/>
      <c r="AD1413" s="486"/>
      <c r="AE1413" s="485"/>
      <c r="AF1413" s="634"/>
      <c r="AG1413" s="97"/>
      <c r="AH1413" s="223"/>
      <c r="AI1413" s="569"/>
      <c r="AJ1413" s="569"/>
      <c r="AK1413" s="569"/>
      <c r="AL1413" s="569"/>
      <c r="AM1413" s="569"/>
      <c r="AN1413" s="589"/>
      <c r="AO1413" s="84"/>
      <c r="AP1413" s="5"/>
    </row>
    <row r="1414" spans="1:42" ht="13.5" customHeight="1" x14ac:dyDescent="0.35">
      <c r="A1414" s="4"/>
      <c r="B1414" s="614"/>
      <c r="C1414" s="71"/>
      <c r="D1414" s="71"/>
      <c r="E1414" s="71"/>
      <c r="F1414" s="71"/>
      <c r="G1414" s="71"/>
      <c r="H1414" s="87"/>
      <c r="I1414" s="71"/>
      <c r="J1414" s="71"/>
      <c r="K1414" s="71"/>
      <c r="L1414" s="87"/>
      <c r="M1414" s="71"/>
      <c r="N1414" s="71"/>
      <c r="O1414" s="71"/>
      <c r="P1414" s="311"/>
      <c r="Q1414" s="312"/>
      <c r="R1414" s="312"/>
      <c r="S1414" s="569"/>
      <c r="T1414" s="569"/>
      <c r="U1414" s="569"/>
      <c r="V1414" s="341"/>
      <c r="W1414" s="311"/>
      <c r="X1414" s="71"/>
      <c r="Y1414" s="71"/>
      <c r="Z1414" s="71"/>
      <c r="AA1414" s="456"/>
      <c r="AB1414" s="104"/>
      <c r="AC1414" s="485"/>
      <c r="AD1414" s="486"/>
      <c r="AE1414" s="485"/>
      <c r="AF1414" s="634"/>
      <c r="AG1414" s="97"/>
      <c r="AH1414" s="223"/>
      <c r="AI1414" s="569"/>
      <c r="AJ1414" s="569"/>
      <c r="AK1414" s="569"/>
      <c r="AL1414" s="569"/>
      <c r="AM1414" s="569"/>
      <c r="AN1414" s="589"/>
      <c r="AO1414" s="84"/>
      <c r="AP1414" s="5"/>
    </row>
    <row r="1415" spans="1:42" ht="13.5" customHeight="1" x14ac:dyDescent="0.35">
      <c r="A1415" s="4"/>
      <c r="B1415" s="614"/>
      <c r="C1415" s="71"/>
      <c r="D1415" s="71"/>
      <c r="E1415" s="71"/>
      <c r="F1415" s="71"/>
      <c r="G1415" s="71"/>
      <c r="H1415" s="87"/>
      <c r="I1415" s="71"/>
      <c r="J1415" s="71"/>
      <c r="K1415" s="71"/>
      <c r="L1415" s="87"/>
      <c r="M1415" s="71"/>
      <c r="N1415" s="71"/>
      <c r="O1415" s="71"/>
      <c r="P1415" s="311"/>
      <c r="Q1415" s="312"/>
      <c r="R1415" s="312"/>
      <c r="S1415" s="569"/>
      <c r="T1415" s="569"/>
      <c r="U1415" s="569"/>
      <c r="V1415" s="341"/>
      <c r="W1415" s="311"/>
      <c r="X1415" s="71"/>
      <c r="Y1415" s="71"/>
      <c r="Z1415" s="71"/>
      <c r="AA1415" s="456"/>
      <c r="AB1415" s="104"/>
      <c r="AC1415" s="485"/>
      <c r="AD1415" s="486"/>
      <c r="AE1415" s="485"/>
      <c r="AF1415" s="634"/>
      <c r="AG1415" s="97"/>
      <c r="AH1415" s="223"/>
      <c r="AI1415" s="569"/>
      <c r="AJ1415" s="569"/>
      <c r="AK1415" s="569"/>
      <c r="AL1415" s="569"/>
      <c r="AM1415" s="569"/>
      <c r="AN1415" s="589"/>
      <c r="AO1415" s="84"/>
      <c r="AP1415" s="5"/>
    </row>
    <row r="1416" spans="1:42" ht="13.5" customHeight="1" x14ac:dyDescent="0.35">
      <c r="A1416" s="4"/>
      <c r="B1416" s="614"/>
      <c r="C1416" s="71"/>
      <c r="D1416" s="71"/>
      <c r="E1416" s="71"/>
      <c r="F1416" s="71"/>
      <c r="G1416" s="71"/>
      <c r="H1416" s="87"/>
      <c r="I1416" s="71"/>
      <c r="J1416" s="71"/>
      <c r="K1416" s="71"/>
      <c r="L1416" s="87"/>
      <c r="M1416" s="71"/>
      <c r="N1416" s="71"/>
      <c r="O1416" s="71"/>
      <c r="P1416" s="311"/>
      <c r="Q1416" s="312"/>
      <c r="R1416" s="312"/>
      <c r="S1416" s="569"/>
      <c r="T1416" s="569"/>
      <c r="U1416" s="569"/>
      <c r="V1416" s="341"/>
      <c r="W1416" s="311"/>
      <c r="X1416" s="71"/>
      <c r="Y1416" s="71"/>
      <c r="Z1416" s="71"/>
      <c r="AA1416" s="456"/>
      <c r="AB1416" s="104"/>
      <c r="AC1416" s="485"/>
      <c r="AD1416" s="486"/>
      <c r="AE1416" s="485"/>
      <c r="AF1416" s="634"/>
      <c r="AG1416" s="97"/>
      <c r="AH1416" s="223"/>
      <c r="AI1416" s="569"/>
      <c r="AJ1416" s="569"/>
      <c r="AK1416" s="569"/>
      <c r="AL1416" s="569"/>
      <c r="AM1416" s="569"/>
      <c r="AN1416" s="589"/>
      <c r="AO1416" s="84"/>
      <c r="AP1416" s="5"/>
    </row>
    <row r="1417" spans="1:42" ht="13.5" customHeight="1" x14ac:dyDescent="0.35">
      <c r="A1417" s="4"/>
      <c r="B1417" s="614"/>
      <c r="C1417" s="71"/>
      <c r="D1417" s="71"/>
      <c r="E1417" s="71"/>
      <c r="F1417" s="71"/>
      <c r="G1417" s="71"/>
      <c r="H1417" s="87"/>
      <c r="I1417" s="71"/>
      <c r="J1417" s="71"/>
      <c r="K1417" s="71"/>
      <c r="L1417" s="87"/>
      <c r="M1417" s="71"/>
      <c r="N1417" s="71"/>
      <c r="O1417" s="71"/>
      <c r="P1417" s="311"/>
      <c r="Q1417" s="312"/>
      <c r="R1417" s="312"/>
      <c r="S1417" s="569"/>
      <c r="T1417" s="569"/>
      <c r="U1417" s="569"/>
      <c r="V1417" s="341"/>
      <c r="W1417" s="311"/>
      <c r="X1417" s="71"/>
      <c r="Y1417" s="71"/>
      <c r="Z1417" s="71"/>
      <c r="AA1417" s="456"/>
      <c r="AB1417" s="104"/>
      <c r="AC1417" s="485"/>
      <c r="AD1417" s="486"/>
      <c r="AE1417" s="485"/>
      <c r="AF1417" s="634"/>
      <c r="AG1417" s="97"/>
      <c r="AH1417" s="223"/>
      <c r="AI1417" s="569"/>
      <c r="AJ1417" s="569"/>
      <c r="AK1417" s="569"/>
      <c r="AL1417" s="569"/>
      <c r="AM1417" s="569"/>
      <c r="AN1417" s="589"/>
      <c r="AO1417" s="84"/>
      <c r="AP1417" s="5"/>
    </row>
    <row r="1418" spans="1:42" ht="13.5" customHeight="1" x14ac:dyDescent="0.35">
      <c r="A1418" s="4"/>
      <c r="B1418" s="614"/>
      <c r="C1418" s="71"/>
      <c r="D1418" s="71"/>
      <c r="E1418" s="71"/>
      <c r="F1418" s="71"/>
      <c r="G1418" s="71"/>
      <c r="H1418" s="87"/>
      <c r="I1418" s="71"/>
      <c r="J1418" s="71"/>
      <c r="K1418" s="71"/>
      <c r="L1418" s="87"/>
      <c r="M1418" s="71"/>
      <c r="N1418" s="71"/>
      <c r="O1418" s="71"/>
      <c r="P1418" s="311"/>
      <c r="Q1418" s="312"/>
      <c r="R1418" s="312"/>
      <c r="S1418" s="569"/>
      <c r="T1418" s="569"/>
      <c r="U1418" s="569"/>
      <c r="V1418" s="341"/>
      <c r="W1418" s="311"/>
      <c r="X1418" s="71"/>
      <c r="Y1418" s="71"/>
      <c r="Z1418" s="71"/>
      <c r="AA1418" s="456"/>
      <c r="AB1418" s="104"/>
      <c r="AC1418" s="485"/>
      <c r="AD1418" s="486"/>
      <c r="AE1418" s="485"/>
      <c r="AF1418" s="634"/>
      <c r="AG1418" s="97"/>
      <c r="AH1418" s="223"/>
      <c r="AI1418" s="569"/>
      <c r="AJ1418" s="569"/>
      <c r="AK1418" s="569"/>
      <c r="AL1418" s="569"/>
      <c r="AM1418" s="569"/>
      <c r="AN1418" s="589"/>
      <c r="AO1418" s="84"/>
      <c r="AP1418" s="5"/>
    </row>
    <row r="1419" spans="1:42" ht="13.5" customHeight="1" x14ac:dyDescent="0.35">
      <c r="A1419" s="4"/>
      <c r="B1419" s="614"/>
      <c r="C1419" s="71"/>
      <c r="D1419" s="71"/>
      <c r="E1419" s="71"/>
      <c r="F1419" s="71"/>
      <c r="G1419" s="71"/>
      <c r="H1419" s="87"/>
      <c r="I1419" s="71"/>
      <c r="J1419" s="71"/>
      <c r="K1419" s="71"/>
      <c r="L1419" s="87"/>
      <c r="M1419" s="71"/>
      <c r="N1419" s="71"/>
      <c r="O1419" s="71"/>
      <c r="P1419" s="311"/>
      <c r="Q1419" s="312"/>
      <c r="R1419" s="312"/>
      <c r="S1419" s="569"/>
      <c r="T1419" s="569"/>
      <c r="U1419" s="569"/>
      <c r="V1419" s="341"/>
      <c r="W1419" s="311"/>
      <c r="X1419" s="71"/>
      <c r="Y1419" s="71"/>
      <c r="Z1419" s="71"/>
      <c r="AA1419" s="456"/>
      <c r="AB1419" s="104"/>
      <c r="AC1419" s="485"/>
      <c r="AD1419" s="486"/>
      <c r="AE1419" s="485"/>
      <c r="AF1419" s="634"/>
      <c r="AG1419" s="97"/>
      <c r="AH1419" s="223"/>
      <c r="AI1419" s="569"/>
      <c r="AJ1419" s="569"/>
      <c r="AK1419" s="569"/>
      <c r="AL1419" s="569"/>
      <c r="AM1419" s="569"/>
      <c r="AN1419" s="589"/>
      <c r="AO1419" s="84"/>
      <c r="AP1419" s="5"/>
    </row>
    <row r="1420" spans="1:42" ht="13.5" customHeight="1" x14ac:dyDescent="0.35">
      <c r="A1420" s="4"/>
      <c r="B1420" s="614"/>
      <c r="C1420" s="71"/>
      <c r="D1420" s="71"/>
      <c r="E1420" s="71"/>
      <c r="F1420" s="71"/>
      <c r="G1420" s="71"/>
      <c r="H1420" s="87"/>
      <c r="I1420" s="71"/>
      <c r="J1420" s="71"/>
      <c r="K1420" s="71"/>
      <c r="L1420" s="87"/>
      <c r="M1420" s="71"/>
      <c r="N1420" s="71"/>
      <c r="O1420" s="71"/>
      <c r="P1420" s="311"/>
      <c r="Q1420" s="312"/>
      <c r="R1420" s="312"/>
      <c r="S1420" s="569"/>
      <c r="T1420" s="569"/>
      <c r="U1420" s="569"/>
      <c r="V1420" s="341"/>
      <c r="W1420" s="311"/>
      <c r="X1420" s="71"/>
      <c r="Y1420" s="71"/>
      <c r="Z1420" s="71"/>
      <c r="AA1420" s="456"/>
      <c r="AB1420" s="104"/>
      <c r="AC1420" s="485"/>
      <c r="AD1420" s="486"/>
      <c r="AE1420" s="485"/>
      <c r="AF1420" s="634"/>
      <c r="AG1420" s="97"/>
      <c r="AH1420" s="223"/>
      <c r="AI1420" s="569"/>
      <c r="AJ1420" s="569"/>
      <c r="AK1420" s="569"/>
      <c r="AL1420" s="569"/>
      <c r="AM1420" s="569"/>
      <c r="AN1420" s="589"/>
      <c r="AO1420" s="84"/>
      <c r="AP1420" s="5"/>
    </row>
    <row r="1421" spans="1:42" ht="13.5" customHeight="1" x14ac:dyDescent="0.35">
      <c r="A1421" s="4"/>
      <c r="B1421" s="614"/>
      <c r="C1421" s="71"/>
      <c r="D1421" s="71"/>
      <c r="E1421" s="71"/>
      <c r="F1421" s="71"/>
      <c r="G1421" s="71"/>
      <c r="H1421" s="87"/>
      <c r="I1421" s="71"/>
      <c r="J1421" s="71"/>
      <c r="K1421" s="71"/>
      <c r="L1421" s="87"/>
      <c r="M1421" s="71"/>
      <c r="N1421" s="71"/>
      <c r="O1421" s="71"/>
      <c r="P1421" s="311"/>
      <c r="Q1421" s="312"/>
      <c r="R1421" s="312"/>
      <c r="S1421" s="569"/>
      <c r="T1421" s="569"/>
      <c r="U1421" s="569"/>
      <c r="V1421" s="341"/>
      <c r="W1421" s="311"/>
      <c r="X1421" s="71"/>
      <c r="Y1421" s="71"/>
      <c r="Z1421" s="71"/>
      <c r="AA1421" s="456"/>
      <c r="AB1421" s="104"/>
      <c r="AC1421" s="485"/>
      <c r="AD1421" s="486"/>
      <c r="AE1421" s="485"/>
      <c r="AF1421" s="634"/>
      <c r="AG1421" s="97"/>
      <c r="AH1421" s="223"/>
      <c r="AI1421" s="569"/>
      <c r="AJ1421" s="569"/>
      <c r="AK1421" s="569"/>
      <c r="AL1421" s="569"/>
      <c r="AM1421" s="569"/>
      <c r="AN1421" s="589"/>
      <c r="AO1421" s="84"/>
      <c r="AP1421" s="5"/>
    </row>
    <row r="1422" spans="1:42" ht="13.5" customHeight="1" x14ac:dyDescent="0.35">
      <c r="A1422" s="4"/>
      <c r="B1422" s="614"/>
      <c r="C1422" s="71"/>
      <c r="D1422" s="71"/>
      <c r="E1422" s="71"/>
      <c r="F1422" s="71"/>
      <c r="G1422" s="71"/>
      <c r="H1422" s="87"/>
      <c r="I1422" s="71"/>
      <c r="J1422" s="71"/>
      <c r="K1422" s="71"/>
      <c r="L1422" s="87"/>
      <c r="M1422" s="71"/>
      <c r="N1422" s="71"/>
      <c r="O1422" s="71"/>
      <c r="P1422" s="311"/>
      <c r="Q1422" s="312"/>
      <c r="R1422" s="312"/>
      <c r="S1422" s="569"/>
      <c r="T1422" s="569"/>
      <c r="U1422" s="569"/>
      <c r="V1422" s="341"/>
      <c r="W1422" s="311"/>
      <c r="X1422" s="71"/>
      <c r="Y1422" s="71"/>
      <c r="Z1422" s="71"/>
      <c r="AA1422" s="456"/>
      <c r="AB1422" s="104"/>
      <c r="AC1422" s="485"/>
      <c r="AD1422" s="486"/>
      <c r="AE1422" s="485"/>
      <c r="AF1422" s="634"/>
      <c r="AG1422" s="97"/>
      <c r="AH1422" s="223"/>
      <c r="AI1422" s="569"/>
      <c r="AJ1422" s="569"/>
      <c r="AK1422" s="569"/>
      <c r="AL1422" s="569"/>
      <c r="AM1422" s="569"/>
      <c r="AN1422" s="589"/>
      <c r="AO1422" s="84"/>
      <c r="AP1422" s="5"/>
    </row>
    <row r="1423" spans="1:42" ht="13.5" customHeight="1" x14ac:dyDescent="0.35">
      <c r="A1423" s="4"/>
      <c r="B1423" s="614"/>
      <c r="C1423" s="71"/>
      <c r="D1423" s="71"/>
      <c r="E1423" s="71"/>
      <c r="F1423" s="71"/>
      <c r="G1423" s="71"/>
      <c r="H1423" s="87"/>
      <c r="I1423" s="71"/>
      <c r="J1423" s="71"/>
      <c r="K1423" s="71"/>
      <c r="L1423" s="87"/>
      <c r="M1423" s="71"/>
      <c r="N1423" s="71"/>
      <c r="O1423" s="71"/>
      <c r="P1423" s="311"/>
      <c r="Q1423" s="312"/>
      <c r="R1423" s="312"/>
      <c r="S1423" s="569"/>
      <c r="T1423" s="569"/>
      <c r="U1423" s="569"/>
      <c r="V1423" s="341"/>
      <c r="W1423" s="311"/>
      <c r="X1423" s="71"/>
      <c r="Y1423" s="71"/>
      <c r="Z1423" s="71"/>
      <c r="AA1423" s="456"/>
      <c r="AB1423" s="104"/>
      <c r="AC1423" s="485"/>
      <c r="AD1423" s="486"/>
      <c r="AE1423" s="485"/>
      <c r="AF1423" s="634"/>
      <c r="AG1423" s="97"/>
      <c r="AH1423" s="223"/>
      <c r="AI1423" s="569"/>
      <c r="AJ1423" s="569"/>
      <c r="AK1423" s="569"/>
      <c r="AL1423" s="569"/>
      <c r="AM1423" s="569"/>
      <c r="AN1423" s="589"/>
      <c r="AO1423" s="84"/>
      <c r="AP1423" s="5"/>
    </row>
    <row r="1424" spans="1:42" ht="13.5" customHeight="1" x14ac:dyDescent="0.35">
      <c r="A1424" s="4"/>
      <c r="B1424" s="614"/>
      <c r="C1424" s="71"/>
      <c r="D1424" s="71"/>
      <c r="E1424" s="71"/>
      <c r="F1424" s="71"/>
      <c r="G1424" s="71"/>
      <c r="H1424" s="87"/>
      <c r="I1424" s="71"/>
      <c r="J1424" s="71"/>
      <c r="K1424" s="71"/>
      <c r="L1424" s="87"/>
      <c r="M1424" s="71"/>
      <c r="N1424" s="71"/>
      <c r="O1424" s="71"/>
      <c r="P1424" s="311"/>
      <c r="Q1424" s="312"/>
      <c r="R1424" s="312"/>
      <c r="S1424" s="569"/>
      <c r="T1424" s="569"/>
      <c r="U1424" s="569"/>
      <c r="V1424" s="341"/>
      <c r="W1424" s="311"/>
      <c r="X1424" s="71"/>
      <c r="Y1424" s="71"/>
      <c r="Z1424" s="71"/>
      <c r="AA1424" s="456"/>
      <c r="AB1424" s="104"/>
      <c r="AC1424" s="485"/>
      <c r="AD1424" s="486"/>
      <c r="AE1424" s="485"/>
      <c r="AF1424" s="634"/>
      <c r="AG1424" s="97"/>
      <c r="AH1424" s="223"/>
      <c r="AI1424" s="569"/>
      <c r="AJ1424" s="569"/>
      <c r="AK1424" s="569"/>
      <c r="AL1424" s="569"/>
      <c r="AM1424" s="569"/>
      <c r="AN1424" s="589"/>
      <c r="AO1424" s="84"/>
      <c r="AP1424" s="5"/>
    </row>
    <row r="1425" spans="1:42" ht="13.5" customHeight="1" x14ac:dyDescent="0.35">
      <c r="A1425" s="4"/>
      <c r="B1425" s="614"/>
      <c r="C1425" s="71"/>
      <c r="D1425" s="71"/>
      <c r="E1425" s="71"/>
      <c r="F1425" s="71"/>
      <c r="G1425" s="71"/>
      <c r="H1425" s="87"/>
      <c r="I1425" s="71"/>
      <c r="J1425" s="71"/>
      <c r="K1425" s="71"/>
      <c r="L1425" s="87"/>
      <c r="M1425" s="71"/>
      <c r="N1425" s="71"/>
      <c r="O1425" s="71"/>
      <c r="P1425" s="311"/>
      <c r="Q1425" s="312"/>
      <c r="R1425" s="312"/>
      <c r="S1425" s="569"/>
      <c r="T1425" s="569"/>
      <c r="U1425" s="569"/>
      <c r="V1425" s="341"/>
      <c r="W1425" s="311"/>
      <c r="X1425" s="71"/>
      <c r="Y1425" s="71"/>
      <c r="Z1425" s="71"/>
      <c r="AA1425" s="456"/>
      <c r="AB1425" s="104"/>
      <c r="AC1425" s="485"/>
      <c r="AD1425" s="486"/>
      <c r="AE1425" s="485"/>
      <c r="AF1425" s="634"/>
      <c r="AG1425" s="97"/>
      <c r="AH1425" s="223"/>
      <c r="AI1425" s="569"/>
      <c r="AJ1425" s="569"/>
      <c r="AK1425" s="569"/>
      <c r="AL1425" s="569"/>
      <c r="AM1425" s="569"/>
      <c r="AN1425" s="589"/>
      <c r="AO1425" s="84"/>
      <c r="AP1425" s="5"/>
    </row>
    <row r="1426" spans="1:42" ht="13.5" customHeight="1" x14ac:dyDescent="0.35">
      <c r="A1426" s="4"/>
      <c r="B1426" s="614"/>
      <c r="C1426" s="71"/>
      <c r="D1426" s="71"/>
      <c r="E1426" s="71"/>
      <c r="F1426" s="71"/>
      <c r="G1426" s="71"/>
      <c r="H1426" s="87"/>
      <c r="I1426" s="71"/>
      <c r="J1426" s="71"/>
      <c r="K1426" s="71"/>
      <c r="L1426" s="87"/>
      <c r="M1426" s="71"/>
      <c r="N1426" s="71"/>
      <c r="O1426" s="71"/>
      <c r="P1426" s="311"/>
      <c r="Q1426" s="312"/>
      <c r="R1426" s="312"/>
      <c r="S1426" s="569"/>
      <c r="T1426" s="569"/>
      <c r="U1426" s="569"/>
      <c r="V1426" s="341"/>
      <c r="W1426" s="311"/>
      <c r="X1426" s="71"/>
      <c r="Y1426" s="71"/>
      <c r="Z1426" s="71"/>
      <c r="AA1426" s="456"/>
      <c r="AB1426" s="104"/>
      <c r="AC1426" s="485"/>
      <c r="AD1426" s="486"/>
      <c r="AE1426" s="485"/>
      <c r="AF1426" s="634"/>
      <c r="AG1426" s="97"/>
      <c r="AH1426" s="223"/>
      <c r="AI1426" s="569"/>
      <c r="AJ1426" s="569"/>
      <c r="AK1426" s="569"/>
      <c r="AL1426" s="569"/>
      <c r="AM1426" s="569"/>
      <c r="AN1426" s="589"/>
      <c r="AO1426" s="84"/>
      <c r="AP1426" s="5"/>
    </row>
    <row r="1427" spans="1:42" ht="13.5" customHeight="1" x14ac:dyDescent="0.35">
      <c r="A1427" s="4"/>
      <c r="B1427" s="614"/>
      <c r="C1427" s="71"/>
      <c r="D1427" s="71"/>
      <c r="E1427" s="71"/>
      <c r="F1427" s="71"/>
      <c r="G1427" s="71"/>
      <c r="H1427" s="87"/>
      <c r="I1427" s="71"/>
      <c r="J1427" s="71"/>
      <c r="K1427" s="71"/>
      <c r="L1427" s="87"/>
      <c r="M1427" s="71"/>
      <c r="N1427" s="71"/>
      <c r="O1427" s="71"/>
      <c r="P1427" s="311"/>
      <c r="Q1427" s="312"/>
      <c r="R1427" s="312"/>
      <c r="S1427" s="569"/>
      <c r="T1427" s="569"/>
      <c r="U1427" s="569"/>
      <c r="V1427" s="341"/>
      <c r="W1427" s="311"/>
      <c r="X1427" s="71"/>
      <c r="Y1427" s="71"/>
      <c r="Z1427" s="71"/>
      <c r="AA1427" s="456"/>
      <c r="AB1427" s="104"/>
      <c r="AC1427" s="485"/>
      <c r="AD1427" s="486"/>
      <c r="AE1427" s="485"/>
      <c r="AF1427" s="634"/>
      <c r="AG1427" s="97"/>
      <c r="AH1427" s="223"/>
      <c r="AI1427" s="569"/>
      <c r="AJ1427" s="569"/>
      <c r="AK1427" s="569"/>
      <c r="AL1427" s="569"/>
      <c r="AM1427" s="569"/>
      <c r="AN1427" s="589"/>
      <c r="AO1427" s="84"/>
      <c r="AP1427" s="5"/>
    </row>
    <row r="1428" spans="1:42" ht="13.5" customHeight="1" x14ac:dyDescent="0.35">
      <c r="A1428" s="4"/>
      <c r="B1428" s="614"/>
      <c r="C1428" s="71"/>
      <c r="D1428" s="71"/>
      <c r="E1428" s="71"/>
      <c r="F1428" s="71"/>
      <c r="G1428" s="71"/>
      <c r="H1428" s="87"/>
      <c r="I1428" s="71"/>
      <c r="J1428" s="71"/>
      <c r="K1428" s="71"/>
      <c r="L1428" s="87"/>
      <c r="M1428" s="71"/>
      <c r="N1428" s="71"/>
      <c r="O1428" s="71"/>
      <c r="P1428" s="311"/>
      <c r="Q1428" s="312"/>
      <c r="R1428" s="312"/>
      <c r="S1428" s="569"/>
      <c r="T1428" s="569"/>
      <c r="U1428" s="569"/>
      <c r="V1428" s="341"/>
      <c r="W1428" s="311"/>
      <c r="X1428" s="71"/>
      <c r="Y1428" s="71"/>
      <c r="Z1428" s="71"/>
      <c r="AA1428" s="456"/>
      <c r="AB1428" s="104"/>
      <c r="AC1428" s="485"/>
      <c r="AD1428" s="486"/>
      <c r="AE1428" s="485"/>
      <c r="AF1428" s="634"/>
      <c r="AG1428" s="97"/>
      <c r="AH1428" s="223"/>
      <c r="AI1428" s="569"/>
      <c r="AJ1428" s="569"/>
      <c r="AK1428" s="569"/>
      <c r="AL1428" s="569"/>
      <c r="AM1428" s="569"/>
      <c r="AN1428" s="589"/>
      <c r="AO1428" s="84"/>
      <c r="AP1428" s="5"/>
    </row>
    <row r="1429" spans="1:42" ht="13.5" customHeight="1" x14ac:dyDescent="0.35">
      <c r="A1429" s="4"/>
      <c r="B1429" s="614"/>
      <c r="C1429" s="71"/>
      <c r="D1429" s="71"/>
      <c r="E1429" s="71"/>
      <c r="F1429" s="71"/>
      <c r="G1429" s="71"/>
      <c r="H1429" s="87"/>
      <c r="I1429" s="71"/>
      <c r="J1429" s="71"/>
      <c r="K1429" s="71"/>
      <c r="L1429" s="87"/>
      <c r="M1429" s="71"/>
      <c r="N1429" s="71"/>
      <c r="O1429" s="71"/>
      <c r="P1429" s="311"/>
      <c r="Q1429" s="312"/>
      <c r="R1429" s="312"/>
      <c r="S1429" s="569"/>
      <c r="T1429" s="569"/>
      <c r="U1429" s="569"/>
      <c r="V1429" s="341"/>
      <c r="W1429" s="311"/>
      <c r="X1429" s="71"/>
      <c r="Y1429" s="71"/>
      <c r="Z1429" s="71"/>
      <c r="AA1429" s="456"/>
      <c r="AB1429" s="104"/>
      <c r="AC1429" s="485"/>
      <c r="AD1429" s="486"/>
      <c r="AE1429" s="485"/>
      <c r="AF1429" s="634"/>
      <c r="AG1429" s="97"/>
      <c r="AH1429" s="223"/>
      <c r="AI1429" s="569"/>
      <c r="AJ1429" s="569"/>
      <c r="AK1429" s="569"/>
      <c r="AL1429" s="569"/>
      <c r="AM1429" s="569"/>
      <c r="AN1429" s="589"/>
      <c r="AO1429" s="84"/>
      <c r="AP1429" s="5"/>
    </row>
    <row r="1430" spans="1:42" ht="13.5" customHeight="1" x14ac:dyDescent="0.35">
      <c r="A1430" s="4"/>
      <c r="B1430" s="614"/>
      <c r="C1430" s="71"/>
      <c r="D1430" s="71"/>
      <c r="E1430" s="71"/>
      <c r="F1430" s="71"/>
      <c r="G1430" s="71"/>
      <c r="H1430" s="87"/>
      <c r="I1430" s="71"/>
      <c r="J1430" s="71"/>
      <c r="K1430" s="71"/>
      <c r="L1430" s="87"/>
      <c r="M1430" s="71"/>
      <c r="N1430" s="71"/>
      <c r="O1430" s="71"/>
      <c r="P1430" s="311"/>
      <c r="Q1430" s="312"/>
      <c r="R1430" s="312"/>
      <c r="S1430" s="569"/>
      <c r="T1430" s="569"/>
      <c r="U1430" s="569"/>
      <c r="V1430" s="341"/>
      <c r="W1430" s="311"/>
      <c r="X1430" s="71"/>
      <c r="Y1430" s="71"/>
      <c r="Z1430" s="71"/>
      <c r="AA1430" s="456"/>
      <c r="AB1430" s="104"/>
      <c r="AC1430" s="485"/>
      <c r="AD1430" s="486"/>
      <c r="AE1430" s="485"/>
      <c r="AF1430" s="634"/>
      <c r="AG1430" s="97"/>
      <c r="AH1430" s="223"/>
      <c r="AI1430" s="569"/>
      <c r="AJ1430" s="569"/>
      <c r="AK1430" s="569"/>
      <c r="AL1430" s="569"/>
      <c r="AM1430" s="569"/>
      <c r="AN1430" s="589"/>
      <c r="AO1430" s="84"/>
      <c r="AP1430" s="5"/>
    </row>
    <row r="1431" spans="1:42" ht="13.5" customHeight="1" x14ac:dyDescent="0.35">
      <c r="A1431" s="4"/>
      <c r="B1431" s="614"/>
      <c r="C1431" s="71"/>
      <c r="D1431" s="71"/>
      <c r="E1431" s="71"/>
      <c r="F1431" s="71"/>
      <c r="G1431" s="71"/>
      <c r="H1431" s="87"/>
      <c r="I1431" s="71"/>
      <c r="J1431" s="71"/>
      <c r="K1431" s="71"/>
      <c r="L1431" s="87"/>
      <c r="M1431" s="71"/>
      <c r="N1431" s="71"/>
      <c r="O1431" s="71"/>
      <c r="P1431" s="311"/>
      <c r="Q1431" s="312"/>
      <c r="R1431" s="312"/>
      <c r="S1431" s="569"/>
      <c r="T1431" s="569"/>
      <c r="U1431" s="569"/>
      <c r="V1431" s="341"/>
      <c r="W1431" s="311"/>
      <c r="X1431" s="71"/>
      <c r="Y1431" s="71"/>
      <c r="Z1431" s="71"/>
      <c r="AA1431" s="456"/>
      <c r="AB1431" s="104"/>
      <c r="AC1431" s="485"/>
      <c r="AD1431" s="486"/>
      <c r="AE1431" s="485"/>
      <c r="AF1431" s="634"/>
      <c r="AG1431" s="97"/>
      <c r="AH1431" s="223"/>
      <c r="AI1431" s="569"/>
      <c r="AJ1431" s="569"/>
      <c r="AK1431" s="569"/>
      <c r="AL1431" s="569"/>
      <c r="AM1431" s="569"/>
      <c r="AN1431" s="589"/>
      <c r="AO1431" s="84"/>
      <c r="AP1431" s="5"/>
    </row>
    <row r="1432" spans="1:42" ht="13.5" customHeight="1" x14ac:dyDescent="0.35">
      <c r="A1432" s="4"/>
      <c r="B1432" s="614"/>
      <c r="C1432" s="71"/>
      <c r="D1432" s="71"/>
      <c r="E1432" s="71"/>
      <c r="F1432" s="71"/>
      <c r="G1432" s="71"/>
      <c r="H1432" s="87"/>
      <c r="I1432" s="71"/>
      <c r="J1432" s="71"/>
      <c r="K1432" s="71"/>
      <c r="L1432" s="87"/>
      <c r="M1432" s="71"/>
      <c r="N1432" s="71"/>
      <c r="O1432" s="71"/>
      <c r="P1432" s="311"/>
      <c r="Q1432" s="312"/>
      <c r="R1432" s="312"/>
      <c r="S1432" s="569"/>
      <c r="T1432" s="569"/>
      <c r="U1432" s="569"/>
      <c r="V1432" s="341"/>
      <c r="W1432" s="311"/>
      <c r="X1432" s="71"/>
      <c r="Y1432" s="71"/>
      <c r="Z1432" s="71"/>
      <c r="AA1432" s="456"/>
      <c r="AB1432" s="104"/>
      <c r="AC1432" s="485"/>
      <c r="AD1432" s="486"/>
      <c r="AE1432" s="485"/>
      <c r="AF1432" s="634"/>
      <c r="AG1432" s="97"/>
      <c r="AH1432" s="223"/>
      <c r="AI1432" s="569"/>
      <c r="AJ1432" s="569"/>
      <c r="AK1432" s="569"/>
      <c r="AL1432" s="569"/>
      <c r="AM1432" s="569"/>
      <c r="AN1432" s="589"/>
      <c r="AO1432" s="84"/>
      <c r="AP1432" s="5"/>
    </row>
    <row r="1433" spans="1:42" ht="13.5" customHeight="1" x14ac:dyDescent="0.35">
      <c r="A1433" s="4"/>
      <c r="B1433" s="614"/>
      <c r="C1433" s="71"/>
      <c r="D1433" s="71"/>
      <c r="E1433" s="71"/>
      <c r="F1433" s="71"/>
      <c r="G1433" s="71"/>
      <c r="H1433" s="87"/>
      <c r="I1433" s="71"/>
      <c r="J1433" s="71"/>
      <c r="K1433" s="71"/>
      <c r="L1433" s="87"/>
      <c r="M1433" s="71"/>
      <c r="N1433" s="71"/>
      <c r="O1433" s="71"/>
      <c r="P1433" s="311"/>
      <c r="Q1433" s="312"/>
      <c r="R1433" s="312"/>
      <c r="S1433" s="569"/>
      <c r="T1433" s="569"/>
      <c r="U1433" s="569"/>
      <c r="V1433" s="341"/>
      <c r="W1433" s="311"/>
      <c r="X1433" s="71"/>
      <c r="Y1433" s="71"/>
      <c r="Z1433" s="71"/>
      <c r="AA1433" s="456"/>
      <c r="AB1433" s="104"/>
      <c r="AC1433" s="485"/>
      <c r="AD1433" s="486"/>
      <c r="AE1433" s="485"/>
      <c r="AF1433" s="634"/>
      <c r="AG1433" s="97"/>
      <c r="AH1433" s="223"/>
      <c r="AI1433" s="569"/>
      <c r="AJ1433" s="569"/>
      <c r="AK1433" s="569"/>
      <c r="AL1433" s="569"/>
      <c r="AM1433" s="569"/>
      <c r="AN1433" s="589"/>
      <c r="AO1433" s="84"/>
      <c r="AP1433" s="5"/>
    </row>
    <row r="1434" spans="1:42" ht="13.5" customHeight="1" x14ac:dyDescent="0.35">
      <c r="A1434" s="4"/>
      <c r="B1434" s="614"/>
      <c r="C1434" s="71"/>
      <c r="D1434" s="71"/>
      <c r="E1434" s="71"/>
      <c r="F1434" s="71"/>
      <c r="G1434" s="71"/>
      <c r="H1434" s="87"/>
      <c r="I1434" s="71"/>
      <c r="J1434" s="71"/>
      <c r="K1434" s="71"/>
      <c r="L1434" s="87"/>
      <c r="M1434" s="71"/>
      <c r="N1434" s="71"/>
      <c r="O1434" s="71"/>
      <c r="P1434" s="311"/>
      <c r="Q1434" s="312"/>
      <c r="R1434" s="312"/>
      <c r="S1434" s="569"/>
      <c r="T1434" s="569"/>
      <c r="U1434" s="569"/>
      <c r="V1434" s="341"/>
      <c r="W1434" s="311"/>
      <c r="X1434" s="71"/>
      <c r="Y1434" s="71"/>
      <c r="Z1434" s="71"/>
      <c r="AA1434" s="456"/>
      <c r="AB1434" s="104"/>
      <c r="AC1434" s="485"/>
      <c r="AD1434" s="486"/>
      <c r="AE1434" s="485"/>
      <c r="AF1434" s="634"/>
      <c r="AG1434" s="97"/>
      <c r="AH1434" s="223"/>
      <c r="AI1434" s="569"/>
      <c r="AJ1434" s="569"/>
      <c r="AK1434" s="569"/>
      <c r="AL1434" s="569"/>
      <c r="AM1434" s="569"/>
      <c r="AN1434" s="589"/>
      <c r="AO1434" s="84"/>
      <c r="AP1434" s="5"/>
    </row>
    <row r="1435" spans="1:42" ht="13.5" customHeight="1" x14ac:dyDescent="0.35">
      <c r="A1435" s="4"/>
      <c r="B1435" s="614"/>
      <c r="C1435" s="71"/>
      <c r="D1435" s="71"/>
      <c r="E1435" s="71"/>
      <c r="F1435" s="71"/>
      <c r="G1435" s="71"/>
      <c r="H1435" s="87"/>
      <c r="I1435" s="71"/>
      <c r="J1435" s="71"/>
      <c r="K1435" s="71"/>
      <c r="L1435" s="87"/>
      <c r="M1435" s="71"/>
      <c r="N1435" s="71"/>
      <c r="O1435" s="71"/>
      <c r="P1435" s="311"/>
      <c r="Q1435" s="312"/>
      <c r="R1435" s="312"/>
      <c r="S1435" s="569"/>
      <c r="T1435" s="569"/>
      <c r="U1435" s="569"/>
      <c r="V1435" s="341"/>
      <c r="W1435" s="311"/>
      <c r="X1435" s="71"/>
      <c r="Y1435" s="71"/>
      <c r="Z1435" s="71"/>
      <c r="AA1435" s="456"/>
      <c r="AB1435" s="104"/>
      <c r="AC1435" s="485"/>
      <c r="AD1435" s="486"/>
      <c r="AE1435" s="485"/>
      <c r="AF1435" s="634"/>
      <c r="AG1435" s="97"/>
      <c r="AH1435" s="223"/>
      <c r="AI1435" s="569"/>
      <c r="AJ1435" s="569"/>
      <c r="AK1435" s="569"/>
      <c r="AL1435" s="569"/>
      <c r="AM1435" s="569"/>
      <c r="AN1435" s="589"/>
      <c r="AO1435" s="84"/>
      <c r="AP1435" s="5"/>
    </row>
    <row r="1436" spans="1:42" ht="13.5" customHeight="1" x14ac:dyDescent="0.35">
      <c r="A1436" s="4"/>
      <c r="B1436" s="614"/>
      <c r="C1436" s="71"/>
      <c r="D1436" s="71"/>
      <c r="E1436" s="71"/>
      <c r="F1436" s="71"/>
      <c r="G1436" s="71"/>
      <c r="H1436" s="87"/>
      <c r="I1436" s="71"/>
      <c r="J1436" s="71"/>
      <c r="K1436" s="71"/>
      <c r="L1436" s="87"/>
      <c r="M1436" s="71"/>
      <c r="N1436" s="71"/>
      <c r="O1436" s="71"/>
      <c r="P1436" s="311"/>
      <c r="Q1436" s="312"/>
      <c r="R1436" s="312"/>
      <c r="S1436" s="569"/>
      <c r="T1436" s="569"/>
      <c r="U1436" s="569"/>
      <c r="V1436" s="341"/>
      <c r="W1436" s="311"/>
      <c r="X1436" s="71"/>
      <c r="Y1436" s="71"/>
      <c r="Z1436" s="71"/>
      <c r="AA1436" s="456"/>
      <c r="AB1436" s="104"/>
      <c r="AC1436" s="485"/>
      <c r="AD1436" s="486"/>
      <c r="AE1436" s="485"/>
      <c r="AF1436" s="634"/>
      <c r="AG1436" s="97"/>
      <c r="AH1436" s="223"/>
      <c r="AI1436" s="569"/>
      <c r="AJ1436" s="569"/>
      <c r="AK1436" s="569"/>
      <c r="AL1436" s="569"/>
      <c r="AM1436" s="569"/>
      <c r="AN1436" s="589"/>
      <c r="AO1436" s="84"/>
      <c r="AP1436" s="5"/>
    </row>
    <row r="1437" spans="1:42" ht="13.5" customHeight="1" x14ac:dyDescent="0.35">
      <c r="A1437" s="4"/>
      <c r="B1437" s="614"/>
      <c r="C1437" s="71"/>
      <c r="D1437" s="71"/>
      <c r="E1437" s="71"/>
      <c r="F1437" s="71"/>
      <c r="G1437" s="71"/>
      <c r="H1437" s="87"/>
      <c r="I1437" s="71"/>
      <c r="J1437" s="71"/>
      <c r="K1437" s="71"/>
      <c r="L1437" s="87"/>
      <c r="M1437" s="71"/>
      <c r="N1437" s="71"/>
      <c r="O1437" s="71"/>
      <c r="P1437" s="311"/>
      <c r="Q1437" s="312"/>
      <c r="R1437" s="312"/>
      <c r="S1437" s="569"/>
      <c r="T1437" s="569"/>
      <c r="U1437" s="569"/>
      <c r="V1437" s="341"/>
      <c r="W1437" s="311"/>
      <c r="X1437" s="71"/>
      <c r="Y1437" s="71"/>
      <c r="Z1437" s="71"/>
      <c r="AA1437" s="456"/>
      <c r="AB1437" s="104"/>
      <c r="AC1437" s="485"/>
      <c r="AD1437" s="486"/>
      <c r="AE1437" s="485"/>
      <c r="AF1437" s="634"/>
      <c r="AG1437" s="97"/>
      <c r="AH1437" s="223"/>
      <c r="AI1437" s="569"/>
      <c r="AJ1437" s="569"/>
      <c r="AK1437" s="569"/>
      <c r="AL1437" s="569"/>
      <c r="AM1437" s="569"/>
      <c r="AN1437" s="589"/>
      <c r="AO1437" s="84"/>
      <c r="AP1437" s="5"/>
    </row>
    <row r="1438" spans="1:42" ht="13.5" customHeight="1" x14ac:dyDescent="0.35">
      <c r="A1438" s="4"/>
      <c r="B1438" s="614"/>
      <c r="C1438" s="71"/>
      <c r="D1438" s="71"/>
      <c r="E1438" s="71"/>
      <c r="F1438" s="71"/>
      <c r="G1438" s="71"/>
      <c r="H1438" s="87"/>
      <c r="I1438" s="71"/>
      <c r="J1438" s="71"/>
      <c r="K1438" s="71"/>
      <c r="L1438" s="87"/>
      <c r="M1438" s="71"/>
      <c r="N1438" s="71"/>
      <c r="O1438" s="71"/>
      <c r="P1438" s="311"/>
      <c r="Q1438" s="312"/>
      <c r="R1438" s="312"/>
      <c r="S1438" s="569"/>
      <c r="T1438" s="569"/>
      <c r="U1438" s="569"/>
      <c r="V1438" s="341"/>
      <c r="W1438" s="311"/>
      <c r="X1438" s="71"/>
      <c r="Y1438" s="71"/>
      <c r="Z1438" s="71"/>
      <c r="AA1438" s="456"/>
      <c r="AB1438" s="104"/>
      <c r="AC1438" s="485"/>
      <c r="AD1438" s="486"/>
      <c r="AE1438" s="485"/>
      <c r="AF1438" s="634"/>
      <c r="AG1438" s="97"/>
      <c r="AH1438" s="223"/>
      <c r="AI1438" s="569"/>
      <c r="AJ1438" s="569"/>
      <c r="AK1438" s="569"/>
      <c r="AL1438" s="569"/>
      <c r="AM1438" s="569"/>
      <c r="AN1438" s="589"/>
      <c r="AO1438" s="84"/>
      <c r="AP1438" s="5"/>
    </row>
    <row r="1439" spans="1:42" ht="13.5" customHeight="1" x14ac:dyDescent="0.35">
      <c r="A1439" s="4"/>
      <c r="B1439" s="614"/>
      <c r="C1439" s="71"/>
      <c r="D1439" s="71"/>
      <c r="E1439" s="71"/>
      <c r="F1439" s="71"/>
      <c r="G1439" s="71"/>
      <c r="H1439" s="87"/>
      <c r="I1439" s="71"/>
      <c r="J1439" s="71"/>
      <c r="K1439" s="71"/>
      <c r="L1439" s="87"/>
      <c r="M1439" s="71"/>
      <c r="N1439" s="71"/>
      <c r="O1439" s="71"/>
      <c r="P1439" s="311"/>
      <c r="Q1439" s="312"/>
      <c r="R1439" s="312"/>
      <c r="S1439" s="569"/>
      <c r="T1439" s="569"/>
      <c r="U1439" s="569"/>
      <c r="V1439" s="341"/>
      <c r="W1439" s="311"/>
      <c r="X1439" s="71"/>
      <c r="Y1439" s="71"/>
      <c r="Z1439" s="71"/>
      <c r="AA1439" s="456"/>
      <c r="AB1439" s="104"/>
      <c r="AC1439" s="485"/>
      <c r="AD1439" s="486"/>
      <c r="AE1439" s="485"/>
      <c r="AF1439" s="634"/>
      <c r="AG1439" s="97"/>
      <c r="AH1439" s="223"/>
      <c r="AI1439" s="569"/>
      <c r="AJ1439" s="569"/>
      <c r="AK1439" s="569"/>
      <c r="AL1439" s="569"/>
      <c r="AM1439" s="569"/>
      <c r="AN1439" s="589"/>
      <c r="AO1439" s="84"/>
      <c r="AP1439" s="5"/>
    </row>
    <row r="1440" spans="1:42" ht="13.5" customHeight="1" x14ac:dyDescent="0.35">
      <c r="A1440" s="4"/>
      <c r="B1440" s="614"/>
      <c r="C1440" s="71"/>
      <c r="D1440" s="71"/>
      <c r="E1440" s="71"/>
      <c r="F1440" s="71"/>
      <c r="G1440" s="71"/>
      <c r="H1440" s="87"/>
      <c r="I1440" s="71"/>
      <c r="J1440" s="71"/>
      <c r="K1440" s="71"/>
      <c r="L1440" s="87"/>
      <c r="M1440" s="71"/>
      <c r="N1440" s="71"/>
      <c r="O1440" s="71"/>
      <c r="P1440" s="311"/>
      <c r="Q1440" s="312"/>
      <c r="R1440" s="312"/>
      <c r="S1440" s="569"/>
      <c r="T1440" s="569"/>
      <c r="U1440" s="569"/>
      <c r="V1440" s="341"/>
      <c r="W1440" s="311"/>
      <c r="X1440" s="71"/>
      <c r="Y1440" s="71"/>
      <c r="Z1440" s="71"/>
      <c r="AA1440" s="456"/>
      <c r="AB1440" s="104"/>
      <c r="AC1440" s="485"/>
      <c r="AD1440" s="486"/>
      <c r="AE1440" s="485"/>
      <c r="AF1440" s="634"/>
      <c r="AG1440" s="97"/>
      <c r="AH1440" s="223"/>
      <c r="AI1440" s="569"/>
      <c r="AJ1440" s="569"/>
      <c r="AK1440" s="569"/>
      <c r="AL1440" s="569"/>
      <c r="AM1440" s="569"/>
      <c r="AN1440" s="589"/>
      <c r="AO1440" s="84"/>
      <c r="AP1440" s="5"/>
    </row>
    <row r="1441" spans="1:42" ht="13.5" customHeight="1" x14ac:dyDescent="0.35">
      <c r="A1441" s="4"/>
      <c r="B1441" s="614"/>
      <c r="C1441" s="71"/>
      <c r="D1441" s="71"/>
      <c r="E1441" s="71"/>
      <c r="F1441" s="71"/>
      <c r="G1441" s="71"/>
      <c r="H1441" s="87"/>
      <c r="I1441" s="71"/>
      <c r="J1441" s="71"/>
      <c r="K1441" s="71"/>
      <c r="L1441" s="87"/>
      <c r="M1441" s="71"/>
      <c r="N1441" s="71"/>
      <c r="O1441" s="71"/>
      <c r="P1441" s="311"/>
      <c r="Q1441" s="312"/>
      <c r="R1441" s="312"/>
      <c r="S1441" s="569"/>
      <c r="T1441" s="569"/>
      <c r="U1441" s="569"/>
      <c r="V1441" s="341"/>
      <c r="W1441" s="311"/>
      <c r="X1441" s="71"/>
      <c r="Y1441" s="71"/>
      <c r="Z1441" s="71"/>
      <c r="AA1441" s="456"/>
      <c r="AB1441" s="104"/>
      <c r="AC1441" s="485"/>
      <c r="AD1441" s="486"/>
      <c r="AE1441" s="485"/>
      <c r="AF1441" s="634"/>
      <c r="AG1441" s="97"/>
      <c r="AH1441" s="223"/>
      <c r="AI1441" s="569"/>
      <c r="AJ1441" s="569"/>
      <c r="AK1441" s="569"/>
      <c r="AL1441" s="569"/>
      <c r="AM1441" s="569"/>
      <c r="AN1441" s="589"/>
      <c r="AO1441" s="84"/>
      <c r="AP1441" s="5"/>
    </row>
    <row r="1442" spans="1:42" ht="13.5" customHeight="1" x14ac:dyDescent="0.35">
      <c r="A1442" s="4"/>
      <c r="B1442" s="614"/>
      <c r="C1442" s="71"/>
      <c r="D1442" s="71"/>
      <c r="E1442" s="71"/>
      <c r="F1442" s="71"/>
      <c r="G1442" s="71"/>
      <c r="H1442" s="87"/>
      <c r="I1442" s="71"/>
      <c r="J1442" s="71"/>
      <c r="K1442" s="71"/>
      <c r="L1442" s="87"/>
      <c r="M1442" s="71"/>
      <c r="N1442" s="71"/>
      <c r="O1442" s="71"/>
      <c r="P1442" s="311"/>
      <c r="Q1442" s="312"/>
      <c r="R1442" s="312"/>
      <c r="S1442" s="569"/>
      <c r="T1442" s="569"/>
      <c r="U1442" s="569"/>
      <c r="V1442" s="341"/>
      <c r="W1442" s="311"/>
      <c r="X1442" s="71"/>
      <c r="Y1442" s="71"/>
      <c r="Z1442" s="71"/>
      <c r="AA1442" s="456"/>
      <c r="AB1442" s="104"/>
      <c r="AC1442" s="485"/>
      <c r="AD1442" s="486"/>
      <c r="AE1442" s="485"/>
      <c r="AF1442" s="634"/>
      <c r="AG1442" s="97"/>
      <c r="AH1442" s="223"/>
      <c r="AI1442" s="569"/>
      <c r="AJ1442" s="569"/>
      <c r="AK1442" s="569"/>
      <c r="AL1442" s="569"/>
      <c r="AM1442" s="569"/>
      <c r="AN1442" s="589"/>
      <c r="AO1442" s="84"/>
      <c r="AP1442" s="5"/>
    </row>
    <row r="1443" spans="1:42" ht="13.5" customHeight="1" x14ac:dyDescent="0.35">
      <c r="A1443" s="4"/>
      <c r="B1443" s="614"/>
      <c r="C1443" s="71"/>
      <c r="D1443" s="71"/>
      <c r="E1443" s="71"/>
      <c r="F1443" s="71"/>
      <c r="G1443" s="71"/>
      <c r="H1443" s="87"/>
      <c r="I1443" s="71"/>
      <c r="J1443" s="71"/>
      <c r="K1443" s="71"/>
      <c r="L1443" s="87"/>
      <c r="M1443" s="71"/>
      <c r="N1443" s="71"/>
      <c r="O1443" s="71"/>
      <c r="P1443" s="311"/>
      <c r="Q1443" s="312"/>
      <c r="R1443" s="312"/>
      <c r="S1443" s="569"/>
      <c r="T1443" s="569"/>
      <c r="U1443" s="569"/>
      <c r="V1443" s="341"/>
      <c r="W1443" s="311"/>
      <c r="X1443" s="71"/>
      <c r="Y1443" s="71"/>
      <c r="Z1443" s="71"/>
      <c r="AA1443" s="456"/>
      <c r="AB1443" s="104"/>
      <c r="AC1443" s="485"/>
      <c r="AD1443" s="486"/>
      <c r="AE1443" s="485"/>
      <c r="AF1443" s="634"/>
      <c r="AG1443" s="97"/>
      <c r="AH1443" s="223"/>
      <c r="AI1443" s="569"/>
      <c r="AJ1443" s="569"/>
      <c r="AK1443" s="569"/>
      <c r="AL1443" s="569"/>
      <c r="AM1443" s="569"/>
      <c r="AN1443" s="589"/>
      <c r="AO1443" s="84"/>
      <c r="AP1443" s="5"/>
    </row>
    <row r="1444" spans="1:42" ht="13.5" customHeight="1" x14ac:dyDescent="0.35">
      <c r="A1444" s="4"/>
      <c r="B1444" s="614"/>
      <c r="C1444" s="71"/>
      <c r="D1444" s="71"/>
      <c r="E1444" s="71"/>
      <c r="F1444" s="71"/>
      <c r="G1444" s="71"/>
      <c r="H1444" s="87"/>
      <c r="I1444" s="71"/>
      <c r="J1444" s="71"/>
      <c r="K1444" s="71"/>
      <c r="L1444" s="87"/>
      <c r="M1444" s="71"/>
      <c r="N1444" s="71"/>
      <c r="O1444" s="71"/>
      <c r="P1444" s="311"/>
      <c r="Q1444" s="312"/>
      <c r="R1444" s="312"/>
      <c r="S1444" s="569"/>
      <c r="T1444" s="569"/>
      <c r="U1444" s="569"/>
      <c r="V1444" s="341"/>
      <c r="W1444" s="311"/>
      <c r="X1444" s="71"/>
      <c r="Y1444" s="71"/>
      <c r="Z1444" s="71"/>
      <c r="AA1444" s="456"/>
      <c r="AB1444" s="104"/>
      <c r="AC1444" s="485"/>
      <c r="AD1444" s="486"/>
      <c r="AE1444" s="485"/>
      <c r="AF1444" s="634"/>
      <c r="AG1444" s="97"/>
      <c r="AH1444" s="223"/>
      <c r="AI1444" s="569"/>
      <c r="AJ1444" s="569"/>
      <c r="AK1444" s="569"/>
      <c r="AL1444" s="569"/>
      <c r="AM1444" s="569"/>
      <c r="AN1444" s="589"/>
      <c r="AO1444" s="84"/>
      <c r="AP1444" s="5"/>
    </row>
    <row r="1445" spans="1:42" ht="13.5" customHeight="1" x14ac:dyDescent="0.35">
      <c r="A1445" s="4"/>
      <c r="B1445" s="614"/>
      <c r="C1445" s="71"/>
      <c r="D1445" s="71"/>
      <c r="E1445" s="71"/>
      <c r="F1445" s="71"/>
      <c r="G1445" s="71"/>
      <c r="H1445" s="87"/>
      <c r="I1445" s="71"/>
      <c r="J1445" s="71"/>
      <c r="K1445" s="71"/>
      <c r="L1445" s="87"/>
      <c r="M1445" s="71"/>
      <c r="N1445" s="71"/>
      <c r="O1445" s="71"/>
      <c r="P1445" s="311"/>
      <c r="Q1445" s="312"/>
      <c r="R1445" s="312"/>
      <c r="S1445" s="569"/>
      <c r="T1445" s="569"/>
      <c r="U1445" s="569"/>
      <c r="V1445" s="341"/>
      <c r="W1445" s="311"/>
      <c r="X1445" s="71"/>
      <c r="Y1445" s="71"/>
      <c r="Z1445" s="71"/>
      <c r="AA1445" s="456"/>
      <c r="AB1445" s="104"/>
      <c r="AC1445" s="485"/>
      <c r="AD1445" s="486"/>
      <c r="AE1445" s="485"/>
      <c r="AF1445" s="634"/>
      <c r="AG1445" s="97"/>
      <c r="AH1445" s="223"/>
      <c r="AI1445" s="569"/>
      <c r="AJ1445" s="569"/>
      <c r="AK1445" s="569"/>
      <c r="AL1445" s="569"/>
      <c r="AM1445" s="569"/>
      <c r="AN1445" s="589"/>
      <c r="AO1445" s="84"/>
      <c r="AP1445" s="5"/>
    </row>
    <row r="1446" spans="1:42" ht="13.5" customHeight="1" x14ac:dyDescent="0.35">
      <c r="A1446" s="4"/>
      <c r="B1446" s="614"/>
      <c r="C1446" s="71"/>
      <c r="D1446" s="71"/>
      <c r="E1446" s="71"/>
      <c r="F1446" s="71"/>
      <c r="G1446" s="71"/>
      <c r="H1446" s="87"/>
      <c r="I1446" s="71"/>
      <c r="J1446" s="71"/>
      <c r="K1446" s="71"/>
      <c r="L1446" s="87"/>
      <c r="M1446" s="71"/>
      <c r="N1446" s="71"/>
      <c r="O1446" s="71"/>
      <c r="P1446" s="311"/>
      <c r="Q1446" s="312"/>
      <c r="R1446" s="312"/>
      <c r="S1446" s="569"/>
      <c r="T1446" s="569"/>
      <c r="U1446" s="569"/>
      <c r="V1446" s="341"/>
      <c r="W1446" s="311"/>
      <c r="X1446" s="71"/>
      <c r="Y1446" s="71"/>
      <c r="Z1446" s="71"/>
      <c r="AA1446" s="456"/>
      <c r="AB1446" s="104"/>
      <c r="AC1446" s="485"/>
      <c r="AD1446" s="486"/>
      <c r="AE1446" s="485"/>
      <c r="AF1446" s="634"/>
      <c r="AG1446" s="97"/>
      <c r="AH1446" s="223"/>
      <c r="AI1446" s="569"/>
      <c r="AJ1446" s="569"/>
      <c r="AK1446" s="569"/>
      <c r="AL1446" s="569"/>
      <c r="AM1446" s="569"/>
      <c r="AN1446" s="589"/>
      <c r="AO1446" s="84"/>
      <c r="AP1446" s="5"/>
    </row>
    <row r="1447" spans="1:42" ht="13.5" customHeight="1" x14ac:dyDescent="0.35">
      <c r="A1447" s="4"/>
      <c r="B1447" s="614"/>
      <c r="C1447" s="71"/>
      <c r="D1447" s="71"/>
      <c r="E1447" s="71"/>
      <c r="F1447" s="71"/>
      <c r="G1447" s="71"/>
      <c r="H1447" s="87"/>
      <c r="I1447" s="71"/>
      <c r="J1447" s="71"/>
      <c r="K1447" s="71"/>
      <c r="L1447" s="87"/>
      <c r="M1447" s="71"/>
      <c r="N1447" s="71"/>
      <c r="O1447" s="71"/>
      <c r="P1447" s="311"/>
      <c r="Q1447" s="312"/>
      <c r="R1447" s="312"/>
      <c r="S1447" s="569"/>
      <c r="T1447" s="569"/>
      <c r="U1447" s="569"/>
      <c r="V1447" s="341"/>
      <c r="W1447" s="311"/>
      <c r="X1447" s="71"/>
      <c r="Y1447" s="71"/>
      <c r="Z1447" s="71"/>
      <c r="AA1447" s="456"/>
      <c r="AB1447" s="104"/>
      <c r="AC1447" s="485"/>
      <c r="AD1447" s="486"/>
      <c r="AE1447" s="485"/>
      <c r="AF1447" s="634"/>
      <c r="AG1447" s="97"/>
      <c r="AH1447" s="223"/>
      <c r="AI1447" s="569"/>
      <c r="AJ1447" s="569"/>
      <c r="AK1447" s="569"/>
      <c r="AL1447" s="569"/>
      <c r="AM1447" s="569"/>
      <c r="AN1447" s="589"/>
      <c r="AO1447" s="84"/>
      <c r="AP1447" s="5"/>
    </row>
    <row r="1448" spans="1:42" ht="13.5" customHeight="1" x14ac:dyDescent="0.35">
      <c r="A1448" s="4"/>
      <c r="B1448" s="614"/>
      <c r="C1448" s="71"/>
      <c r="D1448" s="71"/>
      <c r="E1448" s="71"/>
      <c r="F1448" s="71"/>
      <c r="G1448" s="71"/>
      <c r="H1448" s="87"/>
      <c r="I1448" s="71"/>
      <c r="J1448" s="71"/>
      <c r="K1448" s="71"/>
      <c r="L1448" s="87"/>
      <c r="M1448" s="71"/>
      <c r="N1448" s="71"/>
      <c r="O1448" s="71"/>
      <c r="P1448" s="311"/>
      <c r="Q1448" s="312"/>
      <c r="R1448" s="312"/>
      <c r="S1448" s="569"/>
      <c r="T1448" s="569"/>
      <c r="U1448" s="569"/>
      <c r="V1448" s="341"/>
      <c r="W1448" s="311"/>
      <c r="X1448" s="71"/>
      <c r="Y1448" s="71"/>
      <c r="Z1448" s="71"/>
      <c r="AA1448" s="456"/>
      <c r="AB1448" s="104"/>
      <c r="AC1448" s="485"/>
      <c r="AD1448" s="486"/>
      <c r="AE1448" s="485"/>
      <c r="AF1448" s="634"/>
      <c r="AG1448" s="97"/>
      <c r="AH1448" s="223"/>
      <c r="AI1448" s="569"/>
      <c r="AJ1448" s="569"/>
      <c r="AK1448" s="569"/>
      <c r="AL1448" s="569"/>
      <c r="AM1448" s="569"/>
      <c r="AN1448" s="589"/>
      <c r="AO1448" s="84"/>
      <c r="AP1448" s="5"/>
    </row>
    <row r="1449" spans="1:42" ht="13.5" customHeight="1" x14ac:dyDescent="0.35">
      <c r="A1449" s="4"/>
      <c r="B1449" s="614"/>
      <c r="C1449" s="71"/>
      <c r="D1449" s="71"/>
      <c r="E1449" s="71"/>
      <c r="F1449" s="71"/>
      <c r="G1449" s="71"/>
      <c r="H1449" s="87"/>
      <c r="I1449" s="71"/>
      <c r="J1449" s="71"/>
      <c r="K1449" s="71"/>
      <c r="L1449" s="87"/>
      <c r="M1449" s="71"/>
      <c r="N1449" s="71"/>
      <c r="O1449" s="71"/>
      <c r="P1449" s="311"/>
      <c r="Q1449" s="312"/>
      <c r="R1449" s="312"/>
      <c r="S1449" s="569"/>
      <c r="T1449" s="569"/>
      <c r="U1449" s="569"/>
      <c r="V1449" s="341"/>
      <c r="W1449" s="311"/>
      <c r="X1449" s="71"/>
      <c r="Y1449" s="71"/>
      <c r="Z1449" s="71"/>
      <c r="AA1449" s="456"/>
      <c r="AB1449" s="104"/>
      <c r="AC1449" s="485"/>
      <c r="AD1449" s="486"/>
      <c r="AE1449" s="485"/>
      <c r="AF1449" s="634"/>
      <c r="AG1449" s="97"/>
      <c r="AH1449" s="223"/>
      <c r="AI1449" s="569"/>
      <c r="AJ1449" s="569"/>
      <c r="AK1449" s="569"/>
      <c r="AL1449" s="569"/>
      <c r="AM1449" s="569"/>
      <c r="AN1449" s="589"/>
      <c r="AO1449" s="84"/>
      <c r="AP1449" s="5"/>
    </row>
    <row r="1450" spans="1:42" ht="13.5" customHeight="1" x14ac:dyDescent="0.35">
      <c r="A1450" s="4"/>
      <c r="B1450" s="614"/>
      <c r="C1450" s="71"/>
      <c r="D1450" s="71"/>
      <c r="E1450" s="71"/>
      <c r="F1450" s="71"/>
      <c r="G1450" s="71"/>
      <c r="H1450" s="87"/>
      <c r="I1450" s="71"/>
      <c r="J1450" s="71"/>
      <c r="K1450" s="71"/>
      <c r="L1450" s="87"/>
      <c r="M1450" s="71"/>
      <c r="N1450" s="71"/>
      <c r="O1450" s="71"/>
      <c r="P1450" s="311"/>
      <c r="Q1450" s="312"/>
      <c r="R1450" s="312"/>
      <c r="S1450" s="569"/>
      <c r="T1450" s="569"/>
      <c r="U1450" s="569"/>
      <c r="V1450" s="341"/>
      <c r="W1450" s="311"/>
      <c r="X1450" s="71"/>
      <c r="Y1450" s="71"/>
      <c r="Z1450" s="71"/>
      <c r="AA1450" s="456"/>
      <c r="AB1450" s="104"/>
      <c r="AC1450" s="485"/>
      <c r="AD1450" s="486"/>
      <c r="AE1450" s="485"/>
      <c r="AF1450" s="634"/>
      <c r="AG1450" s="97"/>
      <c r="AH1450" s="223"/>
      <c r="AI1450" s="569"/>
      <c r="AJ1450" s="569"/>
      <c r="AK1450" s="569"/>
      <c r="AL1450" s="569"/>
      <c r="AM1450" s="569"/>
      <c r="AN1450" s="589"/>
      <c r="AO1450" s="84"/>
      <c r="AP1450" s="5"/>
    </row>
    <row r="1451" spans="1:42" ht="13.5" customHeight="1" x14ac:dyDescent="0.35">
      <c r="A1451" s="4"/>
      <c r="B1451" s="614"/>
      <c r="C1451" s="71"/>
      <c r="D1451" s="71"/>
      <c r="E1451" s="71"/>
      <c r="F1451" s="71"/>
      <c r="G1451" s="71"/>
      <c r="H1451" s="87"/>
      <c r="I1451" s="71"/>
      <c r="J1451" s="71"/>
      <c r="K1451" s="71"/>
      <c r="L1451" s="87"/>
      <c r="M1451" s="71"/>
      <c r="N1451" s="71"/>
      <c r="O1451" s="71"/>
      <c r="P1451" s="311"/>
      <c r="Q1451" s="312"/>
      <c r="R1451" s="312"/>
      <c r="S1451" s="569"/>
      <c r="T1451" s="569"/>
      <c r="U1451" s="569"/>
      <c r="V1451" s="341"/>
      <c r="W1451" s="311"/>
      <c r="X1451" s="71"/>
      <c r="Y1451" s="71"/>
      <c r="Z1451" s="71"/>
      <c r="AA1451" s="456"/>
      <c r="AB1451" s="104"/>
      <c r="AC1451" s="485"/>
      <c r="AD1451" s="486"/>
      <c r="AE1451" s="485"/>
      <c r="AF1451" s="634"/>
      <c r="AG1451" s="97"/>
      <c r="AH1451" s="223"/>
      <c r="AI1451" s="569"/>
      <c r="AJ1451" s="569"/>
      <c r="AK1451" s="569"/>
      <c r="AL1451" s="569"/>
      <c r="AM1451" s="569"/>
      <c r="AN1451" s="589"/>
      <c r="AO1451" s="84"/>
      <c r="AP1451" s="5"/>
    </row>
    <row r="1452" spans="1:42" ht="13.5" customHeight="1" x14ac:dyDescent="0.35">
      <c r="A1452" s="4"/>
      <c r="B1452" s="614"/>
      <c r="C1452" s="71"/>
      <c r="D1452" s="71"/>
      <c r="E1452" s="71"/>
      <c r="F1452" s="71"/>
      <c r="G1452" s="71"/>
      <c r="H1452" s="87"/>
      <c r="I1452" s="71"/>
      <c r="J1452" s="71"/>
      <c r="K1452" s="71"/>
      <c r="L1452" s="87"/>
      <c r="M1452" s="71"/>
      <c r="N1452" s="71"/>
      <c r="O1452" s="71"/>
      <c r="P1452" s="311"/>
      <c r="Q1452" s="312"/>
      <c r="R1452" s="312"/>
      <c r="S1452" s="569"/>
      <c r="T1452" s="569"/>
      <c r="U1452" s="569"/>
      <c r="V1452" s="341"/>
      <c r="W1452" s="311"/>
      <c r="X1452" s="71"/>
      <c r="Y1452" s="71"/>
      <c r="Z1452" s="71"/>
      <c r="AA1452" s="456"/>
      <c r="AB1452" s="104"/>
      <c r="AC1452" s="485"/>
      <c r="AD1452" s="486"/>
      <c r="AE1452" s="485"/>
      <c r="AF1452" s="634"/>
      <c r="AG1452" s="97"/>
      <c r="AH1452" s="223"/>
      <c r="AI1452" s="569"/>
      <c r="AJ1452" s="569"/>
      <c r="AK1452" s="569"/>
      <c r="AL1452" s="569"/>
      <c r="AM1452" s="569"/>
      <c r="AN1452" s="589"/>
      <c r="AO1452" s="84"/>
      <c r="AP1452" s="5"/>
    </row>
    <row r="1453" spans="1:42" ht="13.5" customHeight="1" x14ac:dyDescent="0.35">
      <c r="A1453" s="4"/>
      <c r="B1453" s="614"/>
      <c r="C1453" s="71"/>
      <c r="D1453" s="71"/>
      <c r="E1453" s="71"/>
      <c r="F1453" s="71"/>
      <c r="G1453" s="71"/>
      <c r="H1453" s="87"/>
      <c r="I1453" s="71"/>
      <c r="J1453" s="71"/>
      <c r="K1453" s="71"/>
      <c r="L1453" s="87"/>
      <c r="M1453" s="71"/>
      <c r="N1453" s="71"/>
      <c r="O1453" s="71"/>
      <c r="P1453" s="311"/>
      <c r="Q1453" s="312"/>
      <c r="R1453" s="312"/>
      <c r="S1453" s="569"/>
      <c r="T1453" s="569"/>
      <c r="U1453" s="569"/>
      <c r="V1453" s="341"/>
      <c r="W1453" s="311"/>
      <c r="X1453" s="71"/>
      <c r="Y1453" s="71"/>
      <c r="Z1453" s="71"/>
      <c r="AA1453" s="456"/>
      <c r="AB1453" s="104"/>
      <c r="AC1453" s="485"/>
      <c r="AD1453" s="486"/>
      <c r="AE1453" s="485"/>
      <c r="AF1453" s="634"/>
      <c r="AG1453" s="97"/>
      <c r="AH1453" s="223"/>
      <c r="AI1453" s="569"/>
      <c r="AJ1453" s="569"/>
      <c r="AK1453" s="569"/>
      <c r="AL1453" s="569"/>
      <c r="AM1453" s="569"/>
      <c r="AN1453" s="589"/>
      <c r="AO1453" s="84"/>
      <c r="AP1453" s="5"/>
    </row>
    <row r="1454" spans="1:42" ht="13.5" customHeight="1" x14ac:dyDescent="0.35">
      <c r="A1454" s="4"/>
      <c r="B1454" s="614"/>
      <c r="C1454" s="71"/>
      <c r="D1454" s="71"/>
      <c r="E1454" s="71"/>
      <c r="F1454" s="71"/>
      <c r="G1454" s="71"/>
      <c r="H1454" s="87"/>
      <c r="I1454" s="71"/>
      <c r="J1454" s="71"/>
      <c r="K1454" s="71"/>
      <c r="L1454" s="87"/>
      <c r="M1454" s="71"/>
      <c r="N1454" s="71"/>
      <c r="O1454" s="71"/>
      <c r="P1454" s="311"/>
      <c r="Q1454" s="312"/>
      <c r="R1454" s="312"/>
      <c r="S1454" s="569"/>
      <c r="T1454" s="569"/>
      <c r="U1454" s="569"/>
      <c r="V1454" s="341"/>
      <c r="W1454" s="311"/>
      <c r="X1454" s="71"/>
      <c r="Y1454" s="71"/>
      <c r="Z1454" s="71"/>
      <c r="AA1454" s="456"/>
      <c r="AB1454" s="104"/>
      <c r="AC1454" s="485"/>
      <c r="AD1454" s="486"/>
      <c r="AE1454" s="485"/>
      <c r="AF1454" s="634"/>
      <c r="AG1454" s="97"/>
      <c r="AH1454" s="223"/>
      <c r="AI1454" s="569"/>
      <c r="AJ1454" s="569"/>
      <c r="AK1454" s="569"/>
      <c r="AL1454" s="569"/>
      <c r="AM1454" s="569"/>
      <c r="AN1454" s="589"/>
      <c r="AO1454" s="84"/>
      <c r="AP1454" s="5"/>
    </row>
    <row r="1455" spans="1:42" ht="13.5" customHeight="1" x14ac:dyDescent="0.35">
      <c r="A1455" s="4"/>
      <c r="B1455" s="614"/>
      <c r="C1455" s="71"/>
      <c r="D1455" s="71"/>
      <c r="E1455" s="71"/>
      <c r="F1455" s="71"/>
      <c r="G1455" s="71"/>
      <c r="H1455" s="87"/>
      <c r="I1455" s="71"/>
      <c r="J1455" s="71"/>
      <c r="K1455" s="71"/>
      <c r="L1455" s="87"/>
      <c r="M1455" s="71"/>
      <c r="N1455" s="71"/>
      <c r="O1455" s="71"/>
      <c r="P1455" s="311"/>
      <c r="Q1455" s="312"/>
      <c r="R1455" s="312"/>
      <c r="S1455" s="569"/>
      <c r="T1455" s="569"/>
      <c r="U1455" s="569"/>
      <c r="V1455" s="341"/>
      <c r="W1455" s="311"/>
      <c r="X1455" s="71"/>
      <c r="Y1455" s="71"/>
      <c r="Z1455" s="71"/>
      <c r="AA1455" s="456"/>
      <c r="AB1455" s="104"/>
      <c r="AC1455" s="485"/>
      <c r="AD1455" s="486"/>
      <c r="AE1455" s="485"/>
      <c r="AF1455" s="634"/>
      <c r="AG1455" s="97"/>
      <c r="AH1455" s="223"/>
      <c r="AI1455" s="569"/>
      <c r="AJ1455" s="569"/>
      <c r="AK1455" s="569"/>
      <c r="AL1455" s="569"/>
      <c r="AM1455" s="569"/>
      <c r="AN1455" s="589"/>
      <c r="AO1455" s="84"/>
      <c r="AP1455" s="5"/>
    </row>
    <row r="1456" spans="1:42" ht="13.5" customHeight="1" x14ac:dyDescent="0.35">
      <c r="A1456" s="4"/>
      <c r="B1456" s="614"/>
      <c r="C1456" s="71"/>
      <c r="D1456" s="71"/>
      <c r="E1456" s="71"/>
      <c r="F1456" s="71"/>
      <c r="G1456" s="71"/>
      <c r="H1456" s="87"/>
      <c r="I1456" s="71"/>
      <c r="J1456" s="71"/>
      <c r="K1456" s="71"/>
      <c r="L1456" s="87"/>
      <c r="M1456" s="71"/>
      <c r="N1456" s="71"/>
      <c r="O1456" s="71"/>
      <c r="P1456" s="311"/>
      <c r="Q1456" s="312"/>
      <c r="R1456" s="312"/>
      <c r="S1456" s="569"/>
      <c r="T1456" s="569"/>
      <c r="U1456" s="569"/>
      <c r="V1456" s="341"/>
      <c r="W1456" s="311"/>
      <c r="X1456" s="71"/>
      <c r="Y1456" s="71"/>
      <c r="Z1456" s="71"/>
      <c r="AA1456" s="456"/>
      <c r="AB1456" s="104"/>
      <c r="AC1456" s="485"/>
      <c r="AD1456" s="486"/>
      <c r="AE1456" s="485"/>
      <c r="AF1456" s="634"/>
      <c r="AG1456" s="97"/>
      <c r="AH1456" s="223"/>
      <c r="AI1456" s="569"/>
      <c r="AJ1456" s="569"/>
      <c r="AK1456" s="569"/>
      <c r="AL1456" s="569"/>
      <c r="AM1456" s="569"/>
      <c r="AN1456" s="589"/>
      <c r="AO1456" s="84"/>
      <c r="AP1456" s="5"/>
    </row>
    <row r="1457" spans="1:42" ht="13.5" customHeight="1" x14ac:dyDescent="0.35">
      <c r="A1457" s="4"/>
      <c r="B1457" s="614"/>
      <c r="C1457" s="71"/>
      <c r="D1457" s="71"/>
      <c r="E1457" s="71"/>
      <c r="F1457" s="71"/>
      <c r="G1457" s="71"/>
      <c r="H1457" s="87"/>
      <c r="I1457" s="71"/>
      <c r="J1457" s="71"/>
      <c r="K1457" s="71"/>
      <c r="L1457" s="87"/>
      <c r="M1457" s="71"/>
      <c r="N1457" s="71"/>
      <c r="O1457" s="71"/>
      <c r="P1457" s="311"/>
      <c r="Q1457" s="312"/>
      <c r="R1457" s="312"/>
      <c r="S1457" s="569"/>
      <c r="T1457" s="569"/>
      <c r="U1457" s="569"/>
      <c r="V1457" s="341"/>
      <c r="W1457" s="311"/>
      <c r="X1457" s="71"/>
      <c r="Y1457" s="71"/>
      <c r="Z1457" s="71"/>
      <c r="AA1457" s="456"/>
      <c r="AB1457" s="104"/>
      <c r="AC1457" s="485"/>
      <c r="AD1457" s="486"/>
      <c r="AE1457" s="485"/>
      <c r="AF1457" s="634"/>
      <c r="AG1457" s="97"/>
      <c r="AH1457" s="223"/>
      <c r="AI1457" s="569"/>
      <c r="AJ1457" s="569"/>
      <c r="AK1457" s="569"/>
      <c r="AL1457" s="569"/>
      <c r="AM1457" s="569"/>
      <c r="AN1457" s="589"/>
      <c r="AO1457" s="84"/>
      <c r="AP1457" s="5"/>
    </row>
    <row r="1458" spans="1:42" ht="13.5" customHeight="1" x14ac:dyDescent="0.35">
      <c r="A1458" s="4"/>
      <c r="B1458" s="614"/>
      <c r="C1458" s="71"/>
      <c r="D1458" s="71"/>
      <c r="E1458" s="71"/>
      <c r="F1458" s="71"/>
      <c r="G1458" s="71"/>
      <c r="H1458" s="87"/>
      <c r="I1458" s="71"/>
      <c r="J1458" s="71"/>
      <c r="K1458" s="71"/>
      <c r="L1458" s="87"/>
      <c r="M1458" s="71"/>
      <c r="N1458" s="71"/>
      <c r="O1458" s="71"/>
      <c r="P1458" s="311"/>
      <c r="Q1458" s="312"/>
      <c r="R1458" s="312"/>
      <c r="S1458" s="569"/>
      <c r="T1458" s="569"/>
      <c r="U1458" s="569"/>
      <c r="V1458" s="341"/>
      <c r="W1458" s="311"/>
      <c r="X1458" s="71"/>
      <c r="Y1458" s="71"/>
      <c r="Z1458" s="71"/>
      <c r="AA1458" s="456"/>
      <c r="AB1458" s="104"/>
      <c r="AC1458" s="485"/>
      <c r="AD1458" s="486"/>
      <c r="AE1458" s="485"/>
      <c r="AF1458" s="634"/>
      <c r="AG1458" s="97"/>
      <c r="AH1458" s="223"/>
      <c r="AI1458" s="569"/>
      <c r="AJ1458" s="569"/>
      <c r="AK1458" s="569"/>
      <c r="AL1458" s="569"/>
      <c r="AM1458" s="569"/>
      <c r="AN1458" s="589"/>
      <c r="AO1458" s="84"/>
      <c r="AP1458" s="5"/>
    </row>
    <row r="1459" spans="1:42" ht="13.5" customHeight="1" x14ac:dyDescent="0.35">
      <c r="A1459" s="4"/>
      <c r="B1459" s="614"/>
      <c r="C1459" s="71"/>
      <c r="D1459" s="71"/>
      <c r="E1459" s="71"/>
      <c r="F1459" s="71"/>
      <c r="G1459" s="71"/>
      <c r="H1459" s="87"/>
      <c r="I1459" s="71"/>
      <c r="J1459" s="71"/>
      <c r="K1459" s="71"/>
      <c r="L1459" s="87"/>
      <c r="M1459" s="71"/>
      <c r="N1459" s="71"/>
      <c r="O1459" s="71"/>
      <c r="P1459" s="311"/>
      <c r="Q1459" s="312"/>
      <c r="R1459" s="312"/>
      <c r="S1459" s="569"/>
      <c r="T1459" s="569"/>
      <c r="U1459" s="569"/>
      <c r="V1459" s="341"/>
      <c r="W1459" s="311"/>
      <c r="X1459" s="71"/>
      <c r="Y1459" s="71"/>
      <c r="Z1459" s="71"/>
      <c r="AA1459" s="456"/>
      <c r="AB1459" s="104"/>
      <c r="AC1459" s="485"/>
      <c r="AD1459" s="486"/>
      <c r="AE1459" s="485"/>
      <c r="AF1459" s="634"/>
      <c r="AG1459" s="97"/>
      <c r="AH1459" s="223"/>
      <c r="AI1459" s="569"/>
      <c r="AJ1459" s="569"/>
      <c r="AK1459" s="569"/>
      <c r="AL1459" s="569"/>
      <c r="AM1459" s="569"/>
      <c r="AN1459" s="589"/>
      <c r="AO1459" s="84"/>
      <c r="AP1459" s="5"/>
    </row>
    <row r="1460" spans="1:42" ht="13.5" customHeight="1" x14ac:dyDescent="0.35">
      <c r="A1460" s="4"/>
      <c r="B1460" s="614"/>
      <c r="C1460" s="71"/>
      <c r="D1460" s="71"/>
      <c r="E1460" s="71"/>
      <c r="F1460" s="71"/>
      <c r="G1460" s="71"/>
      <c r="H1460" s="87"/>
      <c r="I1460" s="71"/>
      <c r="J1460" s="71"/>
      <c r="K1460" s="71"/>
      <c r="L1460" s="87"/>
      <c r="M1460" s="71"/>
      <c r="N1460" s="71"/>
      <c r="O1460" s="71"/>
      <c r="P1460" s="311"/>
      <c r="Q1460" s="312"/>
      <c r="R1460" s="312"/>
      <c r="S1460" s="569"/>
      <c r="T1460" s="569"/>
      <c r="U1460" s="569"/>
      <c r="V1460" s="341"/>
      <c r="W1460" s="311"/>
      <c r="X1460" s="71"/>
      <c r="Y1460" s="71"/>
      <c r="Z1460" s="71"/>
      <c r="AA1460" s="456"/>
      <c r="AB1460" s="104"/>
      <c r="AC1460" s="485"/>
      <c r="AD1460" s="486"/>
      <c r="AE1460" s="485"/>
      <c r="AF1460" s="634"/>
      <c r="AG1460" s="97"/>
      <c r="AH1460" s="223"/>
      <c r="AI1460" s="569"/>
      <c r="AJ1460" s="569"/>
      <c r="AK1460" s="569"/>
      <c r="AL1460" s="569"/>
      <c r="AM1460" s="569"/>
      <c r="AN1460" s="589"/>
      <c r="AO1460" s="84"/>
      <c r="AP1460" s="5"/>
    </row>
    <row r="1461" spans="1:42" ht="13.5" customHeight="1" x14ac:dyDescent="0.35">
      <c r="A1461" s="4"/>
      <c r="B1461" s="614"/>
      <c r="C1461" s="71"/>
      <c r="D1461" s="71"/>
      <c r="E1461" s="71"/>
      <c r="F1461" s="71"/>
      <c r="G1461" s="71"/>
      <c r="H1461" s="87"/>
      <c r="I1461" s="71"/>
      <c r="J1461" s="71"/>
      <c r="K1461" s="71"/>
      <c r="L1461" s="87"/>
      <c r="M1461" s="71"/>
      <c r="N1461" s="71"/>
      <c r="O1461" s="71"/>
      <c r="P1461" s="311"/>
      <c r="Q1461" s="312"/>
      <c r="R1461" s="312"/>
      <c r="S1461" s="569"/>
      <c r="T1461" s="569"/>
      <c r="U1461" s="569"/>
      <c r="V1461" s="341"/>
      <c r="W1461" s="311"/>
      <c r="X1461" s="71"/>
      <c r="Y1461" s="71"/>
      <c r="Z1461" s="71"/>
      <c r="AA1461" s="456"/>
      <c r="AB1461" s="104"/>
      <c r="AC1461" s="485"/>
      <c r="AD1461" s="486"/>
      <c r="AE1461" s="485"/>
      <c r="AF1461" s="634"/>
      <c r="AG1461" s="97"/>
      <c r="AH1461" s="223"/>
      <c r="AI1461" s="569"/>
      <c r="AJ1461" s="569"/>
      <c r="AK1461" s="569"/>
      <c r="AL1461" s="569"/>
      <c r="AM1461" s="569"/>
      <c r="AN1461" s="589"/>
      <c r="AO1461" s="84"/>
      <c r="AP1461" s="5"/>
    </row>
    <row r="1462" spans="1:42" ht="13.5" customHeight="1" x14ac:dyDescent="0.35">
      <c r="A1462" s="4"/>
      <c r="B1462" s="614"/>
      <c r="C1462" s="71"/>
      <c r="D1462" s="71"/>
      <c r="E1462" s="71"/>
      <c r="F1462" s="71"/>
      <c r="G1462" s="71"/>
      <c r="H1462" s="87"/>
      <c r="I1462" s="71"/>
      <c r="J1462" s="71"/>
      <c r="K1462" s="71"/>
      <c r="L1462" s="87"/>
      <c r="M1462" s="71"/>
      <c r="N1462" s="71"/>
      <c r="O1462" s="71"/>
      <c r="P1462" s="311"/>
      <c r="Q1462" s="312"/>
      <c r="R1462" s="312"/>
      <c r="S1462" s="569"/>
      <c r="T1462" s="569"/>
      <c r="U1462" s="569"/>
      <c r="V1462" s="341"/>
      <c r="W1462" s="311"/>
      <c r="X1462" s="71"/>
      <c r="Y1462" s="71"/>
      <c r="Z1462" s="71"/>
      <c r="AA1462" s="456"/>
      <c r="AB1462" s="104"/>
      <c r="AC1462" s="485"/>
      <c r="AD1462" s="486"/>
      <c r="AE1462" s="485"/>
      <c r="AF1462" s="634"/>
      <c r="AG1462" s="97"/>
      <c r="AH1462" s="223"/>
      <c r="AI1462" s="569"/>
      <c r="AJ1462" s="569"/>
      <c r="AK1462" s="569"/>
      <c r="AL1462" s="569"/>
      <c r="AM1462" s="569"/>
      <c r="AN1462" s="589"/>
      <c r="AO1462" s="84"/>
      <c r="AP1462" s="5"/>
    </row>
    <row r="1463" spans="1:42" ht="13.5" customHeight="1" x14ac:dyDescent="0.35">
      <c r="A1463" s="4"/>
      <c r="B1463" s="614"/>
      <c r="C1463" s="71"/>
      <c r="D1463" s="71"/>
      <c r="E1463" s="71"/>
      <c r="F1463" s="71"/>
      <c r="G1463" s="71"/>
      <c r="H1463" s="87"/>
      <c r="I1463" s="71"/>
      <c r="J1463" s="71"/>
      <c r="K1463" s="71"/>
      <c r="L1463" s="87"/>
      <c r="M1463" s="71"/>
      <c r="N1463" s="71"/>
      <c r="O1463" s="71"/>
      <c r="P1463" s="311"/>
      <c r="Q1463" s="312"/>
      <c r="R1463" s="312"/>
      <c r="S1463" s="569"/>
      <c r="T1463" s="569"/>
      <c r="U1463" s="569"/>
      <c r="V1463" s="341"/>
      <c r="W1463" s="311"/>
      <c r="X1463" s="71"/>
      <c r="Y1463" s="71"/>
      <c r="Z1463" s="71"/>
      <c r="AA1463" s="456"/>
      <c r="AB1463" s="104"/>
      <c r="AC1463" s="485"/>
      <c r="AD1463" s="486"/>
      <c r="AE1463" s="485"/>
      <c r="AF1463" s="634"/>
      <c r="AG1463" s="97"/>
      <c r="AH1463" s="223"/>
      <c r="AI1463" s="569"/>
      <c r="AJ1463" s="569"/>
      <c r="AK1463" s="569"/>
      <c r="AL1463" s="569"/>
      <c r="AM1463" s="569"/>
      <c r="AN1463" s="589"/>
      <c r="AO1463" s="84"/>
      <c r="AP1463" s="5"/>
    </row>
    <row r="1464" spans="1:42" ht="13.5" customHeight="1" x14ac:dyDescent="0.35">
      <c r="A1464" s="4"/>
      <c r="B1464" s="614"/>
      <c r="C1464" s="71"/>
      <c r="D1464" s="71"/>
      <c r="E1464" s="71"/>
      <c r="F1464" s="71"/>
      <c r="G1464" s="71"/>
      <c r="H1464" s="87"/>
      <c r="I1464" s="71"/>
      <c r="J1464" s="71"/>
      <c r="K1464" s="71"/>
      <c r="L1464" s="87"/>
      <c r="M1464" s="71"/>
      <c r="N1464" s="71"/>
      <c r="O1464" s="71"/>
      <c r="P1464" s="311"/>
      <c r="Q1464" s="312"/>
      <c r="R1464" s="312"/>
      <c r="S1464" s="569"/>
      <c r="T1464" s="569"/>
      <c r="U1464" s="569"/>
      <c r="V1464" s="341"/>
      <c r="W1464" s="311"/>
      <c r="X1464" s="71"/>
      <c r="Y1464" s="71"/>
      <c r="Z1464" s="71"/>
      <c r="AA1464" s="456"/>
      <c r="AB1464" s="104"/>
      <c r="AC1464" s="485"/>
      <c r="AD1464" s="486"/>
      <c r="AE1464" s="485"/>
      <c r="AF1464" s="634"/>
      <c r="AG1464" s="97"/>
      <c r="AH1464" s="223"/>
      <c r="AI1464" s="569"/>
      <c r="AJ1464" s="569"/>
      <c r="AK1464" s="569"/>
      <c r="AL1464" s="569"/>
      <c r="AM1464" s="569"/>
      <c r="AN1464" s="589"/>
      <c r="AO1464" s="84"/>
      <c r="AP1464" s="5"/>
    </row>
    <row r="1465" spans="1:42" ht="13.5" customHeight="1" x14ac:dyDescent="0.35">
      <c r="A1465" s="4"/>
      <c r="B1465" s="614"/>
      <c r="C1465" s="71"/>
      <c r="D1465" s="71"/>
      <c r="E1465" s="71"/>
      <c r="F1465" s="71"/>
      <c r="G1465" s="71"/>
      <c r="H1465" s="87"/>
      <c r="I1465" s="71"/>
      <c r="J1465" s="71"/>
      <c r="K1465" s="71"/>
      <c r="L1465" s="87"/>
      <c r="M1465" s="71"/>
      <c r="N1465" s="71"/>
      <c r="O1465" s="71"/>
      <c r="P1465" s="311"/>
      <c r="Q1465" s="312"/>
      <c r="R1465" s="312"/>
      <c r="S1465" s="569"/>
      <c r="T1465" s="569"/>
      <c r="U1465" s="569"/>
      <c r="V1465" s="341"/>
      <c r="W1465" s="311"/>
      <c r="X1465" s="71"/>
      <c r="Y1465" s="71"/>
      <c r="Z1465" s="71"/>
      <c r="AA1465" s="456"/>
      <c r="AB1465" s="104"/>
      <c r="AC1465" s="485"/>
      <c r="AD1465" s="486"/>
      <c r="AE1465" s="485"/>
      <c r="AF1465" s="634"/>
      <c r="AG1465" s="97"/>
      <c r="AH1465" s="223"/>
      <c r="AI1465" s="569"/>
      <c r="AJ1465" s="569"/>
      <c r="AK1465" s="569"/>
      <c r="AL1465" s="569"/>
      <c r="AM1465" s="569"/>
      <c r="AN1465" s="589"/>
      <c r="AO1465" s="84"/>
      <c r="AP1465" s="5"/>
    </row>
    <row r="1466" spans="1:42" ht="13.5" customHeight="1" x14ac:dyDescent="0.35">
      <c r="A1466" s="4"/>
      <c r="B1466" s="614"/>
      <c r="C1466" s="71"/>
      <c r="D1466" s="71"/>
      <c r="E1466" s="71"/>
      <c r="F1466" s="71"/>
      <c r="G1466" s="71"/>
      <c r="H1466" s="87"/>
      <c r="I1466" s="71"/>
      <c r="J1466" s="71"/>
      <c r="K1466" s="71"/>
      <c r="L1466" s="87"/>
      <c r="M1466" s="71"/>
      <c r="N1466" s="71"/>
      <c r="O1466" s="71"/>
      <c r="P1466" s="311"/>
      <c r="Q1466" s="312"/>
      <c r="R1466" s="312"/>
      <c r="S1466" s="569"/>
      <c r="T1466" s="569"/>
      <c r="U1466" s="569"/>
      <c r="V1466" s="341"/>
      <c r="W1466" s="311"/>
      <c r="X1466" s="71"/>
      <c r="Y1466" s="71"/>
      <c r="Z1466" s="71"/>
      <c r="AA1466" s="456"/>
      <c r="AB1466" s="104"/>
      <c r="AC1466" s="485"/>
      <c r="AD1466" s="486"/>
      <c r="AE1466" s="485"/>
      <c r="AF1466" s="634"/>
      <c r="AG1466" s="97"/>
      <c r="AH1466" s="223"/>
      <c r="AI1466" s="569"/>
      <c r="AJ1466" s="569"/>
      <c r="AK1466" s="569"/>
      <c r="AL1466" s="569"/>
      <c r="AM1466" s="569"/>
      <c r="AN1466" s="589"/>
      <c r="AO1466" s="84"/>
      <c r="AP1466" s="5"/>
    </row>
    <row r="1467" spans="1:42" ht="13.5" customHeight="1" x14ac:dyDescent="0.35">
      <c r="A1467" s="4"/>
      <c r="B1467" s="614"/>
      <c r="C1467" s="71"/>
      <c r="D1467" s="71"/>
      <c r="E1467" s="71"/>
      <c r="F1467" s="71"/>
      <c r="G1467" s="71"/>
      <c r="H1467" s="87"/>
      <c r="I1467" s="71"/>
      <c r="J1467" s="71"/>
      <c r="K1467" s="71"/>
      <c r="L1467" s="87"/>
      <c r="M1467" s="71"/>
      <c r="N1467" s="71"/>
      <c r="O1467" s="71"/>
      <c r="P1467" s="311"/>
      <c r="Q1467" s="312"/>
      <c r="R1467" s="312"/>
      <c r="S1467" s="569"/>
      <c r="T1467" s="569"/>
      <c r="U1467" s="569"/>
      <c r="V1467" s="341"/>
      <c r="W1467" s="311"/>
      <c r="X1467" s="71"/>
      <c r="Y1467" s="71"/>
      <c r="Z1467" s="71"/>
      <c r="AA1467" s="456"/>
      <c r="AB1467" s="104"/>
      <c r="AC1467" s="485"/>
      <c r="AD1467" s="486"/>
      <c r="AE1467" s="485"/>
      <c r="AF1467" s="634"/>
      <c r="AG1467" s="97"/>
      <c r="AH1467" s="223"/>
      <c r="AI1467" s="569"/>
      <c r="AJ1467" s="569"/>
      <c r="AK1467" s="569"/>
      <c r="AL1467" s="569"/>
      <c r="AM1467" s="569"/>
      <c r="AN1467" s="589"/>
      <c r="AO1467" s="84"/>
      <c r="AP1467" s="5"/>
    </row>
    <row r="1468" spans="1:42" ht="13.5" customHeight="1" x14ac:dyDescent="0.35">
      <c r="A1468" s="4"/>
      <c r="B1468" s="614"/>
      <c r="C1468" s="71"/>
      <c r="D1468" s="71"/>
      <c r="E1468" s="71"/>
      <c r="F1468" s="71"/>
      <c r="G1468" s="71"/>
      <c r="H1468" s="87"/>
      <c r="I1468" s="71"/>
      <c r="J1468" s="71"/>
      <c r="K1468" s="71"/>
      <c r="L1468" s="87"/>
      <c r="M1468" s="71"/>
      <c r="N1468" s="71"/>
      <c r="O1468" s="71"/>
      <c r="P1468" s="311"/>
      <c r="Q1468" s="312"/>
      <c r="R1468" s="312"/>
      <c r="S1468" s="569"/>
      <c r="T1468" s="569"/>
      <c r="U1468" s="569"/>
      <c r="V1468" s="341"/>
      <c r="W1468" s="311"/>
      <c r="X1468" s="71"/>
      <c r="Y1468" s="71"/>
      <c r="Z1468" s="71"/>
      <c r="AA1468" s="456"/>
      <c r="AB1468" s="104"/>
      <c r="AC1468" s="485"/>
      <c r="AD1468" s="486"/>
      <c r="AE1468" s="485"/>
      <c r="AF1468" s="634"/>
      <c r="AG1468" s="97"/>
      <c r="AH1468" s="223"/>
      <c r="AI1468" s="569"/>
      <c r="AJ1468" s="569"/>
      <c r="AK1468" s="569"/>
      <c r="AL1468" s="569"/>
      <c r="AM1468" s="569"/>
      <c r="AN1468" s="589"/>
      <c r="AO1468" s="84"/>
      <c r="AP1468" s="5"/>
    </row>
    <row r="1469" spans="1:42" ht="13.5" customHeight="1" x14ac:dyDescent="0.35">
      <c r="A1469" s="4"/>
      <c r="B1469" s="614"/>
      <c r="C1469" s="71"/>
      <c r="D1469" s="71"/>
      <c r="E1469" s="71"/>
      <c r="F1469" s="71"/>
      <c r="G1469" s="71"/>
      <c r="H1469" s="87"/>
      <c r="I1469" s="71"/>
      <c r="J1469" s="71"/>
      <c r="K1469" s="71"/>
      <c r="L1469" s="87"/>
      <c r="M1469" s="71"/>
      <c r="N1469" s="71"/>
      <c r="O1469" s="71"/>
      <c r="P1469" s="311"/>
      <c r="Q1469" s="312"/>
      <c r="R1469" s="312"/>
      <c r="S1469" s="569"/>
      <c r="T1469" s="569"/>
      <c r="U1469" s="569"/>
      <c r="V1469" s="341"/>
      <c r="W1469" s="311"/>
      <c r="X1469" s="71"/>
      <c r="Y1469" s="71"/>
      <c r="Z1469" s="71"/>
      <c r="AA1469" s="456"/>
      <c r="AB1469" s="104"/>
      <c r="AC1469" s="485"/>
      <c r="AD1469" s="486"/>
      <c r="AE1469" s="485"/>
      <c r="AF1469" s="634"/>
      <c r="AG1469" s="97"/>
      <c r="AH1469" s="223"/>
      <c r="AI1469" s="569"/>
      <c r="AJ1469" s="569"/>
      <c r="AK1469" s="569"/>
      <c r="AL1469" s="569"/>
      <c r="AM1469" s="569"/>
      <c r="AN1469" s="589"/>
      <c r="AO1469" s="84"/>
      <c r="AP1469" s="5"/>
    </row>
    <row r="1470" spans="1:42" ht="13.5" customHeight="1" x14ac:dyDescent="0.35">
      <c r="A1470" s="4"/>
      <c r="B1470" s="614"/>
      <c r="C1470" s="71"/>
      <c r="D1470" s="71"/>
      <c r="E1470" s="71"/>
      <c r="F1470" s="71"/>
      <c r="G1470" s="71"/>
      <c r="H1470" s="87"/>
      <c r="I1470" s="71"/>
      <c r="J1470" s="71"/>
      <c r="K1470" s="71"/>
      <c r="L1470" s="87"/>
      <c r="M1470" s="71"/>
      <c r="N1470" s="71"/>
      <c r="O1470" s="71"/>
      <c r="P1470" s="311"/>
      <c r="Q1470" s="312"/>
      <c r="R1470" s="312"/>
      <c r="S1470" s="569"/>
      <c r="T1470" s="569"/>
      <c r="U1470" s="569"/>
      <c r="V1470" s="341"/>
      <c r="W1470" s="311"/>
      <c r="X1470" s="71"/>
      <c r="Y1470" s="71"/>
      <c r="Z1470" s="71"/>
      <c r="AA1470" s="456"/>
      <c r="AB1470" s="104"/>
      <c r="AC1470" s="485"/>
      <c r="AD1470" s="486"/>
      <c r="AE1470" s="485"/>
      <c r="AF1470" s="634"/>
      <c r="AG1470" s="97"/>
      <c r="AH1470" s="223"/>
      <c r="AI1470" s="569"/>
      <c r="AJ1470" s="569"/>
      <c r="AK1470" s="569"/>
      <c r="AL1470" s="569"/>
      <c r="AM1470" s="569"/>
      <c r="AN1470" s="589"/>
      <c r="AO1470" s="84"/>
      <c r="AP1470" s="5"/>
    </row>
    <row r="1471" spans="1:42" ht="13.5" customHeight="1" x14ac:dyDescent="0.35">
      <c r="A1471" s="4"/>
      <c r="B1471" s="614"/>
      <c r="C1471" s="71"/>
      <c r="D1471" s="71"/>
      <c r="E1471" s="71"/>
      <c r="F1471" s="71"/>
      <c r="G1471" s="71"/>
      <c r="H1471" s="87"/>
      <c r="I1471" s="71"/>
      <c r="J1471" s="71"/>
      <c r="K1471" s="71"/>
      <c r="L1471" s="87"/>
      <c r="M1471" s="71"/>
      <c r="N1471" s="71"/>
      <c r="O1471" s="71"/>
      <c r="P1471" s="311"/>
      <c r="Q1471" s="312"/>
      <c r="R1471" s="312"/>
      <c r="S1471" s="569"/>
      <c r="T1471" s="569"/>
      <c r="U1471" s="569"/>
      <c r="V1471" s="341"/>
      <c r="W1471" s="311"/>
      <c r="X1471" s="71"/>
      <c r="Y1471" s="71"/>
      <c r="Z1471" s="71"/>
      <c r="AA1471" s="456"/>
      <c r="AB1471" s="104"/>
      <c r="AC1471" s="485"/>
      <c r="AD1471" s="486"/>
      <c r="AE1471" s="485"/>
      <c r="AF1471" s="634"/>
      <c r="AG1471" s="97"/>
      <c r="AH1471" s="223"/>
      <c r="AI1471" s="569"/>
      <c r="AJ1471" s="569"/>
      <c r="AK1471" s="569"/>
      <c r="AL1471" s="569"/>
      <c r="AM1471" s="569"/>
      <c r="AN1471" s="589"/>
      <c r="AO1471" s="84"/>
      <c r="AP1471" s="5"/>
    </row>
    <row r="1472" spans="1:42" ht="13.5" customHeight="1" x14ac:dyDescent="0.35">
      <c r="A1472" s="4"/>
      <c r="B1472" s="614"/>
      <c r="C1472" s="71"/>
      <c r="D1472" s="71"/>
      <c r="E1472" s="71"/>
      <c r="F1472" s="71"/>
      <c r="G1472" s="71"/>
      <c r="H1472" s="87"/>
      <c r="I1472" s="71"/>
      <c r="J1472" s="71"/>
      <c r="K1472" s="71"/>
      <c r="L1472" s="87"/>
      <c r="M1472" s="71"/>
      <c r="N1472" s="71"/>
      <c r="O1472" s="71"/>
      <c r="P1472" s="311"/>
      <c r="Q1472" s="312"/>
      <c r="R1472" s="312"/>
      <c r="S1472" s="569"/>
      <c r="T1472" s="569"/>
      <c r="U1472" s="569"/>
      <c r="V1472" s="341"/>
      <c r="W1472" s="311"/>
      <c r="X1472" s="71"/>
      <c r="Y1472" s="71"/>
      <c r="Z1472" s="71"/>
      <c r="AA1472" s="456"/>
      <c r="AB1472" s="104"/>
      <c r="AC1472" s="485"/>
      <c r="AD1472" s="486"/>
      <c r="AE1472" s="485"/>
      <c r="AF1472" s="634"/>
      <c r="AG1472" s="97"/>
      <c r="AH1472" s="223"/>
      <c r="AI1472" s="569"/>
      <c r="AJ1472" s="569"/>
      <c r="AK1472" s="569"/>
      <c r="AL1472" s="569"/>
      <c r="AM1472" s="569"/>
      <c r="AN1472" s="589"/>
      <c r="AO1472" s="84"/>
      <c r="AP1472" s="5"/>
    </row>
    <row r="1473" spans="1:42" ht="13.5" customHeight="1" x14ac:dyDescent="0.35">
      <c r="A1473" s="4"/>
      <c r="B1473" s="614"/>
      <c r="C1473" s="71"/>
      <c r="D1473" s="71"/>
      <c r="E1473" s="71"/>
      <c r="F1473" s="71"/>
      <c r="G1473" s="71"/>
      <c r="H1473" s="87"/>
      <c r="I1473" s="71"/>
      <c r="J1473" s="71"/>
      <c r="K1473" s="71"/>
      <c r="L1473" s="87"/>
      <c r="M1473" s="71"/>
      <c r="N1473" s="71"/>
      <c r="O1473" s="71"/>
      <c r="P1473" s="311"/>
      <c r="Q1473" s="312"/>
      <c r="R1473" s="312"/>
      <c r="S1473" s="569"/>
      <c r="T1473" s="569"/>
      <c r="U1473" s="569"/>
      <c r="V1473" s="341"/>
      <c r="W1473" s="311"/>
      <c r="X1473" s="71"/>
      <c r="Y1473" s="71"/>
      <c r="Z1473" s="71"/>
      <c r="AA1473" s="456"/>
      <c r="AB1473" s="104"/>
      <c r="AC1473" s="485"/>
      <c r="AD1473" s="486"/>
      <c r="AE1473" s="485"/>
      <c r="AF1473" s="634"/>
      <c r="AG1473" s="97"/>
      <c r="AH1473" s="223"/>
      <c r="AI1473" s="569"/>
      <c r="AJ1473" s="569"/>
      <c r="AK1473" s="569"/>
      <c r="AL1473" s="569"/>
      <c r="AM1473" s="569"/>
      <c r="AN1473" s="589"/>
      <c r="AO1473" s="84"/>
      <c r="AP1473" s="5"/>
    </row>
    <row r="1474" spans="1:42" ht="13.5" customHeight="1" x14ac:dyDescent="0.35">
      <c r="A1474" s="4"/>
      <c r="B1474" s="614"/>
      <c r="C1474" s="71"/>
      <c r="D1474" s="71"/>
      <c r="E1474" s="71"/>
      <c r="F1474" s="71"/>
      <c r="G1474" s="71"/>
      <c r="H1474" s="87"/>
      <c r="I1474" s="71"/>
      <c r="J1474" s="71"/>
      <c r="K1474" s="71"/>
      <c r="L1474" s="87"/>
      <c r="M1474" s="71"/>
      <c r="N1474" s="71"/>
      <c r="O1474" s="71"/>
      <c r="P1474" s="311"/>
      <c r="Q1474" s="312"/>
      <c r="R1474" s="312"/>
      <c r="S1474" s="569"/>
      <c r="T1474" s="569"/>
      <c r="U1474" s="569"/>
      <c r="V1474" s="341"/>
      <c r="W1474" s="311"/>
      <c r="X1474" s="71"/>
      <c r="Y1474" s="71"/>
      <c r="Z1474" s="71"/>
      <c r="AA1474" s="456"/>
      <c r="AB1474" s="104"/>
      <c r="AC1474" s="485"/>
      <c r="AD1474" s="486"/>
      <c r="AE1474" s="485"/>
      <c r="AF1474" s="634"/>
      <c r="AG1474" s="97"/>
      <c r="AH1474" s="223"/>
      <c r="AI1474" s="569"/>
      <c r="AJ1474" s="569"/>
      <c r="AK1474" s="569"/>
      <c r="AL1474" s="569"/>
      <c r="AM1474" s="569"/>
      <c r="AN1474" s="589"/>
      <c r="AO1474" s="84"/>
      <c r="AP1474" s="5"/>
    </row>
    <row r="1475" spans="1:42" ht="13.5" customHeight="1" x14ac:dyDescent="0.35">
      <c r="A1475" s="4"/>
      <c r="B1475" s="614"/>
      <c r="C1475" s="71"/>
      <c r="D1475" s="71"/>
      <c r="E1475" s="71"/>
      <c r="F1475" s="71"/>
      <c r="G1475" s="71"/>
      <c r="H1475" s="87"/>
      <c r="I1475" s="71"/>
      <c r="J1475" s="71"/>
      <c r="K1475" s="71"/>
      <c r="L1475" s="87"/>
      <c r="M1475" s="71"/>
      <c r="N1475" s="71"/>
      <c r="O1475" s="71"/>
      <c r="P1475" s="311"/>
      <c r="Q1475" s="312"/>
      <c r="R1475" s="312"/>
      <c r="S1475" s="569"/>
      <c r="T1475" s="569"/>
      <c r="U1475" s="569"/>
      <c r="V1475" s="341"/>
      <c r="W1475" s="311"/>
      <c r="X1475" s="71"/>
      <c r="Y1475" s="71"/>
      <c r="Z1475" s="71"/>
      <c r="AA1475" s="456"/>
      <c r="AB1475" s="104"/>
      <c r="AC1475" s="485"/>
      <c r="AD1475" s="486"/>
      <c r="AE1475" s="485"/>
      <c r="AF1475" s="634"/>
      <c r="AG1475" s="97"/>
      <c r="AH1475" s="223"/>
      <c r="AI1475" s="569"/>
      <c r="AJ1475" s="569"/>
      <c r="AK1475" s="569"/>
      <c r="AL1475" s="569"/>
      <c r="AM1475" s="569"/>
      <c r="AN1475" s="589"/>
      <c r="AO1475" s="84"/>
      <c r="AP1475" s="5"/>
    </row>
    <row r="1476" spans="1:42" ht="13.5" customHeight="1" x14ac:dyDescent="0.35">
      <c r="A1476" s="4"/>
      <c r="B1476" s="614"/>
      <c r="C1476" s="71"/>
      <c r="D1476" s="71"/>
      <c r="E1476" s="71"/>
      <c r="F1476" s="71"/>
      <c r="G1476" s="71"/>
      <c r="H1476" s="87"/>
      <c r="I1476" s="71"/>
      <c r="J1476" s="71"/>
      <c r="K1476" s="71"/>
      <c r="L1476" s="87"/>
      <c r="M1476" s="71"/>
      <c r="N1476" s="71"/>
      <c r="O1476" s="71"/>
      <c r="P1476" s="311"/>
      <c r="Q1476" s="312"/>
      <c r="R1476" s="312"/>
      <c r="S1476" s="569"/>
      <c r="T1476" s="569"/>
      <c r="U1476" s="569"/>
      <c r="V1476" s="341"/>
      <c r="W1476" s="311"/>
      <c r="X1476" s="71"/>
      <c r="Y1476" s="71"/>
      <c r="Z1476" s="71"/>
      <c r="AA1476" s="456"/>
      <c r="AB1476" s="104"/>
      <c r="AC1476" s="485"/>
      <c r="AD1476" s="486"/>
      <c r="AE1476" s="485"/>
      <c r="AF1476" s="634"/>
      <c r="AG1476" s="97"/>
      <c r="AH1476" s="223"/>
      <c r="AI1476" s="569"/>
      <c r="AJ1476" s="569"/>
      <c r="AK1476" s="569"/>
      <c r="AL1476" s="569"/>
      <c r="AM1476" s="569"/>
      <c r="AN1476" s="589"/>
      <c r="AO1476" s="84"/>
      <c r="AP1476" s="5"/>
    </row>
    <row r="1477" spans="1:42" ht="13.5" customHeight="1" x14ac:dyDescent="0.35">
      <c r="A1477" s="4"/>
      <c r="B1477" s="614"/>
      <c r="C1477" s="71"/>
      <c r="D1477" s="71"/>
      <c r="E1477" s="71"/>
      <c r="F1477" s="71"/>
      <c r="G1477" s="71"/>
      <c r="H1477" s="87"/>
      <c r="I1477" s="71"/>
      <c r="J1477" s="71"/>
      <c r="K1477" s="71"/>
      <c r="L1477" s="87"/>
      <c r="M1477" s="71"/>
      <c r="N1477" s="71"/>
      <c r="O1477" s="71"/>
      <c r="P1477" s="311"/>
      <c r="Q1477" s="312"/>
      <c r="R1477" s="312"/>
      <c r="S1477" s="569"/>
      <c r="T1477" s="569"/>
      <c r="U1477" s="569"/>
      <c r="V1477" s="341"/>
      <c r="W1477" s="311"/>
      <c r="X1477" s="71"/>
      <c r="Y1477" s="71"/>
      <c r="Z1477" s="71"/>
      <c r="AA1477" s="456"/>
      <c r="AB1477" s="104"/>
      <c r="AC1477" s="485"/>
      <c r="AD1477" s="486"/>
      <c r="AE1477" s="485"/>
      <c r="AF1477" s="634"/>
      <c r="AG1477" s="97"/>
      <c r="AH1477" s="223"/>
      <c r="AI1477" s="569"/>
      <c r="AJ1477" s="569"/>
      <c r="AK1477" s="569"/>
      <c r="AL1477" s="569"/>
      <c r="AM1477" s="569"/>
      <c r="AN1477" s="589"/>
      <c r="AO1477" s="84"/>
      <c r="AP1477" s="5"/>
    </row>
    <row r="1478" spans="1:42" ht="13.5" customHeight="1" x14ac:dyDescent="0.35">
      <c r="A1478" s="4"/>
      <c r="B1478" s="614"/>
      <c r="C1478" s="71"/>
      <c r="D1478" s="71"/>
      <c r="E1478" s="71"/>
      <c r="F1478" s="71"/>
      <c r="G1478" s="71"/>
      <c r="H1478" s="87"/>
      <c r="I1478" s="71"/>
      <c r="J1478" s="71"/>
      <c r="K1478" s="71"/>
      <c r="L1478" s="87"/>
      <c r="M1478" s="71"/>
      <c r="N1478" s="71"/>
      <c r="O1478" s="71"/>
      <c r="P1478" s="311"/>
      <c r="Q1478" s="312"/>
      <c r="R1478" s="312"/>
      <c r="S1478" s="569"/>
      <c r="T1478" s="569"/>
      <c r="U1478" s="569"/>
      <c r="V1478" s="341"/>
      <c r="W1478" s="311"/>
      <c r="X1478" s="71"/>
      <c r="Y1478" s="71"/>
      <c r="Z1478" s="71"/>
      <c r="AA1478" s="456"/>
      <c r="AB1478" s="104"/>
      <c r="AC1478" s="485"/>
      <c r="AD1478" s="486"/>
      <c r="AE1478" s="485"/>
      <c r="AF1478" s="634"/>
      <c r="AG1478" s="97"/>
      <c r="AH1478" s="223"/>
      <c r="AI1478" s="569"/>
      <c r="AJ1478" s="569"/>
      <c r="AK1478" s="569"/>
      <c r="AL1478" s="569"/>
      <c r="AM1478" s="569"/>
      <c r="AN1478" s="589"/>
      <c r="AO1478" s="84"/>
      <c r="AP1478" s="5"/>
    </row>
    <row r="1479" spans="1:42" ht="13.5" customHeight="1" x14ac:dyDescent="0.35">
      <c r="A1479" s="4"/>
      <c r="B1479" s="614"/>
      <c r="C1479" s="71"/>
      <c r="D1479" s="71"/>
      <c r="E1479" s="71"/>
      <c r="F1479" s="71"/>
      <c r="G1479" s="71"/>
      <c r="H1479" s="87"/>
      <c r="I1479" s="71"/>
      <c r="J1479" s="71"/>
      <c r="K1479" s="71"/>
      <c r="L1479" s="87"/>
      <c r="M1479" s="71"/>
      <c r="N1479" s="71"/>
      <c r="O1479" s="71"/>
      <c r="P1479" s="311"/>
      <c r="Q1479" s="312"/>
      <c r="R1479" s="312"/>
      <c r="S1479" s="569"/>
      <c r="T1479" s="569"/>
      <c r="U1479" s="569"/>
      <c r="V1479" s="341"/>
      <c r="W1479" s="311"/>
      <c r="X1479" s="71"/>
      <c r="Y1479" s="71"/>
      <c r="Z1479" s="71"/>
      <c r="AA1479" s="456"/>
      <c r="AB1479" s="104"/>
      <c r="AC1479" s="485"/>
      <c r="AD1479" s="486"/>
      <c r="AE1479" s="485"/>
      <c r="AF1479" s="634"/>
      <c r="AG1479" s="97"/>
      <c r="AH1479" s="223"/>
      <c r="AI1479" s="569"/>
      <c r="AJ1479" s="569"/>
      <c r="AK1479" s="569"/>
      <c r="AL1479" s="569"/>
      <c r="AM1479" s="569"/>
      <c r="AN1479" s="589"/>
      <c r="AO1479" s="84"/>
      <c r="AP1479" s="5"/>
    </row>
    <row r="1480" spans="1:42" ht="13.5" customHeight="1" x14ac:dyDescent="0.35">
      <c r="A1480" s="4"/>
      <c r="B1480" s="614"/>
      <c r="C1480" s="71"/>
      <c r="D1480" s="71"/>
      <c r="E1480" s="71"/>
      <c r="F1480" s="71"/>
      <c r="G1480" s="71"/>
      <c r="H1480" s="87"/>
      <c r="I1480" s="71"/>
      <c r="J1480" s="71"/>
      <c r="K1480" s="71"/>
      <c r="L1480" s="87"/>
      <c r="M1480" s="71"/>
      <c r="N1480" s="71"/>
      <c r="O1480" s="71"/>
      <c r="P1480" s="311"/>
      <c r="Q1480" s="312"/>
      <c r="R1480" s="312"/>
      <c r="S1480" s="569"/>
      <c r="T1480" s="569"/>
      <c r="U1480" s="569"/>
      <c r="V1480" s="341"/>
      <c r="W1480" s="311"/>
      <c r="X1480" s="71"/>
      <c r="Y1480" s="71"/>
      <c r="Z1480" s="71"/>
      <c r="AA1480" s="456"/>
      <c r="AB1480" s="104"/>
      <c r="AC1480" s="485"/>
      <c r="AD1480" s="486"/>
      <c r="AE1480" s="485"/>
      <c r="AF1480" s="634"/>
      <c r="AG1480" s="97"/>
      <c r="AH1480" s="223"/>
      <c r="AI1480" s="569"/>
      <c r="AJ1480" s="569"/>
      <c r="AK1480" s="569"/>
      <c r="AL1480" s="569"/>
      <c r="AM1480" s="569"/>
      <c r="AN1480" s="589"/>
      <c r="AO1480" s="84"/>
      <c r="AP1480" s="5"/>
    </row>
    <row r="1481" spans="1:42" ht="13.5" customHeight="1" x14ac:dyDescent="0.35">
      <c r="A1481" s="4"/>
      <c r="B1481" s="614"/>
      <c r="C1481" s="71"/>
      <c r="D1481" s="71"/>
      <c r="E1481" s="71"/>
      <c r="F1481" s="71"/>
      <c r="G1481" s="71"/>
      <c r="H1481" s="87"/>
      <c r="I1481" s="71"/>
      <c r="J1481" s="71"/>
      <c r="K1481" s="71"/>
      <c r="L1481" s="87"/>
      <c r="M1481" s="71"/>
      <c r="N1481" s="71"/>
      <c r="O1481" s="71"/>
      <c r="P1481" s="311"/>
      <c r="Q1481" s="312"/>
      <c r="R1481" s="312"/>
      <c r="S1481" s="569"/>
      <c r="T1481" s="569"/>
      <c r="U1481" s="569"/>
      <c r="V1481" s="341"/>
      <c r="W1481" s="311"/>
      <c r="X1481" s="71"/>
      <c r="Y1481" s="71"/>
      <c r="Z1481" s="71"/>
      <c r="AA1481" s="456"/>
      <c r="AB1481" s="104"/>
      <c r="AC1481" s="485"/>
      <c r="AD1481" s="486"/>
      <c r="AE1481" s="485"/>
      <c r="AF1481" s="634"/>
      <c r="AG1481" s="97"/>
      <c r="AH1481" s="223"/>
      <c r="AI1481" s="569"/>
      <c r="AJ1481" s="569"/>
      <c r="AK1481" s="569"/>
      <c r="AL1481" s="569"/>
      <c r="AM1481" s="569"/>
      <c r="AN1481" s="589"/>
      <c r="AO1481" s="84"/>
      <c r="AP1481" s="5"/>
    </row>
    <row r="1482" spans="1:42" ht="13.5" customHeight="1" x14ac:dyDescent="0.35">
      <c r="A1482" s="4"/>
      <c r="B1482" s="614"/>
      <c r="C1482" s="71"/>
      <c r="D1482" s="71"/>
      <c r="E1482" s="71"/>
      <c r="F1482" s="71"/>
      <c r="G1482" s="71"/>
      <c r="H1482" s="87"/>
      <c r="I1482" s="71"/>
      <c r="J1482" s="71"/>
      <c r="K1482" s="71"/>
      <c r="L1482" s="87"/>
      <c r="M1482" s="71"/>
      <c r="N1482" s="71"/>
      <c r="O1482" s="71"/>
      <c r="P1482" s="311"/>
      <c r="Q1482" s="312"/>
      <c r="R1482" s="312"/>
      <c r="S1482" s="569"/>
      <c r="T1482" s="569"/>
      <c r="U1482" s="569"/>
      <c r="V1482" s="341"/>
      <c r="W1482" s="311"/>
      <c r="X1482" s="71"/>
      <c r="Y1482" s="71"/>
      <c r="Z1482" s="71"/>
      <c r="AA1482" s="456"/>
      <c r="AB1482" s="104"/>
      <c r="AC1482" s="485"/>
      <c r="AD1482" s="486"/>
      <c r="AE1482" s="485"/>
      <c r="AF1482" s="634"/>
      <c r="AG1482" s="97"/>
      <c r="AH1482" s="223"/>
      <c r="AI1482" s="569"/>
      <c r="AJ1482" s="569"/>
      <c r="AK1482" s="569"/>
      <c r="AL1482" s="569"/>
      <c r="AM1482" s="569"/>
      <c r="AN1482" s="589"/>
      <c r="AO1482" s="84"/>
      <c r="AP1482" s="5"/>
    </row>
    <row r="1483" spans="1:42" ht="13.5" customHeight="1" x14ac:dyDescent="0.35">
      <c r="A1483" s="4"/>
      <c r="B1483" s="614"/>
      <c r="C1483" s="71"/>
      <c r="D1483" s="71"/>
      <c r="E1483" s="71"/>
      <c r="F1483" s="71"/>
      <c r="G1483" s="71"/>
      <c r="H1483" s="87"/>
      <c r="I1483" s="71"/>
      <c r="J1483" s="71"/>
      <c r="K1483" s="71"/>
      <c r="L1483" s="87"/>
      <c r="M1483" s="71"/>
      <c r="N1483" s="71"/>
      <c r="O1483" s="71"/>
      <c r="P1483" s="311"/>
      <c r="Q1483" s="312"/>
      <c r="R1483" s="312"/>
      <c r="S1483" s="569"/>
      <c r="T1483" s="569"/>
      <c r="U1483" s="569"/>
      <c r="V1483" s="341"/>
      <c r="W1483" s="311"/>
      <c r="X1483" s="71"/>
      <c r="Y1483" s="71"/>
      <c r="Z1483" s="71"/>
      <c r="AA1483" s="456"/>
      <c r="AB1483" s="104"/>
      <c r="AC1483" s="485"/>
      <c r="AD1483" s="486"/>
      <c r="AE1483" s="485"/>
      <c r="AF1483" s="634"/>
      <c r="AG1483" s="97"/>
      <c r="AH1483" s="223"/>
      <c r="AI1483" s="569"/>
      <c r="AJ1483" s="569"/>
      <c r="AK1483" s="569"/>
      <c r="AL1483" s="569"/>
      <c r="AM1483" s="569"/>
      <c r="AN1483" s="589"/>
      <c r="AO1483" s="84"/>
      <c r="AP1483" s="5"/>
    </row>
    <row r="1484" spans="1:42" ht="13.5" customHeight="1" x14ac:dyDescent="0.35">
      <c r="A1484" s="4"/>
      <c r="B1484" s="614"/>
      <c r="C1484" s="71"/>
      <c r="D1484" s="71"/>
      <c r="E1484" s="71"/>
      <c r="F1484" s="71"/>
      <c r="G1484" s="71"/>
      <c r="H1484" s="87"/>
      <c r="I1484" s="71"/>
      <c r="J1484" s="71"/>
      <c r="K1484" s="71"/>
      <c r="L1484" s="87"/>
      <c r="M1484" s="71"/>
      <c r="N1484" s="71"/>
      <c r="O1484" s="71"/>
      <c r="P1484" s="311"/>
      <c r="Q1484" s="312"/>
      <c r="R1484" s="312"/>
      <c r="S1484" s="569"/>
      <c r="T1484" s="569"/>
      <c r="U1484" s="569"/>
      <c r="V1484" s="341"/>
      <c r="W1484" s="311"/>
      <c r="X1484" s="71"/>
      <c r="Y1484" s="71"/>
      <c r="Z1484" s="71"/>
      <c r="AA1484" s="456"/>
      <c r="AB1484" s="104"/>
      <c r="AC1484" s="485"/>
      <c r="AD1484" s="486"/>
      <c r="AE1484" s="485"/>
      <c r="AF1484" s="634"/>
      <c r="AG1484" s="97"/>
      <c r="AH1484" s="223"/>
      <c r="AI1484" s="569"/>
      <c r="AJ1484" s="569"/>
      <c r="AK1484" s="569"/>
      <c r="AL1484" s="569"/>
      <c r="AM1484" s="569"/>
      <c r="AN1484" s="589"/>
      <c r="AO1484" s="84"/>
      <c r="AP1484" s="5"/>
    </row>
    <row r="1485" spans="1:42" ht="13.5" customHeight="1" x14ac:dyDescent="0.35">
      <c r="A1485" s="4"/>
      <c r="B1485" s="614"/>
      <c r="C1485" s="71"/>
      <c r="D1485" s="71"/>
      <c r="E1485" s="71"/>
      <c r="F1485" s="71"/>
      <c r="G1485" s="71"/>
      <c r="H1485" s="87"/>
      <c r="I1485" s="71"/>
      <c r="J1485" s="71"/>
      <c r="K1485" s="71"/>
      <c r="L1485" s="87"/>
      <c r="M1485" s="71"/>
      <c r="N1485" s="71"/>
      <c r="O1485" s="71"/>
      <c r="P1485" s="311"/>
      <c r="Q1485" s="312"/>
      <c r="R1485" s="312"/>
      <c r="S1485" s="569"/>
      <c r="T1485" s="569"/>
      <c r="U1485" s="569"/>
      <c r="V1485" s="341"/>
      <c r="W1485" s="311"/>
      <c r="X1485" s="71"/>
      <c r="Y1485" s="71"/>
      <c r="Z1485" s="71"/>
      <c r="AA1485" s="456"/>
      <c r="AB1485" s="104"/>
      <c r="AC1485" s="485"/>
      <c r="AD1485" s="486"/>
      <c r="AE1485" s="485"/>
      <c r="AF1485" s="634"/>
      <c r="AG1485" s="97"/>
      <c r="AH1485" s="223"/>
      <c r="AI1485" s="569"/>
      <c r="AJ1485" s="569"/>
      <c r="AK1485" s="569"/>
      <c r="AL1485" s="569"/>
      <c r="AM1485" s="569"/>
      <c r="AN1485" s="589"/>
      <c r="AO1485" s="84"/>
      <c r="AP1485" s="5"/>
    </row>
    <row r="1486" spans="1:42" ht="13.5" customHeight="1" x14ac:dyDescent="0.35">
      <c r="A1486" s="4"/>
      <c r="B1486" s="614"/>
      <c r="C1486" s="71"/>
      <c r="D1486" s="71"/>
      <c r="E1486" s="71"/>
      <c r="F1486" s="71"/>
      <c r="G1486" s="71"/>
      <c r="H1486" s="87"/>
      <c r="I1486" s="71"/>
      <c r="J1486" s="71"/>
      <c r="K1486" s="71"/>
      <c r="L1486" s="87"/>
      <c r="M1486" s="71"/>
      <c r="N1486" s="71"/>
      <c r="O1486" s="71"/>
      <c r="P1486" s="311"/>
      <c r="Q1486" s="312"/>
      <c r="R1486" s="312"/>
      <c r="S1486" s="569"/>
      <c r="T1486" s="569"/>
      <c r="U1486" s="569"/>
      <c r="V1486" s="341"/>
      <c r="W1486" s="311"/>
      <c r="X1486" s="71"/>
      <c r="Y1486" s="71"/>
      <c r="Z1486" s="71"/>
      <c r="AA1486" s="456"/>
      <c r="AB1486" s="104"/>
      <c r="AC1486" s="485"/>
      <c r="AD1486" s="486"/>
      <c r="AE1486" s="485"/>
      <c r="AF1486" s="634"/>
      <c r="AG1486" s="97"/>
      <c r="AH1486" s="223"/>
      <c r="AI1486" s="569"/>
      <c r="AJ1486" s="569"/>
      <c r="AK1486" s="569"/>
      <c r="AL1486" s="569"/>
      <c r="AM1486" s="569"/>
      <c r="AN1486" s="589"/>
      <c r="AO1486" s="84"/>
      <c r="AP1486" s="5"/>
    </row>
    <row r="1487" spans="1:42" ht="13.5" customHeight="1" x14ac:dyDescent="0.35">
      <c r="A1487" s="4"/>
      <c r="B1487" s="614"/>
      <c r="C1487" s="71"/>
      <c r="D1487" s="71"/>
      <c r="E1487" s="71"/>
      <c r="F1487" s="71"/>
      <c r="G1487" s="71"/>
      <c r="H1487" s="87"/>
      <c r="I1487" s="71"/>
      <c r="J1487" s="71"/>
      <c r="K1487" s="71"/>
      <c r="L1487" s="87"/>
      <c r="M1487" s="71"/>
      <c r="N1487" s="71"/>
      <c r="O1487" s="71"/>
      <c r="P1487" s="311"/>
      <c r="Q1487" s="312"/>
      <c r="R1487" s="312"/>
      <c r="S1487" s="569"/>
      <c r="T1487" s="569"/>
      <c r="U1487" s="569"/>
      <c r="V1487" s="341"/>
      <c r="W1487" s="311"/>
      <c r="X1487" s="71"/>
      <c r="Y1487" s="71"/>
      <c r="Z1487" s="71"/>
      <c r="AA1487" s="456"/>
      <c r="AB1487" s="104"/>
      <c r="AC1487" s="485"/>
      <c r="AD1487" s="486"/>
      <c r="AE1487" s="485"/>
      <c r="AF1487" s="634"/>
      <c r="AG1487" s="97"/>
      <c r="AH1487" s="223"/>
      <c r="AI1487" s="569"/>
      <c r="AJ1487" s="569"/>
      <c r="AK1487" s="569"/>
      <c r="AL1487" s="569"/>
      <c r="AM1487" s="569"/>
      <c r="AN1487" s="589"/>
      <c r="AO1487" s="84"/>
      <c r="AP1487" s="5"/>
    </row>
    <row r="1488" spans="1:42" ht="13.5" customHeight="1" x14ac:dyDescent="0.35">
      <c r="A1488" s="4"/>
      <c r="B1488" s="614"/>
      <c r="C1488" s="71"/>
      <c r="D1488" s="71"/>
      <c r="E1488" s="71"/>
      <c r="F1488" s="71"/>
      <c r="G1488" s="71"/>
      <c r="H1488" s="87"/>
      <c r="I1488" s="71"/>
      <c r="J1488" s="71"/>
      <c r="K1488" s="71"/>
      <c r="L1488" s="87"/>
      <c r="M1488" s="71"/>
      <c r="N1488" s="71"/>
      <c r="O1488" s="71"/>
      <c r="P1488" s="311"/>
      <c r="Q1488" s="312"/>
      <c r="R1488" s="312"/>
      <c r="S1488" s="569"/>
      <c r="T1488" s="569"/>
      <c r="U1488" s="569"/>
      <c r="V1488" s="341"/>
      <c r="W1488" s="311"/>
      <c r="X1488" s="71"/>
      <c r="Y1488" s="71"/>
      <c r="Z1488" s="71"/>
      <c r="AA1488" s="456"/>
      <c r="AB1488" s="104"/>
      <c r="AC1488" s="485"/>
      <c r="AD1488" s="486"/>
      <c r="AE1488" s="485"/>
      <c r="AF1488" s="634"/>
      <c r="AG1488" s="97"/>
      <c r="AH1488" s="223"/>
      <c r="AI1488" s="569"/>
      <c r="AJ1488" s="569"/>
      <c r="AK1488" s="569"/>
      <c r="AL1488" s="569"/>
      <c r="AM1488" s="569"/>
      <c r="AN1488" s="589"/>
      <c r="AO1488" s="84"/>
      <c r="AP1488" s="5"/>
    </row>
    <row r="1489" spans="1:42" ht="13.5" customHeight="1" x14ac:dyDescent="0.35">
      <c r="A1489" s="4"/>
      <c r="B1489" s="614"/>
      <c r="C1489" s="71"/>
      <c r="D1489" s="71"/>
      <c r="E1489" s="71"/>
      <c r="F1489" s="71"/>
      <c r="G1489" s="71"/>
      <c r="H1489" s="87"/>
      <c r="I1489" s="71"/>
      <c r="J1489" s="71"/>
      <c r="K1489" s="71"/>
      <c r="L1489" s="87"/>
      <c r="M1489" s="71"/>
      <c r="N1489" s="71"/>
      <c r="O1489" s="71"/>
      <c r="P1489" s="311"/>
      <c r="Q1489" s="312"/>
      <c r="R1489" s="312"/>
      <c r="S1489" s="569"/>
      <c r="T1489" s="569"/>
      <c r="U1489" s="569"/>
      <c r="V1489" s="341"/>
      <c r="W1489" s="311"/>
      <c r="X1489" s="71"/>
      <c r="Y1489" s="71"/>
      <c r="Z1489" s="71"/>
      <c r="AA1489" s="456"/>
      <c r="AB1489" s="104"/>
      <c r="AC1489" s="485"/>
      <c r="AD1489" s="486"/>
      <c r="AE1489" s="485"/>
      <c r="AF1489" s="634"/>
      <c r="AG1489" s="97"/>
      <c r="AH1489" s="223"/>
      <c r="AI1489" s="569"/>
      <c r="AJ1489" s="569"/>
      <c r="AK1489" s="569"/>
      <c r="AL1489" s="569"/>
      <c r="AM1489" s="569"/>
      <c r="AN1489" s="589"/>
      <c r="AO1489" s="84"/>
      <c r="AP1489" s="5"/>
    </row>
    <row r="1490" spans="1:42" ht="13.5" customHeight="1" x14ac:dyDescent="0.35">
      <c r="A1490" s="4"/>
      <c r="B1490" s="614"/>
      <c r="C1490" s="71"/>
      <c r="D1490" s="71"/>
      <c r="E1490" s="71"/>
      <c r="F1490" s="71"/>
      <c r="G1490" s="71"/>
      <c r="H1490" s="87"/>
      <c r="I1490" s="71"/>
      <c r="J1490" s="71"/>
      <c r="K1490" s="71"/>
      <c r="L1490" s="87"/>
      <c r="M1490" s="71"/>
      <c r="N1490" s="71"/>
      <c r="O1490" s="71"/>
      <c r="P1490" s="311"/>
      <c r="Q1490" s="312"/>
      <c r="R1490" s="312"/>
      <c r="S1490" s="569"/>
      <c r="T1490" s="569"/>
      <c r="U1490" s="569"/>
      <c r="V1490" s="341"/>
      <c r="W1490" s="311"/>
      <c r="X1490" s="71"/>
      <c r="Y1490" s="71"/>
      <c r="Z1490" s="71"/>
      <c r="AA1490" s="456"/>
      <c r="AB1490" s="104"/>
      <c r="AC1490" s="485"/>
      <c r="AD1490" s="486"/>
      <c r="AE1490" s="485"/>
      <c r="AF1490" s="634"/>
      <c r="AG1490" s="97"/>
      <c r="AH1490" s="223"/>
      <c r="AI1490" s="569"/>
      <c r="AJ1490" s="569"/>
      <c r="AK1490" s="569"/>
      <c r="AL1490" s="569"/>
      <c r="AM1490" s="569"/>
      <c r="AN1490" s="589"/>
      <c r="AO1490" s="84"/>
      <c r="AP1490" s="5"/>
    </row>
    <row r="1491" spans="1:42" ht="13.5" customHeight="1" x14ac:dyDescent="0.35">
      <c r="A1491" s="4"/>
      <c r="B1491" s="614"/>
      <c r="C1491" s="71"/>
      <c r="D1491" s="71"/>
      <c r="E1491" s="71"/>
      <c r="F1491" s="71"/>
      <c r="G1491" s="71"/>
      <c r="H1491" s="87"/>
      <c r="I1491" s="71"/>
      <c r="J1491" s="71"/>
      <c r="K1491" s="71"/>
      <c r="L1491" s="87"/>
      <c r="M1491" s="71"/>
      <c r="N1491" s="71"/>
      <c r="O1491" s="71"/>
      <c r="P1491" s="311"/>
      <c r="Q1491" s="312"/>
      <c r="R1491" s="312"/>
      <c r="S1491" s="569"/>
      <c r="T1491" s="569"/>
      <c r="U1491" s="569"/>
      <c r="V1491" s="341"/>
      <c r="W1491" s="311"/>
      <c r="X1491" s="71"/>
      <c r="Y1491" s="71"/>
      <c r="Z1491" s="71"/>
      <c r="AA1491" s="456"/>
      <c r="AB1491" s="104"/>
      <c r="AC1491" s="485"/>
      <c r="AD1491" s="486"/>
      <c r="AE1491" s="485"/>
      <c r="AF1491" s="634"/>
      <c r="AG1491" s="97"/>
      <c r="AH1491" s="223"/>
      <c r="AI1491" s="569"/>
      <c r="AJ1491" s="569"/>
      <c r="AK1491" s="569"/>
      <c r="AL1491" s="569"/>
      <c r="AM1491" s="569"/>
      <c r="AN1491" s="589"/>
      <c r="AO1491" s="84"/>
      <c r="AP1491" s="5"/>
    </row>
    <row r="1492" spans="1:42" ht="13.5" customHeight="1" x14ac:dyDescent="0.35">
      <c r="A1492" s="4"/>
      <c r="B1492" s="614"/>
      <c r="C1492" s="71"/>
      <c r="D1492" s="71"/>
      <c r="E1492" s="71"/>
      <c r="F1492" s="71"/>
      <c r="G1492" s="71"/>
      <c r="H1492" s="87"/>
      <c r="I1492" s="71"/>
      <c r="J1492" s="71"/>
      <c r="K1492" s="71"/>
      <c r="L1492" s="87"/>
      <c r="M1492" s="71"/>
      <c r="N1492" s="71"/>
      <c r="O1492" s="71"/>
      <c r="P1492" s="311"/>
      <c r="Q1492" s="312"/>
      <c r="R1492" s="312"/>
      <c r="S1492" s="569"/>
      <c r="T1492" s="569"/>
      <c r="U1492" s="569"/>
      <c r="V1492" s="341"/>
      <c r="W1492" s="311"/>
      <c r="X1492" s="71"/>
      <c r="Y1492" s="71"/>
      <c r="Z1492" s="71"/>
      <c r="AA1492" s="456"/>
      <c r="AB1492" s="104"/>
      <c r="AC1492" s="485"/>
      <c r="AD1492" s="486"/>
      <c r="AE1492" s="485"/>
      <c r="AF1492" s="634"/>
      <c r="AG1492" s="97"/>
      <c r="AH1492" s="223"/>
      <c r="AI1492" s="569"/>
      <c r="AJ1492" s="569"/>
      <c r="AK1492" s="569"/>
      <c r="AL1492" s="569"/>
      <c r="AM1492" s="569"/>
      <c r="AN1492" s="589"/>
      <c r="AO1492" s="84"/>
      <c r="AP1492" s="5"/>
    </row>
    <row r="1493" spans="1:42" ht="13.5" customHeight="1" x14ac:dyDescent="0.35">
      <c r="A1493" s="4"/>
      <c r="B1493" s="614"/>
      <c r="C1493" s="71"/>
      <c r="D1493" s="71"/>
      <c r="E1493" s="71"/>
      <c r="F1493" s="71"/>
      <c r="G1493" s="71"/>
      <c r="H1493" s="87"/>
      <c r="I1493" s="71"/>
      <c r="J1493" s="71"/>
      <c r="K1493" s="71"/>
      <c r="L1493" s="87"/>
      <c r="M1493" s="71"/>
      <c r="N1493" s="71"/>
      <c r="O1493" s="71"/>
      <c r="P1493" s="311"/>
      <c r="Q1493" s="312"/>
      <c r="R1493" s="312"/>
      <c r="S1493" s="569"/>
      <c r="T1493" s="569"/>
      <c r="U1493" s="569"/>
      <c r="V1493" s="341"/>
      <c r="W1493" s="311"/>
      <c r="X1493" s="71"/>
      <c r="Y1493" s="71"/>
      <c r="Z1493" s="71"/>
      <c r="AA1493" s="456"/>
      <c r="AB1493" s="104"/>
      <c r="AC1493" s="485"/>
      <c r="AD1493" s="486"/>
      <c r="AE1493" s="485"/>
      <c r="AF1493" s="634"/>
      <c r="AG1493" s="97"/>
      <c r="AH1493" s="223"/>
      <c r="AI1493" s="569"/>
      <c r="AJ1493" s="569"/>
      <c r="AK1493" s="569"/>
      <c r="AL1493" s="569"/>
      <c r="AM1493" s="569"/>
      <c r="AN1493" s="589"/>
      <c r="AO1493" s="84"/>
      <c r="AP1493" s="5"/>
    </row>
    <row r="1494" spans="1:42" ht="13.5" customHeight="1" x14ac:dyDescent="0.35">
      <c r="A1494" s="4"/>
      <c r="B1494" s="614"/>
      <c r="C1494" s="71"/>
      <c r="D1494" s="71"/>
      <c r="E1494" s="71"/>
      <c r="F1494" s="71"/>
      <c r="G1494" s="71"/>
      <c r="H1494" s="87"/>
      <c r="I1494" s="71"/>
      <c r="J1494" s="71"/>
      <c r="K1494" s="71"/>
      <c r="L1494" s="87"/>
      <c r="M1494" s="71"/>
      <c r="N1494" s="71"/>
      <c r="O1494" s="71"/>
      <c r="P1494" s="311"/>
      <c r="Q1494" s="312"/>
      <c r="R1494" s="312"/>
      <c r="S1494" s="569"/>
      <c r="T1494" s="569"/>
      <c r="U1494" s="569"/>
      <c r="V1494" s="341"/>
      <c r="W1494" s="311"/>
      <c r="X1494" s="71"/>
      <c r="Y1494" s="71"/>
      <c r="Z1494" s="71"/>
      <c r="AA1494" s="456"/>
      <c r="AB1494" s="104"/>
      <c r="AC1494" s="485"/>
      <c r="AD1494" s="486"/>
      <c r="AE1494" s="485"/>
      <c r="AF1494" s="634"/>
      <c r="AG1494" s="97"/>
      <c r="AH1494" s="223"/>
      <c r="AI1494" s="569"/>
      <c r="AJ1494" s="569"/>
      <c r="AK1494" s="569"/>
      <c r="AL1494" s="569"/>
      <c r="AM1494" s="569"/>
      <c r="AN1494" s="589"/>
      <c r="AO1494" s="84"/>
      <c r="AP1494" s="5"/>
    </row>
    <row r="1495" spans="1:42" ht="13.5" customHeight="1" x14ac:dyDescent="0.35">
      <c r="A1495" s="4"/>
      <c r="B1495" s="614"/>
      <c r="C1495" s="71"/>
      <c r="D1495" s="71"/>
      <c r="E1495" s="71"/>
      <c r="F1495" s="71"/>
      <c r="G1495" s="71"/>
      <c r="H1495" s="87"/>
      <c r="I1495" s="71"/>
      <c r="J1495" s="71"/>
      <c r="K1495" s="71"/>
      <c r="L1495" s="87"/>
      <c r="M1495" s="71"/>
      <c r="N1495" s="71"/>
      <c r="O1495" s="71"/>
      <c r="P1495" s="311"/>
      <c r="Q1495" s="312"/>
      <c r="R1495" s="312"/>
      <c r="S1495" s="569"/>
      <c r="T1495" s="569"/>
      <c r="U1495" s="569"/>
      <c r="V1495" s="341"/>
      <c r="W1495" s="311"/>
      <c r="X1495" s="71"/>
      <c r="Y1495" s="71"/>
      <c r="Z1495" s="71"/>
      <c r="AA1495" s="456"/>
      <c r="AB1495" s="104"/>
      <c r="AC1495" s="485"/>
      <c r="AD1495" s="486"/>
      <c r="AE1495" s="485"/>
      <c r="AF1495" s="634"/>
      <c r="AG1495" s="97"/>
      <c r="AH1495" s="223"/>
      <c r="AI1495" s="569"/>
      <c r="AJ1495" s="569"/>
      <c r="AK1495" s="569"/>
      <c r="AL1495" s="569"/>
      <c r="AM1495" s="569"/>
      <c r="AN1495" s="589"/>
      <c r="AO1495" s="84"/>
      <c r="AP1495" s="5"/>
    </row>
    <row r="1496" spans="1:42" ht="13.5" customHeight="1" x14ac:dyDescent="0.35">
      <c r="A1496" s="4"/>
      <c r="B1496" s="614"/>
      <c r="C1496" s="71"/>
      <c r="D1496" s="71"/>
      <c r="E1496" s="71"/>
      <c r="F1496" s="71"/>
      <c r="G1496" s="71"/>
      <c r="H1496" s="87"/>
      <c r="I1496" s="71"/>
      <c r="J1496" s="71"/>
      <c r="K1496" s="71"/>
      <c r="L1496" s="87"/>
      <c r="M1496" s="71"/>
      <c r="N1496" s="71"/>
      <c r="O1496" s="71"/>
      <c r="P1496" s="311"/>
      <c r="Q1496" s="312"/>
      <c r="R1496" s="312"/>
      <c r="S1496" s="569"/>
      <c r="T1496" s="569"/>
      <c r="U1496" s="569"/>
      <c r="V1496" s="341"/>
      <c r="W1496" s="311"/>
      <c r="X1496" s="71"/>
      <c r="Y1496" s="71"/>
      <c r="Z1496" s="71"/>
      <c r="AA1496" s="456"/>
      <c r="AB1496" s="104"/>
      <c r="AC1496" s="485"/>
      <c r="AD1496" s="486"/>
      <c r="AE1496" s="485"/>
      <c r="AF1496" s="634"/>
      <c r="AG1496" s="97"/>
      <c r="AH1496" s="223"/>
      <c r="AI1496" s="569"/>
      <c r="AJ1496" s="569"/>
      <c r="AK1496" s="569"/>
      <c r="AL1496" s="569"/>
      <c r="AM1496" s="569"/>
      <c r="AN1496" s="589"/>
      <c r="AO1496" s="84"/>
      <c r="AP1496" s="5"/>
    </row>
    <row r="1497" spans="1:42" ht="13.5" customHeight="1" x14ac:dyDescent="0.35">
      <c r="A1497" s="4"/>
      <c r="B1497" s="614"/>
      <c r="C1497" s="71"/>
      <c r="D1497" s="71"/>
      <c r="E1497" s="71"/>
      <c r="F1497" s="71"/>
      <c r="G1497" s="71"/>
      <c r="H1497" s="87"/>
      <c r="I1497" s="71"/>
      <c r="J1497" s="71"/>
      <c r="K1497" s="71"/>
      <c r="L1497" s="87"/>
      <c r="M1497" s="71"/>
      <c r="N1497" s="71"/>
      <c r="O1497" s="71"/>
      <c r="P1497" s="311"/>
      <c r="Q1497" s="312"/>
      <c r="R1497" s="312"/>
      <c r="S1497" s="569"/>
      <c r="T1497" s="569"/>
      <c r="U1497" s="569"/>
      <c r="V1497" s="341"/>
      <c r="W1497" s="311"/>
      <c r="X1497" s="71"/>
      <c r="Y1497" s="71"/>
      <c r="Z1497" s="71"/>
      <c r="AA1497" s="456"/>
      <c r="AB1497" s="104"/>
      <c r="AC1497" s="485"/>
      <c r="AD1497" s="486"/>
      <c r="AE1497" s="485"/>
      <c r="AF1497" s="634"/>
      <c r="AG1497" s="97"/>
      <c r="AH1497" s="223"/>
      <c r="AI1497" s="569"/>
      <c r="AJ1497" s="569"/>
      <c r="AK1497" s="569"/>
      <c r="AL1497" s="569"/>
      <c r="AM1497" s="569"/>
      <c r="AN1497" s="589"/>
      <c r="AO1497" s="84"/>
      <c r="AP1497" s="5"/>
    </row>
    <row r="1498" spans="1:42" ht="13.5" customHeight="1" x14ac:dyDescent="0.35">
      <c r="A1498" s="4"/>
      <c r="B1498" s="614"/>
      <c r="C1498" s="71"/>
      <c r="D1498" s="71"/>
      <c r="E1498" s="71"/>
      <c r="F1498" s="71"/>
      <c r="G1498" s="71"/>
      <c r="H1498" s="87"/>
      <c r="I1498" s="71"/>
      <c r="J1498" s="71"/>
      <c r="K1498" s="71"/>
      <c r="L1498" s="87"/>
      <c r="M1498" s="71"/>
      <c r="N1498" s="71"/>
      <c r="O1498" s="71"/>
      <c r="P1498" s="311"/>
      <c r="Q1498" s="312"/>
      <c r="R1498" s="312"/>
      <c r="S1498" s="569"/>
      <c r="T1498" s="569"/>
      <c r="U1498" s="569"/>
      <c r="V1498" s="341"/>
      <c r="W1498" s="311"/>
      <c r="X1498" s="71"/>
      <c r="Y1498" s="71"/>
      <c r="Z1498" s="71"/>
      <c r="AA1498" s="456"/>
      <c r="AB1498" s="104"/>
      <c r="AC1498" s="485"/>
      <c r="AD1498" s="486"/>
      <c r="AE1498" s="485"/>
      <c r="AF1498" s="634"/>
      <c r="AG1498" s="97"/>
      <c r="AH1498" s="223"/>
      <c r="AI1498" s="569"/>
      <c r="AJ1498" s="569"/>
      <c r="AK1498" s="569"/>
      <c r="AL1498" s="569"/>
      <c r="AM1498" s="569"/>
      <c r="AN1498" s="589"/>
      <c r="AO1498" s="84"/>
      <c r="AP1498" s="5"/>
    </row>
    <row r="1499" spans="1:42" ht="13.5" customHeight="1" x14ac:dyDescent="0.35">
      <c r="A1499" s="4"/>
      <c r="B1499" s="614"/>
      <c r="C1499" s="71"/>
      <c r="D1499" s="71"/>
      <c r="E1499" s="71"/>
      <c r="F1499" s="71"/>
      <c r="G1499" s="71"/>
      <c r="H1499" s="87"/>
      <c r="I1499" s="71"/>
      <c r="J1499" s="71"/>
      <c r="K1499" s="71"/>
      <c r="L1499" s="87"/>
      <c r="M1499" s="71"/>
      <c r="N1499" s="71"/>
      <c r="O1499" s="71"/>
      <c r="P1499" s="311"/>
      <c r="Q1499" s="312"/>
      <c r="R1499" s="312"/>
      <c r="S1499" s="569"/>
      <c r="T1499" s="569"/>
      <c r="U1499" s="569"/>
      <c r="V1499" s="341"/>
      <c r="W1499" s="311"/>
      <c r="X1499" s="71"/>
      <c r="Y1499" s="71"/>
      <c r="Z1499" s="71"/>
      <c r="AA1499" s="456"/>
      <c r="AB1499" s="104"/>
      <c r="AC1499" s="485"/>
      <c r="AD1499" s="486"/>
      <c r="AE1499" s="485"/>
      <c r="AF1499" s="634"/>
      <c r="AG1499" s="97"/>
      <c r="AH1499" s="223"/>
      <c r="AI1499" s="569"/>
      <c r="AJ1499" s="569"/>
      <c r="AK1499" s="569"/>
      <c r="AL1499" s="569"/>
      <c r="AM1499" s="569"/>
      <c r="AN1499" s="589"/>
      <c r="AO1499" s="84"/>
      <c r="AP1499" s="5"/>
    </row>
    <row r="1500" spans="1:42" ht="13.5" customHeight="1" x14ac:dyDescent="0.35">
      <c r="A1500" s="4"/>
      <c r="B1500" s="614"/>
      <c r="C1500" s="71"/>
      <c r="D1500" s="71"/>
      <c r="E1500" s="71"/>
      <c r="F1500" s="71"/>
      <c r="G1500" s="71"/>
      <c r="H1500" s="87"/>
      <c r="I1500" s="71"/>
      <c r="J1500" s="71"/>
      <c r="K1500" s="71"/>
      <c r="L1500" s="87"/>
      <c r="M1500" s="71"/>
      <c r="N1500" s="71"/>
      <c r="O1500" s="71"/>
      <c r="P1500" s="311"/>
      <c r="Q1500" s="312"/>
      <c r="R1500" s="312"/>
      <c r="S1500" s="569"/>
      <c r="T1500" s="569"/>
      <c r="U1500" s="569"/>
      <c r="V1500" s="341"/>
      <c r="W1500" s="311"/>
      <c r="X1500" s="71"/>
      <c r="Y1500" s="71"/>
      <c r="Z1500" s="71"/>
      <c r="AA1500" s="456"/>
      <c r="AB1500" s="104"/>
      <c r="AC1500" s="485"/>
      <c r="AD1500" s="486"/>
      <c r="AE1500" s="485"/>
      <c r="AF1500" s="634"/>
      <c r="AG1500" s="97"/>
      <c r="AH1500" s="223"/>
      <c r="AI1500" s="569"/>
      <c r="AJ1500" s="569"/>
      <c r="AK1500" s="569"/>
      <c r="AL1500" s="569"/>
      <c r="AM1500" s="569"/>
      <c r="AN1500" s="589"/>
      <c r="AO1500" s="84"/>
      <c r="AP1500" s="5"/>
    </row>
    <row r="1501" spans="1:42" ht="13.5" customHeight="1" x14ac:dyDescent="0.35">
      <c r="A1501" s="4"/>
      <c r="B1501" s="614"/>
      <c r="C1501" s="71"/>
      <c r="D1501" s="71"/>
      <c r="E1501" s="71"/>
      <c r="F1501" s="71"/>
      <c r="G1501" s="71"/>
      <c r="H1501" s="87"/>
      <c r="I1501" s="71"/>
      <c r="J1501" s="71"/>
      <c r="K1501" s="71"/>
      <c r="L1501" s="87"/>
      <c r="M1501" s="71"/>
      <c r="N1501" s="71"/>
      <c r="O1501" s="71"/>
      <c r="P1501" s="311"/>
      <c r="Q1501" s="312"/>
      <c r="R1501" s="312"/>
      <c r="S1501" s="569"/>
      <c r="T1501" s="569"/>
      <c r="U1501" s="569"/>
      <c r="V1501" s="341"/>
      <c r="W1501" s="311"/>
      <c r="X1501" s="71"/>
      <c r="Y1501" s="71"/>
      <c r="Z1501" s="71"/>
      <c r="AA1501" s="456"/>
      <c r="AB1501" s="104"/>
      <c r="AC1501" s="485"/>
      <c r="AD1501" s="486"/>
      <c r="AE1501" s="485"/>
      <c r="AF1501" s="634"/>
      <c r="AG1501" s="97"/>
      <c r="AH1501" s="223"/>
      <c r="AI1501" s="569"/>
      <c r="AJ1501" s="569"/>
      <c r="AK1501" s="569"/>
      <c r="AL1501" s="569"/>
      <c r="AM1501" s="569"/>
      <c r="AN1501" s="589"/>
      <c r="AO1501" s="84"/>
      <c r="AP1501" s="5"/>
    </row>
    <row r="1502" spans="1:42" ht="13.5" customHeight="1" x14ac:dyDescent="0.35">
      <c r="A1502" s="4"/>
      <c r="B1502" s="614"/>
      <c r="C1502" s="71"/>
      <c r="D1502" s="71"/>
      <c r="E1502" s="71"/>
      <c r="F1502" s="71"/>
      <c r="G1502" s="71"/>
      <c r="H1502" s="87"/>
      <c r="I1502" s="71"/>
      <c r="J1502" s="71"/>
      <c r="K1502" s="71"/>
      <c r="L1502" s="87"/>
      <c r="M1502" s="71"/>
      <c r="N1502" s="71"/>
      <c r="O1502" s="71"/>
      <c r="P1502" s="311"/>
      <c r="Q1502" s="312"/>
      <c r="R1502" s="312"/>
      <c r="S1502" s="569"/>
      <c r="T1502" s="569"/>
      <c r="U1502" s="569"/>
      <c r="V1502" s="341"/>
      <c r="W1502" s="311"/>
      <c r="X1502" s="71"/>
      <c r="Y1502" s="71"/>
      <c r="Z1502" s="71"/>
      <c r="AA1502" s="456"/>
      <c r="AB1502" s="104"/>
      <c r="AC1502" s="485"/>
      <c r="AD1502" s="486"/>
      <c r="AE1502" s="485"/>
      <c r="AF1502" s="634"/>
      <c r="AG1502" s="97"/>
      <c r="AH1502" s="223"/>
      <c r="AI1502" s="569"/>
      <c r="AJ1502" s="569"/>
      <c r="AK1502" s="569"/>
      <c r="AL1502" s="569"/>
      <c r="AM1502" s="569"/>
      <c r="AN1502" s="589"/>
      <c r="AO1502" s="84"/>
      <c r="AP1502" s="5"/>
    </row>
    <row r="1503" spans="1:42" ht="13.5" customHeight="1" x14ac:dyDescent="0.35">
      <c r="A1503" s="4"/>
      <c r="B1503" s="614"/>
      <c r="C1503" s="71"/>
      <c r="D1503" s="71"/>
      <c r="E1503" s="71"/>
      <c r="F1503" s="71"/>
      <c r="G1503" s="71"/>
      <c r="H1503" s="87"/>
      <c r="I1503" s="71"/>
      <c r="J1503" s="71"/>
      <c r="K1503" s="71"/>
      <c r="L1503" s="87"/>
      <c r="M1503" s="71"/>
      <c r="N1503" s="71"/>
      <c r="O1503" s="71"/>
      <c r="P1503" s="311"/>
      <c r="Q1503" s="312"/>
      <c r="R1503" s="312"/>
      <c r="S1503" s="569"/>
      <c r="T1503" s="569"/>
      <c r="U1503" s="569"/>
      <c r="V1503" s="341"/>
      <c r="W1503" s="311"/>
      <c r="X1503" s="71"/>
      <c r="Y1503" s="71"/>
      <c r="Z1503" s="71"/>
      <c r="AA1503" s="456"/>
      <c r="AB1503" s="104"/>
      <c r="AC1503" s="485"/>
      <c r="AD1503" s="486"/>
      <c r="AE1503" s="485"/>
      <c r="AF1503" s="634"/>
      <c r="AG1503" s="97"/>
      <c r="AH1503" s="223"/>
      <c r="AI1503" s="569"/>
      <c r="AJ1503" s="569"/>
      <c r="AK1503" s="569"/>
      <c r="AL1503" s="569"/>
      <c r="AM1503" s="569"/>
      <c r="AN1503" s="589"/>
      <c r="AO1503" s="84"/>
      <c r="AP1503" s="5"/>
    </row>
    <row r="1504" spans="1:42" ht="13.5" customHeight="1" x14ac:dyDescent="0.35">
      <c r="A1504" s="4"/>
      <c r="B1504" s="614"/>
      <c r="C1504" s="71"/>
      <c r="D1504" s="71"/>
      <c r="E1504" s="71"/>
      <c r="F1504" s="71"/>
      <c r="G1504" s="71"/>
      <c r="H1504" s="87"/>
      <c r="I1504" s="71"/>
      <c r="J1504" s="71"/>
      <c r="K1504" s="71"/>
      <c r="L1504" s="87"/>
      <c r="M1504" s="71"/>
      <c r="N1504" s="71"/>
      <c r="O1504" s="71"/>
      <c r="P1504" s="311"/>
      <c r="Q1504" s="312"/>
      <c r="R1504" s="312"/>
      <c r="S1504" s="569"/>
      <c r="T1504" s="569"/>
      <c r="U1504" s="569"/>
      <c r="V1504" s="341"/>
      <c r="W1504" s="311"/>
      <c r="X1504" s="71"/>
      <c r="Y1504" s="71"/>
      <c r="Z1504" s="71"/>
      <c r="AA1504" s="456"/>
      <c r="AB1504" s="104"/>
      <c r="AC1504" s="485"/>
      <c r="AD1504" s="486"/>
      <c r="AE1504" s="485"/>
      <c r="AF1504" s="634"/>
      <c r="AG1504" s="97"/>
      <c r="AH1504" s="223"/>
      <c r="AI1504" s="569"/>
      <c r="AJ1504" s="569"/>
      <c r="AK1504" s="569"/>
      <c r="AL1504" s="569"/>
      <c r="AM1504" s="569"/>
      <c r="AN1504" s="589"/>
      <c r="AO1504" s="84"/>
      <c r="AP1504" s="5"/>
    </row>
    <row r="1505" spans="1:42" ht="13.5" customHeight="1" x14ac:dyDescent="0.35">
      <c r="A1505" s="4"/>
      <c r="B1505" s="614"/>
      <c r="C1505" s="71"/>
      <c r="D1505" s="71"/>
      <c r="E1505" s="71"/>
      <c r="F1505" s="71"/>
      <c r="G1505" s="71"/>
      <c r="H1505" s="87"/>
      <c r="I1505" s="71"/>
      <c r="J1505" s="71"/>
      <c r="K1505" s="71"/>
      <c r="L1505" s="87"/>
      <c r="M1505" s="71"/>
      <c r="N1505" s="71"/>
      <c r="O1505" s="71"/>
      <c r="P1505" s="311"/>
      <c r="Q1505" s="312"/>
      <c r="R1505" s="312"/>
      <c r="S1505" s="569"/>
      <c r="T1505" s="569"/>
      <c r="U1505" s="569"/>
      <c r="V1505" s="341"/>
      <c r="W1505" s="311"/>
      <c r="X1505" s="71"/>
      <c r="Y1505" s="71"/>
      <c r="Z1505" s="71"/>
      <c r="AA1505" s="456"/>
      <c r="AB1505" s="104"/>
      <c r="AC1505" s="485"/>
      <c r="AD1505" s="486"/>
      <c r="AE1505" s="485"/>
      <c r="AF1505" s="634"/>
      <c r="AG1505" s="97"/>
      <c r="AH1505" s="223"/>
      <c r="AI1505" s="569"/>
      <c r="AJ1505" s="569"/>
      <c r="AK1505" s="569"/>
      <c r="AL1505" s="569"/>
      <c r="AM1505" s="569"/>
      <c r="AN1505" s="589"/>
      <c r="AO1505" s="84"/>
      <c r="AP1505" s="5"/>
    </row>
    <row r="1506" spans="1:42" ht="13.5" customHeight="1" x14ac:dyDescent="0.35">
      <c r="A1506" s="4"/>
      <c r="B1506" s="614"/>
      <c r="C1506" s="71"/>
      <c r="D1506" s="71"/>
      <c r="E1506" s="71"/>
      <c r="F1506" s="71"/>
      <c r="G1506" s="71"/>
      <c r="H1506" s="87"/>
      <c r="I1506" s="71"/>
      <c r="J1506" s="71"/>
      <c r="K1506" s="71"/>
      <c r="L1506" s="87"/>
      <c r="M1506" s="71"/>
      <c r="N1506" s="71"/>
      <c r="O1506" s="71"/>
      <c r="P1506" s="311"/>
      <c r="Q1506" s="312"/>
      <c r="R1506" s="312"/>
      <c r="S1506" s="569"/>
      <c r="T1506" s="569"/>
      <c r="U1506" s="569"/>
      <c r="V1506" s="341"/>
      <c r="W1506" s="311"/>
      <c r="X1506" s="71"/>
      <c r="Y1506" s="71"/>
      <c r="Z1506" s="71"/>
      <c r="AA1506" s="456"/>
      <c r="AB1506" s="104"/>
      <c r="AC1506" s="485"/>
      <c r="AD1506" s="486"/>
      <c r="AE1506" s="485"/>
      <c r="AF1506" s="634"/>
      <c r="AG1506" s="97"/>
      <c r="AH1506" s="223"/>
      <c r="AI1506" s="569"/>
      <c r="AJ1506" s="569"/>
      <c r="AK1506" s="569"/>
      <c r="AL1506" s="569"/>
      <c r="AM1506" s="569"/>
      <c r="AN1506" s="589"/>
      <c r="AO1506" s="84"/>
      <c r="AP1506" s="5"/>
    </row>
    <row r="1507" spans="1:42" ht="13.5" customHeight="1" x14ac:dyDescent="0.35">
      <c r="A1507" s="4"/>
      <c r="B1507" s="614"/>
      <c r="C1507" s="71"/>
      <c r="D1507" s="71"/>
      <c r="E1507" s="71"/>
      <c r="F1507" s="71"/>
      <c r="G1507" s="71"/>
      <c r="H1507" s="87"/>
      <c r="I1507" s="71"/>
      <c r="J1507" s="71"/>
      <c r="K1507" s="71"/>
      <c r="L1507" s="87"/>
      <c r="M1507" s="71"/>
      <c r="N1507" s="71"/>
      <c r="O1507" s="71"/>
      <c r="P1507" s="311"/>
      <c r="Q1507" s="312"/>
      <c r="R1507" s="312"/>
      <c r="S1507" s="569"/>
      <c r="T1507" s="569"/>
      <c r="U1507" s="569"/>
      <c r="V1507" s="341"/>
      <c r="W1507" s="311"/>
      <c r="X1507" s="71"/>
      <c r="Y1507" s="71"/>
      <c r="Z1507" s="71"/>
      <c r="AA1507" s="456"/>
      <c r="AB1507" s="104"/>
      <c r="AC1507" s="485"/>
      <c r="AD1507" s="486"/>
      <c r="AE1507" s="485"/>
      <c r="AF1507" s="634"/>
      <c r="AG1507" s="97"/>
      <c r="AH1507" s="223"/>
      <c r="AI1507" s="569"/>
      <c r="AJ1507" s="569"/>
      <c r="AK1507" s="569"/>
      <c r="AL1507" s="569"/>
      <c r="AM1507" s="569"/>
      <c r="AN1507" s="589"/>
      <c r="AO1507" s="84"/>
      <c r="AP1507" s="5"/>
    </row>
    <row r="1508" spans="1:42" ht="13.5" customHeight="1" x14ac:dyDescent="0.35">
      <c r="A1508" s="4"/>
      <c r="B1508" s="614"/>
      <c r="C1508" s="71"/>
      <c r="D1508" s="71"/>
      <c r="E1508" s="71"/>
      <c r="F1508" s="71"/>
      <c r="G1508" s="71"/>
      <c r="H1508" s="87"/>
      <c r="I1508" s="71"/>
      <c r="J1508" s="71"/>
      <c r="K1508" s="71"/>
      <c r="L1508" s="87"/>
      <c r="M1508" s="71"/>
      <c r="N1508" s="71"/>
      <c r="O1508" s="71"/>
      <c r="P1508" s="311"/>
      <c r="Q1508" s="312"/>
      <c r="R1508" s="312"/>
      <c r="S1508" s="569"/>
      <c r="T1508" s="569"/>
      <c r="U1508" s="569"/>
      <c r="V1508" s="341"/>
      <c r="W1508" s="311"/>
      <c r="X1508" s="71"/>
      <c r="Y1508" s="71"/>
      <c r="Z1508" s="71"/>
      <c r="AA1508" s="456"/>
      <c r="AB1508" s="104"/>
      <c r="AC1508" s="485"/>
      <c r="AD1508" s="486"/>
      <c r="AE1508" s="485"/>
      <c r="AF1508" s="634"/>
      <c r="AG1508" s="97"/>
      <c r="AH1508" s="223"/>
      <c r="AI1508" s="569"/>
      <c r="AJ1508" s="569"/>
      <c r="AK1508" s="569"/>
      <c r="AL1508" s="569"/>
      <c r="AM1508" s="569"/>
      <c r="AN1508" s="589"/>
      <c r="AO1508" s="84"/>
      <c r="AP1508" s="5"/>
    </row>
    <row r="1509" spans="1:42" ht="13.5" customHeight="1" x14ac:dyDescent="0.35">
      <c r="A1509" s="4"/>
      <c r="B1509" s="614"/>
      <c r="C1509" s="71"/>
      <c r="D1509" s="71"/>
      <c r="E1509" s="71"/>
      <c r="F1509" s="71"/>
      <c r="G1509" s="71"/>
      <c r="H1509" s="87"/>
      <c r="I1509" s="71"/>
      <c r="J1509" s="71"/>
      <c r="K1509" s="71"/>
      <c r="L1509" s="87"/>
      <c r="M1509" s="71"/>
      <c r="N1509" s="71"/>
      <c r="O1509" s="71"/>
      <c r="P1509" s="311"/>
      <c r="Q1509" s="312"/>
      <c r="R1509" s="312"/>
      <c r="S1509" s="569"/>
      <c r="T1509" s="569"/>
      <c r="U1509" s="569"/>
      <c r="V1509" s="341"/>
      <c r="W1509" s="311"/>
      <c r="X1509" s="71"/>
      <c r="Y1509" s="71"/>
      <c r="Z1509" s="71"/>
      <c r="AA1509" s="456"/>
      <c r="AB1509" s="104"/>
      <c r="AC1509" s="485"/>
      <c r="AD1509" s="486"/>
      <c r="AE1509" s="485"/>
      <c r="AF1509" s="634"/>
      <c r="AG1509" s="97"/>
      <c r="AH1509" s="223"/>
      <c r="AI1509" s="569"/>
      <c r="AJ1509" s="569"/>
      <c r="AK1509" s="569"/>
      <c r="AL1509" s="569"/>
      <c r="AM1509" s="569"/>
      <c r="AN1509" s="589"/>
      <c r="AO1509" s="84"/>
      <c r="AP1509" s="5"/>
    </row>
    <row r="1510" spans="1:42" ht="13.5" customHeight="1" x14ac:dyDescent="0.35">
      <c r="A1510" s="4"/>
      <c r="B1510" s="614"/>
      <c r="C1510" s="71"/>
      <c r="D1510" s="71"/>
      <c r="E1510" s="71"/>
      <c r="F1510" s="71"/>
      <c r="G1510" s="71"/>
      <c r="H1510" s="87"/>
      <c r="I1510" s="71"/>
      <c r="J1510" s="71"/>
      <c r="K1510" s="71"/>
      <c r="L1510" s="87"/>
      <c r="M1510" s="71"/>
      <c r="N1510" s="71"/>
      <c r="O1510" s="71"/>
      <c r="P1510" s="311"/>
      <c r="Q1510" s="312"/>
      <c r="R1510" s="312"/>
      <c r="S1510" s="569"/>
      <c r="T1510" s="569"/>
      <c r="U1510" s="569"/>
      <c r="V1510" s="341"/>
      <c r="W1510" s="311"/>
      <c r="X1510" s="71"/>
      <c r="Y1510" s="71"/>
      <c r="Z1510" s="71"/>
      <c r="AA1510" s="456"/>
      <c r="AB1510" s="104"/>
      <c r="AC1510" s="485"/>
      <c r="AD1510" s="486"/>
      <c r="AE1510" s="485"/>
      <c r="AF1510" s="634"/>
      <c r="AG1510" s="97"/>
      <c r="AH1510" s="223"/>
      <c r="AI1510" s="569"/>
      <c r="AJ1510" s="569"/>
      <c r="AK1510" s="569"/>
      <c r="AL1510" s="569"/>
      <c r="AM1510" s="569"/>
      <c r="AN1510" s="589"/>
      <c r="AO1510" s="84"/>
      <c r="AP1510" s="5"/>
    </row>
    <row r="1511" spans="1:42" ht="13.5" customHeight="1" x14ac:dyDescent="0.35">
      <c r="A1511" s="4"/>
      <c r="B1511" s="614"/>
      <c r="C1511" s="71"/>
      <c r="D1511" s="71"/>
      <c r="E1511" s="71"/>
      <c r="F1511" s="71"/>
      <c r="G1511" s="71"/>
      <c r="H1511" s="87"/>
      <c r="I1511" s="71"/>
      <c r="J1511" s="71"/>
      <c r="K1511" s="71"/>
      <c r="L1511" s="87"/>
      <c r="M1511" s="71"/>
      <c r="N1511" s="71"/>
      <c r="O1511" s="71"/>
      <c r="P1511" s="311"/>
      <c r="Q1511" s="312"/>
      <c r="R1511" s="312"/>
      <c r="S1511" s="569"/>
      <c r="T1511" s="569"/>
      <c r="U1511" s="569"/>
      <c r="V1511" s="341"/>
      <c r="W1511" s="311"/>
      <c r="X1511" s="71"/>
      <c r="Y1511" s="71"/>
      <c r="Z1511" s="71"/>
      <c r="AA1511" s="456"/>
      <c r="AB1511" s="104"/>
      <c r="AC1511" s="485"/>
      <c r="AD1511" s="486"/>
      <c r="AE1511" s="485"/>
      <c r="AF1511" s="634"/>
      <c r="AG1511" s="97"/>
      <c r="AH1511" s="223"/>
      <c r="AI1511" s="569"/>
      <c r="AJ1511" s="569"/>
      <c r="AK1511" s="569"/>
      <c r="AL1511" s="569"/>
      <c r="AM1511" s="569"/>
      <c r="AN1511" s="589"/>
      <c r="AO1511" s="84"/>
      <c r="AP1511" s="5"/>
    </row>
    <row r="1512" spans="1:42" ht="13.5" customHeight="1" x14ac:dyDescent="0.35">
      <c r="A1512" s="4"/>
      <c r="B1512" s="614"/>
      <c r="C1512" s="71"/>
      <c r="D1512" s="71"/>
      <c r="E1512" s="71"/>
      <c r="F1512" s="71"/>
      <c r="G1512" s="71"/>
      <c r="H1512" s="87"/>
      <c r="I1512" s="71"/>
      <c r="J1512" s="71"/>
      <c r="K1512" s="71"/>
      <c r="L1512" s="87"/>
      <c r="M1512" s="71"/>
      <c r="N1512" s="71"/>
      <c r="O1512" s="71"/>
      <c r="P1512" s="311"/>
      <c r="Q1512" s="312"/>
      <c r="R1512" s="312"/>
      <c r="S1512" s="569"/>
      <c r="T1512" s="569"/>
      <c r="U1512" s="569"/>
      <c r="V1512" s="341"/>
      <c r="W1512" s="311"/>
      <c r="X1512" s="71"/>
      <c r="Y1512" s="71"/>
      <c r="Z1512" s="71"/>
      <c r="AA1512" s="456"/>
      <c r="AB1512" s="104"/>
      <c r="AC1512" s="485"/>
      <c r="AD1512" s="486"/>
      <c r="AE1512" s="485"/>
      <c r="AF1512" s="634"/>
      <c r="AG1512" s="97"/>
      <c r="AH1512" s="223"/>
      <c r="AI1512" s="569"/>
      <c r="AJ1512" s="569"/>
      <c r="AK1512" s="569"/>
      <c r="AL1512" s="569"/>
      <c r="AM1512" s="569"/>
      <c r="AN1512" s="589"/>
      <c r="AO1512" s="84"/>
      <c r="AP1512" s="5"/>
    </row>
    <row r="1513" spans="1:42" ht="13.5" customHeight="1" x14ac:dyDescent="0.35">
      <c r="A1513" s="4"/>
      <c r="B1513" s="614"/>
      <c r="C1513" s="71"/>
      <c r="D1513" s="71"/>
      <c r="E1513" s="71"/>
      <c r="F1513" s="71"/>
      <c r="G1513" s="71"/>
      <c r="H1513" s="87"/>
      <c r="I1513" s="71"/>
      <c r="J1513" s="71"/>
      <c r="K1513" s="71"/>
      <c r="L1513" s="87"/>
      <c r="M1513" s="71"/>
      <c r="N1513" s="71"/>
      <c r="O1513" s="71"/>
      <c r="P1513" s="311"/>
      <c r="Q1513" s="312"/>
      <c r="R1513" s="312"/>
      <c r="S1513" s="569"/>
      <c r="T1513" s="569"/>
      <c r="U1513" s="569"/>
      <c r="V1513" s="341"/>
      <c r="W1513" s="311"/>
      <c r="X1513" s="71"/>
      <c r="Y1513" s="71"/>
      <c r="Z1513" s="71"/>
      <c r="AA1513" s="456"/>
      <c r="AB1513" s="104"/>
      <c r="AC1513" s="485"/>
      <c r="AD1513" s="486"/>
      <c r="AE1513" s="485"/>
      <c r="AF1513" s="634"/>
      <c r="AG1513" s="97"/>
      <c r="AH1513" s="223"/>
      <c r="AI1513" s="569"/>
      <c r="AJ1513" s="569"/>
      <c r="AK1513" s="569"/>
      <c r="AL1513" s="569"/>
      <c r="AM1513" s="569"/>
      <c r="AN1513" s="589"/>
      <c r="AO1513" s="84"/>
      <c r="AP1513" s="5"/>
    </row>
    <row r="1514" spans="1:42" ht="13.5" customHeight="1" x14ac:dyDescent="0.35">
      <c r="A1514" s="4"/>
      <c r="B1514" s="614"/>
      <c r="C1514" s="71"/>
      <c r="D1514" s="71"/>
      <c r="E1514" s="71"/>
      <c r="F1514" s="71"/>
      <c r="G1514" s="71"/>
      <c r="H1514" s="87"/>
      <c r="I1514" s="71"/>
      <c r="J1514" s="71"/>
      <c r="K1514" s="71"/>
      <c r="L1514" s="87"/>
      <c r="M1514" s="71"/>
      <c r="N1514" s="71"/>
      <c r="O1514" s="71"/>
      <c r="P1514" s="311"/>
      <c r="Q1514" s="312"/>
      <c r="R1514" s="312"/>
      <c r="S1514" s="569"/>
      <c r="T1514" s="569"/>
      <c r="U1514" s="569"/>
      <c r="V1514" s="341"/>
      <c r="W1514" s="311"/>
      <c r="X1514" s="71"/>
      <c r="Y1514" s="71"/>
      <c r="Z1514" s="71"/>
      <c r="AA1514" s="456"/>
      <c r="AB1514" s="104"/>
      <c r="AC1514" s="485"/>
      <c r="AD1514" s="486"/>
      <c r="AE1514" s="485"/>
      <c r="AF1514" s="634"/>
      <c r="AG1514" s="97"/>
      <c r="AH1514" s="223"/>
      <c r="AI1514" s="569"/>
      <c r="AJ1514" s="569"/>
      <c r="AK1514" s="569"/>
      <c r="AL1514" s="569"/>
      <c r="AM1514" s="569"/>
      <c r="AN1514" s="589"/>
      <c r="AO1514" s="84"/>
      <c r="AP1514" s="5"/>
    </row>
    <row r="1515" spans="1:42" ht="13.5" customHeight="1" x14ac:dyDescent="0.35">
      <c r="A1515" s="4"/>
      <c r="B1515" s="614"/>
      <c r="C1515" s="71"/>
      <c r="D1515" s="71"/>
      <c r="E1515" s="71"/>
      <c r="F1515" s="71"/>
      <c r="G1515" s="71"/>
      <c r="H1515" s="87"/>
      <c r="I1515" s="71"/>
      <c r="J1515" s="71"/>
      <c r="K1515" s="71"/>
      <c r="L1515" s="87"/>
      <c r="M1515" s="71"/>
      <c r="N1515" s="71"/>
      <c r="O1515" s="71"/>
      <c r="P1515" s="311"/>
      <c r="Q1515" s="312"/>
      <c r="R1515" s="312"/>
      <c r="S1515" s="569"/>
      <c r="T1515" s="569"/>
      <c r="U1515" s="569"/>
      <c r="V1515" s="341"/>
      <c r="W1515" s="311"/>
      <c r="X1515" s="71"/>
      <c r="Y1515" s="71"/>
      <c r="Z1515" s="71"/>
      <c r="AA1515" s="456"/>
      <c r="AB1515" s="104"/>
      <c r="AC1515" s="485"/>
      <c r="AD1515" s="486"/>
      <c r="AE1515" s="485"/>
      <c r="AF1515" s="634"/>
      <c r="AG1515" s="97"/>
      <c r="AH1515" s="223"/>
      <c r="AI1515" s="569"/>
      <c r="AJ1515" s="569"/>
      <c r="AK1515" s="569"/>
      <c r="AL1515" s="569"/>
      <c r="AM1515" s="569"/>
      <c r="AN1515" s="589"/>
      <c r="AO1515" s="84"/>
      <c r="AP1515" s="5"/>
    </row>
    <row r="1516" spans="1:42" ht="13.5" customHeight="1" x14ac:dyDescent="0.35">
      <c r="A1516" s="4"/>
      <c r="B1516" s="614"/>
      <c r="C1516" s="71"/>
      <c r="D1516" s="71"/>
      <c r="E1516" s="71"/>
      <c r="F1516" s="71"/>
      <c r="G1516" s="71"/>
      <c r="H1516" s="87"/>
      <c r="I1516" s="71"/>
      <c r="J1516" s="71"/>
      <c r="K1516" s="71"/>
      <c r="L1516" s="87"/>
      <c r="M1516" s="71"/>
      <c r="N1516" s="71"/>
      <c r="O1516" s="71"/>
      <c r="P1516" s="311"/>
      <c r="Q1516" s="312"/>
      <c r="R1516" s="312"/>
      <c r="S1516" s="569"/>
      <c r="T1516" s="569"/>
      <c r="U1516" s="569"/>
      <c r="V1516" s="341"/>
      <c r="W1516" s="311"/>
      <c r="X1516" s="71"/>
      <c r="Y1516" s="71"/>
      <c r="Z1516" s="71"/>
      <c r="AA1516" s="456"/>
      <c r="AB1516" s="104"/>
      <c r="AC1516" s="485"/>
      <c r="AD1516" s="486"/>
      <c r="AE1516" s="485"/>
      <c r="AF1516" s="634"/>
      <c r="AG1516" s="97"/>
      <c r="AH1516" s="223"/>
      <c r="AI1516" s="569"/>
      <c r="AJ1516" s="569"/>
      <c r="AK1516" s="569"/>
      <c r="AL1516" s="569"/>
      <c r="AM1516" s="569"/>
      <c r="AN1516" s="589"/>
      <c r="AO1516" s="84"/>
      <c r="AP1516" s="5"/>
    </row>
    <row r="1517" spans="1:42" ht="13.5" customHeight="1" x14ac:dyDescent="0.35">
      <c r="A1517" s="4"/>
      <c r="B1517" s="614"/>
      <c r="C1517" s="71"/>
      <c r="D1517" s="71"/>
      <c r="E1517" s="71"/>
      <c r="F1517" s="71"/>
      <c r="G1517" s="71"/>
      <c r="H1517" s="87"/>
      <c r="I1517" s="71"/>
      <c r="J1517" s="71"/>
      <c r="K1517" s="71"/>
      <c r="L1517" s="87"/>
      <c r="M1517" s="71"/>
      <c r="N1517" s="71"/>
      <c r="O1517" s="71"/>
      <c r="P1517" s="311"/>
      <c r="Q1517" s="312"/>
      <c r="R1517" s="312"/>
      <c r="S1517" s="569"/>
      <c r="T1517" s="569"/>
      <c r="U1517" s="569"/>
      <c r="V1517" s="341"/>
      <c r="W1517" s="311"/>
      <c r="X1517" s="71"/>
      <c r="Y1517" s="71"/>
      <c r="Z1517" s="71"/>
      <c r="AA1517" s="456"/>
      <c r="AB1517" s="104"/>
      <c r="AC1517" s="485"/>
      <c r="AD1517" s="486"/>
      <c r="AE1517" s="485"/>
      <c r="AF1517" s="634"/>
      <c r="AG1517" s="97"/>
      <c r="AH1517" s="223"/>
      <c r="AI1517" s="569"/>
      <c r="AJ1517" s="569"/>
      <c r="AK1517" s="569"/>
      <c r="AL1517" s="569"/>
      <c r="AM1517" s="569"/>
      <c r="AN1517" s="589"/>
      <c r="AO1517" s="84"/>
      <c r="AP1517" s="5"/>
    </row>
    <row r="1518" spans="1:42" ht="13.5" customHeight="1" x14ac:dyDescent="0.35">
      <c r="A1518" s="4"/>
      <c r="B1518" s="614"/>
      <c r="C1518" s="71"/>
      <c r="D1518" s="71"/>
      <c r="E1518" s="71"/>
      <c r="F1518" s="71"/>
      <c r="G1518" s="71"/>
      <c r="H1518" s="87"/>
      <c r="I1518" s="71"/>
      <c r="J1518" s="71"/>
      <c r="K1518" s="71"/>
      <c r="L1518" s="87"/>
      <c r="M1518" s="71"/>
      <c r="N1518" s="71"/>
      <c r="O1518" s="71"/>
      <c r="P1518" s="311"/>
      <c r="Q1518" s="312"/>
      <c r="R1518" s="312"/>
      <c r="S1518" s="569"/>
      <c r="T1518" s="569"/>
      <c r="U1518" s="569"/>
      <c r="V1518" s="341"/>
      <c r="W1518" s="311"/>
      <c r="X1518" s="71"/>
      <c r="Y1518" s="71"/>
      <c r="Z1518" s="71"/>
      <c r="AA1518" s="456"/>
      <c r="AB1518" s="104"/>
      <c r="AC1518" s="485"/>
      <c r="AD1518" s="486"/>
      <c r="AE1518" s="485"/>
      <c r="AF1518" s="634"/>
      <c r="AG1518" s="97"/>
      <c r="AH1518" s="223"/>
      <c r="AI1518" s="569"/>
      <c r="AJ1518" s="569"/>
      <c r="AK1518" s="569"/>
      <c r="AL1518" s="569"/>
      <c r="AM1518" s="569"/>
      <c r="AN1518" s="589"/>
      <c r="AO1518" s="84"/>
      <c r="AP1518" s="5"/>
    </row>
    <row r="1519" spans="1:42" ht="13.5" customHeight="1" x14ac:dyDescent="0.35">
      <c r="A1519" s="4"/>
      <c r="B1519" s="614"/>
      <c r="C1519" s="71"/>
      <c r="D1519" s="71"/>
      <c r="E1519" s="71"/>
      <c r="F1519" s="71"/>
      <c r="G1519" s="71"/>
      <c r="H1519" s="87"/>
      <c r="I1519" s="71"/>
      <c r="J1519" s="71"/>
      <c r="K1519" s="71"/>
      <c r="L1519" s="87"/>
      <c r="M1519" s="71"/>
      <c r="N1519" s="71"/>
      <c r="O1519" s="71"/>
      <c r="P1519" s="311"/>
      <c r="Q1519" s="312"/>
      <c r="R1519" s="312"/>
      <c r="S1519" s="569"/>
      <c r="T1519" s="569"/>
      <c r="U1519" s="569"/>
      <c r="V1519" s="341"/>
      <c r="W1519" s="311"/>
      <c r="X1519" s="71"/>
      <c r="Y1519" s="71"/>
      <c r="Z1519" s="71"/>
      <c r="AA1519" s="456"/>
      <c r="AB1519" s="104"/>
      <c r="AC1519" s="485"/>
      <c r="AD1519" s="486"/>
      <c r="AE1519" s="485"/>
      <c r="AF1519" s="634"/>
      <c r="AG1519" s="97"/>
      <c r="AH1519" s="223"/>
      <c r="AI1519" s="569"/>
      <c r="AJ1519" s="569"/>
      <c r="AK1519" s="569"/>
      <c r="AL1519" s="569"/>
      <c r="AM1519" s="569"/>
      <c r="AN1519" s="589"/>
      <c r="AO1519" s="84"/>
      <c r="AP1519" s="5"/>
    </row>
    <row r="1520" spans="1:42" ht="13.5" customHeight="1" x14ac:dyDescent="0.35">
      <c r="A1520" s="4"/>
      <c r="B1520" s="614"/>
      <c r="C1520" s="71"/>
      <c r="D1520" s="71"/>
      <c r="E1520" s="71"/>
      <c r="F1520" s="71"/>
      <c r="G1520" s="71"/>
      <c r="H1520" s="87"/>
      <c r="I1520" s="71"/>
      <c r="J1520" s="71"/>
      <c r="K1520" s="71"/>
      <c r="L1520" s="87"/>
      <c r="M1520" s="71"/>
      <c r="N1520" s="71"/>
      <c r="O1520" s="71"/>
      <c r="P1520" s="311"/>
      <c r="Q1520" s="312"/>
      <c r="R1520" s="312"/>
      <c r="S1520" s="569"/>
      <c r="T1520" s="569"/>
      <c r="U1520" s="569"/>
      <c r="V1520" s="341"/>
      <c r="W1520" s="311"/>
      <c r="X1520" s="71"/>
      <c r="Y1520" s="71"/>
      <c r="Z1520" s="71"/>
      <c r="AA1520" s="456"/>
      <c r="AB1520" s="104"/>
      <c r="AC1520" s="485"/>
      <c r="AD1520" s="486"/>
      <c r="AE1520" s="485"/>
      <c r="AF1520" s="634"/>
      <c r="AG1520" s="97"/>
      <c r="AH1520" s="223"/>
      <c r="AI1520" s="569"/>
      <c r="AJ1520" s="569"/>
      <c r="AK1520" s="569"/>
      <c r="AL1520" s="569"/>
      <c r="AM1520" s="569"/>
      <c r="AN1520" s="589"/>
      <c r="AO1520" s="84"/>
      <c r="AP1520" s="5"/>
    </row>
    <row r="1521" spans="1:42" ht="13.5" customHeight="1" x14ac:dyDescent="0.35">
      <c r="A1521" s="4"/>
      <c r="B1521" s="614"/>
      <c r="C1521" s="71"/>
      <c r="D1521" s="71"/>
      <c r="E1521" s="71"/>
      <c r="F1521" s="71"/>
      <c r="G1521" s="71"/>
      <c r="H1521" s="87"/>
      <c r="I1521" s="71"/>
      <c r="J1521" s="71"/>
      <c r="K1521" s="71"/>
      <c r="L1521" s="87"/>
      <c r="M1521" s="71"/>
      <c r="N1521" s="71"/>
      <c r="O1521" s="71"/>
      <c r="P1521" s="311"/>
      <c r="Q1521" s="312"/>
      <c r="R1521" s="312"/>
      <c r="S1521" s="569"/>
      <c r="T1521" s="569"/>
      <c r="U1521" s="569"/>
      <c r="V1521" s="341"/>
      <c r="W1521" s="311"/>
      <c r="X1521" s="71"/>
      <c r="Y1521" s="71"/>
      <c r="Z1521" s="71"/>
      <c r="AA1521" s="456"/>
      <c r="AB1521" s="104"/>
      <c r="AC1521" s="485"/>
      <c r="AD1521" s="486"/>
      <c r="AE1521" s="485"/>
      <c r="AF1521" s="634"/>
      <c r="AG1521" s="97"/>
      <c r="AH1521" s="223"/>
      <c r="AI1521" s="569"/>
      <c r="AJ1521" s="569"/>
      <c r="AK1521" s="569"/>
      <c r="AL1521" s="569"/>
      <c r="AM1521" s="569"/>
      <c r="AN1521" s="589"/>
      <c r="AO1521" s="84"/>
      <c r="AP1521" s="5"/>
    </row>
    <row r="1522" spans="1:42" ht="13.5" customHeight="1" x14ac:dyDescent="0.35">
      <c r="A1522" s="4"/>
      <c r="B1522" s="614"/>
      <c r="C1522" s="71"/>
      <c r="D1522" s="71"/>
      <c r="E1522" s="71"/>
      <c r="F1522" s="71"/>
      <c r="G1522" s="71"/>
      <c r="H1522" s="87"/>
      <c r="I1522" s="71"/>
      <c r="J1522" s="71"/>
      <c r="K1522" s="71"/>
      <c r="L1522" s="87"/>
      <c r="M1522" s="71"/>
      <c r="N1522" s="71"/>
      <c r="O1522" s="71"/>
      <c r="P1522" s="311"/>
      <c r="Q1522" s="312"/>
      <c r="R1522" s="312"/>
      <c r="S1522" s="569"/>
      <c r="T1522" s="569"/>
      <c r="U1522" s="569"/>
      <c r="V1522" s="341"/>
      <c r="W1522" s="311"/>
      <c r="X1522" s="71"/>
      <c r="Y1522" s="71"/>
      <c r="Z1522" s="71"/>
      <c r="AA1522" s="456"/>
      <c r="AB1522" s="104"/>
      <c r="AC1522" s="485"/>
      <c r="AD1522" s="486"/>
      <c r="AE1522" s="485"/>
      <c r="AF1522" s="634"/>
      <c r="AG1522" s="97"/>
      <c r="AH1522" s="223"/>
      <c r="AI1522" s="569"/>
      <c r="AJ1522" s="569"/>
      <c r="AK1522" s="569"/>
      <c r="AL1522" s="569"/>
      <c r="AM1522" s="569"/>
      <c r="AN1522" s="589"/>
      <c r="AO1522" s="84"/>
      <c r="AP1522" s="5"/>
    </row>
    <row r="1523" spans="1:42" ht="13.5" customHeight="1" x14ac:dyDescent="0.35">
      <c r="A1523" s="4"/>
      <c r="B1523" s="614"/>
      <c r="C1523" s="71"/>
      <c r="D1523" s="71"/>
      <c r="E1523" s="71"/>
      <c r="F1523" s="71"/>
      <c r="G1523" s="71"/>
      <c r="H1523" s="87"/>
      <c r="I1523" s="71"/>
      <c r="J1523" s="71"/>
      <c r="K1523" s="71"/>
      <c r="L1523" s="87"/>
      <c r="M1523" s="71"/>
      <c r="N1523" s="71"/>
      <c r="O1523" s="71"/>
      <c r="P1523" s="311"/>
      <c r="Q1523" s="312"/>
      <c r="R1523" s="312"/>
      <c r="S1523" s="569"/>
      <c r="T1523" s="569"/>
      <c r="U1523" s="569"/>
      <c r="V1523" s="341"/>
      <c r="W1523" s="311"/>
      <c r="X1523" s="71"/>
      <c r="Y1523" s="71"/>
      <c r="Z1523" s="71"/>
      <c r="AA1523" s="456"/>
      <c r="AB1523" s="104"/>
      <c r="AC1523" s="485"/>
      <c r="AD1523" s="486"/>
      <c r="AE1523" s="485"/>
      <c r="AF1523" s="634"/>
      <c r="AG1523" s="97"/>
      <c r="AH1523" s="223"/>
      <c r="AI1523" s="569"/>
      <c r="AJ1523" s="569"/>
      <c r="AK1523" s="569"/>
      <c r="AL1523" s="569"/>
      <c r="AM1523" s="569"/>
      <c r="AN1523" s="589"/>
      <c r="AO1523" s="84"/>
      <c r="AP1523" s="5"/>
    </row>
    <row r="1524" spans="1:42" ht="13.5" customHeight="1" x14ac:dyDescent="0.35">
      <c r="A1524" s="4"/>
      <c r="B1524" s="614"/>
      <c r="C1524" s="71"/>
      <c r="D1524" s="71"/>
      <c r="E1524" s="71"/>
      <c r="F1524" s="71"/>
      <c r="G1524" s="71"/>
      <c r="H1524" s="87"/>
      <c r="I1524" s="71"/>
      <c r="J1524" s="71"/>
      <c r="K1524" s="71"/>
      <c r="L1524" s="87"/>
      <c r="M1524" s="71"/>
      <c r="N1524" s="71"/>
      <c r="O1524" s="71"/>
      <c r="P1524" s="311"/>
      <c r="Q1524" s="312"/>
      <c r="R1524" s="312"/>
      <c r="S1524" s="569"/>
      <c r="T1524" s="569"/>
      <c r="U1524" s="569"/>
      <c r="V1524" s="341"/>
      <c r="W1524" s="311"/>
      <c r="X1524" s="71"/>
      <c r="Y1524" s="71"/>
      <c r="Z1524" s="71"/>
      <c r="AA1524" s="456"/>
      <c r="AB1524" s="104"/>
      <c r="AC1524" s="485"/>
      <c r="AD1524" s="486"/>
      <c r="AE1524" s="485"/>
      <c r="AF1524" s="634"/>
      <c r="AG1524" s="97"/>
      <c r="AH1524" s="223"/>
      <c r="AI1524" s="569"/>
      <c r="AJ1524" s="569"/>
      <c r="AK1524" s="569"/>
      <c r="AL1524" s="569"/>
      <c r="AM1524" s="569"/>
      <c r="AN1524" s="589"/>
      <c r="AO1524" s="84"/>
      <c r="AP1524" s="5"/>
    </row>
    <row r="1525" spans="1:42" ht="13.5" customHeight="1" x14ac:dyDescent="0.35">
      <c r="A1525" s="4"/>
      <c r="B1525" s="614"/>
      <c r="C1525" s="71"/>
      <c r="D1525" s="71"/>
      <c r="E1525" s="71"/>
      <c r="F1525" s="71"/>
      <c r="G1525" s="71"/>
      <c r="H1525" s="87"/>
      <c r="I1525" s="71"/>
      <c r="J1525" s="71"/>
      <c r="K1525" s="71"/>
      <c r="L1525" s="87"/>
      <c r="M1525" s="71"/>
      <c r="N1525" s="71"/>
      <c r="O1525" s="71"/>
      <c r="P1525" s="311"/>
      <c r="Q1525" s="312"/>
      <c r="R1525" s="312"/>
      <c r="S1525" s="569"/>
      <c r="T1525" s="569"/>
      <c r="U1525" s="569"/>
      <c r="V1525" s="341"/>
      <c r="W1525" s="311"/>
      <c r="X1525" s="71"/>
      <c r="Y1525" s="71"/>
      <c r="Z1525" s="71"/>
      <c r="AA1525" s="456"/>
      <c r="AB1525" s="104"/>
      <c r="AC1525" s="485"/>
      <c r="AD1525" s="486"/>
      <c r="AE1525" s="485"/>
      <c r="AF1525" s="634"/>
      <c r="AG1525" s="97"/>
      <c r="AH1525" s="223"/>
      <c r="AI1525" s="569"/>
      <c r="AJ1525" s="569"/>
      <c r="AK1525" s="569"/>
      <c r="AL1525" s="569"/>
      <c r="AM1525" s="569"/>
      <c r="AN1525" s="589"/>
      <c r="AO1525" s="84"/>
      <c r="AP1525" s="5"/>
    </row>
    <row r="1526" spans="1:42" ht="13.5" customHeight="1" x14ac:dyDescent="0.35">
      <c r="A1526" s="4"/>
      <c r="B1526" s="614"/>
      <c r="C1526" s="71"/>
      <c r="D1526" s="71"/>
      <c r="E1526" s="71"/>
      <c r="F1526" s="71"/>
      <c r="G1526" s="71"/>
      <c r="H1526" s="87"/>
      <c r="I1526" s="71"/>
      <c r="J1526" s="71"/>
      <c r="K1526" s="71"/>
      <c r="L1526" s="87"/>
      <c r="M1526" s="71"/>
      <c r="N1526" s="71"/>
      <c r="O1526" s="71"/>
      <c r="P1526" s="311"/>
      <c r="Q1526" s="312"/>
      <c r="R1526" s="312"/>
      <c r="S1526" s="569"/>
      <c r="T1526" s="569"/>
      <c r="U1526" s="569"/>
      <c r="V1526" s="341"/>
      <c r="W1526" s="311"/>
      <c r="X1526" s="71"/>
      <c r="Y1526" s="71"/>
      <c r="Z1526" s="71"/>
      <c r="AA1526" s="456"/>
      <c r="AB1526" s="104"/>
      <c r="AC1526" s="485"/>
      <c r="AD1526" s="486"/>
      <c r="AE1526" s="485"/>
      <c r="AF1526" s="634"/>
      <c r="AG1526" s="97"/>
      <c r="AH1526" s="223"/>
      <c r="AI1526" s="569"/>
      <c r="AJ1526" s="569"/>
      <c r="AK1526" s="569"/>
      <c r="AL1526" s="569"/>
      <c r="AM1526" s="569"/>
      <c r="AN1526" s="589"/>
      <c r="AO1526" s="84"/>
      <c r="AP1526" s="5"/>
    </row>
    <row r="1527" spans="1:42" ht="13.5" customHeight="1" x14ac:dyDescent="0.35">
      <c r="A1527" s="4"/>
      <c r="B1527" s="614"/>
      <c r="C1527" s="71"/>
      <c r="D1527" s="71"/>
      <c r="E1527" s="71"/>
      <c r="F1527" s="71"/>
      <c r="G1527" s="71"/>
      <c r="H1527" s="87"/>
      <c r="I1527" s="71"/>
      <c r="J1527" s="71"/>
      <c r="K1527" s="71"/>
      <c r="L1527" s="87"/>
      <c r="M1527" s="71"/>
      <c r="N1527" s="71"/>
      <c r="O1527" s="71"/>
      <c r="P1527" s="311"/>
      <c r="Q1527" s="312"/>
      <c r="R1527" s="312"/>
      <c r="S1527" s="569"/>
      <c r="T1527" s="569"/>
      <c r="U1527" s="569"/>
      <c r="V1527" s="341"/>
      <c r="W1527" s="311"/>
      <c r="X1527" s="71"/>
      <c r="Y1527" s="71"/>
      <c r="Z1527" s="71"/>
      <c r="AA1527" s="456"/>
      <c r="AB1527" s="104"/>
      <c r="AC1527" s="485"/>
      <c r="AD1527" s="486"/>
      <c r="AE1527" s="485"/>
      <c r="AF1527" s="634"/>
      <c r="AG1527" s="97"/>
      <c r="AH1527" s="223"/>
      <c r="AI1527" s="569"/>
      <c r="AJ1527" s="569"/>
      <c r="AK1527" s="569"/>
      <c r="AL1527" s="569"/>
      <c r="AM1527" s="569"/>
      <c r="AN1527" s="589"/>
      <c r="AO1527" s="84"/>
      <c r="AP1527" s="5"/>
    </row>
    <row r="1528" spans="1:42" ht="13.5" customHeight="1" x14ac:dyDescent="0.35">
      <c r="A1528" s="4"/>
      <c r="B1528" s="614"/>
      <c r="C1528" s="71"/>
      <c r="D1528" s="71"/>
      <c r="E1528" s="71"/>
      <c r="F1528" s="71"/>
      <c r="G1528" s="71"/>
      <c r="H1528" s="87"/>
      <c r="I1528" s="71"/>
      <c r="J1528" s="71"/>
      <c r="K1528" s="71"/>
      <c r="L1528" s="87"/>
      <c r="M1528" s="71"/>
      <c r="N1528" s="71"/>
      <c r="O1528" s="71"/>
      <c r="P1528" s="311"/>
      <c r="Q1528" s="312"/>
      <c r="R1528" s="312"/>
      <c r="S1528" s="569"/>
      <c r="T1528" s="569"/>
      <c r="U1528" s="569"/>
      <c r="V1528" s="341"/>
      <c r="W1528" s="311"/>
      <c r="X1528" s="71"/>
      <c r="Y1528" s="71"/>
      <c r="Z1528" s="71"/>
      <c r="AA1528" s="456"/>
      <c r="AB1528" s="104"/>
      <c r="AC1528" s="485"/>
      <c r="AD1528" s="486"/>
      <c r="AE1528" s="485"/>
      <c r="AF1528" s="634"/>
      <c r="AG1528" s="97"/>
      <c r="AH1528" s="223"/>
      <c r="AI1528" s="569"/>
      <c r="AJ1528" s="569"/>
      <c r="AK1528" s="569"/>
      <c r="AL1528" s="569"/>
      <c r="AM1528" s="569"/>
      <c r="AN1528" s="589"/>
      <c r="AO1528" s="84"/>
      <c r="AP1528" s="5"/>
    </row>
    <row r="1529" spans="1:42" ht="13.5" customHeight="1" x14ac:dyDescent="0.35">
      <c r="A1529" s="4"/>
      <c r="B1529" s="614"/>
      <c r="C1529" s="71"/>
      <c r="D1529" s="71"/>
      <c r="E1529" s="71"/>
      <c r="F1529" s="71"/>
      <c r="G1529" s="71"/>
      <c r="H1529" s="87"/>
      <c r="I1529" s="71"/>
      <c r="J1529" s="71"/>
      <c r="K1529" s="71"/>
      <c r="L1529" s="87"/>
      <c r="M1529" s="71"/>
      <c r="N1529" s="71"/>
      <c r="O1529" s="71"/>
      <c r="P1529" s="311"/>
      <c r="Q1529" s="312"/>
      <c r="R1529" s="312"/>
      <c r="S1529" s="569"/>
      <c r="T1529" s="569"/>
      <c r="U1529" s="569"/>
      <c r="V1529" s="341"/>
      <c r="W1529" s="311"/>
      <c r="X1529" s="71"/>
      <c r="Y1529" s="71"/>
      <c r="Z1529" s="71"/>
      <c r="AA1529" s="456"/>
      <c r="AB1529" s="104"/>
      <c r="AC1529" s="485"/>
      <c r="AD1529" s="486"/>
      <c r="AE1529" s="485"/>
      <c r="AF1529" s="634"/>
      <c r="AG1529" s="97"/>
      <c r="AH1529" s="223"/>
      <c r="AI1529" s="569"/>
      <c r="AJ1529" s="569"/>
      <c r="AK1529" s="569"/>
      <c r="AL1529" s="569"/>
      <c r="AM1529" s="569"/>
      <c r="AN1529" s="589"/>
      <c r="AO1529" s="84"/>
      <c r="AP1529" s="5"/>
    </row>
    <row r="1530" spans="1:42" ht="13.5" customHeight="1" x14ac:dyDescent="0.35">
      <c r="A1530" s="4"/>
      <c r="B1530" s="614"/>
      <c r="C1530" s="71"/>
      <c r="D1530" s="71"/>
      <c r="E1530" s="71"/>
      <c r="F1530" s="71"/>
      <c r="G1530" s="71"/>
      <c r="H1530" s="87"/>
      <c r="I1530" s="71"/>
      <c r="J1530" s="71"/>
      <c r="K1530" s="71"/>
      <c r="L1530" s="87"/>
      <c r="M1530" s="71"/>
      <c r="N1530" s="71"/>
      <c r="O1530" s="71"/>
      <c r="P1530" s="311"/>
      <c r="Q1530" s="312"/>
      <c r="R1530" s="312"/>
      <c r="S1530" s="569"/>
      <c r="T1530" s="569"/>
      <c r="U1530" s="569"/>
      <c r="V1530" s="341"/>
      <c r="W1530" s="311"/>
      <c r="X1530" s="71"/>
      <c r="Y1530" s="71"/>
      <c r="Z1530" s="71"/>
      <c r="AA1530" s="456"/>
      <c r="AB1530" s="104"/>
      <c r="AC1530" s="485"/>
      <c r="AD1530" s="486"/>
      <c r="AE1530" s="485"/>
      <c r="AF1530" s="634"/>
      <c r="AG1530" s="97"/>
      <c r="AH1530" s="223"/>
      <c r="AI1530" s="569"/>
      <c r="AJ1530" s="569"/>
      <c r="AK1530" s="569"/>
      <c r="AL1530" s="569"/>
      <c r="AM1530" s="569"/>
      <c r="AN1530" s="589"/>
      <c r="AO1530" s="84"/>
      <c r="AP1530" s="5"/>
    </row>
    <row r="1531" spans="1:42" ht="13.5" customHeight="1" x14ac:dyDescent="0.35">
      <c r="A1531" s="4"/>
      <c r="B1531" s="614"/>
      <c r="C1531" s="71"/>
      <c r="D1531" s="71"/>
      <c r="E1531" s="71"/>
      <c r="F1531" s="71"/>
      <c r="G1531" s="71"/>
      <c r="H1531" s="87"/>
      <c r="I1531" s="71"/>
      <c r="J1531" s="71"/>
      <c r="K1531" s="71"/>
      <c r="L1531" s="87"/>
      <c r="M1531" s="71"/>
      <c r="N1531" s="71"/>
      <c r="O1531" s="71"/>
      <c r="P1531" s="311"/>
      <c r="Q1531" s="312"/>
      <c r="R1531" s="312"/>
      <c r="S1531" s="569"/>
      <c r="T1531" s="569"/>
      <c r="U1531" s="569"/>
      <c r="V1531" s="341"/>
      <c r="W1531" s="311"/>
      <c r="X1531" s="71"/>
      <c r="Y1531" s="71"/>
      <c r="Z1531" s="71"/>
      <c r="AA1531" s="456"/>
      <c r="AB1531" s="104"/>
      <c r="AC1531" s="485"/>
      <c r="AD1531" s="486"/>
      <c r="AE1531" s="485"/>
      <c r="AF1531" s="634"/>
      <c r="AG1531" s="97"/>
      <c r="AH1531" s="223"/>
      <c r="AI1531" s="569"/>
      <c r="AJ1531" s="569"/>
      <c r="AK1531" s="569"/>
      <c r="AL1531" s="569"/>
      <c r="AM1531" s="569"/>
      <c r="AN1531" s="589"/>
      <c r="AO1531" s="84"/>
      <c r="AP1531" s="5"/>
    </row>
    <row r="1532" spans="1:42" ht="13.5" customHeight="1" x14ac:dyDescent="0.35">
      <c r="A1532" s="4"/>
      <c r="B1532" s="614"/>
      <c r="C1532" s="71"/>
      <c r="D1532" s="71"/>
      <c r="E1532" s="71"/>
      <c r="F1532" s="71"/>
      <c r="G1532" s="71"/>
      <c r="H1532" s="87"/>
      <c r="I1532" s="71"/>
      <c r="J1532" s="71"/>
      <c r="K1532" s="71"/>
      <c r="L1532" s="87"/>
      <c r="M1532" s="71"/>
      <c r="N1532" s="71"/>
      <c r="O1532" s="71"/>
      <c r="P1532" s="311"/>
      <c r="Q1532" s="312"/>
      <c r="R1532" s="312"/>
      <c r="S1532" s="569"/>
      <c r="T1532" s="569"/>
      <c r="U1532" s="569"/>
      <c r="V1532" s="341"/>
      <c r="W1532" s="311"/>
      <c r="X1532" s="71"/>
      <c r="Y1532" s="71"/>
      <c r="Z1532" s="71"/>
      <c r="AA1532" s="456"/>
      <c r="AB1532" s="104"/>
      <c r="AC1532" s="485"/>
      <c r="AD1532" s="486"/>
      <c r="AE1532" s="485"/>
      <c r="AF1532" s="634"/>
      <c r="AG1532" s="97"/>
      <c r="AH1532" s="223"/>
      <c r="AI1532" s="569"/>
      <c r="AJ1532" s="569"/>
      <c r="AK1532" s="569"/>
      <c r="AL1532" s="569"/>
      <c r="AM1532" s="569"/>
      <c r="AN1532" s="589"/>
      <c r="AO1532" s="84"/>
      <c r="AP1532" s="5"/>
    </row>
    <row r="1533" spans="1:42" ht="13.5" customHeight="1" x14ac:dyDescent="0.35">
      <c r="A1533" s="4"/>
      <c r="B1533" s="614"/>
      <c r="C1533" s="71"/>
      <c r="D1533" s="71"/>
      <c r="E1533" s="71"/>
      <c r="F1533" s="71"/>
      <c r="G1533" s="71"/>
      <c r="H1533" s="87"/>
      <c r="I1533" s="71"/>
      <c r="J1533" s="71"/>
      <c r="K1533" s="71"/>
      <c r="L1533" s="87"/>
      <c r="M1533" s="71"/>
      <c r="N1533" s="71"/>
      <c r="O1533" s="71"/>
      <c r="P1533" s="311"/>
      <c r="Q1533" s="312"/>
      <c r="R1533" s="312"/>
      <c r="S1533" s="569"/>
      <c r="T1533" s="569"/>
      <c r="U1533" s="569"/>
      <c r="V1533" s="341"/>
      <c r="W1533" s="311"/>
      <c r="X1533" s="71"/>
      <c r="Y1533" s="71"/>
      <c r="Z1533" s="71"/>
      <c r="AA1533" s="456"/>
      <c r="AB1533" s="104"/>
      <c r="AC1533" s="485"/>
      <c r="AD1533" s="486"/>
      <c r="AE1533" s="485"/>
      <c r="AF1533" s="634"/>
      <c r="AG1533" s="97"/>
      <c r="AH1533" s="223"/>
      <c r="AI1533" s="569"/>
      <c r="AJ1533" s="569"/>
      <c r="AK1533" s="569"/>
      <c r="AL1533" s="569"/>
      <c r="AM1533" s="569"/>
      <c r="AN1533" s="589"/>
      <c r="AO1533" s="84"/>
      <c r="AP1533" s="5"/>
    </row>
    <row r="1534" spans="1:42" ht="13.5" customHeight="1" x14ac:dyDescent="0.35">
      <c r="A1534" s="4"/>
      <c r="B1534" s="614"/>
      <c r="C1534" s="71"/>
      <c r="D1534" s="71"/>
      <c r="E1534" s="71"/>
      <c r="F1534" s="71"/>
      <c r="G1534" s="71"/>
      <c r="H1534" s="87"/>
      <c r="I1534" s="71"/>
      <c r="J1534" s="71"/>
      <c r="K1534" s="71"/>
      <c r="L1534" s="87"/>
      <c r="M1534" s="71"/>
      <c r="N1534" s="71"/>
      <c r="O1534" s="71"/>
      <c r="P1534" s="311"/>
      <c r="Q1534" s="312"/>
      <c r="R1534" s="312"/>
      <c r="S1534" s="569"/>
      <c r="T1534" s="569"/>
      <c r="U1534" s="569"/>
      <c r="V1534" s="341"/>
      <c r="W1534" s="311"/>
      <c r="X1534" s="71"/>
      <c r="Y1534" s="71"/>
      <c r="Z1534" s="71"/>
      <c r="AA1534" s="456"/>
      <c r="AB1534" s="104"/>
      <c r="AC1534" s="485"/>
      <c r="AD1534" s="486"/>
      <c r="AE1534" s="485"/>
      <c r="AF1534" s="634"/>
      <c r="AG1534" s="97"/>
      <c r="AH1534" s="223"/>
      <c r="AI1534" s="569"/>
      <c r="AJ1534" s="569"/>
      <c r="AK1534" s="569"/>
      <c r="AL1534" s="569"/>
      <c r="AM1534" s="569"/>
      <c r="AN1534" s="589"/>
      <c r="AO1534" s="84"/>
      <c r="AP1534" s="5"/>
    </row>
    <row r="1535" spans="1:42" ht="13.5" customHeight="1" x14ac:dyDescent="0.35">
      <c r="A1535" s="4"/>
      <c r="B1535" s="614"/>
      <c r="C1535" s="71"/>
      <c r="D1535" s="71"/>
      <c r="E1535" s="71"/>
      <c r="F1535" s="71"/>
      <c r="G1535" s="71"/>
      <c r="H1535" s="87"/>
      <c r="I1535" s="71"/>
      <c r="J1535" s="71"/>
      <c r="K1535" s="71"/>
      <c r="L1535" s="87"/>
      <c r="M1535" s="71"/>
      <c r="N1535" s="71"/>
      <c r="O1535" s="71"/>
      <c r="P1535" s="311"/>
      <c r="Q1535" s="312"/>
      <c r="R1535" s="312"/>
      <c r="S1535" s="569"/>
      <c r="T1535" s="569"/>
      <c r="U1535" s="569"/>
      <c r="V1535" s="341"/>
      <c r="W1535" s="311"/>
      <c r="X1535" s="71"/>
      <c r="Y1535" s="71"/>
      <c r="Z1535" s="71"/>
      <c r="AA1535" s="456"/>
      <c r="AB1535" s="104"/>
      <c r="AC1535" s="485"/>
      <c r="AD1535" s="486"/>
      <c r="AE1535" s="485"/>
      <c r="AF1535" s="634"/>
      <c r="AG1535" s="97"/>
      <c r="AH1535" s="223"/>
      <c r="AI1535" s="569"/>
      <c r="AJ1535" s="569"/>
      <c r="AK1535" s="569"/>
      <c r="AL1535" s="569"/>
      <c r="AM1535" s="569"/>
      <c r="AN1535" s="589"/>
      <c r="AO1535" s="84"/>
      <c r="AP1535" s="5"/>
    </row>
    <row r="1536" spans="1:42" ht="13.5" customHeight="1" x14ac:dyDescent="0.35">
      <c r="A1536" s="4"/>
      <c r="B1536" s="614"/>
      <c r="C1536" s="71"/>
      <c r="D1536" s="71"/>
      <c r="E1536" s="71"/>
      <c r="F1536" s="71"/>
      <c r="G1536" s="71"/>
      <c r="H1536" s="87"/>
      <c r="I1536" s="71"/>
      <c r="J1536" s="71"/>
      <c r="K1536" s="71"/>
      <c r="L1536" s="87"/>
      <c r="M1536" s="71"/>
      <c r="N1536" s="71"/>
      <c r="O1536" s="71"/>
      <c r="P1536" s="311"/>
      <c r="Q1536" s="312"/>
      <c r="R1536" s="312"/>
      <c r="S1536" s="569"/>
      <c r="T1536" s="569"/>
      <c r="U1536" s="569"/>
      <c r="V1536" s="341"/>
      <c r="W1536" s="311"/>
      <c r="X1536" s="71"/>
      <c r="Y1536" s="71"/>
      <c r="Z1536" s="71"/>
      <c r="AA1536" s="456"/>
      <c r="AB1536" s="104"/>
      <c r="AC1536" s="485"/>
      <c r="AD1536" s="486"/>
      <c r="AE1536" s="485"/>
      <c r="AF1536" s="634"/>
      <c r="AG1536" s="97"/>
      <c r="AH1536" s="223"/>
      <c r="AI1536" s="569"/>
      <c r="AJ1536" s="569"/>
      <c r="AK1536" s="569"/>
      <c r="AL1536" s="569"/>
      <c r="AM1536" s="569"/>
      <c r="AN1536" s="589"/>
      <c r="AO1536" s="84"/>
      <c r="AP1536" s="5"/>
    </row>
    <row r="1537" spans="1:42" ht="13.5" customHeight="1" x14ac:dyDescent="0.35">
      <c r="A1537" s="4"/>
      <c r="B1537" s="614"/>
      <c r="C1537" s="71"/>
      <c r="D1537" s="71"/>
      <c r="E1537" s="71"/>
      <c r="F1537" s="71"/>
      <c r="G1537" s="71"/>
      <c r="H1537" s="87"/>
      <c r="I1537" s="71"/>
      <c r="J1537" s="71"/>
      <c r="K1537" s="71"/>
      <c r="L1537" s="87"/>
      <c r="M1537" s="71"/>
      <c r="N1537" s="71"/>
      <c r="O1537" s="71"/>
      <c r="P1537" s="311"/>
      <c r="Q1537" s="312"/>
      <c r="R1537" s="312"/>
      <c r="S1537" s="569"/>
      <c r="T1537" s="569"/>
      <c r="U1537" s="569"/>
      <c r="V1537" s="341"/>
      <c r="W1537" s="311"/>
      <c r="X1537" s="71"/>
      <c r="Y1537" s="71"/>
      <c r="Z1537" s="71"/>
      <c r="AA1537" s="456"/>
      <c r="AB1537" s="104"/>
      <c r="AC1537" s="485"/>
      <c r="AD1537" s="486"/>
      <c r="AE1537" s="485"/>
      <c r="AF1537" s="634"/>
      <c r="AG1537" s="97"/>
      <c r="AH1537" s="223"/>
      <c r="AI1537" s="569"/>
      <c r="AJ1537" s="569"/>
      <c r="AK1537" s="569"/>
      <c r="AL1537" s="569"/>
      <c r="AM1537" s="569"/>
      <c r="AN1537" s="589"/>
      <c r="AO1537" s="84"/>
      <c r="AP1537" s="5"/>
    </row>
    <row r="1538" spans="1:42" ht="13.5" customHeight="1" x14ac:dyDescent="0.35">
      <c r="A1538" s="4"/>
      <c r="B1538" s="614"/>
      <c r="C1538" s="71"/>
      <c r="D1538" s="71"/>
      <c r="E1538" s="71"/>
      <c r="F1538" s="71"/>
      <c r="G1538" s="71"/>
      <c r="H1538" s="87"/>
      <c r="I1538" s="71"/>
      <c r="J1538" s="71"/>
      <c r="K1538" s="71"/>
      <c r="L1538" s="87"/>
      <c r="M1538" s="71"/>
      <c r="N1538" s="71"/>
      <c r="O1538" s="71"/>
      <c r="P1538" s="311"/>
      <c r="Q1538" s="312"/>
      <c r="R1538" s="312"/>
      <c r="S1538" s="569"/>
      <c r="T1538" s="569"/>
      <c r="U1538" s="569"/>
      <c r="V1538" s="341"/>
      <c r="W1538" s="311"/>
      <c r="X1538" s="71"/>
      <c r="Y1538" s="71"/>
      <c r="Z1538" s="71"/>
      <c r="AA1538" s="456"/>
      <c r="AB1538" s="104"/>
      <c r="AC1538" s="485"/>
      <c r="AD1538" s="486"/>
      <c r="AE1538" s="485"/>
      <c r="AF1538" s="634"/>
      <c r="AG1538" s="97"/>
      <c r="AH1538" s="223"/>
      <c r="AI1538" s="569"/>
      <c r="AJ1538" s="569"/>
      <c r="AK1538" s="569"/>
      <c r="AL1538" s="569"/>
      <c r="AM1538" s="569"/>
      <c r="AN1538" s="589"/>
      <c r="AO1538" s="84"/>
      <c r="AP1538" s="5"/>
    </row>
    <row r="1539" spans="1:42" ht="13.5" customHeight="1" x14ac:dyDescent="0.35">
      <c r="A1539" s="4"/>
      <c r="B1539" s="614"/>
      <c r="C1539" s="71"/>
      <c r="D1539" s="71"/>
      <c r="E1539" s="71"/>
      <c r="F1539" s="71"/>
      <c r="G1539" s="71"/>
      <c r="H1539" s="87"/>
      <c r="I1539" s="71"/>
      <c r="J1539" s="71"/>
      <c r="K1539" s="71"/>
      <c r="L1539" s="87"/>
      <c r="M1539" s="71"/>
      <c r="N1539" s="71"/>
      <c r="O1539" s="71"/>
      <c r="P1539" s="311"/>
      <c r="Q1539" s="312"/>
      <c r="R1539" s="312"/>
      <c r="S1539" s="569"/>
      <c r="T1539" s="569"/>
      <c r="U1539" s="569"/>
      <c r="V1539" s="341"/>
      <c r="W1539" s="311"/>
      <c r="X1539" s="71"/>
      <c r="Y1539" s="71"/>
      <c r="Z1539" s="71"/>
      <c r="AA1539" s="456"/>
      <c r="AB1539" s="104"/>
      <c r="AC1539" s="485"/>
      <c r="AD1539" s="486"/>
      <c r="AE1539" s="485"/>
      <c r="AF1539" s="634"/>
      <c r="AG1539" s="97"/>
      <c r="AH1539" s="223"/>
      <c r="AI1539" s="569"/>
      <c r="AJ1539" s="569"/>
      <c r="AK1539" s="569"/>
      <c r="AL1539" s="569"/>
      <c r="AM1539" s="569"/>
      <c r="AN1539" s="589"/>
      <c r="AO1539" s="84"/>
      <c r="AP1539" s="5"/>
    </row>
    <row r="1540" spans="1:42" ht="13.5" customHeight="1" x14ac:dyDescent="0.35">
      <c r="A1540" s="4"/>
      <c r="B1540" s="614"/>
      <c r="C1540" s="71"/>
      <c r="D1540" s="71"/>
      <c r="E1540" s="71"/>
      <c r="F1540" s="71"/>
      <c r="G1540" s="71"/>
      <c r="H1540" s="87"/>
      <c r="I1540" s="71"/>
      <c r="J1540" s="71"/>
      <c r="K1540" s="71"/>
      <c r="L1540" s="87"/>
      <c r="M1540" s="71"/>
      <c r="N1540" s="71"/>
      <c r="O1540" s="71"/>
      <c r="P1540" s="311"/>
      <c r="Q1540" s="312"/>
      <c r="R1540" s="312"/>
      <c r="S1540" s="569"/>
      <c r="T1540" s="569"/>
      <c r="U1540" s="569"/>
      <c r="V1540" s="341"/>
      <c r="W1540" s="311"/>
      <c r="X1540" s="71"/>
      <c r="Y1540" s="71"/>
      <c r="Z1540" s="71"/>
      <c r="AA1540" s="456"/>
      <c r="AB1540" s="104"/>
      <c r="AC1540" s="485"/>
      <c r="AD1540" s="486"/>
      <c r="AE1540" s="485"/>
      <c r="AF1540" s="634"/>
      <c r="AG1540" s="97"/>
      <c r="AH1540" s="223"/>
      <c r="AI1540" s="569"/>
      <c r="AJ1540" s="569"/>
      <c r="AK1540" s="569"/>
      <c r="AL1540" s="569"/>
      <c r="AM1540" s="569"/>
      <c r="AN1540" s="589"/>
      <c r="AO1540" s="84"/>
      <c r="AP1540" s="5"/>
    </row>
    <row r="1541" spans="1:42" ht="13.5" customHeight="1" x14ac:dyDescent="0.35">
      <c r="A1541" s="4"/>
      <c r="B1541" s="614"/>
      <c r="C1541" s="71"/>
      <c r="D1541" s="71"/>
      <c r="E1541" s="71"/>
      <c r="F1541" s="71"/>
      <c r="G1541" s="71"/>
      <c r="H1541" s="87"/>
      <c r="I1541" s="71"/>
      <c r="J1541" s="71"/>
      <c r="K1541" s="71"/>
      <c r="L1541" s="87"/>
      <c r="M1541" s="71"/>
      <c r="N1541" s="71"/>
      <c r="O1541" s="71"/>
      <c r="P1541" s="311"/>
      <c r="Q1541" s="312"/>
      <c r="R1541" s="312"/>
      <c r="S1541" s="569"/>
      <c r="T1541" s="569"/>
      <c r="U1541" s="569"/>
      <c r="V1541" s="341"/>
      <c r="W1541" s="311"/>
      <c r="X1541" s="71"/>
      <c r="Y1541" s="71"/>
      <c r="Z1541" s="71"/>
      <c r="AA1541" s="456"/>
      <c r="AB1541" s="104"/>
      <c r="AC1541" s="485"/>
      <c r="AD1541" s="486"/>
      <c r="AE1541" s="485"/>
      <c r="AF1541" s="634"/>
      <c r="AG1541" s="97"/>
      <c r="AH1541" s="223"/>
      <c r="AI1541" s="569"/>
      <c r="AJ1541" s="569"/>
      <c r="AK1541" s="569"/>
      <c r="AL1541" s="569"/>
      <c r="AM1541" s="569"/>
      <c r="AN1541" s="589"/>
      <c r="AO1541" s="84"/>
      <c r="AP1541" s="5"/>
    </row>
    <row r="1542" spans="1:42" ht="13.5" customHeight="1" x14ac:dyDescent="0.35">
      <c r="A1542" s="4"/>
      <c r="B1542" s="614"/>
      <c r="C1542" s="71"/>
      <c r="D1542" s="71"/>
      <c r="E1542" s="71"/>
      <c r="F1542" s="71"/>
      <c r="G1542" s="71"/>
      <c r="H1542" s="87"/>
      <c r="I1542" s="71"/>
      <c r="J1542" s="71"/>
      <c r="K1542" s="71"/>
      <c r="L1542" s="87"/>
      <c r="M1542" s="71"/>
      <c r="N1542" s="71"/>
      <c r="O1542" s="71"/>
      <c r="P1542" s="311"/>
      <c r="Q1542" s="312"/>
      <c r="R1542" s="312"/>
      <c r="S1542" s="569"/>
      <c r="T1542" s="569"/>
      <c r="U1542" s="569"/>
      <c r="V1542" s="341"/>
      <c r="W1542" s="311"/>
      <c r="X1542" s="71"/>
      <c r="Y1542" s="71"/>
      <c r="Z1542" s="71"/>
      <c r="AA1542" s="456"/>
      <c r="AB1542" s="104"/>
      <c r="AC1542" s="485"/>
      <c r="AD1542" s="486"/>
      <c r="AE1542" s="485"/>
      <c r="AF1542" s="634"/>
      <c r="AG1542" s="97"/>
      <c r="AH1542" s="223"/>
      <c r="AI1542" s="569"/>
      <c r="AJ1542" s="569"/>
      <c r="AK1542" s="569"/>
      <c r="AL1542" s="569"/>
      <c r="AM1542" s="569"/>
      <c r="AN1542" s="589"/>
      <c r="AO1542" s="84"/>
      <c r="AP1542" s="5"/>
    </row>
    <row r="1543" spans="1:42" ht="13.5" customHeight="1" x14ac:dyDescent="0.35">
      <c r="A1543" s="4"/>
      <c r="B1543" s="614"/>
      <c r="C1543" s="71"/>
      <c r="D1543" s="71"/>
      <c r="E1543" s="71"/>
      <c r="F1543" s="71"/>
      <c r="G1543" s="71"/>
      <c r="H1543" s="87"/>
      <c r="I1543" s="71"/>
      <c r="J1543" s="71"/>
      <c r="K1543" s="71"/>
      <c r="L1543" s="87"/>
      <c r="M1543" s="71"/>
      <c r="N1543" s="71"/>
      <c r="O1543" s="71"/>
      <c r="P1543" s="311"/>
      <c r="Q1543" s="312"/>
      <c r="R1543" s="312"/>
      <c r="S1543" s="569"/>
      <c r="T1543" s="569"/>
      <c r="U1543" s="569"/>
      <c r="V1543" s="341"/>
      <c r="W1543" s="311"/>
      <c r="X1543" s="71"/>
      <c r="Y1543" s="71"/>
      <c r="Z1543" s="71"/>
      <c r="AA1543" s="456"/>
      <c r="AB1543" s="104"/>
      <c r="AC1543" s="485"/>
      <c r="AD1543" s="486"/>
      <c r="AE1543" s="485"/>
      <c r="AF1543" s="634"/>
      <c r="AG1543" s="97"/>
      <c r="AH1543" s="223"/>
      <c r="AI1543" s="569"/>
      <c r="AJ1543" s="569"/>
      <c r="AK1543" s="569"/>
      <c r="AL1543" s="569"/>
      <c r="AM1543" s="569"/>
      <c r="AN1543" s="589"/>
      <c r="AO1543" s="84"/>
      <c r="AP1543" s="5"/>
    </row>
    <row r="1544" spans="1:42" ht="13.5" customHeight="1" x14ac:dyDescent="0.35">
      <c r="A1544" s="4"/>
      <c r="B1544" s="614"/>
      <c r="C1544" s="71"/>
      <c r="D1544" s="71"/>
      <c r="E1544" s="71"/>
      <c r="F1544" s="71"/>
      <c r="G1544" s="71"/>
      <c r="H1544" s="87"/>
      <c r="I1544" s="71"/>
      <c r="J1544" s="71"/>
      <c r="K1544" s="71"/>
      <c r="L1544" s="87"/>
      <c r="M1544" s="71"/>
      <c r="N1544" s="71"/>
      <c r="O1544" s="71"/>
      <c r="P1544" s="311"/>
      <c r="Q1544" s="312"/>
      <c r="R1544" s="312"/>
      <c r="S1544" s="569"/>
      <c r="T1544" s="569"/>
      <c r="U1544" s="569"/>
      <c r="V1544" s="341"/>
      <c r="W1544" s="311"/>
      <c r="X1544" s="71"/>
      <c r="Y1544" s="71"/>
      <c r="Z1544" s="71"/>
      <c r="AA1544" s="456"/>
      <c r="AB1544" s="104"/>
      <c r="AC1544" s="485"/>
      <c r="AD1544" s="486"/>
      <c r="AE1544" s="485"/>
      <c r="AF1544" s="634"/>
      <c r="AG1544" s="97"/>
      <c r="AH1544" s="223"/>
      <c r="AI1544" s="569"/>
      <c r="AJ1544" s="569"/>
      <c r="AK1544" s="569"/>
      <c r="AL1544" s="569"/>
      <c r="AM1544" s="569"/>
      <c r="AN1544" s="589"/>
      <c r="AO1544" s="84"/>
      <c r="AP1544" s="5"/>
    </row>
    <row r="1545" spans="1:42" ht="13.5" customHeight="1" x14ac:dyDescent="0.35">
      <c r="A1545" s="4"/>
      <c r="B1545" s="614"/>
      <c r="C1545" s="71"/>
      <c r="D1545" s="71"/>
      <c r="E1545" s="71"/>
      <c r="F1545" s="71"/>
      <c r="G1545" s="71"/>
      <c r="H1545" s="87"/>
      <c r="I1545" s="71"/>
      <c r="J1545" s="71"/>
      <c r="K1545" s="71"/>
      <c r="L1545" s="87"/>
      <c r="M1545" s="71"/>
      <c r="N1545" s="71"/>
      <c r="O1545" s="71"/>
      <c r="P1545" s="311"/>
      <c r="Q1545" s="312"/>
      <c r="R1545" s="312"/>
      <c r="S1545" s="569"/>
      <c r="T1545" s="569"/>
      <c r="U1545" s="569"/>
      <c r="V1545" s="341"/>
      <c r="W1545" s="311"/>
      <c r="X1545" s="71"/>
      <c r="Y1545" s="71"/>
      <c r="Z1545" s="71"/>
      <c r="AA1545" s="456"/>
      <c r="AB1545" s="104"/>
      <c r="AC1545" s="485"/>
      <c r="AD1545" s="486"/>
      <c r="AE1545" s="485"/>
      <c r="AF1545" s="634"/>
      <c r="AG1545" s="97"/>
      <c r="AH1545" s="223"/>
      <c r="AI1545" s="569"/>
      <c r="AJ1545" s="569"/>
      <c r="AK1545" s="569"/>
      <c r="AL1545" s="569"/>
      <c r="AM1545" s="569"/>
      <c r="AN1545" s="589"/>
      <c r="AO1545" s="84"/>
      <c r="AP1545" s="5"/>
    </row>
    <row r="1546" spans="1:42" ht="13.5" customHeight="1" x14ac:dyDescent="0.35">
      <c r="A1546" s="4"/>
      <c r="B1546" s="614"/>
      <c r="C1546" s="71"/>
      <c r="D1546" s="71"/>
      <c r="E1546" s="71"/>
      <c r="F1546" s="71"/>
      <c r="G1546" s="71"/>
      <c r="H1546" s="87"/>
      <c r="I1546" s="71"/>
      <c r="J1546" s="71"/>
      <c r="K1546" s="71"/>
      <c r="L1546" s="87"/>
      <c r="M1546" s="71"/>
      <c r="N1546" s="71"/>
      <c r="O1546" s="71"/>
      <c r="P1546" s="311"/>
      <c r="Q1546" s="312"/>
      <c r="R1546" s="312"/>
      <c r="S1546" s="569"/>
      <c r="T1546" s="569"/>
      <c r="U1546" s="569"/>
      <c r="V1546" s="341"/>
      <c r="W1546" s="311"/>
      <c r="X1546" s="71"/>
      <c r="Y1546" s="71"/>
      <c r="Z1546" s="71"/>
      <c r="AA1546" s="456"/>
      <c r="AB1546" s="104"/>
      <c r="AC1546" s="485"/>
      <c r="AD1546" s="486"/>
      <c r="AE1546" s="485"/>
      <c r="AF1546" s="634"/>
      <c r="AG1546" s="97"/>
      <c r="AH1546" s="223"/>
      <c r="AI1546" s="569"/>
      <c r="AJ1546" s="569"/>
      <c r="AK1546" s="569"/>
      <c r="AL1546" s="569"/>
      <c r="AM1546" s="569"/>
      <c r="AN1546" s="589"/>
      <c r="AO1546" s="84"/>
      <c r="AP1546" s="5"/>
    </row>
    <row r="1547" spans="1:42" ht="13.5" customHeight="1" x14ac:dyDescent="0.35">
      <c r="A1547" s="4"/>
      <c r="B1547" s="614"/>
      <c r="C1547" s="71"/>
      <c r="D1547" s="71"/>
      <c r="E1547" s="71"/>
      <c r="F1547" s="71"/>
      <c r="G1547" s="71"/>
      <c r="H1547" s="87"/>
      <c r="I1547" s="71"/>
      <c r="J1547" s="71"/>
      <c r="K1547" s="71"/>
      <c r="L1547" s="87"/>
      <c r="M1547" s="71"/>
      <c r="N1547" s="71"/>
      <c r="O1547" s="71"/>
      <c r="P1547" s="311"/>
      <c r="Q1547" s="312"/>
      <c r="R1547" s="312"/>
      <c r="S1547" s="569"/>
      <c r="T1547" s="569"/>
      <c r="U1547" s="569"/>
      <c r="V1547" s="341"/>
      <c r="W1547" s="311"/>
      <c r="X1547" s="71"/>
      <c r="Y1547" s="71"/>
      <c r="Z1547" s="71"/>
      <c r="AA1547" s="456"/>
      <c r="AB1547" s="104"/>
      <c r="AC1547" s="485"/>
      <c r="AD1547" s="486"/>
      <c r="AE1547" s="485"/>
      <c r="AF1547" s="634"/>
      <c r="AG1547" s="97"/>
      <c r="AH1547" s="223"/>
      <c r="AI1547" s="569"/>
      <c r="AJ1547" s="569"/>
      <c r="AK1547" s="569"/>
      <c r="AL1547" s="569"/>
      <c r="AM1547" s="569"/>
      <c r="AN1547" s="589"/>
      <c r="AO1547" s="84"/>
      <c r="AP1547" s="5"/>
    </row>
    <row r="1548" spans="1:42" ht="13.5" customHeight="1" x14ac:dyDescent="0.35">
      <c r="A1548" s="4"/>
      <c r="B1548" s="614"/>
      <c r="C1548" s="71"/>
      <c r="D1548" s="71"/>
      <c r="E1548" s="71"/>
      <c r="F1548" s="71"/>
      <c r="G1548" s="71"/>
      <c r="H1548" s="87"/>
      <c r="I1548" s="71"/>
      <c r="J1548" s="71"/>
      <c r="K1548" s="71"/>
      <c r="L1548" s="87"/>
      <c r="M1548" s="71"/>
      <c r="N1548" s="71"/>
      <c r="O1548" s="71"/>
      <c r="P1548" s="311"/>
      <c r="Q1548" s="312"/>
      <c r="R1548" s="312"/>
      <c r="S1548" s="569"/>
      <c r="T1548" s="569"/>
      <c r="U1548" s="569"/>
      <c r="V1548" s="341"/>
      <c r="W1548" s="311"/>
      <c r="X1548" s="71"/>
      <c r="Y1548" s="71"/>
      <c r="Z1548" s="71"/>
      <c r="AA1548" s="456"/>
      <c r="AB1548" s="104"/>
      <c r="AC1548" s="485"/>
      <c r="AD1548" s="486"/>
      <c r="AE1548" s="485"/>
      <c r="AF1548" s="634"/>
      <c r="AG1548" s="97"/>
      <c r="AH1548" s="223"/>
      <c r="AI1548" s="569"/>
      <c r="AJ1548" s="569"/>
      <c r="AK1548" s="569"/>
      <c r="AL1548" s="569"/>
      <c r="AM1548" s="569"/>
      <c r="AN1548" s="589"/>
      <c r="AO1548" s="84"/>
      <c r="AP1548" s="5"/>
    </row>
    <row r="1549" spans="1:42" ht="13.5" customHeight="1" x14ac:dyDescent="0.35">
      <c r="A1549" s="4"/>
      <c r="B1549" s="614"/>
      <c r="C1549" s="71"/>
      <c r="D1549" s="71"/>
      <c r="E1549" s="71"/>
      <c r="F1549" s="71"/>
      <c r="G1549" s="71"/>
      <c r="H1549" s="87"/>
      <c r="I1549" s="71"/>
      <c r="J1549" s="71"/>
      <c r="K1549" s="71"/>
      <c r="L1549" s="87"/>
      <c r="M1549" s="71"/>
      <c r="N1549" s="71"/>
      <c r="O1549" s="71"/>
      <c r="P1549" s="311"/>
      <c r="Q1549" s="312"/>
      <c r="R1549" s="312"/>
      <c r="S1549" s="569"/>
      <c r="T1549" s="569"/>
      <c r="U1549" s="569"/>
      <c r="V1549" s="341"/>
      <c r="W1549" s="311"/>
      <c r="X1549" s="71"/>
      <c r="Y1549" s="71"/>
      <c r="Z1549" s="71"/>
      <c r="AA1549" s="456"/>
      <c r="AB1549" s="104"/>
      <c r="AC1549" s="485"/>
      <c r="AD1549" s="486"/>
      <c r="AE1549" s="485"/>
      <c r="AF1549" s="634"/>
      <c r="AG1549" s="97"/>
      <c r="AH1549" s="223"/>
      <c r="AI1549" s="569"/>
      <c r="AJ1549" s="569"/>
      <c r="AK1549" s="569"/>
      <c r="AL1549" s="569"/>
      <c r="AM1549" s="569"/>
      <c r="AN1549" s="589"/>
      <c r="AO1549" s="84"/>
      <c r="AP1549" s="5"/>
    </row>
    <row r="1550" spans="1:42" ht="13.5" customHeight="1" x14ac:dyDescent="0.35">
      <c r="A1550" s="4"/>
      <c r="B1550" s="614"/>
      <c r="C1550" s="71"/>
      <c r="D1550" s="71"/>
      <c r="E1550" s="71"/>
      <c r="F1550" s="71"/>
      <c r="G1550" s="71"/>
      <c r="H1550" s="87"/>
      <c r="I1550" s="71"/>
      <c r="J1550" s="71"/>
      <c r="K1550" s="71"/>
      <c r="L1550" s="87"/>
      <c r="M1550" s="71"/>
      <c r="N1550" s="71"/>
      <c r="O1550" s="71"/>
      <c r="P1550" s="311"/>
      <c r="Q1550" s="312"/>
      <c r="R1550" s="312"/>
      <c r="S1550" s="569"/>
      <c r="T1550" s="569"/>
      <c r="U1550" s="569"/>
      <c r="V1550" s="341"/>
      <c r="W1550" s="311"/>
      <c r="X1550" s="71"/>
      <c r="Y1550" s="71"/>
      <c r="Z1550" s="71"/>
      <c r="AA1550" s="456"/>
      <c r="AB1550" s="104"/>
      <c r="AC1550" s="485"/>
      <c r="AD1550" s="486"/>
      <c r="AE1550" s="485"/>
      <c r="AF1550" s="634"/>
      <c r="AG1550" s="97"/>
      <c r="AH1550" s="223"/>
      <c r="AI1550" s="569"/>
      <c r="AJ1550" s="569"/>
      <c r="AK1550" s="569"/>
      <c r="AL1550" s="569"/>
      <c r="AM1550" s="569"/>
      <c r="AN1550" s="589"/>
      <c r="AO1550" s="84"/>
      <c r="AP1550" s="5"/>
    </row>
    <row r="1551" spans="1:42" ht="13.5" customHeight="1" x14ac:dyDescent="0.35">
      <c r="A1551" s="4"/>
      <c r="B1551" s="614"/>
      <c r="C1551" s="71"/>
      <c r="D1551" s="71"/>
      <c r="E1551" s="71"/>
      <c r="F1551" s="71"/>
      <c r="G1551" s="71"/>
      <c r="H1551" s="87"/>
      <c r="I1551" s="71"/>
      <c r="J1551" s="71"/>
      <c r="K1551" s="71"/>
      <c r="L1551" s="87"/>
      <c r="M1551" s="71"/>
      <c r="N1551" s="71"/>
      <c r="O1551" s="71"/>
      <c r="P1551" s="311"/>
      <c r="Q1551" s="312"/>
      <c r="R1551" s="312"/>
      <c r="S1551" s="569"/>
      <c r="T1551" s="569"/>
      <c r="U1551" s="569"/>
      <c r="V1551" s="341"/>
      <c r="W1551" s="311"/>
      <c r="X1551" s="71"/>
      <c r="Y1551" s="71"/>
      <c r="Z1551" s="71"/>
      <c r="AA1551" s="456"/>
      <c r="AB1551" s="104"/>
      <c r="AC1551" s="485"/>
      <c r="AD1551" s="486"/>
      <c r="AE1551" s="485"/>
      <c r="AF1551" s="634"/>
      <c r="AG1551" s="97"/>
      <c r="AH1551" s="223"/>
      <c r="AI1551" s="569"/>
      <c r="AJ1551" s="569"/>
      <c r="AK1551" s="569"/>
      <c r="AL1551" s="569"/>
      <c r="AM1551" s="569"/>
      <c r="AN1551" s="589"/>
      <c r="AO1551" s="84"/>
      <c r="AP1551" s="5"/>
    </row>
    <row r="1552" spans="1:42" ht="13.5" customHeight="1" x14ac:dyDescent="0.35">
      <c r="A1552" s="4"/>
      <c r="B1552" s="614"/>
      <c r="C1552" s="71"/>
      <c r="D1552" s="71"/>
      <c r="E1552" s="71"/>
      <c r="F1552" s="71"/>
      <c r="G1552" s="71"/>
      <c r="H1552" s="87"/>
      <c r="I1552" s="71"/>
      <c r="J1552" s="71"/>
      <c r="K1552" s="71"/>
      <c r="L1552" s="87"/>
      <c r="M1552" s="71"/>
      <c r="N1552" s="71"/>
      <c r="O1552" s="71"/>
      <c r="P1552" s="311"/>
      <c r="Q1552" s="312"/>
      <c r="R1552" s="312"/>
      <c r="S1552" s="569"/>
      <c r="T1552" s="569"/>
      <c r="U1552" s="569"/>
      <c r="V1552" s="341"/>
      <c r="W1552" s="311"/>
      <c r="X1552" s="71"/>
      <c r="Y1552" s="71"/>
      <c r="Z1552" s="71"/>
      <c r="AA1552" s="456"/>
      <c r="AB1552" s="104"/>
      <c r="AC1552" s="485"/>
      <c r="AD1552" s="486"/>
      <c r="AE1552" s="485"/>
      <c r="AF1552" s="634"/>
      <c r="AG1552" s="97"/>
      <c r="AH1552" s="223"/>
      <c r="AI1552" s="569"/>
      <c r="AJ1552" s="569"/>
      <c r="AK1552" s="569"/>
      <c r="AL1552" s="569"/>
      <c r="AM1552" s="569"/>
      <c r="AN1552" s="589"/>
      <c r="AO1552" s="84"/>
      <c r="AP1552" s="5"/>
    </row>
    <row r="1553" spans="1:42" ht="13.5" customHeight="1" x14ac:dyDescent="0.35">
      <c r="A1553" s="4"/>
      <c r="B1553" s="614"/>
      <c r="C1553" s="71"/>
      <c r="D1553" s="71"/>
      <c r="E1553" s="71"/>
      <c r="F1553" s="71"/>
      <c r="G1553" s="71"/>
      <c r="H1553" s="87"/>
      <c r="I1553" s="71"/>
      <c r="J1553" s="71"/>
      <c r="K1553" s="71"/>
      <c r="L1553" s="87"/>
      <c r="M1553" s="71"/>
      <c r="N1553" s="71"/>
      <c r="O1553" s="71"/>
      <c r="P1553" s="311"/>
      <c r="Q1553" s="312"/>
      <c r="R1553" s="312"/>
      <c r="S1553" s="569"/>
      <c r="T1553" s="569"/>
      <c r="U1553" s="569"/>
      <c r="V1553" s="341"/>
      <c r="W1553" s="311"/>
      <c r="X1553" s="71"/>
      <c r="Y1553" s="71"/>
      <c r="Z1553" s="71"/>
      <c r="AA1553" s="456"/>
      <c r="AB1553" s="104"/>
      <c r="AC1553" s="485"/>
      <c r="AD1553" s="486"/>
      <c r="AE1553" s="485"/>
      <c r="AF1553" s="634"/>
      <c r="AG1553" s="97"/>
      <c r="AH1553" s="223"/>
      <c r="AI1553" s="569"/>
      <c r="AJ1553" s="569"/>
      <c r="AK1553" s="569"/>
      <c r="AL1553" s="569"/>
      <c r="AM1553" s="569"/>
      <c r="AN1553" s="589"/>
      <c r="AO1553" s="84"/>
      <c r="AP1553" s="5"/>
    </row>
    <row r="1554" spans="1:42" ht="13.5" customHeight="1" x14ac:dyDescent="0.35">
      <c r="A1554" s="4"/>
      <c r="B1554" s="614"/>
      <c r="C1554" s="71"/>
      <c r="D1554" s="71"/>
      <c r="E1554" s="71"/>
      <c r="F1554" s="71"/>
      <c r="G1554" s="71"/>
      <c r="H1554" s="87"/>
      <c r="I1554" s="71"/>
      <c r="J1554" s="71"/>
      <c r="K1554" s="71"/>
      <c r="L1554" s="87"/>
      <c r="M1554" s="71"/>
      <c r="N1554" s="71"/>
      <c r="O1554" s="71"/>
      <c r="P1554" s="311"/>
      <c r="Q1554" s="312"/>
      <c r="R1554" s="312"/>
      <c r="S1554" s="569"/>
      <c r="T1554" s="569"/>
      <c r="U1554" s="569"/>
      <c r="V1554" s="341"/>
      <c r="W1554" s="311"/>
      <c r="X1554" s="71"/>
      <c r="Y1554" s="71"/>
      <c r="Z1554" s="71"/>
      <c r="AA1554" s="456"/>
      <c r="AB1554" s="104"/>
      <c r="AC1554" s="485"/>
      <c r="AD1554" s="486"/>
      <c r="AE1554" s="485"/>
      <c r="AF1554" s="634"/>
      <c r="AG1554" s="97"/>
      <c r="AH1554" s="223"/>
      <c r="AI1554" s="569"/>
      <c r="AJ1554" s="569"/>
      <c r="AK1554" s="569"/>
      <c r="AL1554" s="569"/>
      <c r="AM1554" s="569"/>
      <c r="AN1554" s="589"/>
      <c r="AO1554" s="84"/>
      <c r="AP1554" s="5"/>
    </row>
    <row r="1555" spans="1:42" ht="13.5" customHeight="1" x14ac:dyDescent="0.35">
      <c r="A1555" s="4"/>
      <c r="B1555" s="614"/>
      <c r="C1555" s="71"/>
      <c r="D1555" s="71"/>
      <c r="E1555" s="71"/>
      <c r="F1555" s="71"/>
      <c r="G1555" s="71"/>
      <c r="H1555" s="87"/>
      <c r="I1555" s="71"/>
      <c r="J1555" s="71"/>
      <c r="K1555" s="71"/>
      <c r="L1555" s="87"/>
      <c r="M1555" s="71"/>
      <c r="N1555" s="71"/>
      <c r="O1555" s="71"/>
      <c r="P1555" s="311"/>
      <c r="Q1555" s="312"/>
      <c r="R1555" s="312"/>
      <c r="S1555" s="569"/>
      <c r="T1555" s="569"/>
      <c r="U1555" s="569"/>
      <c r="V1555" s="341"/>
      <c r="W1555" s="311"/>
      <c r="X1555" s="71"/>
      <c r="Y1555" s="71"/>
      <c r="Z1555" s="71"/>
      <c r="AA1555" s="456"/>
      <c r="AB1555" s="104"/>
      <c r="AC1555" s="485"/>
      <c r="AD1555" s="486"/>
      <c r="AE1555" s="485"/>
      <c r="AF1555" s="634"/>
      <c r="AG1555" s="97"/>
      <c r="AH1555" s="223"/>
      <c r="AI1555" s="569"/>
      <c r="AJ1555" s="569"/>
      <c r="AK1555" s="569"/>
      <c r="AL1555" s="569"/>
      <c r="AM1555" s="569"/>
      <c r="AN1555" s="589"/>
      <c r="AO1555" s="84"/>
      <c r="AP1555" s="5"/>
    </row>
    <row r="1556" spans="1:42" ht="13.5" customHeight="1" x14ac:dyDescent="0.35">
      <c r="A1556" s="4"/>
      <c r="B1556" s="614"/>
      <c r="C1556" s="71"/>
      <c r="D1556" s="71"/>
      <c r="E1556" s="71"/>
      <c r="F1556" s="71"/>
      <c r="G1556" s="71"/>
      <c r="H1556" s="87"/>
      <c r="I1556" s="71"/>
      <c r="J1556" s="71"/>
      <c r="K1556" s="71"/>
      <c r="L1556" s="87"/>
      <c r="M1556" s="71"/>
      <c r="N1556" s="71"/>
      <c r="O1556" s="71"/>
      <c r="P1556" s="311"/>
      <c r="Q1556" s="312"/>
      <c r="R1556" s="312"/>
      <c r="S1556" s="569"/>
      <c r="T1556" s="569"/>
      <c r="U1556" s="569"/>
      <c r="V1556" s="341"/>
      <c r="W1556" s="311"/>
      <c r="X1556" s="71"/>
      <c r="Y1556" s="71"/>
      <c r="Z1556" s="71"/>
      <c r="AA1556" s="456"/>
      <c r="AB1556" s="104"/>
      <c r="AC1556" s="485"/>
      <c r="AD1556" s="486"/>
      <c r="AE1556" s="485"/>
      <c r="AF1556" s="634"/>
      <c r="AG1556" s="97"/>
      <c r="AH1556" s="223"/>
      <c r="AI1556" s="569"/>
      <c r="AJ1556" s="569"/>
      <c r="AK1556" s="569"/>
      <c r="AL1556" s="569"/>
      <c r="AM1556" s="569"/>
      <c r="AN1556" s="589"/>
      <c r="AO1556" s="84"/>
      <c r="AP1556" s="5"/>
    </row>
    <row r="1557" spans="1:42" ht="13.5" customHeight="1" x14ac:dyDescent="0.35">
      <c r="A1557" s="4"/>
      <c r="B1557" s="614"/>
      <c r="C1557" s="71"/>
      <c r="D1557" s="71"/>
      <c r="E1557" s="71"/>
      <c r="F1557" s="71"/>
      <c r="G1557" s="71"/>
      <c r="H1557" s="87"/>
      <c r="I1557" s="71"/>
      <c r="J1557" s="71"/>
      <c r="K1557" s="71"/>
      <c r="L1557" s="87"/>
      <c r="M1557" s="71"/>
      <c r="N1557" s="71"/>
      <c r="O1557" s="71"/>
      <c r="P1557" s="311"/>
      <c r="Q1557" s="312"/>
      <c r="R1557" s="312"/>
      <c r="S1557" s="569"/>
      <c r="T1557" s="569"/>
      <c r="U1557" s="569"/>
      <c r="V1557" s="341"/>
      <c r="W1557" s="311"/>
      <c r="X1557" s="71"/>
      <c r="Y1557" s="71"/>
      <c r="Z1557" s="71"/>
      <c r="AA1557" s="456"/>
      <c r="AB1557" s="104"/>
      <c r="AC1557" s="485"/>
      <c r="AD1557" s="486"/>
      <c r="AE1557" s="485"/>
      <c r="AF1557" s="634"/>
      <c r="AG1557" s="97"/>
      <c r="AH1557" s="223"/>
      <c r="AI1557" s="569"/>
      <c r="AJ1557" s="569"/>
      <c r="AK1557" s="569"/>
      <c r="AL1557" s="569"/>
      <c r="AM1557" s="569"/>
      <c r="AN1557" s="589"/>
      <c r="AO1557" s="84"/>
      <c r="AP1557" s="5"/>
    </row>
    <row r="1558" spans="1:42" ht="13.5" customHeight="1" x14ac:dyDescent="0.35">
      <c r="A1558" s="4"/>
      <c r="B1558" s="614"/>
      <c r="C1558" s="71"/>
      <c r="D1558" s="71"/>
      <c r="E1558" s="71"/>
      <c r="F1558" s="71"/>
      <c r="G1558" s="71"/>
      <c r="H1558" s="87"/>
      <c r="I1558" s="71"/>
      <c r="J1558" s="71"/>
      <c r="K1558" s="71"/>
      <c r="L1558" s="87"/>
      <c r="M1558" s="71"/>
      <c r="N1558" s="71"/>
      <c r="O1558" s="71"/>
      <c r="P1558" s="311"/>
      <c r="Q1558" s="312"/>
      <c r="R1558" s="312"/>
      <c r="S1558" s="569"/>
      <c r="T1558" s="569"/>
      <c r="U1558" s="569"/>
      <c r="V1558" s="341"/>
      <c r="W1558" s="311"/>
      <c r="X1558" s="71"/>
      <c r="Y1558" s="71"/>
      <c r="Z1558" s="71"/>
      <c r="AA1558" s="456"/>
      <c r="AB1558" s="104"/>
      <c r="AC1558" s="485"/>
      <c r="AD1558" s="486"/>
      <c r="AE1558" s="485"/>
      <c r="AF1558" s="634"/>
      <c r="AG1558" s="97"/>
      <c r="AH1558" s="223"/>
      <c r="AI1558" s="569"/>
      <c r="AJ1558" s="569"/>
      <c r="AK1558" s="569"/>
      <c r="AL1558" s="569"/>
      <c r="AM1558" s="569"/>
      <c r="AN1558" s="589"/>
      <c r="AO1558" s="84"/>
      <c r="AP1558" s="5"/>
    </row>
    <row r="1559" spans="1:42" ht="13.5" customHeight="1" x14ac:dyDescent="0.35">
      <c r="A1559" s="4"/>
      <c r="B1559" s="614"/>
      <c r="C1559" s="71"/>
      <c r="D1559" s="71"/>
      <c r="E1559" s="71"/>
      <c r="F1559" s="71"/>
      <c r="G1559" s="71"/>
      <c r="H1559" s="87"/>
      <c r="I1559" s="71"/>
      <c r="J1559" s="71"/>
      <c r="K1559" s="71"/>
      <c r="L1559" s="87"/>
      <c r="M1559" s="71"/>
      <c r="N1559" s="71"/>
      <c r="O1559" s="71"/>
      <c r="P1559" s="311"/>
      <c r="Q1559" s="312"/>
      <c r="R1559" s="312"/>
      <c r="S1559" s="569"/>
      <c r="T1559" s="569"/>
      <c r="U1559" s="569"/>
      <c r="V1559" s="341"/>
      <c r="W1559" s="311"/>
      <c r="X1559" s="71"/>
      <c r="Y1559" s="71"/>
      <c r="Z1559" s="71"/>
      <c r="AA1559" s="456"/>
      <c r="AB1559" s="104"/>
      <c r="AC1559" s="485"/>
      <c r="AD1559" s="486"/>
      <c r="AE1559" s="485"/>
      <c r="AF1559" s="634"/>
      <c r="AG1559" s="97"/>
      <c r="AH1559" s="223"/>
      <c r="AI1559" s="569"/>
      <c r="AJ1559" s="569"/>
      <c r="AK1559" s="569"/>
      <c r="AL1559" s="569"/>
      <c r="AM1559" s="569"/>
      <c r="AN1559" s="589"/>
      <c r="AO1559" s="84"/>
      <c r="AP1559" s="5"/>
    </row>
    <row r="1560" spans="1:42" ht="13.5" customHeight="1" x14ac:dyDescent="0.35">
      <c r="A1560" s="4"/>
      <c r="B1560" s="614"/>
      <c r="C1560" s="71"/>
      <c r="D1560" s="71"/>
      <c r="E1560" s="71"/>
      <c r="F1560" s="71"/>
      <c r="G1560" s="71"/>
      <c r="H1560" s="87"/>
      <c r="I1560" s="71"/>
      <c r="J1560" s="71"/>
      <c r="K1560" s="71"/>
      <c r="L1560" s="87"/>
      <c r="M1560" s="71"/>
      <c r="N1560" s="71"/>
      <c r="O1560" s="71"/>
      <c r="P1560" s="311"/>
      <c r="Q1560" s="312"/>
      <c r="R1560" s="312"/>
      <c r="S1560" s="569"/>
      <c r="T1560" s="569"/>
      <c r="U1560" s="569"/>
      <c r="V1560" s="341"/>
      <c r="W1560" s="311"/>
      <c r="X1560" s="71"/>
      <c r="Y1560" s="71"/>
      <c r="Z1560" s="71"/>
      <c r="AA1560" s="456"/>
      <c r="AB1560" s="104"/>
      <c r="AC1560" s="485"/>
      <c r="AD1560" s="486"/>
      <c r="AE1560" s="485"/>
      <c r="AF1560" s="634"/>
      <c r="AG1560" s="97"/>
      <c r="AH1560" s="223"/>
      <c r="AI1560" s="569"/>
      <c r="AJ1560" s="569"/>
      <c r="AK1560" s="569"/>
      <c r="AL1560" s="569"/>
      <c r="AM1560" s="569"/>
      <c r="AN1560" s="589"/>
      <c r="AO1560" s="84"/>
      <c r="AP1560" s="5"/>
    </row>
    <row r="1561" spans="1:42" ht="13.5" customHeight="1" x14ac:dyDescent="0.35">
      <c r="A1561" s="4"/>
      <c r="B1561" s="614"/>
      <c r="C1561" s="71"/>
      <c r="D1561" s="71"/>
      <c r="E1561" s="71"/>
      <c r="F1561" s="71"/>
      <c r="G1561" s="71"/>
      <c r="H1561" s="87"/>
      <c r="I1561" s="71"/>
      <c r="J1561" s="71"/>
      <c r="K1561" s="71"/>
      <c r="L1561" s="87"/>
      <c r="M1561" s="71"/>
      <c r="N1561" s="71"/>
      <c r="O1561" s="71"/>
      <c r="P1561" s="311"/>
      <c r="Q1561" s="312"/>
      <c r="R1561" s="312"/>
      <c r="S1561" s="569"/>
      <c r="T1561" s="569"/>
      <c r="U1561" s="569"/>
      <c r="V1561" s="341"/>
      <c r="W1561" s="311"/>
      <c r="X1561" s="71"/>
      <c r="Y1561" s="71"/>
      <c r="Z1561" s="71"/>
      <c r="AA1561" s="456"/>
      <c r="AB1561" s="104"/>
      <c r="AC1561" s="485"/>
      <c r="AD1561" s="486"/>
      <c r="AE1561" s="485"/>
      <c r="AF1561" s="634"/>
      <c r="AG1561" s="97"/>
      <c r="AH1561" s="223"/>
      <c r="AI1561" s="569"/>
      <c r="AJ1561" s="569"/>
      <c r="AK1561" s="569"/>
      <c r="AL1561" s="569"/>
      <c r="AM1561" s="569"/>
      <c r="AN1561" s="589"/>
      <c r="AO1561" s="84"/>
      <c r="AP1561" s="5"/>
    </row>
    <row r="1562" spans="1:42" ht="13.5" customHeight="1" x14ac:dyDescent="0.35">
      <c r="A1562" s="4"/>
      <c r="B1562" s="614"/>
      <c r="C1562" s="71"/>
      <c r="D1562" s="71"/>
      <c r="E1562" s="71"/>
      <c r="F1562" s="71"/>
      <c r="G1562" s="71"/>
      <c r="H1562" s="87"/>
      <c r="I1562" s="71"/>
      <c r="J1562" s="71"/>
      <c r="K1562" s="71"/>
      <c r="L1562" s="87"/>
      <c r="M1562" s="71"/>
      <c r="N1562" s="71"/>
      <c r="O1562" s="71"/>
      <c r="P1562" s="311"/>
      <c r="Q1562" s="312"/>
      <c r="R1562" s="312"/>
      <c r="S1562" s="569"/>
      <c r="T1562" s="569"/>
      <c r="U1562" s="569"/>
      <c r="V1562" s="341"/>
      <c r="W1562" s="311"/>
      <c r="X1562" s="71"/>
      <c r="Y1562" s="71"/>
      <c r="Z1562" s="71"/>
      <c r="AA1562" s="456"/>
      <c r="AB1562" s="104"/>
      <c r="AC1562" s="485"/>
      <c r="AD1562" s="486"/>
      <c r="AE1562" s="485"/>
      <c r="AF1562" s="634"/>
      <c r="AG1562" s="97"/>
      <c r="AH1562" s="223"/>
      <c r="AI1562" s="569"/>
      <c r="AJ1562" s="569"/>
      <c r="AK1562" s="569"/>
      <c r="AL1562" s="569"/>
      <c r="AM1562" s="569"/>
      <c r="AN1562" s="589"/>
      <c r="AO1562" s="84"/>
      <c r="AP1562" s="5"/>
    </row>
    <row r="1563" spans="1:42" ht="13.5" customHeight="1" x14ac:dyDescent="0.35">
      <c r="A1563" s="4"/>
      <c r="B1563" s="614"/>
      <c r="C1563" s="71"/>
      <c r="D1563" s="71"/>
      <c r="E1563" s="71"/>
      <c r="F1563" s="71"/>
      <c r="G1563" s="71"/>
      <c r="H1563" s="87"/>
      <c r="I1563" s="71"/>
      <c r="J1563" s="71"/>
      <c r="K1563" s="71"/>
      <c r="L1563" s="87"/>
      <c r="M1563" s="71"/>
      <c r="N1563" s="71"/>
      <c r="O1563" s="71"/>
      <c r="P1563" s="311"/>
      <c r="Q1563" s="312"/>
      <c r="R1563" s="312"/>
      <c r="S1563" s="569"/>
      <c r="T1563" s="569"/>
      <c r="U1563" s="569"/>
      <c r="V1563" s="341"/>
      <c r="W1563" s="311"/>
      <c r="X1563" s="71"/>
      <c r="Y1563" s="71"/>
      <c r="Z1563" s="71"/>
      <c r="AA1563" s="456"/>
      <c r="AB1563" s="104"/>
      <c r="AC1563" s="485"/>
      <c r="AD1563" s="486"/>
      <c r="AE1563" s="485"/>
      <c r="AF1563" s="634"/>
      <c r="AG1563" s="97"/>
      <c r="AH1563" s="223"/>
      <c r="AI1563" s="569"/>
      <c r="AJ1563" s="569"/>
      <c r="AK1563" s="569"/>
      <c r="AL1563" s="569"/>
      <c r="AM1563" s="569"/>
      <c r="AN1563" s="589"/>
      <c r="AO1563" s="84"/>
      <c r="AP1563" s="5"/>
    </row>
    <row r="1564" spans="1:42" ht="13.5" customHeight="1" x14ac:dyDescent="0.35">
      <c r="A1564" s="4"/>
      <c r="B1564" s="614"/>
      <c r="C1564" s="71"/>
      <c r="D1564" s="71"/>
      <c r="E1564" s="71"/>
      <c r="F1564" s="71"/>
      <c r="G1564" s="71"/>
      <c r="H1564" s="87"/>
      <c r="I1564" s="71"/>
      <c r="J1564" s="71"/>
      <c r="K1564" s="71"/>
      <c r="L1564" s="87"/>
      <c r="M1564" s="71"/>
      <c r="N1564" s="71"/>
      <c r="O1564" s="71"/>
      <c r="P1564" s="311"/>
      <c r="Q1564" s="312"/>
      <c r="R1564" s="312"/>
      <c r="S1564" s="569"/>
      <c r="T1564" s="569"/>
      <c r="U1564" s="569"/>
      <c r="V1564" s="341"/>
      <c r="W1564" s="311"/>
      <c r="X1564" s="71"/>
      <c r="Y1564" s="71"/>
      <c r="Z1564" s="71"/>
      <c r="AA1564" s="456"/>
      <c r="AB1564" s="104"/>
      <c r="AC1564" s="485"/>
      <c r="AD1564" s="486"/>
      <c r="AE1564" s="485"/>
      <c r="AF1564" s="634"/>
      <c r="AG1564" s="97"/>
      <c r="AH1564" s="223"/>
      <c r="AI1564" s="569"/>
      <c r="AJ1564" s="569"/>
      <c r="AK1564" s="569"/>
      <c r="AL1564" s="569"/>
      <c r="AM1564" s="569"/>
      <c r="AN1564" s="589"/>
      <c r="AO1564" s="84"/>
      <c r="AP1564" s="5"/>
    </row>
    <row r="1565" spans="1:42" ht="13.5" customHeight="1" x14ac:dyDescent="0.35">
      <c r="A1565" s="4"/>
      <c r="B1565" s="614"/>
      <c r="C1565" s="71"/>
      <c r="D1565" s="71"/>
      <c r="E1565" s="71"/>
      <c r="F1565" s="71"/>
      <c r="G1565" s="71"/>
      <c r="H1565" s="87"/>
      <c r="I1565" s="71"/>
      <c r="J1565" s="71"/>
      <c r="K1565" s="71"/>
      <c r="L1565" s="87"/>
      <c r="M1565" s="71"/>
      <c r="N1565" s="71"/>
      <c r="O1565" s="71"/>
      <c r="P1565" s="311"/>
      <c r="Q1565" s="312"/>
      <c r="R1565" s="312"/>
      <c r="S1565" s="569"/>
      <c r="T1565" s="569"/>
      <c r="U1565" s="569"/>
      <c r="V1565" s="341"/>
      <c r="W1565" s="311"/>
      <c r="X1565" s="71"/>
      <c r="Y1565" s="71"/>
      <c r="Z1565" s="71"/>
      <c r="AA1565" s="456"/>
      <c r="AB1565" s="104"/>
      <c r="AC1565" s="485"/>
      <c r="AD1565" s="486"/>
      <c r="AE1565" s="485"/>
      <c r="AF1565" s="634"/>
      <c r="AG1565" s="97"/>
      <c r="AH1565" s="223"/>
      <c r="AI1565" s="569"/>
      <c r="AJ1565" s="569"/>
      <c r="AK1565" s="569"/>
      <c r="AL1565" s="569"/>
      <c r="AM1565" s="569"/>
      <c r="AN1565" s="589"/>
      <c r="AO1565" s="84"/>
      <c r="AP1565" s="5"/>
    </row>
    <row r="1566" spans="1:42" ht="13.5" customHeight="1" x14ac:dyDescent="0.35">
      <c r="A1566" s="4"/>
      <c r="B1566" s="614"/>
      <c r="C1566" s="71"/>
      <c r="D1566" s="71"/>
      <c r="E1566" s="71"/>
      <c r="F1566" s="71"/>
      <c r="G1566" s="71"/>
      <c r="H1566" s="87"/>
      <c r="I1566" s="71"/>
      <c r="J1566" s="71"/>
      <c r="K1566" s="71"/>
      <c r="L1566" s="87"/>
      <c r="M1566" s="71"/>
      <c r="N1566" s="71"/>
      <c r="O1566" s="71"/>
      <c r="P1566" s="311"/>
      <c r="Q1566" s="312"/>
      <c r="R1566" s="312"/>
      <c r="S1566" s="569"/>
      <c r="T1566" s="569"/>
      <c r="U1566" s="569"/>
      <c r="V1566" s="341"/>
      <c r="W1566" s="311"/>
      <c r="X1566" s="71"/>
      <c r="Y1566" s="71"/>
      <c r="Z1566" s="71"/>
      <c r="AA1566" s="456"/>
      <c r="AB1566" s="104"/>
      <c r="AC1566" s="485"/>
      <c r="AD1566" s="486"/>
      <c r="AE1566" s="485"/>
      <c r="AF1566" s="634"/>
      <c r="AG1566" s="97"/>
      <c r="AH1566" s="223"/>
      <c r="AI1566" s="569"/>
      <c r="AJ1566" s="569"/>
      <c r="AK1566" s="569"/>
      <c r="AL1566" s="569"/>
      <c r="AM1566" s="569"/>
      <c r="AN1566" s="589"/>
      <c r="AO1566" s="84"/>
      <c r="AP1566" s="5"/>
    </row>
    <row r="1567" spans="1:42" ht="13.5" customHeight="1" x14ac:dyDescent="0.35">
      <c r="A1567" s="4"/>
      <c r="B1567" s="614"/>
      <c r="C1567" s="71"/>
      <c r="D1567" s="71"/>
      <c r="E1567" s="71"/>
      <c r="F1567" s="71"/>
      <c r="G1567" s="71"/>
      <c r="H1567" s="87"/>
      <c r="I1567" s="71"/>
      <c r="J1567" s="71"/>
      <c r="K1567" s="71"/>
      <c r="L1567" s="87"/>
      <c r="M1567" s="71"/>
      <c r="N1567" s="71"/>
      <c r="O1567" s="71"/>
      <c r="P1567" s="311"/>
      <c r="Q1567" s="312"/>
      <c r="R1567" s="312"/>
      <c r="S1567" s="569"/>
      <c r="T1567" s="569"/>
      <c r="U1567" s="569"/>
      <c r="V1567" s="341"/>
      <c r="W1567" s="311"/>
      <c r="X1567" s="71"/>
      <c r="Y1567" s="71"/>
      <c r="Z1567" s="71"/>
      <c r="AA1567" s="456"/>
      <c r="AB1567" s="104"/>
      <c r="AC1567" s="485"/>
      <c r="AD1567" s="486"/>
      <c r="AE1567" s="485"/>
      <c r="AF1567" s="634"/>
      <c r="AG1567" s="97"/>
      <c r="AH1567" s="223"/>
      <c r="AI1567" s="569"/>
      <c r="AJ1567" s="569"/>
      <c r="AK1567" s="569"/>
      <c r="AL1567" s="569"/>
      <c r="AM1567" s="569"/>
      <c r="AN1567" s="589"/>
      <c r="AO1567" s="84"/>
      <c r="AP1567" s="5"/>
    </row>
    <row r="1568" spans="1:42" ht="13.5" customHeight="1" x14ac:dyDescent="0.35">
      <c r="A1568" s="4"/>
      <c r="B1568" s="614"/>
      <c r="C1568" s="71"/>
      <c r="D1568" s="71"/>
      <c r="E1568" s="71"/>
      <c r="F1568" s="71"/>
      <c r="G1568" s="71"/>
      <c r="H1568" s="87"/>
      <c r="I1568" s="71"/>
      <c r="J1568" s="71"/>
      <c r="K1568" s="71"/>
      <c r="L1568" s="87"/>
      <c r="M1568" s="71"/>
      <c r="N1568" s="71"/>
      <c r="O1568" s="71"/>
      <c r="P1568" s="311"/>
      <c r="Q1568" s="312"/>
      <c r="R1568" s="312"/>
      <c r="S1568" s="569"/>
      <c r="T1568" s="569"/>
      <c r="U1568" s="569"/>
      <c r="V1568" s="341"/>
      <c r="W1568" s="311"/>
      <c r="X1568" s="71"/>
      <c r="Y1568" s="71"/>
      <c r="Z1568" s="71"/>
      <c r="AA1568" s="456"/>
      <c r="AB1568" s="104"/>
      <c r="AC1568" s="485"/>
      <c r="AD1568" s="486"/>
      <c r="AE1568" s="485"/>
      <c r="AF1568" s="634"/>
      <c r="AG1568" s="97"/>
      <c r="AH1568" s="223"/>
      <c r="AI1568" s="569"/>
      <c r="AJ1568" s="569"/>
      <c r="AK1568" s="569"/>
      <c r="AL1568" s="569"/>
      <c r="AM1568" s="569"/>
      <c r="AN1568" s="589"/>
      <c r="AO1568" s="84"/>
      <c r="AP1568" s="5"/>
    </row>
    <row r="1569" spans="1:42" ht="13.5" customHeight="1" x14ac:dyDescent="0.35">
      <c r="A1569" s="4"/>
      <c r="B1569" s="614"/>
      <c r="C1569" s="71"/>
      <c r="D1569" s="71"/>
      <c r="E1569" s="71"/>
      <c r="F1569" s="71"/>
      <c r="G1569" s="71"/>
      <c r="H1569" s="87"/>
      <c r="I1569" s="71"/>
      <c r="J1569" s="71"/>
      <c r="K1569" s="71"/>
      <c r="L1569" s="87"/>
      <c r="M1569" s="71"/>
      <c r="N1569" s="71"/>
      <c r="O1569" s="71"/>
      <c r="P1569" s="311"/>
      <c r="Q1569" s="312"/>
      <c r="R1569" s="312"/>
      <c r="S1569" s="569"/>
      <c r="T1569" s="569"/>
      <c r="U1569" s="569"/>
      <c r="V1569" s="341"/>
      <c r="W1569" s="311"/>
      <c r="X1569" s="71"/>
      <c r="Y1569" s="71"/>
      <c r="Z1569" s="71"/>
      <c r="AA1569" s="456"/>
      <c r="AB1569" s="104"/>
      <c r="AC1569" s="485"/>
      <c r="AD1569" s="486"/>
      <c r="AE1569" s="485"/>
      <c r="AF1569" s="634"/>
      <c r="AG1569" s="97"/>
      <c r="AH1569" s="223"/>
      <c r="AI1569" s="569"/>
      <c r="AJ1569" s="569"/>
      <c r="AK1569" s="569"/>
      <c r="AL1569" s="569"/>
      <c r="AM1569" s="569"/>
      <c r="AN1569" s="589"/>
      <c r="AO1569" s="84"/>
      <c r="AP1569" s="5"/>
    </row>
    <row r="1570" spans="1:42" ht="13.5" customHeight="1" x14ac:dyDescent="0.35">
      <c r="A1570" s="4"/>
      <c r="B1570" s="614"/>
      <c r="C1570" s="71"/>
      <c r="D1570" s="71"/>
      <c r="E1570" s="71"/>
      <c r="F1570" s="71"/>
      <c r="G1570" s="71"/>
      <c r="H1570" s="87"/>
      <c r="I1570" s="71"/>
      <c r="J1570" s="71"/>
      <c r="K1570" s="71"/>
      <c r="L1570" s="87"/>
      <c r="M1570" s="71"/>
      <c r="N1570" s="71"/>
      <c r="O1570" s="71"/>
      <c r="P1570" s="311"/>
      <c r="Q1570" s="312"/>
      <c r="R1570" s="312"/>
      <c r="S1570" s="569"/>
      <c r="T1570" s="569"/>
      <c r="U1570" s="569"/>
      <c r="V1570" s="341"/>
      <c r="W1570" s="311"/>
      <c r="X1570" s="71"/>
      <c r="Y1570" s="71"/>
      <c r="Z1570" s="71"/>
      <c r="AA1570" s="456"/>
      <c r="AB1570" s="104"/>
      <c r="AC1570" s="485"/>
      <c r="AD1570" s="486"/>
      <c r="AE1570" s="485"/>
      <c r="AF1570" s="634"/>
      <c r="AG1570" s="97"/>
      <c r="AH1570" s="223"/>
      <c r="AI1570" s="569"/>
      <c r="AJ1570" s="569"/>
      <c r="AK1570" s="569"/>
      <c r="AL1570" s="569"/>
      <c r="AM1570" s="569"/>
      <c r="AN1570" s="589"/>
      <c r="AO1570" s="84"/>
      <c r="AP1570" s="5"/>
    </row>
    <row r="1571" spans="1:42" ht="13.5" customHeight="1" x14ac:dyDescent="0.35">
      <c r="A1571" s="4"/>
      <c r="B1571" s="614"/>
      <c r="C1571" s="71"/>
      <c r="D1571" s="71"/>
      <c r="E1571" s="71"/>
      <c r="F1571" s="71"/>
      <c r="G1571" s="71"/>
      <c r="H1571" s="87"/>
      <c r="I1571" s="71"/>
      <c r="J1571" s="71"/>
      <c r="K1571" s="71"/>
      <c r="L1571" s="87"/>
      <c r="M1571" s="71"/>
      <c r="N1571" s="71"/>
      <c r="O1571" s="71"/>
      <c r="P1571" s="311"/>
      <c r="Q1571" s="312"/>
      <c r="R1571" s="312"/>
      <c r="S1571" s="569"/>
      <c r="T1571" s="569"/>
      <c r="U1571" s="569"/>
      <c r="V1571" s="341"/>
      <c r="W1571" s="311"/>
      <c r="X1571" s="71"/>
      <c r="Y1571" s="71"/>
      <c r="Z1571" s="71"/>
      <c r="AA1571" s="456"/>
      <c r="AB1571" s="104"/>
      <c r="AC1571" s="485"/>
      <c r="AD1571" s="486"/>
      <c r="AE1571" s="485"/>
      <c r="AF1571" s="634"/>
      <c r="AG1571" s="97"/>
      <c r="AH1571" s="223"/>
      <c r="AI1571" s="569"/>
      <c r="AJ1571" s="569"/>
      <c r="AK1571" s="569"/>
      <c r="AL1571" s="569"/>
      <c r="AM1571" s="569"/>
      <c r="AN1571" s="589"/>
      <c r="AO1571" s="84"/>
      <c r="AP1571" s="5"/>
    </row>
    <row r="1572" spans="1:42" ht="13.5" customHeight="1" x14ac:dyDescent="0.35">
      <c r="A1572" s="4"/>
      <c r="B1572" s="614"/>
      <c r="C1572" s="71"/>
      <c r="D1572" s="71"/>
      <c r="E1572" s="71"/>
      <c r="F1572" s="71"/>
      <c r="G1572" s="71"/>
      <c r="H1572" s="87"/>
      <c r="I1572" s="71"/>
      <c r="J1572" s="71"/>
      <c r="K1572" s="71"/>
      <c r="L1572" s="87"/>
      <c r="M1572" s="71"/>
      <c r="N1572" s="71"/>
      <c r="O1572" s="71"/>
      <c r="P1572" s="311"/>
      <c r="Q1572" s="312"/>
      <c r="R1572" s="312"/>
      <c r="S1572" s="569"/>
      <c r="T1572" s="569"/>
      <c r="U1572" s="569"/>
      <c r="V1572" s="341"/>
      <c r="W1572" s="311"/>
      <c r="X1572" s="71"/>
      <c r="Y1572" s="71"/>
      <c r="Z1572" s="71"/>
      <c r="AA1572" s="456"/>
      <c r="AB1572" s="104"/>
      <c r="AC1572" s="485"/>
      <c r="AD1572" s="486"/>
      <c r="AE1572" s="485"/>
      <c r="AF1572" s="634"/>
      <c r="AG1572" s="97"/>
      <c r="AH1572" s="223"/>
      <c r="AI1572" s="569"/>
      <c r="AJ1572" s="569"/>
      <c r="AK1572" s="569"/>
      <c r="AL1572" s="569"/>
      <c r="AM1572" s="569"/>
      <c r="AN1572" s="589"/>
      <c r="AO1572" s="84"/>
      <c r="AP1572" s="5"/>
    </row>
    <row r="1573" spans="1:42" ht="13.5" customHeight="1" x14ac:dyDescent="0.35">
      <c r="A1573" s="4"/>
      <c r="B1573" s="614"/>
      <c r="C1573" s="71"/>
      <c r="D1573" s="71"/>
      <c r="E1573" s="71"/>
      <c r="F1573" s="71"/>
      <c r="G1573" s="71"/>
      <c r="H1573" s="87"/>
      <c r="I1573" s="71"/>
      <c r="J1573" s="71"/>
      <c r="K1573" s="71"/>
      <c r="L1573" s="87"/>
      <c r="M1573" s="71"/>
      <c r="N1573" s="71"/>
      <c r="O1573" s="71"/>
      <c r="P1573" s="311"/>
      <c r="Q1573" s="312"/>
      <c r="R1573" s="312"/>
      <c r="S1573" s="569"/>
      <c r="T1573" s="569"/>
      <c r="U1573" s="569"/>
      <c r="V1573" s="341"/>
      <c r="W1573" s="311"/>
      <c r="X1573" s="71"/>
      <c r="Y1573" s="71"/>
      <c r="Z1573" s="71"/>
      <c r="AA1573" s="456"/>
      <c r="AB1573" s="104"/>
      <c r="AC1573" s="485"/>
      <c r="AD1573" s="486"/>
      <c r="AE1573" s="485"/>
      <c r="AF1573" s="634"/>
      <c r="AG1573" s="97"/>
      <c r="AH1573" s="223"/>
      <c r="AI1573" s="569"/>
      <c r="AJ1573" s="569"/>
      <c r="AK1573" s="569"/>
      <c r="AL1573" s="569"/>
      <c r="AM1573" s="569"/>
      <c r="AN1573" s="589"/>
      <c r="AO1573" s="84"/>
      <c r="AP1573" s="5"/>
    </row>
    <row r="1574" spans="1:42" ht="13.5" customHeight="1" x14ac:dyDescent="0.35">
      <c r="A1574" s="4"/>
      <c r="B1574" s="614"/>
      <c r="C1574" s="71"/>
      <c r="D1574" s="71"/>
      <c r="E1574" s="71"/>
      <c r="F1574" s="71"/>
      <c r="G1574" s="71"/>
      <c r="H1574" s="87"/>
      <c r="I1574" s="71"/>
      <c r="J1574" s="71"/>
      <c r="K1574" s="71"/>
      <c r="L1574" s="87"/>
      <c r="M1574" s="71"/>
      <c r="N1574" s="71"/>
      <c r="O1574" s="71"/>
      <c r="P1574" s="311"/>
      <c r="Q1574" s="312"/>
      <c r="R1574" s="312"/>
      <c r="S1574" s="569"/>
      <c r="T1574" s="569"/>
      <c r="U1574" s="569"/>
      <c r="V1574" s="341"/>
      <c r="W1574" s="311"/>
      <c r="X1574" s="71"/>
      <c r="Y1574" s="71"/>
      <c r="Z1574" s="71"/>
      <c r="AA1574" s="456"/>
      <c r="AB1574" s="104"/>
      <c r="AC1574" s="485"/>
      <c r="AD1574" s="486"/>
      <c r="AE1574" s="485"/>
      <c r="AF1574" s="634"/>
      <c r="AG1574" s="97"/>
      <c r="AH1574" s="223"/>
      <c r="AI1574" s="569"/>
      <c r="AJ1574" s="569"/>
      <c r="AK1574" s="569"/>
      <c r="AL1574" s="569"/>
      <c r="AM1574" s="569"/>
      <c r="AN1574" s="589"/>
      <c r="AO1574" s="84"/>
      <c r="AP1574" s="5"/>
    </row>
    <row r="1575" spans="1:42" ht="13.5" customHeight="1" x14ac:dyDescent="0.35">
      <c r="A1575" s="4"/>
      <c r="B1575" s="614"/>
      <c r="C1575" s="71"/>
      <c r="D1575" s="71"/>
      <c r="E1575" s="71"/>
      <c r="F1575" s="71"/>
      <c r="G1575" s="71"/>
      <c r="H1575" s="87"/>
      <c r="I1575" s="71"/>
      <c r="J1575" s="71"/>
      <c r="K1575" s="71"/>
      <c r="L1575" s="87"/>
      <c r="M1575" s="71"/>
      <c r="N1575" s="71"/>
      <c r="O1575" s="71"/>
      <c r="P1575" s="311"/>
      <c r="Q1575" s="312"/>
      <c r="R1575" s="312"/>
      <c r="S1575" s="569"/>
      <c r="T1575" s="569"/>
      <c r="U1575" s="569"/>
      <c r="V1575" s="341"/>
      <c r="W1575" s="311"/>
      <c r="X1575" s="71"/>
      <c r="Y1575" s="71"/>
      <c r="Z1575" s="71"/>
      <c r="AA1575" s="456"/>
      <c r="AB1575" s="104"/>
      <c r="AC1575" s="485"/>
      <c r="AD1575" s="486"/>
      <c r="AE1575" s="485"/>
      <c r="AF1575" s="634"/>
      <c r="AG1575" s="97"/>
      <c r="AH1575" s="223"/>
      <c r="AI1575" s="569"/>
      <c r="AJ1575" s="569"/>
      <c r="AK1575" s="569"/>
      <c r="AL1575" s="569"/>
      <c r="AM1575" s="569"/>
      <c r="AN1575" s="589"/>
      <c r="AO1575" s="84"/>
      <c r="AP1575" s="5"/>
    </row>
    <row r="1576" spans="1:42" ht="13.5" customHeight="1" x14ac:dyDescent="0.35">
      <c r="A1576" s="4"/>
      <c r="B1576" s="614"/>
      <c r="C1576" s="71"/>
      <c r="D1576" s="71"/>
      <c r="E1576" s="71"/>
      <c r="F1576" s="71"/>
      <c r="G1576" s="71"/>
      <c r="H1576" s="87"/>
      <c r="I1576" s="71"/>
      <c r="J1576" s="71"/>
      <c r="K1576" s="71"/>
      <c r="L1576" s="87"/>
      <c r="M1576" s="71"/>
      <c r="N1576" s="71"/>
      <c r="O1576" s="71"/>
      <c r="P1576" s="311"/>
      <c r="Q1576" s="312"/>
      <c r="R1576" s="312"/>
      <c r="S1576" s="569"/>
      <c r="T1576" s="569"/>
      <c r="U1576" s="569"/>
      <c r="V1576" s="341"/>
      <c r="W1576" s="311"/>
      <c r="X1576" s="71"/>
      <c r="Y1576" s="71"/>
      <c r="Z1576" s="71"/>
      <c r="AA1576" s="456"/>
      <c r="AB1576" s="104"/>
      <c r="AC1576" s="485"/>
      <c r="AD1576" s="486"/>
      <c r="AE1576" s="485"/>
      <c r="AF1576" s="634"/>
      <c r="AG1576" s="97"/>
      <c r="AH1576" s="223"/>
      <c r="AI1576" s="569"/>
      <c r="AJ1576" s="569"/>
      <c r="AK1576" s="569"/>
      <c r="AL1576" s="569"/>
      <c r="AM1576" s="569"/>
      <c r="AN1576" s="589"/>
      <c r="AO1576" s="84"/>
      <c r="AP1576" s="5"/>
    </row>
    <row r="1577" spans="1:42" ht="13.5" customHeight="1" x14ac:dyDescent="0.35">
      <c r="A1577" s="4"/>
      <c r="B1577" s="614"/>
      <c r="C1577" s="71"/>
      <c r="D1577" s="71"/>
      <c r="E1577" s="71"/>
      <c r="F1577" s="71"/>
      <c r="G1577" s="71"/>
      <c r="H1577" s="87"/>
      <c r="I1577" s="71"/>
      <c r="J1577" s="71"/>
      <c r="K1577" s="71"/>
      <c r="L1577" s="87"/>
      <c r="M1577" s="71"/>
      <c r="N1577" s="71"/>
      <c r="O1577" s="71"/>
      <c r="P1577" s="311"/>
      <c r="Q1577" s="312"/>
      <c r="R1577" s="312"/>
      <c r="S1577" s="569"/>
      <c r="T1577" s="569"/>
      <c r="U1577" s="569"/>
      <c r="V1577" s="341"/>
      <c r="W1577" s="311"/>
      <c r="X1577" s="71"/>
      <c r="Y1577" s="71"/>
      <c r="Z1577" s="71"/>
      <c r="AA1577" s="456"/>
      <c r="AB1577" s="104"/>
      <c r="AC1577" s="485"/>
      <c r="AD1577" s="486"/>
      <c r="AE1577" s="485"/>
      <c r="AF1577" s="634"/>
      <c r="AG1577" s="97"/>
      <c r="AH1577" s="223"/>
      <c r="AI1577" s="569"/>
      <c r="AJ1577" s="569"/>
      <c r="AK1577" s="569"/>
      <c r="AL1577" s="569"/>
      <c r="AM1577" s="569"/>
      <c r="AN1577" s="589"/>
      <c r="AO1577" s="84"/>
      <c r="AP1577" s="5"/>
    </row>
    <row r="1578" spans="1:42" ht="13.5" customHeight="1" x14ac:dyDescent="0.35">
      <c r="A1578" s="4"/>
      <c r="B1578" s="614"/>
      <c r="C1578" s="71"/>
      <c r="D1578" s="71"/>
      <c r="E1578" s="71"/>
      <c r="F1578" s="71"/>
      <c r="G1578" s="71"/>
      <c r="H1578" s="87"/>
      <c r="I1578" s="71"/>
      <c r="J1578" s="71"/>
      <c r="K1578" s="71"/>
      <c r="L1578" s="87"/>
      <c r="M1578" s="71"/>
      <c r="N1578" s="71"/>
      <c r="O1578" s="71"/>
      <c r="P1578" s="311"/>
      <c r="Q1578" s="312"/>
      <c r="R1578" s="312"/>
      <c r="S1578" s="569"/>
      <c r="T1578" s="569"/>
      <c r="U1578" s="569"/>
      <c r="V1578" s="341"/>
      <c r="W1578" s="311"/>
      <c r="X1578" s="71"/>
      <c r="Y1578" s="71"/>
      <c r="Z1578" s="71"/>
      <c r="AA1578" s="456"/>
      <c r="AB1578" s="104"/>
      <c r="AC1578" s="485"/>
      <c r="AD1578" s="486"/>
      <c r="AE1578" s="485"/>
      <c r="AF1578" s="634"/>
      <c r="AG1578" s="97"/>
      <c r="AH1578" s="223"/>
      <c r="AI1578" s="569"/>
      <c r="AJ1578" s="569"/>
      <c r="AK1578" s="569"/>
      <c r="AL1578" s="569"/>
      <c r="AM1578" s="569"/>
      <c r="AN1578" s="589"/>
      <c r="AO1578" s="84"/>
      <c r="AP1578" s="5"/>
    </row>
    <row r="1579" spans="1:42" ht="13.5" customHeight="1" x14ac:dyDescent="0.35">
      <c r="A1579" s="4"/>
      <c r="B1579" s="614"/>
      <c r="C1579" s="71"/>
      <c r="D1579" s="71"/>
      <c r="E1579" s="71"/>
      <c r="F1579" s="71"/>
      <c r="G1579" s="71"/>
      <c r="H1579" s="87"/>
      <c r="I1579" s="71"/>
      <c r="J1579" s="71"/>
      <c r="K1579" s="71"/>
      <c r="L1579" s="87"/>
      <c r="M1579" s="71"/>
      <c r="N1579" s="71"/>
      <c r="O1579" s="71"/>
      <c r="P1579" s="311"/>
      <c r="Q1579" s="312"/>
      <c r="R1579" s="312"/>
      <c r="S1579" s="569"/>
      <c r="T1579" s="569"/>
      <c r="U1579" s="569"/>
      <c r="V1579" s="341"/>
      <c r="W1579" s="311"/>
      <c r="X1579" s="71"/>
      <c r="Y1579" s="71"/>
      <c r="Z1579" s="71"/>
      <c r="AA1579" s="456"/>
      <c r="AB1579" s="104"/>
      <c r="AC1579" s="485"/>
      <c r="AD1579" s="486"/>
      <c r="AE1579" s="485"/>
      <c r="AF1579" s="634"/>
      <c r="AG1579" s="97"/>
      <c r="AH1579" s="223"/>
      <c r="AI1579" s="569"/>
      <c r="AJ1579" s="569"/>
      <c r="AK1579" s="569"/>
      <c r="AL1579" s="569"/>
      <c r="AM1579" s="569"/>
      <c r="AN1579" s="589"/>
      <c r="AO1579" s="84"/>
      <c r="AP1579" s="5"/>
    </row>
    <row r="1580" spans="1:42" ht="13.5" customHeight="1" x14ac:dyDescent="0.35">
      <c r="A1580" s="4"/>
      <c r="B1580" s="614"/>
      <c r="C1580" s="71"/>
      <c r="D1580" s="71"/>
      <c r="E1580" s="71"/>
      <c r="F1580" s="71"/>
      <c r="G1580" s="71"/>
      <c r="H1580" s="87"/>
      <c r="I1580" s="71"/>
      <c r="J1580" s="71"/>
      <c r="K1580" s="71"/>
      <c r="L1580" s="87"/>
      <c r="M1580" s="71"/>
      <c r="N1580" s="71"/>
      <c r="O1580" s="71"/>
      <c r="P1580" s="311"/>
      <c r="Q1580" s="312"/>
      <c r="R1580" s="312"/>
      <c r="S1580" s="569"/>
      <c r="T1580" s="569"/>
      <c r="U1580" s="569"/>
      <c r="V1580" s="341"/>
      <c r="W1580" s="311"/>
      <c r="X1580" s="71"/>
      <c r="Y1580" s="71"/>
      <c r="Z1580" s="71"/>
      <c r="AA1580" s="456"/>
      <c r="AB1580" s="104"/>
      <c r="AC1580" s="485"/>
      <c r="AD1580" s="486"/>
      <c r="AE1580" s="485"/>
      <c r="AF1580" s="634"/>
      <c r="AG1580" s="97"/>
      <c r="AH1580" s="223"/>
      <c r="AI1580" s="569"/>
      <c r="AJ1580" s="569"/>
      <c r="AK1580" s="569"/>
      <c r="AL1580" s="569"/>
      <c r="AM1580" s="569"/>
      <c r="AN1580" s="589"/>
      <c r="AO1580" s="84"/>
      <c r="AP1580" s="5"/>
    </row>
    <row r="1581" spans="1:42" ht="13.5" customHeight="1" x14ac:dyDescent="0.35">
      <c r="A1581" s="4"/>
      <c r="B1581" s="614"/>
      <c r="C1581" s="71"/>
      <c r="D1581" s="71"/>
      <c r="E1581" s="71"/>
      <c r="F1581" s="71"/>
      <c r="G1581" s="71"/>
      <c r="H1581" s="87"/>
      <c r="I1581" s="71"/>
      <c r="J1581" s="71"/>
      <c r="K1581" s="71"/>
      <c r="L1581" s="87"/>
      <c r="M1581" s="71"/>
      <c r="N1581" s="71"/>
      <c r="O1581" s="71"/>
      <c r="P1581" s="311"/>
      <c r="Q1581" s="312"/>
      <c r="R1581" s="312"/>
      <c r="S1581" s="569"/>
      <c r="T1581" s="569"/>
      <c r="U1581" s="569"/>
      <c r="V1581" s="341"/>
      <c r="W1581" s="311"/>
      <c r="X1581" s="71"/>
      <c r="Y1581" s="71"/>
      <c r="Z1581" s="71"/>
      <c r="AA1581" s="456"/>
      <c r="AB1581" s="104"/>
      <c r="AC1581" s="485"/>
      <c r="AD1581" s="486"/>
      <c r="AE1581" s="485"/>
      <c r="AF1581" s="634"/>
      <c r="AG1581" s="97"/>
      <c r="AH1581" s="223"/>
      <c r="AI1581" s="569"/>
      <c r="AJ1581" s="569"/>
      <c r="AK1581" s="569"/>
      <c r="AL1581" s="569"/>
      <c r="AM1581" s="569"/>
      <c r="AN1581" s="589"/>
      <c r="AO1581" s="84"/>
      <c r="AP1581" s="5"/>
    </row>
    <row r="1582" spans="1:42" ht="13.5" customHeight="1" x14ac:dyDescent="0.35">
      <c r="A1582" s="4"/>
      <c r="B1582" s="614"/>
      <c r="C1582" s="71"/>
      <c r="D1582" s="71"/>
      <c r="E1582" s="71"/>
      <c r="F1582" s="71"/>
      <c r="G1582" s="71"/>
      <c r="H1582" s="87"/>
      <c r="I1582" s="71"/>
      <c r="J1582" s="71"/>
      <c r="K1582" s="71"/>
      <c r="L1582" s="87"/>
      <c r="M1582" s="71"/>
      <c r="N1582" s="71"/>
      <c r="O1582" s="71"/>
      <c r="P1582" s="311"/>
      <c r="Q1582" s="312"/>
      <c r="R1582" s="312"/>
      <c r="S1582" s="569"/>
      <c r="T1582" s="569"/>
      <c r="U1582" s="569"/>
      <c r="V1582" s="341"/>
      <c r="W1582" s="311"/>
      <c r="X1582" s="71"/>
      <c r="Y1582" s="71"/>
      <c r="Z1582" s="71"/>
      <c r="AA1582" s="456"/>
      <c r="AB1582" s="104"/>
      <c r="AC1582" s="485"/>
      <c r="AD1582" s="486"/>
      <c r="AE1582" s="485"/>
      <c r="AF1582" s="634"/>
      <c r="AG1582" s="97"/>
      <c r="AH1582" s="223"/>
      <c r="AI1582" s="569"/>
      <c r="AJ1582" s="569"/>
      <c r="AK1582" s="569"/>
      <c r="AL1582" s="569"/>
      <c r="AM1582" s="569"/>
      <c r="AN1582" s="589"/>
      <c r="AO1582" s="84"/>
      <c r="AP1582" s="5"/>
    </row>
    <row r="1583" spans="1:42" ht="13.5" customHeight="1" x14ac:dyDescent="0.35">
      <c r="A1583" s="4"/>
      <c r="B1583" s="614"/>
      <c r="C1583" s="71"/>
      <c r="D1583" s="71"/>
      <c r="E1583" s="71"/>
      <c r="F1583" s="71"/>
      <c r="G1583" s="71"/>
      <c r="H1583" s="87"/>
      <c r="I1583" s="71"/>
      <c r="J1583" s="71"/>
      <c r="K1583" s="71"/>
      <c r="L1583" s="87"/>
      <c r="M1583" s="71"/>
      <c r="N1583" s="71"/>
      <c r="O1583" s="71"/>
      <c r="P1583" s="311"/>
      <c r="Q1583" s="312"/>
      <c r="R1583" s="312"/>
      <c r="S1583" s="569"/>
      <c r="T1583" s="569"/>
      <c r="U1583" s="569"/>
      <c r="V1583" s="341"/>
      <c r="W1583" s="311"/>
      <c r="X1583" s="71"/>
      <c r="Y1583" s="71"/>
      <c r="Z1583" s="71"/>
      <c r="AA1583" s="456"/>
      <c r="AB1583" s="104"/>
      <c r="AC1583" s="485"/>
      <c r="AD1583" s="486"/>
      <c r="AE1583" s="485"/>
      <c r="AF1583" s="634"/>
      <c r="AG1583" s="97"/>
      <c r="AH1583" s="223"/>
      <c r="AI1583" s="569"/>
      <c r="AJ1583" s="569"/>
      <c r="AK1583" s="569"/>
      <c r="AL1583" s="569"/>
      <c r="AM1583" s="569"/>
      <c r="AN1583" s="589"/>
      <c r="AO1583" s="84"/>
      <c r="AP1583" s="5"/>
    </row>
    <row r="1584" spans="1:42" ht="13.5" customHeight="1" x14ac:dyDescent="0.35">
      <c r="A1584" s="4"/>
      <c r="B1584" s="614"/>
      <c r="C1584" s="71"/>
      <c r="D1584" s="71"/>
      <c r="E1584" s="71"/>
      <c r="F1584" s="71"/>
      <c r="G1584" s="71"/>
      <c r="H1584" s="87"/>
      <c r="I1584" s="71"/>
      <c r="J1584" s="71"/>
      <c r="K1584" s="71"/>
      <c r="L1584" s="87"/>
      <c r="M1584" s="71"/>
      <c r="N1584" s="71"/>
      <c r="O1584" s="71"/>
      <c r="P1584" s="311"/>
      <c r="Q1584" s="312"/>
      <c r="R1584" s="312"/>
      <c r="S1584" s="569"/>
      <c r="T1584" s="569"/>
      <c r="U1584" s="569"/>
      <c r="V1584" s="341"/>
      <c r="W1584" s="311"/>
      <c r="X1584" s="71"/>
      <c r="Y1584" s="71"/>
      <c r="Z1584" s="71"/>
      <c r="AA1584" s="456"/>
      <c r="AB1584" s="104"/>
      <c r="AC1584" s="485"/>
      <c r="AD1584" s="486"/>
      <c r="AE1584" s="485"/>
      <c r="AF1584" s="634"/>
      <c r="AG1584" s="97"/>
      <c r="AH1584" s="223"/>
      <c r="AI1584" s="569"/>
      <c r="AJ1584" s="569"/>
      <c r="AK1584" s="569"/>
      <c r="AL1584" s="569"/>
      <c r="AM1584" s="569"/>
      <c r="AN1584" s="589"/>
      <c r="AO1584" s="84"/>
      <c r="AP1584" s="5"/>
    </row>
    <row r="1585" spans="1:42" ht="13.5" customHeight="1" x14ac:dyDescent="0.35">
      <c r="A1585" s="4"/>
      <c r="B1585" s="614"/>
      <c r="C1585" s="71"/>
      <c r="D1585" s="71"/>
      <c r="E1585" s="71"/>
      <c r="F1585" s="71"/>
      <c r="G1585" s="71"/>
      <c r="H1585" s="87"/>
      <c r="I1585" s="71"/>
      <c r="J1585" s="71"/>
      <c r="K1585" s="71"/>
      <c r="L1585" s="87"/>
      <c r="M1585" s="71"/>
      <c r="N1585" s="71"/>
      <c r="O1585" s="71"/>
      <c r="P1585" s="311"/>
      <c r="Q1585" s="312"/>
      <c r="R1585" s="312"/>
      <c r="S1585" s="569"/>
      <c r="T1585" s="569"/>
      <c r="U1585" s="569"/>
      <c r="V1585" s="341"/>
      <c r="W1585" s="311"/>
      <c r="X1585" s="71"/>
      <c r="Y1585" s="71"/>
      <c r="Z1585" s="71"/>
      <c r="AA1585" s="456"/>
      <c r="AB1585" s="104"/>
      <c r="AC1585" s="485"/>
      <c r="AD1585" s="486"/>
      <c r="AE1585" s="485"/>
      <c r="AF1585" s="634"/>
      <c r="AG1585" s="97"/>
      <c r="AH1585" s="223"/>
      <c r="AI1585" s="569"/>
      <c r="AJ1585" s="569"/>
      <c r="AK1585" s="569"/>
      <c r="AL1585" s="569"/>
      <c r="AM1585" s="569"/>
      <c r="AN1585" s="589"/>
      <c r="AO1585" s="84"/>
      <c r="AP1585" s="5"/>
    </row>
    <row r="1586" spans="1:42" ht="13.5" customHeight="1" x14ac:dyDescent="0.35">
      <c r="A1586" s="4"/>
      <c r="B1586" s="614"/>
      <c r="C1586" s="71"/>
      <c r="D1586" s="71"/>
      <c r="E1586" s="71"/>
      <c r="F1586" s="71"/>
      <c r="G1586" s="71"/>
      <c r="H1586" s="87"/>
      <c r="I1586" s="71"/>
      <c r="J1586" s="71"/>
      <c r="K1586" s="71"/>
      <c r="L1586" s="87"/>
      <c r="M1586" s="71"/>
      <c r="N1586" s="71"/>
      <c r="O1586" s="71"/>
      <c r="P1586" s="311"/>
      <c r="Q1586" s="312"/>
      <c r="R1586" s="312"/>
      <c r="S1586" s="569"/>
      <c r="T1586" s="569"/>
      <c r="U1586" s="569"/>
      <c r="V1586" s="341"/>
      <c r="W1586" s="311"/>
      <c r="X1586" s="71"/>
      <c r="Y1586" s="71"/>
      <c r="Z1586" s="71"/>
      <c r="AA1586" s="456"/>
      <c r="AB1586" s="104"/>
      <c r="AC1586" s="485"/>
      <c r="AD1586" s="486"/>
      <c r="AE1586" s="485"/>
      <c r="AF1586" s="634"/>
      <c r="AG1586" s="97"/>
      <c r="AH1586" s="223"/>
      <c r="AI1586" s="569"/>
      <c r="AJ1586" s="569"/>
      <c r="AK1586" s="569"/>
      <c r="AL1586" s="569"/>
      <c r="AM1586" s="569"/>
      <c r="AN1586" s="589"/>
      <c r="AO1586" s="84"/>
      <c r="AP1586" s="5"/>
    </row>
    <row r="1587" spans="1:42" ht="13.5" customHeight="1" x14ac:dyDescent="0.35">
      <c r="A1587" s="4"/>
      <c r="B1587" s="614"/>
      <c r="C1587" s="71"/>
      <c r="D1587" s="71"/>
      <c r="E1587" s="71"/>
      <c r="F1587" s="71"/>
      <c r="G1587" s="71"/>
      <c r="H1587" s="87"/>
      <c r="I1587" s="71"/>
      <c r="J1587" s="71"/>
      <c r="K1587" s="71"/>
      <c r="L1587" s="87"/>
      <c r="M1587" s="71"/>
      <c r="N1587" s="71"/>
      <c r="O1587" s="71"/>
      <c r="P1587" s="311"/>
      <c r="Q1587" s="312"/>
      <c r="R1587" s="312"/>
      <c r="S1587" s="569"/>
      <c r="T1587" s="569"/>
      <c r="U1587" s="569"/>
      <c r="V1587" s="341"/>
      <c r="W1587" s="311"/>
      <c r="X1587" s="71"/>
      <c r="Y1587" s="71"/>
      <c r="Z1587" s="71"/>
      <c r="AA1587" s="456"/>
      <c r="AB1587" s="104"/>
      <c r="AC1587" s="485"/>
      <c r="AD1587" s="486"/>
      <c r="AE1587" s="485"/>
      <c r="AF1587" s="634"/>
      <c r="AG1587" s="97"/>
      <c r="AH1587" s="223"/>
      <c r="AI1587" s="569"/>
      <c r="AJ1587" s="569"/>
      <c r="AK1587" s="569"/>
      <c r="AL1587" s="569"/>
      <c r="AM1587" s="569"/>
      <c r="AN1587" s="589"/>
      <c r="AO1587" s="84"/>
      <c r="AP1587" s="5"/>
    </row>
    <row r="1588" spans="1:42" ht="13.5" customHeight="1" x14ac:dyDescent="0.35">
      <c r="A1588" s="4"/>
      <c r="B1588" s="614"/>
      <c r="C1588" s="71"/>
      <c r="D1588" s="71"/>
      <c r="E1588" s="71"/>
      <c r="F1588" s="71"/>
      <c r="G1588" s="71"/>
      <c r="H1588" s="87"/>
      <c r="I1588" s="71"/>
      <c r="J1588" s="71"/>
      <c r="K1588" s="71"/>
      <c r="L1588" s="87"/>
      <c r="M1588" s="71"/>
      <c r="N1588" s="71"/>
      <c r="O1588" s="71"/>
      <c r="P1588" s="311"/>
      <c r="Q1588" s="312"/>
      <c r="R1588" s="312"/>
      <c r="S1588" s="569"/>
      <c r="T1588" s="569"/>
      <c r="U1588" s="569"/>
      <c r="V1588" s="341"/>
      <c r="W1588" s="311"/>
      <c r="X1588" s="71"/>
      <c r="Y1588" s="71"/>
      <c r="Z1588" s="71"/>
      <c r="AA1588" s="456"/>
      <c r="AB1588" s="104"/>
      <c r="AC1588" s="485"/>
      <c r="AD1588" s="486"/>
      <c r="AE1588" s="485"/>
      <c r="AF1588" s="634"/>
      <c r="AG1588" s="97"/>
      <c r="AH1588" s="223"/>
      <c r="AI1588" s="569"/>
      <c r="AJ1588" s="569"/>
      <c r="AK1588" s="569"/>
      <c r="AL1588" s="569"/>
      <c r="AM1588" s="569"/>
      <c r="AN1588" s="589"/>
      <c r="AO1588" s="84"/>
      <c r="AP1588" s="5"/>
    </row>
    <row r="1589" spans="1:42" ht="13.5" customHeight="1" x14ac:dyDescent="0.35">
      <c r="A1589" s="4"/>
      <c r="B1589" s="614"/>
      <c r="C1589" s="71"/>
      <c r="D1589" s="71"/>
      <c r="E1589" s="71"/>
      <c r="F1589" s="71"/>
      <c r="G1589" s="71"/>
      <c r="H1589" s="87"/>
      <c r="I1589" s="71"/>
      <c r="J1589" s="71"/>
      <c r="K1589" s="71"/>
      <c r="L1589" s="87"/>
      <c r="M1589" s="71"/>
      <c r="N1589" s="71"/>
      <c r="O1589" s="71"/>
      <c r="P1589" s="311"/>
      <c r="Q1589" s="312"/>
      <c r="R1589" s="312"/>
      <c r="S1589" s="569"/>
      <c r="T1589" s="569"/>
      <c r="U1589" s="569"/>
      <c r="V1589" s="341"/>
      <c r="W1589" s="311"/>
      <c r="X1589" s="71"/>
      <c r="Y1589" s="71"/>
      <c r="Z1589" s="71"/>
      <c r="AA1589" s="456"/>
      <c r="AB1589" s="104"/>
      <c r="AC1589" s="485"/>
      <c r="AD1589" s="486"/>
      <c r="AE1589" s="485"/>
      <c r="AF1589" s="634"/>
      <c r="AG1589" s="97"/>
      <c r="AH1589" s="223"/>
      <c r="AI1589" s="569"/>
      <c r="AJ1589" s="569"/>
      <c r="AK1589" s="569"/>
      <c r="AL1589" s="569"/>
      <c r="AM1589" s="569"/>
      <c r="AN1589" s="589"/>
      <c r="AO1589" s="84"/>
      <c r="AP1589" s="5"/>
    </row>
    <row r="1590" spans="1:42" ht="13.5" customHeight="1" x14ac:dyDescent="0.35">
      <c r="A1590" s="4"/>
      <c r="B1590" s="614"/>
      <c r="C1590" s="71"/>
      <c r="D1590" s="71"/>
      <c r="E1590" s="71"/>
      <c r="F1590" s="71"/>
      <c r="G1590" s="71"/>
      <c r="H1590" s="87"/>
      <c r="I1590" s="71"/>
      <c r="J1590" s="71"/>
      <c r="K1590" s="71"/>
      <c r="L1590" s="87"/>
      <c r="M1590" s="71"/>
      <c r="N1590" s="71"/>
      <c r="O1590" s="71"/>
      <c r="P1590" s="311"/>
      <c r="Q1590" s="312"/>
      <c r="R1590" s="312"/>
      <c r="S1590" s="569"/>
      <c r="T1590" s="569"/>
      <c r="U1590" s="569"/>
      <c r="V1590" s="341"/>
      <c r="W1590" s="311"/>
      <c r="X1590" s="71"/>
      <c r="Y1590" s="71"/>
      <c r="Z1590" s="71"/>
      <c r="AA1590" s="456"/>
      <c r="AB1590" s="104"/>
      <c r="AC1590" s="485"/>
      <c r="AD1590" s="486"/>
      <c r="AE1590" s="485"/>
      <c r="AF1590" s="634"/>
      <c r="AG1590" s="97"/>
      <c r="AH1590" s="223"/>
      <c r="AI1590" s="569"/>
      <c r="AJ1590" s="569"/>
      <c r="AK1590" s="569"/>
      <c r="AL1590" s="569"/>
      <c r="AM1590" s="569"/>
      <c r="AN1590" s="589"/>
      <c r="AO1590" s="84"/>
      <c r="AP1590" s="5"/>
    </row>
    <row r="1591" spans="1:42" ht="13.5" customHeight="1" x14ac:dyDescent="0.35">
      <c r="A1591" s="4"/>
      <c r="B1591" s="614"/>
      <c r="C1591" s="71"/>
      <c r="D1591" s="71"/>
      <c r="E1591" s="71"/>
      <c r="F1591" s="71"/>
      <c r="G1591" s="71"/>
      <c r="H1591" s="87"/>
      <c r="I1591" s="71"/>
      <c r="J1591" s="71"/>
      <c r="K1591" s="71"/>
      <c r="L1591" s="87"/>
      <c r="M1591" s="71"/>
      <c r="N1591" s="71"/>
      <c r="O1591" s="71"/>
      <c r="P1591" s="311"/>
      <c r="Q1591" s="312"/>
      <c r="R1591" s="312"/>
      <c r="S1591" s="569"/>
      <c r="T1591" s="569"/>
      <c r="U1591" s="569"/>
      <c r="V1591" s="341"/>
      <c r="W1591" s="311"/>
      <c r="X1591" s="71"/>
      <c r="Y1591" s="71"/>
      <c r="Z1591" s="71"/>
      <c r="AA1591" s="456"/>
      <c r="AB1591" s="104"/>
      <c r="AC1591" s="485"/>
      <c r="AD1591" s="486"/>
      <c r="AE1591" s="485"/>
      <c r="AF1591" s="634"/>
      <c r="AG1591" s="97"/>
      <c r="AH1591" s="223"/>
      <c r="AI1591" s="569"/>
      <c r="AJ1591" s="569"/>
      <c r="AK1591" s="569"/>
      <c r="AL1591" s="569"/>
      <c r="AM1591" s="569"/>
      <c r="AN1591" s="589"/>
      <c r="AO1591" s="84"/>
      <c r="AP1591" s="5"/>
    </row>
    <row r="1592" spans="1:42" ht="13.5" customHeight="1" x14ac:dyDescent="0.35">
      <c r="A1592" s="4"/>
      <c r="B1592" s="614"/>
      <c r="C1592" s="71"/>
      <c r="D1592" s="71"/>
      <c r="E1592" s="71"/>
      <c r="F1592" s="71"/>
      <c r="G1592" s="71"/>
      <c r="H1592" s="87"/>
      <c r="I1592" s="71"/>
      <c r="J1592" s="71"/>
      <c r="K1592" s="71"/>
      <c r="L1592" s="87"/>
      <c r="M1592" s="71"/>
      <c r="N1592" s="71"/>
      <c r="O1592" s="71"/>
      <c r="P1592" s="311"/>
      <c r="Q1592" s="312"/>
      <c r="R1592" s="312"/>
      <c r="S1592" s="569"/>
      <c r="T1592" s="569"/>
      <c r="U1592" s="569"/>
      <c r="V1592" s="341"/>
      <c r="W1592" s="311"/>
      <c r="X1592" s="71"/>
      <c r="Y1592" s="71"/>
      <c r="Z1592" s="71"/>
      <c r="AA1592" s="456"/>
      <c r="AB1592" s="104"/>
      <c r="AC1592" s="485"/>
      <c r="AD1592" s="486"/>
      <c r="AE1592" s="485"/>
      <c r="AF1592" s="634"/>
      <c r="AG1592" s="97"/>
      <c r="AH1592" s="223"/>
      <c r="AI1592" s="569"/>
      <c r="AJ1592" s="569"/>
      <c r="AK1592" s="569"/>
      <c r="AL1592" s="569"/>
      <c r="AM1592" s="569"/>
      <c r="AN1592" s="589"/>
      <c r="AO1592" s="84"/>
      <c r="AP1592" s="5"/>
    </row>
    <row r="1593" spans="1:42" ht="13.5" customHeight="1" x14ac:dyDescent="0.35">
      <c r="A1593" s="4"/>
      <c r="B1593" s="614"/>
      <c r="C1593" s="71"/>
      <c r="D1593" s="71"/>
      <c r="E1593" s="71"/>
      <c r="F1593" s="71"/>
      <c r="G1593" s="71"/>
      <c r="H1593" s="87"/>
      <c r="I1593" s="71"/>
      <c r="J1593" s="71"/>
      <c r="K1593" s="71"/>
      <c r="L1593" s="87"/>
      <c r="M1593" s="71"/>
      <c r="N1593" s="71"/>
      <c r="O1593" s="71"/>
      <c r="P1593" s="311"/>
      <c r="Q1593" s="312"/>
      <c r="R1593" s="312"/>
      <c r="S1593" s="569"/>
      <c r="T1593" s="569"/>
      <c r="U1593" s="569"/>
      <c r="V1593" s="341"/>
      <c r="W1593" s="311"/>
      <c r="X1593" s="71"/>
      <c r="Y1593" s="71"/>
      <c r="Z1593" s="71"/>
      <c r="AA1593" s="456"/>
      <c r="AB1593" s="104"/>
      <c r="AC1593" s="485"/>
      <c r="AD1593" s="486"/>
      <c r="AE1593" s="485"/>
      <c r="AF1593" s="634"/>
      <c r="AG1593" s="97"/>
      <c r="AH1593" s="223"/>
      <c r="AI1593" s="569"/>
      <c r="AJ1593" s="569"/>
      <c r="AK1593" s="569"/>
      <c r="AL1593" s="569"/>
      <c r="AM1593" s="569"/>
      <c r="AN1593" s="589"/>
      <c r="AO1593" s="84"/>
      <c r="AP1593" s="5"/>
    </row>
    <row r="1594" spans="1:42" ht="13.5" customHeight="1" x14ac:dyDescent="0.35">
      <c r="A1594" s="4"/>
      <c r="B1594" s="614"/>
      <c r="C1594" s="71"/>
      <c r="D1594" s="71"/>
      <c r="E1594" s="71"/>
      <c r="F1594" s="71"/>
      <c r="G1594" s="71"/>
      <c r="H1594" s="87"/>
      <c r="I1594" s="71"/>
      <c r="J1594" s="71"/>
      <c r="K1594" s="71"/>
      <c r="L1594" s="87"/>
      <c r="M1594" s="71"/>
      <c r="N1594" s="71"/>
      <c r="O1594" s="71"/>
      <c r="P1594" s="311"/>
      <c r="Q1594" s="312"/>
      <c r="R1594" s="312"/>
      <c r="S1594" s="569"/>
      <c r="T1594" s="569"/>
      <c r="U1594" s="569"/>
      <c r="V1594" s="341"/>
      <c r="W1594" s="311"/>
      <c r="X1594" s="71"/>
      <c r="Y1594" s="71"/>
      <c r="Z1594" s="71"/>
      <c r="AA1594" s="456"/>
      <c r="AB1594" s="104"/>
      <c r="AC1594" s="485"/>
      <c r="AD1594" s="486"/>
      <c r="AE1594" s="485"/>
      <c r="AF1594" s="634"/>
      <c r="AG1594" s="97"/>
      <c r="AH1594" s="223"/>
      <c r="AI1594" s="569"/>
      <c r="AJ1594" s="569"/>
      <c r="AK1594" s="569"/>
      <c r="AL1594" s="569"/>
      <c r="AM1594" s="569"/>
      <c r="AN1594" s="589"/>
      <c r="AO1594" s="84"/>
      <c r="AP1594" s="5"/>
    </row>
    <row r="1595" spans="1:42" ht="13.5" customHeight="1" x14ac:dyDescent="0.35">
      <c r="A1595" s="4"/>
      <c r="B1595" s="614"/>
      <c r="C1595" s="71"/>
      <c r="D1595" s="71"/>
      <c r="E1595" s="71"/>
      <c r="F1595" s="71"/>
      <c r="G1595" s="71"/>
      <c r="H1595" s="87"/>
      <c r="I1595" s="71"/>
      <c r="J1595" s="71"/>
      <c r="K1595" s="71"/>
      <c r="L1595" s="87"/>
      <c r="M1595" s="71"/>
      <c r="N1595" s="71"/>
      <c r="O1595" s="71"/>
      <c r="P1595" s="311"/>
      <c r="Q1595" s="312"/>
      <c r="R1595" s="312"/>
      <c r="S1595" s="569"/>
      <c r="T1595" s="569"/>
      <c r="U1595" s="569"/>
      <c r="V1595" s="341"/>
      <c r="W1595" s="311"/>
      <c r="X1595" s="71"/>
      <c r="Y1595" s="71"/>
      <c r="Z1595" s="71"/>
      <c r="AA1595" s="456"/>
      <c r="AB1595" s="104"/>
      <c r="AC1595" s="485"/>
      <c r="AD1595" s="486"/>
      <c r="AE1595" s="485"/>
      <c r="AF1595" s="634"/>
      <c r="AG1595" s="97"/>
      <c r="AH1595" s="223"/>
      <c r="AI1595" s="569"/>
      <c r="AJ1595" s="569"/>
      <c r="AK1595" s="569"/>
      <c r="AL1595" s="569"/>
      <c r="AM1595" s="569"/>
      <c r="AN1595" s="589"/>
      <c r="AO1595" s="84"/>
      <c r="AP1595" s="5"/>
    </row>
    <row r="1596" spans="1:42" ht="13.5" customHeight="1" x14ac:dyDescent="0.35">
      <c r="A1596" s="4"/>
      <c r="B1596" s="614"/>
      <c r="C1596" s="71"/>
      <c r="D1596" s="71"/>
      <c r="E1596" s="71"/>
      <c r="F1596" s="71"/>
      <c r="G1596" s="71"/>
      <c r="H1596" s="87"/>
      <c r="I1596" s="71"/>
      <c r="J1596" s="71"/>
      <c r="K1596" s="71"/>
      <c r="L1596" s="87"/>
      <c r="M1596" s="71"/>
      <c r="N1596" s="71"/>
      <c r="O1596" s="71"/>
      <c r="P1596" s="311"/>
      <c r="Q1596" s="312"/>
      <c r="R1596" s="312"/>
      <c r="S1596" s="569"/>
      <c r="T1596" s="569"/>
      <c r="U1596" s="569"/>
      <c r="V1596" s="341"/>
      <c r="W1596" s="311"/>
      <c r="X1596" s="71"/>
      <c r="Y1596" s="71"/>
      <c r="Z1596" s="71"/>
      <c r="AA1596" s="456"/>
      <c r="AB1596" s="104"/>
      <c r="AC1596" s="485"/>
      <c r="AD1596" s="486"/>
      <c r="AE1596" s="485"/>
      <c r="AF1596" s="634"/>
      <c r="AG1596" s="97"/>
      <c r="AH1596" s="223"/>
      <c r="AI1596" s="569"/>
      <c r="AJ1596" s="569"/>
      <c r="AK1596" s="569"/>
      <c r="AL1596" s="569"/>
      <c r="AM1596" s="569"/>
      <c r="AN1596" s="589"/>
      <c r="AO1596" s="84"/>
      <c r="AP1596" s="5"/>
    </row>
    <row r="1597" spans="1:42" ht="13.5" customHeight="1" x14ac:dyDescent="0.35">
      <c r="A1597" s="4"/>
      <c r="B1597" s="614"/>
      <c r="C1597" s="71"/>
      <c r="D1597" s="71"/>
      <c r="E1597" s="71"/>
      <c r="F1597" s="71"/>
      <c r="G1597" s="71"/>
      <c r="H1597" s="87"/>
      <c r="I1597" s="71"/>
      <c r="J1597" s="71"/>
      <c r="K1597" s="71"/>
      <c r="L1597" s="87"/>
      <c r="M1597" s="71"/>
      <c r="N1597" s="71"/>
      <c r="O1597" s="71"/>
      <c r="P1597" s="311"/>
      <c r="Q1597" s="312"/>
      <c r="R1597" s="312"/>
      <c r="S1597" s="569"/>
      <c r="T1597" s="569"/>
      <c r="U1597" s="569"/>
      <c r="V1597" s="341"/>
      <c r="W1597" s="311"/>
      <c r="X1597" s="71"/>
      <c r="Y1597" s="71"/>
      <c r="Z1597" s="71"/>
      <c r="AA1597" s="456"/>
      <c r="AB1597" s="104"/>
      <c r="AC1597" s="485"/>
      <c r="AD1597" s="486"/>
      <c r="AE1597" s="485"/>
      <c r="AF1597" s="634"/>
      <c r="AG1597" s="97"/>
      <c r="AH1597" s="223"/>
      <c r="AI1597" s="569"/>
      <c r="AJ1597" s="569"/>
      <c r="AK1597" s="569"/>
      <c r="AL1597" s="569"/>
      <c r="AM1597" s="569"/>
      <c r="AN1597" s="589"/>
      <c r="AO1597" s="84"/>
      <c r="AP1597" s="5"/>
    </row>
    <row r="1598" spans="1:42" ht="13.5" customHeight="1" x14ac:dyDescent="0.35">
      <c r="A1598" s="4"/>
      <c r="B1598" s="614"/>
      <c r="C1598" s="71"/>
      <c r="D1598" s="71"/>
      <c r="E1598" s="71"/>
      <c r="F1598" s="71"/>
      <c r="G1598" s="71"/>
      <c r="H1598" s="87"/>
      <c r="I1598" s="71"/>
      <c r="J1598" s="71"/>
      <c r="K1598" s="71"/>
      <c r="L1598" s="87"/>
      <c r="M1598" s="71"/>
      <c r="N1598" s="71"/>
      <c r="O1598" s="71"/>
      <c r="P1598" s="311"/>
      <c r="Q1598" s="312"/>
      <c r="R1598" s="312"/>
      <c r="S1598" s="569"/>
      <c r="T1598" s="569"/>
      <c r="U1598" s="569"/>
      <c r="V1598" s="341"/>
      <c r="W1598" s="311"/>
      <c r="X1598" s="71"/>
      <c r="Y1598" s="71"/>
      <c r="Z1598" s="71"/>
      <c r="AA1598" s="456"/>
      <c r="AB1598" s="104"/>
      <c r="AC1598" s="485"/>
      <c r="AD1598" s="486"/>
      <c r="AE1598" s="485"/>
      <c r="AF1598" s="634"/>
      <c r="AG1598" s="97"/>
      <c r="AH1598" s="223"/>
      <c r="AI1598" s="569"/>
      <c r="AJ1598" s="569"/>
      <c r="AK1598" s="569"/>
      <c r="AL1598" s="569"/>
      <c r="AM1598" s="569"/>
      <c r="AN1598" s="589"/>
      <c r="AO1598" s="84"/>
      <c r="AP1598" s="5"/>
    </row>
    <row r="1599" spans="1:42" ht="13.5" customHeight="1" x14ac:dyDescent="0.35">
      <c r="A1599" s="4"/>
      <c r="B1599" s="614"/>
      <c r="C1599" s="71"/>
      <c r="D1599" s="71"/>
      <c r="E1599" s="71"/>
      <c r="F1599" s="71"/>
      <c r="G1599" s="71"/>
      <c r="H1599" s="87"/>
      <c r="I1599" s="71"/>
      <c r="J1599" s="71"/>
      <c r="K1599" s="71"/>
      <c r="L1599" s="87"/>
      <c r="M1599" s="71"/>
      <c r="N1599" s="71"/>
      <c r="O1599" s="71"/>
      <c r="P1599" s="311"/>
      <c r="Q1599" s="312"/>
      <c r="R1599" s="312"/>
      <c r="S1599" s="569"/>
      <c r="T1599" s="569"/>
      <c r="U1599" s="569"/>
      <c r="V1599" s="341"/>
      <c r="W1599" s="311"/>
      <c r="X1599" s="71"/>
      <c r="Y1599" s="71"/>
      <c r="Z1599" s="71"/>
      <c r="AA1599" s="456"/>
      <c r="AB1599" s="104"/>
      <c r="AC1599" s="485"/>
      <c r="AD1599" s="486"/>
      <c r="AE1599" s="485"/>
      <c r="AF1599" s="634"/>
      <c r="AG1599" s="97"/>
      <c r="AH1599" s="223"/>
      <c r="AI1599" s="569"/>
      <c r="AJ1599" s="569"/>
      <c r="AK1599" s="569"/>
      <c r="AL1599" s="569"/>
      <c r="AM1599" s="569"/>
      <c r="AN1599" s="589"/>
      <c r="AO1599" s="84"/>
      <c r="AP1599" s="5"/>
    </row>
    <row r="1600" spans="1:42" ht="13.5" customHeight="1" x14ac:dyDescent="0.35">
      <c r="A1600" s="4"/>
      <c r="B1600" s="614"/>
      <c r="C1600" s="71"/>
      <c r="D1600" s="71"/>
      <c r="E1600" s="71"/>
      <c r="F1600" s="71"/>
      <c r="G1600" s="71"/>
      <c r="H1600" s="87"/>
      <c r="I1600" s="71"/>
      <c r="J1600" s="71"/>
      <c r="K1600" s="71"/>
      <c r="L1600" s="87"/>
      <c r="M1600" s="71"/>
      <c r="N1600" s="71"/>
      <c r="O1600" s="71"/>
      <c r="P1600" s="311"/>
      <c r="Q1600" s="312"/>
      <c r="R1600" s="312"/>
      <c r="S1600" s="569"/>
      <c r="T1600" s="569"/>
      <c r="U1600" s="569"/>
      <c r="V1600" s="341"/>
      <c r="W1600" s="311"/>
      <c r="X1600" s="71"/>
      <c r="Y1600" s="71"/>
      <c r="Z1600" s="71"/>
      <c r="AA1600" s="456"/>
      <c r="AB1600" s="104"/>
      <c r="AC1600" s="485"/>
      <c r="AD1600" s="486"/>
      <c r="AE1600" s="485"/>
      <c r="AF1600" s="634"/>
      <c r="AG1600" s="97"/>
      <c r="AH1600" s="223"/>
      <c r="AI1600" s="569"/>
      <c r="AJ1600" s="569"/>
      <c r="AK1600" s="569"/>
      <c r="AL1600" s="569"/>
      <c r="AM1600" s="569"/>
      <c r="AN1600" s="589"/>
      <c r="AO1600" s="84"/>
      <c r="AP1600" s="5"/>
    </row>
    <row r="1601" spans="1:42" ht="13.5" customHeight="1" x14ac:dyDescent="0.35">
      <c r="A1601" s="4"/>
      <c r="B1601" s="614"/>
      <c r="C1601" s="71"/>
      <c r="D1601" s="71"/>
      <c r="E1601" s="71"/>
      <c r="F1601" s="71"/>
      <c r="G1601" s="71"/>
      <c r="H1601" s="87"/>
      <c r="I1601" s="71"/>
      <c r="J1601" s="71"/>
      <c r="K1601" s="71"/>
      <c r="L1601" s="87"/>
      <c r="M1601" s="71"/>
      <c r="N1601" s="71"/>
      <c r="O1601" s="71"/>
      <c r="P1601" s="311"/>
      <c r="Q1601" s="312"/>
      <c r="R1601" s="312"/>
      <c r="S1601" s="569"/>
      <c r="T1601" s="569"/>
      <c r="U1601" s="569"/>
      <c r="V1601" s="341"/>
      <c r="W1601" s="311"/>
      <c r="X1601" s="71"/>
      <c r="Y1601" s="71"/>
      <c r="Z1601" s="71"/>
      <c r="AA1601" s="456"/>
      <c r="AB1601" s="104"/>
      <c r="AC1601" s="485"/>
      <c r="AD1601" s="486"/>
      <c r="AE1601" s="485"/>
      <c r="AF1601" s="634"/>
      <c r="AG1601" s="97"/>
      <c r="AH1601" s="223"/>
      <c r="AI1601" s="569"/>
      <c r="AJ1601" s="569"/>
      <c r="AK1601" s="569"/>
      <c r="AL1601" s="569"/>
      <c r="AM1601" s="569"/>
      <c r="AN1601" s="589"/>
      <c r="AO1601" s="84"/>
      <c r="AP1601" s="5"/>
    </row>
    <row r="1602" spans="1:42" ht="13.5" customHeight="1" x14ac:dyDescent="0.35">
      <c r="A1602" s="4"/>
      <c r="B1602" s="614"/>
      <c r="C1602" s="71"/>
      <c r="D1602" s="71"/>
      <c r="E1602" s="71"/>
      <c r="F1602" s="71"/>
      <c r="G1602" s="71"/>
      <c r="H1602" s="87"/>
      <c r="I1602" s="71"/>
      <c r="J1602" s="71"/>
      <c r="K1602" s="71"/>
      <c r="L1602" s="87"/>
      <c r="M1602" s="71"/>
      <c r="N1602" s="71"/>
      <c r="O1602" s="71"/>
      <c r="P1602" s="311"/>
      <c r="Q1602" s="312"/>
      <c r="R1602" s="312"/>
      <c r="S1602" s="569"/>
      <c r="T1602" s="569"/>
      <c r="U1602" s="569"/>
      <c r="V1602" s="341"/>
      <c r="W1602" s="311"/>
      <c r="X1602" s="71"/>
      <c r="Y1602" s="71"/>
      <c r="Z1602" s="71"/>
      <c r="AA1602" s="456"/>
      <c r="AB1602" s="104"/>
      <c r="AC1602" s="485"/>
      <c r="AD1602" s="486"/>
      <c r="AE1602" s="485"/>
      <c r="AF1602" s="634"/>
      <c r="AG1602" s="97"/>
      <c r="AH1602" s="223"/>
      <c r="AI1602" s="569"/>
      <c r="AJ1602" s="569"/>
      <c r="AK1602" s="569"/>
      <c r="AL1602" s="569"/>
      <c r="AM1602" s="569"/>
      <c r="AN1602" s="589"/>
      <c r="AO1602" s="84"/>
      <c r="AP1602" s="5"/>
    </row>
    <row r="1603" spans="1:42" ht="13.5" customHeight="1" x14ac:dyDescent="0.35">
      <c r="A1603" s="4"/>
      <c r="B1603" s="614"/>
      <c r="C1603" s="71"/>
      <c r="D1603" s="71"/>
      <c r="E1603" s="71"/>
      <c r="F1603" s="71"/>
      <c r="G1603" s="71"/>
      <c r="H1603" s="87"/>
      <c r="I1603" s="71"/>
      <c r="J1603" s="71"/>
      <c r="K1603" s="71"/>
      <c r="L1603" s="87"/>
      <c r="M1603" s="71"/>
      <c r="N1603" s="71"/>
      <c r="O1603" s="71"/>
      <c r="P1603" s="311"/>
      <c r="Q1603" s="312"/>
      <c r="R1603" s="312"/>
      <c r="S1603" s="569"/>
      <c r="T1603" s="569"/>
      <c r="U1603" s="569"/>
      <c r="V1603" s="341"/>
      <c r="W1603" s="311"/>
      <c r="X1603" s="71"/>
      <c r="Y1603" s="71"/>
      <c r="Z1603" s="71"/>
      <c r="AA1603" s="456"/>
      <c r="AB1603" s="104"/>
      <c r="AC1603" s="485"/>
      <c r="AD1603" s="486"/>
      <c r="AE1603" s="485"/>
      <c r="AF1603" s="634"/>
      <c r="AG1603" s="97"/>
      <c r="AH1603" s="223"/>
      <c r="AI1603" s="569"/>
      <c r="AJ1603" s="569"/>
      <c r="AK1603" s="569"/>
      <c r="AL1603" s="569"/>
      <c r="AM1603" s="569"/>
      <c r="AN1603" s="589"/>
      <c r="AO1603" s="84"/>
      <c r="AP1603" s="5"/>
    </row>
    <row r="1604" spans="1:42" ht="13.5" customHeight="1" x14ac:dyDescent="0.35">
      <c r="A1604" s="4"/>
      <c r="B1604" s="614"/>
      <c r="C1604" s="71"/>
      <c r="D1604" s="71"/>
      <c r="E1604" s="71"/>
      <c r="F1604" s="71"/>
      <c r="G1604" s="71"/>
      <c r="H1604" s="87"/>
      <c r="I1604" s="71"/>
      <c r="J1604" s="71"/>
      <c r="K1604" s="71"/>
      <c r="L1604" s="87"/>
      <c r="M1604" s="71"/>
      <c r="N1604" s="71"/>
      <c r="O1604" s="71"/>
      <c r="P1604" s="311"/>
      <c r="Q1604" s="312"/>
      <c r="R1604" s="312"/>
      <c r="S1604" s="569"/>
      <c r="T1604" s="569"/>
      <c r="U1604" s="569"/>
      <c r="V1604" s="341"/>
      <c r="W1604" s="311"/>
      <c r="X1604" s="71"/>
      <c r="Y1604" s="71"/>
      <c r="Z1604" s="71"/>
      <c r="AA1604" s="456"/>
      <c r="AB1604" s="104"/>
      <c r="AC1604" s="485"/>
      <c r="AD1604" s="486"/>
      <c r="AE1604" s="485"/>
      <c r="AF1604" s="634"/>
      <c r="AG1604" s="97"/>
      <c r="AH1604" s="223"/>
      <c r="AI1604" s="569"/>
      <c r="AJ1604" s="569"/>
      <c r="AK1604" s="569"/>
      <c r="AL1604" s="569"/>
      <c r="AM1604" s="569"/>
      <c r="AN1604" s="589"/>
      <c r="AO1604" s="84"/>
      <c r="AP1604" s="5"/>
    </row>
    <row r="1605" spans="1:42" ht="13.5" customHeight="1" x14ac:dyDescent="0.35">
      <c r="A1605" s="4"/>
      <c r="B1605" s="614"/>
      <c r="C1605" s="71"/>
      <c r="D1605" s="71"/>
      <c r="E1605" s="71"/>
      <c r="F1605" s="71"/>
      <c r="G1605" s="71"/>
      <c r="H1605" s="87"/>
      <c r="I1605" s="71"/>
      <c r="J1605" s="71"/>
      <c r="K1605" s="71"/>
      <c r="L1605" s="87"/>
      <c r="M1605" s="71"/>
      <c r="N1605" s="71"/>
      <c r="O1605" s="71"/>
      <c r="P1605" s="311"/>
      <c r="Q1605" s="312"/>
      <c r="R1605" s="312"/>
      <c r="S1605" s="569"/>
      <c r="T1605" s="569"/>
      <c r="U1605" s="569"/>
      <c r="V1605" s="341"/>
      <c r="W1605" s="311"/>
      <c r="X1605" s="71"/>
      <c r="Y1605" s="71"/>
      <c r="Z1605" s="71"/>
      <c r="AA1605" s="456"/>
      <c r="AB1605" s="104"/>
      <c r="AC1605" s="485"/>
      <c r="AD1605" s="486"/>
      <c r="AE1605" s="485"/>
      <c r="AF1605" s="634"/>
      <c r="AG1605" s="97"/>
      <c r="AH1605" s="223"/>
      <c r="AI1605" s="569"/>
      <c r="AJ1605" s="569"/>
      <c r="AK1605" s="569"/>
      <c r="AL1605" s="569"/>
      <c r="AM1605" s="569"/>
      <c r="AN1605" s="589"/>
      <c r="AO1605" s="84"/>
      <c r="AP1605" s="5"/>
    </row>
    <row r="1606" spans="1:42" ht="13.5" customHeight="1" x14ac:dyDescent="0.35">
      <c r="A1606" s="4"/>
      <c r="B1606" s="614"/>
      <c r="C1606" s="71"/>
      <c r="D1606" s="71"/>
      <c r="E1606" s="71"/>
      <c r="F1606" s="71"/>
      <c r="G1606" s="71"/>
      <c r="H1606" s="87"/>
      <c r="I1606" s="71"/>
      <c r="J1606" s="71"/>
      <c r="K1606" s="71"/>
      <c r="L1606" s="87"/>
      <c r="M1606" s="71"/>
      <c r="N1606" s="71"/>
      <c r="O1606" s="71"/>
      <c r="P1606" s="311"/>
      <c r="Q1606" s="312"/>
      <c r="R1606" s="312"/>
      <c r="S1606" s="569"/>
      <c r="T1606" s="569"/>
      <c r="U1606" s="569"/>
      <c r="V1606" s="341"/>
      <c r="W1606" s="311"/>
      <c r="X1606" s="71"/>
      <c r="Y1606" s="71"/>
      <c r="Z1606" s="71"/>
      <c r="AA1606" s="456"/>
      <c r="AB1606" s="104"/>
      <c r="AC1606" s="485"/>
      <c r="AD1606" s="486"/>
      <c r="AE1606" s="485"/>
      <c r="AF1606" s="634"/>
      <c r="AG1606" s="97"/>
      <c r="AH1606" s="223"/>
      <c r="AI1606" s="569"/>
      <c r="AJ1606" s="569"/>
      <c r="AK1606" s="569"/>
      <c r="AL1606" s="569"/>
      <c r="AM1606" s="569"/>
      <c r="AN1606" s="589"/>
      <c r="AO1606" s="84"/>
      <c r="AP1606" s="5"/>
    </row>
    <row r="1607" spans="1:42" ht="13.5" customHeight="1" x14ac:dyDescent="0.35">
      <c r="A1607" s="4"/>
      <c r="B1607" s="614"/>
      <c r="C1607" s="71"/>
      <c r="D1607" s="71"/>
      <c r="E1607" s="71"/>
      <c r="F1607" s="71"/>
      <c r="G1607" s="71"/>
      <c r="H1607" s="87"/>
      <c r="I1607" s="71"/>
      <c r="J1607" s="71"/>
      <c r="K1607" s="71"/>
      <c r="L1607" s="87"/>
      <c r="M1607" s="71"/>
      <c r="N1607" s="71"/>
      <c r="O1607" s="71"/>
      <c r="P1607" s="311"/>
      <c r="Q1607" s="312"/>
      <c r="R1607" s="312"/>
      <c r="S1607" s="569"/>
      <c r="T1607" s="569"/>
      <c r="U1607" s="569"/>
      <c r="V1607" s="341"/>
      <c r="W1607" s="311"/>
      <c r="X1607" s="71"/>
      <c r="Y1607" s="71"/>
      <c r="Z1607" s="71"/>
      <c r="AA1607" s="456"/>
      <c r="AB1607" s="104"/>
      <c r="AC1607" s="485"/>
      <c r="AD1607" s="486"/>
      <c r="AE1607" s="485"/>
      <c r="AF1607" s="634"/>
      <c r="AG1607" s="97"/>
      <c r="AH1607" s="223"/>
      <c r="AI1607" s="569"/>
      <c r="AJ1607" s="569"/>
      <c r="AK1607" s="569"/>
      <c r="AL1607" s="569"/>
      <c r="AM1607" s="569"/>
      <c r="AN1607" s="589"/>
      <c r="AO1607" s="84"/>
      <c r="AP1607" s="5"/>
    </row>
    <row r="1608" spans="1:42" ht="13.5" customHeight="1" x14ac:dyDescent="0.35">
      <c r="A1608" s="4"/>
      <c r="B1608" s="614"/>
      <c r="C1608" s="71"/>
      <c r="D1608" s="71"/>
      <c r="E1608" s="71"/>
      <c r="F1608" s="71"/>
      <c r="G1608" s="71"/>
      <c r="H1608" s="87"/>
      <c r="I1608" s="71"/>
      <c r="J1608" s="71"/>
      <c r="K1608" s="71"/>
      <c r="L1608" s="87"/>
      <c r="M1608" s="71"/>
      <c r="N1608" s="71"/>
      <c r="O1608" s="71"/>
      <c r="P1608" s="311"/>
      <c r="Q1608" s="312"/>
      <c r="R1608" s="312"/>
      <c r="S1608" s="569"/>
      <c r="T1608" s="569"/>
      <c r="U1608" s="569"/>
      <c r="V1608" s="341"/>
      <c r="W1608" s="311"/>
      <c r="X1608" s="71"/>
      <c r="Y1608" s="71"/>
      <c r="Z1608" s="71"/>
      <c r="AA1608" s="456"/>
      <c r="AB1608" s="104"/>
      <c r="AC1608" s="485"/>
      <c r="AD1608" s="486"/>
      <c r="AE1608" s="485"/>
      <c r="AF1608" s="634"/>
      <c r="AG1608" s="97"/>
      <c r="AH1608" s="223"/>
      <c r="AI1608" s="569"/>
      <c r="AJ1608" s="569"/>
      <c r="AK1608" s="569"/>
      <c r="AL1608" s="569"/>
      <c r="AM1608" s="569"/>
      <c r="AN1608" s="589"/>
      <c r="AO1608" s="84"/>
      <c r="AP1608" s="5"/>
    </row>
    <row r="1609" spans="1:42" ht="13.5" customHeight="1" x14ac:dyDescent="0.35">
      <c r="A1609" s="4"/>
      <c r="B1609" s="614"/>
      <c r="C1609" s="71"/>
      <c r="D1609" s="71"/>
      <c r="E1609" s="71"/>
      <c r="F1609" s="71"/>
      <c r="G1609" s="71"/>
      <c r="H1609" s="87"/>
      <c r="I1609" s="71"/>
      <c r="J1609" s="71"/>
      <c r="K1609" s="71"/>
      <c r="L1609" s="87"/>
      <c r="M1609" s="71"/>
      <c r="N1609" s="71"/>
      <c r="O1609" s="71"/>
      <c r="P1609" s="311"/>
      <c r="Q1609" s="312"/>
      <c r="R1609" s="312"/>
      <c r="S1609" s="569"/>
      <c r="T1609" s="569"/>
      <c r="U1609" s="569"/>
      <c r="V1609" s="341"/>
      <c r="W1609" s="311"/>
      <c r="X1609" s="71"/>
      <c r="Y1609" s="71"/>
      <c r="Z1609" s="71"/>
      <c r="AA1609" s="456"/>
      <c r="AB1609" s="104"/>
      <c r="AC1609" s="485"/>
      <c r="AD1609" s="486"/>
      <c r="AE1609" s="485"/>
      <c r="AF1609" s="634"/>
      <c r="AG1609" s="97"/>
      <c r="AH1609" s="223"/>
      <c r="AI1609" s="569"/>
      <c r="AJ1609" s="569"/>
      <c r="AK1609" s="569"/>
      <c r="AL1609" s="569"/>
      <c r="AM1609" s="569"/>
      <c r="AN1609" s="589"/>
      <c r="AO1609" s="84"/>
      <c r="AP1609" s="5"/>
    </row>
    <row r="1610" spans="1:42" ht="13.5" customHeight="1" x14ac:dyDescent="0.35">
      <c r="A1610" s="4"/>
      <c r="B1610" s="614"/>
      <c r="C1610" s="71"/>
      <c r="D1610" s="71"/>
      <c r="E1610" s="71"/>
      <c r="F1610" s="71"/>
      <c r="G1610" s="71"/>
      <c r="H1610" s="87"/>
      <c r="I1610" s="71"/>
      <c r="J1610" s="71"/>
      <c r="K1610" s="71"/>
      <c r="L1610" s="87"/>
      <c r="M1610" s="71"/>
      <c r="N1610" s="71"/>
      <c r="O1610" s="71"/>
      <c r="P1610" s="311"/>
      <c r="Q1610" s="312"/>
      <c r="R1610" s="312"/>
      <c r="S1610" s="569"/>
      <c r="T1610" s="569"/>
      <c r="U1610" s="569"/>
      <c r="V1610" s="341"/>
      <c r="W1610" s="311"/>
      <c r="X1610" s="71"/>
      <c r="Y1610" s="71"/>
      <c r="Z1610" s="71"/>
      <c r="AA1610" s="456"/>
      <c r="AB1610" s="104"/>
      <c r="AC1610" s="485"/>
      <c r="AD1610" s="486"/>
      <c r="AE1610" s="485"/>
      <c r="AF1610" s="634"/>
      <c r="AG1610" s="97"/>
      <c r="AH1610" s="223"/>
      <c r="AI1610" s="569"/>
      <c r="AJ1610" s="569"/>
      <c r="AK1610" s="569"/>
      <c r="AL1610" s="569"/>
      <c r="AM1610" s="569"/>
      <c r="AN1610" s="589"/>
      <c r="AO1610" s="84"/>
      <c r="AP1610" s="5"/>
    </row>
    <row r="1611" spans="1:42" ht="13.5" customHeight="1" x14ac:dyDescent="0.35">
      <c r="A1611" s="4"/>
      <c r="B1611" s="614"/>
      <c r="C1611" s="71"/>
      <c r="D1611" s="71"/>
      <c r="E1611" s="71"/>
      <c r="F1611" s="71"/>
      <c r="G1611" s="71"/>
      <c r="H1611" s="87"/>
      <c r="I1611" s="71"/>
      <c r="J1611" s="71"/>
      <c r="K1611" s="71"/>
      <c r="L1611" s="87"/>
      <c r="M1611" s="71"/>
      <c r="N1611" s="71"/>
      <c r="O1611" s="71"/>
      <c r="P1611" s="311"/>
      <c r="Q1611" s="312"/>
      <c r="R1611" s="312"/>
      <c r="S1611" s="569"/>
      <c r="T1611" s="569"/>
      <c r="U1611" s="569"/>
      <c r="V1611" s="341"/>
      <c r="W1611" s="311"/>
      <c r="X1611" s="71"/>
      <c r="Y1611" s="71"/>
      <c r="Z1611" s="71"/>
      <c r="AA1611" s="456"/>
      <c r="AB1611" s="104"/>
      <c r="AC1611" s="485"/>
      <c r="AD1611" s="486"/>
      <c r="AE1611" s="485"/>
      <c r="AF1611" s="634"/>
      <c r="AG1611" s="97"/>
      <c r="AH1611" s="223"/>
      <c r="AI1611" s="569"/>
      <c r="AJ1611" s="569"/>
      <c r="AK1611" s="569"/>
      <c r="AL1611" s="569"/>
      <c r="AM1611" s="569"/>
      <c r="AN1611" s="589"/>
      <c r="AO1611" s="84"/>
      <c r="AP1611" s="5"/>
    </row>
    <row r="1612" spans="1:42" ht="13.5" customHeight="1" x14ac:dyDescent="0.35">
      <c r="A1612" s="4"/>
      <c r="B1612" s="614"/>
      <c r="C1612" s="71"/>
      <c r="D1612" s="71"/>
      <c r="E1612" s="71"/>
      <c r="F1612" s="71"/>
      <c r="G1612" s="71"/>
      <c r="H1612" s="87"/>
      <c r="I1612" s="71"/>
      <c r="J1612" s="71"/>
      <c r="K1612" s="71"/>
      <c r="L1612" s="87"/>
      <c r="M1612" s="71"/>
      <c r="N1612" s="71"/>
      <c r="O1612" s="71"/>
      <c r="P1612" s="311"/>
      <c r="Q1612" s="312"/>
      <c r="R1612" s="312"/>
      <c r="S1612" s="569"/>
      <c r="T1612" s="569"/>
      <c r="U1612" s="569"/>
      <c r="V1612" s="341"/>
      <c r="W1612" s="311"/>
      <c r="X1612" s="71"/>
      <c r="Y1612" s="71"/>
      <c r="Z1612" s="71"/>
      <c r="AA1612" s="456"/>
      <c r="AB1612" s="104"/>
      <c r="AC1612" s="485"/>
      <c r="AD1612" s="486"/>
      <c r="AE1612" s="485"/>
      <c r="AF1612" s="634"/>
      <c r="AG1612" s="97"/>
      <c r="AH1612" s="223"/>
      <c r="AI1612" s="569"/>
      <c r="AJ1612" s="569"/>
      <c r="AK1612" s="569"/>
      <c r="AL1612" s="569"/>
      <c r="AM1612" s="569"/>
      <c r="AN1612" s="589"/>
      <c r="AO1612" s="84"/>
      <c r="AP1612" s="5"/>
    </row>
    <row r="1613" spans="1:42" ht="13.5" customHeight="1" x14ac:dyDescent="0.35">
      <c r="A1613" s="4"/>
      <c r="B1613" s="614"/>
      <c r="C1613" s="71"/>
      <c r="D1613" s="71"/>
      <c r="E1613" s="71"/>
      <c r="F1613" s="71"/>
      <c r="G1613" s="71"/>
      <c r="H1613" s="87"/>
      <c r="I1613" s="71"/>
      <c r="J1613" s="71"/>
      <c r="K1613" s="71"/>
      <c r="L1613" s="87"/>
      <c r="M1613" s="71"/>
      <c r="N1613" s="71"/>
      <c r="O1613" s="71"/>
      <c r="P1613" s="311"/>
      <c r="Q1613" s="312"/>
      <c r="R1613" s="312"/>
      <c r="S1613" s="569"/>
      <c r="T1613" s="569"/>
      <c r="U1613" s="569"/>
      <c r="V1613" s="341"/>
      <c r="W1613" s="311"/>
      <c r="X1613" s="71"/>
      <c r="Y1613" s="71"/>
      <c r="Z1613" s="71"/>
      <c r="AA1613" s="456"/>
      <c r="AB1613" s="104"/>
      <c r="AC1613" s="485"/>
      <c r="AD1613" s="486"/>
      <c r="AE1613" s="485"/>
      <c r="AF1613" s="634"/>
      <c r="AG1613" s="97"/>
      <c r="AH1613" s="223"/>
      <c r="AI1613" s="569"/>
      <c r="AJ1613" s="569"/>
      <c r="AK1613" s="569"/>
      <c r="AL1613" s="569"/>
      <c r="AM1613" s="569"/>
      <c r="AN1613" s="589"/>
      <c r="AO1613" s="84"/>
      <c r="AP1613" s="5"/>
    </row>
    <row r="1614" spans="1:42" ht="13.5" customHeight="1" x14ac:dyDescent="0.35">
      <c r="A1614" s="4"/>
      <c r="B1614" s="614"/>
      <c r="C1614" s="71"/>
      <c r="D1614" s="71"/>
      <c r="E1614" s="71"/>
      <c r="F1614" s="71"/>
      <c r="G1614" s="71"/>
      <c r="H1614" s="87"/>
      <c r="I1614" s="71"/>
      <c r="J1614" s="71"/>
      <c r="K1614" s="71"/>
      <c r="L1614" s="87"/>
      <c r="M1614" s="71"/>
      <c r="N1614" s="71"/>
      <c r="O1614" s="71"/>
      <c r="P1614" s="311"/>
      <c r="Q1614" s="312"/>
      <c r="R1614" s="312"/>
      <c r="S1614" s="569"/>
      <c r="T1614" s="569"/>
      <c r="U1614" s="569"/>
      <c r="V1614" s="341"/>
      <c r="W1614" s="311"/>
      <c r="X1614" s="71"/>
      <c r="Y1614" s="71"/>
      <c r="Z1614" s="71"/>
      <c r="AA1614" s="456"/>
      <c r="AB1614" s="104"/>
      <c r="AC1614" s="485"/>
      <c r="AD1614" s="486"/>
      <c r="AE1614" s="485"/>
      <c r="AF1614" s="634"/>
      <c r="AG1614" s="97"/>
      <c r="AH1614" s="223"/>
      <c r="AI1614" s="569"/>
      <c r="AJ1614" s="569"/>
      <c r="AK1614" s="569"/>
      <c r="AL1614" s="569"/>
      <c r="AM1614" s="569"/>
      <c r="AN1614" s="589"/>
      <c r="AO1614" s="84"/>
      <c r="AP1614" s="5"/>
    </row>
    <row r="1615" spans="1:42" ht="13.5" customHeight="1" x14ac:dyDescent="0.35">
      <c r="A1615" s="4"/>
      <c r="B1615" s="614"/>
      <c r="C1615" s="71"/>
      <c r="D1615" s="71"/>
      <c r="E1615" s="71"/>
      <c r="F1615" s="71"/>
      <c r="G1615" s="71"/>
      <c r="H1615" s="87"/>
      <c r="I1615" s="71"/>
      <c r="J1615" s="71"/>
      <c r="K1615" s="71"/>
      <c r="L1615" s="87"/>
      <c r="M1615" s="71"/>
      <c r="N1615" s="71"/>
      <c r="O1615" s="71"/>
      <c r="P1615" s="311"/>
      <c r="Q1615" s="312"/>
      <c r="R1615" s="312"/>
      <c r="S1615" s="569"/>
      <c r="T1615" s="569"/>
      <c r="U1615" s="569"/>
      <c r="V1615" s="341"/>
      <c r="W1615" s="311"/>
      <c r="X1615" s="71"/>
      <c r="Y1615" s="71"/>
      <c r="Z1615" s="71"/>
      <c r="AA1615" s="456"/>
      <c r="AB1615" s="104"/>
      <c r="AC1615" s="485"/>
      <c r="AD1615" s="486"/>
      <c r="AE1615" s="485"/>
      <c r="AF1615" s="634"/>
      <c r="AG1615" s="97"/>
      <c r="AH1615" s="223"/>
      <c r="AI1615" s="569"/>
      <c r="AJ1615" s="569"/>
      <c r="AK1615" s="569"/>
      <c r="AL1615" s="569"/>
      <c r="AM1615" s="569"/>
      <c r="AN1615" s="589"/>
      <c r="AO1615" s="84"/>
      <c r="AP1615" s="5"/>
    </row>
    <row r="1616" spans="1:42" ht="13.5" customHeight="1" x14ac:dyDescent="0.35">
      <c r="A1616" s="4"/>
      <c r="B1616" s="614"/>
      <c r="C1616" s="71"/>
      <c r="D1616" s="71"/>
      <c r="E1616" s="71"/>
      <c r="F1616" s="71"/>
      <c r="G1616" s="71"/>
      <c r="H1616" s="87"/>
      <c r="I1616" s="71"/>
      <c r="J1616" s="71"/>
      <c r="K1616" s="71"/>
      <c r="L1616" s="87"/>
      <c r="M1616" s="71"/>
      <c r="N1616" s="71"/>
      <c r="O1616" s="71"/>
      <c r="P1616" s="311"/>
      <c r="Q1616" s="312"/>
      <c r="R1616" s="312"/>
      <c r="S1616" s="569"/>
      <c r="T1616" s="569"/>
      <c r="U1616" s="569"/>
      <c r="V1616" s="341"/>
      <c r="W1616" s="311"/>
      <c r="X1616" s="71"/>
      <c r="Y1616" s="71"/>
      <c r="Z1616" s="71"/>
      <c r="AA1616" s="456"/>
      <c r="AB1616" s="104"/>
      <c r="AC1616" s="485"/>
      <c r="AD1616" s="486"/>
      <c r="AE1616" s="485"/>
      <c r="AF1616" s="634"/>
      <c r="AG1616" s="97"/>
      <c r="AH1616" s="223"/>
      <c r="AI1616" s="569"/>
      <c r="AJ1616" s="569"/>
      <c r="AK1616" s="569"/>
      <c r="AL1616" s="569"/>
      <c r="AM1616" s="569"/>
      <c r="AN1616" s="589"/>
      <c r="AO1616" s="84"/>
      <c r="AP1616" s="5"/>
    </row>
    <row r="1617" spans="1:42" ht="13.5" customHeight="1" x14ac:dyDescent="0.35">
      <c r="A1617" s="4"/>
      <c r="B1617" s="614"/>
      <c r="C1617" s="71"/>
      <c r="D1617" s="71"/>
      <c r="E1617" s="71"/>
      <c r="F1617" s="71"/>
      <c r="G1617" s="71"/>
      <c r="H1617" s="87"/>
      <c r="I1617" s="71"/>
      <c r="J1617" s="71"/>
      <c r="K1617" s="71"/>
      <c r="L1617" s="87"/>
      <c r="M1617" s="71"/>
      <c r="N1617" s="71"/>
      <c r="O1617" s="71"/>
      <c r="P1617" s="311"/>
      <c r="Q1617" s="312"/>
      <c r="R1617" s="312"/>
      <c r="S1617" s="569"/>
      <c r="T1617" s="569"/>
      <c r="U1617" s="569"/>
      <c r="V1617" s="341"/>
      <c r="W1617" s="311"/>
      <c r="X1617" s="71"/>
      <c r="Y1617" s="71"/>
      <c r="Z1617" s="71"/>
      <c r="AA1617" s="456"/>
      <c r="AB1617" s="104"/>
      <c r="AC1617" s="485"/>
      <c r="AD1617" s="486"/>
      <c r="AE1617" s="485"/>
      <c r="AF1617" s="634"/>
      <c r="AG1617" s="97"/>
      <c r="AH1617" s="223"/>
      <c r="AI1617" s="569"/>
      <c r="AJ1617" s="569"/>
      <c r="AK1617" s="569"/>
      <c r="AL1617" s="569"/>
      <c r="AM1617" s="569"/>
      <c r="AN1617" s="589"/>
      <c r="AO1617" s="84"/>
      <c r="AP1617" s="5"/>
    </row>
    <row r="1618" spans="1:42" ht="13.5" customHeight="1" x14ac:dyDescent="0.35">
      <c r="A1618" s="4"/>
      <c r="B1618" s="614"/>
      <c r="C1618" s="71"/>
      <c r="D1618" s="71"/>
      <c r="E1618" s="71"/>
      <c r="F1618" s="71"/>
      <c r="G1618" s="71"/>
      <c r="H1618" s="87"/>
      <c r="I1618" s="71"/>
      <c r="J1618" s="71"/>
      <c r="K1618" s="71"/>
      <c r="L1618" s="87"/>
      <c r="M1618" s="71"/>
      <c r="N1618" s="71"/>
      <c r="O1618" s="71"/>
      <c r="P1618" s="311"/>
      <c r="Q1618" s="312"/>
      <c r="R1618" s="312"/>
      <c r="S1618" s="569"/>
      <c r="T1618" s="569"/>
      <c r="U1618" s="569"/>
      <c r="V1618" s="341"/>
      <c r="W1618" s="311"/>
      <c r="X1618" s="71"/>
      <c r="Y1618" s="71"/>
      <c r="Z1618" s="71"/>
      <c r="AA1618" s="456"/>
      <c r="AB1618" s="104"/>
      <c r="AC1618" s="485"/>
      <c r="AD1618" s="486"/>
      <c r="AE1618" s="485"/>
      <c r="AF1618" s="634"/>
      <c r="AG1618" s="97"/>
      <c r="AH1618" s="223"/>
      <c r="AI1618" s="569"/>
      <c r="AJ1618" s="569"/>
      <c r="AK1618" s="569"/>
      <c r="AL1618" s="569"/>
      <c r="AM1618" s="569"/>
      <c r="AN1618" s="589"/>
      <c r="AO1618" s="84"/>
      <c r="AP1618" s="5"/>
    </row>
    <row r="1619" spans="1:42" ht="13.5" customHeight="1" x14ac:dyDescent="0.35">
      <c r="A1619" s="4"/>
      <c r="B1619" s="614"/>
      <c r="C1619" s="71"/>
      <c r="D1619" s="71"/>
      <c r="E1619" s="71"/>
      <c r="F1619" s="71"/>
      <c r="G1619" s="71"/>
      <c r="H1619" s="87"/>
      <c r="I1619" s="71"/>
      <c r="J1619" s="71"/>
      <c r="K1619" s="71"/>
      <c r="L1619" s="87"/>
      <c r="M1619" s="71"/>
      <c r="N1619" s="71"/>
      <c r="O1619" s="71"/>
      <c r="P1619" s="311"/>
      <c r="Q1619" s="312"/>
      <c r="R1619" s="312"/>
      <c r="S1619" s="569"/>
      <c r="T1619" s="569"/>
      <c r="U1619" s="569"/>
      <c r="V1619" s="341"/>
      <c r="W1619" s="311"/>
      <c r="X1619" s="71"/>
      <c r="Y1619" s="71"/>
      <c r="Z1619" s="71"/>
      <c r="AA1619" s="456"/>
      <c r="AB1619" s="104"/>
      <c r="AC1619" s="485"/>
      <c r="AD1619" s="486"/>
      <c r="AE1619" s="485"/>
      <c r="AF1619" s="634"/>
      <c r="AG1619" s="97"/>
      <c r="AH1619" s="223"/>
      <c r="AI1619" s="569"/>
      <c r="AJ1619" s="569"/>
      <c r="AK1619" s="569"/>
      <c r="AL1619" s="569"/>
      <c r="AM1619" s="569"/>
      <c r="AN1619" s="589"/>
      <c r="AO1619" s="84"/>
      <c r="AP1619" s="5"/>
    </row>
    <row r="1620" spans="1:42" ht="13.5" customHeight="1" x14ac:dyDescent="0.35">
      <c r="A1620" s="4"/>
      <c r="B1620" s="614"/>
      <c r="C1620" s="71"/>
      <c r="D1620" s="71"/>
      <c r="E1620" s="71"/>
      <c r="F1620" s="71"/>
      <c r="G1620" s="71"/>
      <c r="H1620" s="87"/>
      <c r="I1620" s="71"/>
      <c r="J1620" s="71"/>
      <c r="K1620" s="71"/>
      <c r="L1620" s="87"/>
      <c r="M1620" s="71"/>
      <c r="N1620" s="71"/>
      <c r="O1620" s="71"/>
      <c r="P1620" s="311"/>
      <c r="Q1620" s="312"/>
      <c r="R1620" s="312"/>
      <c r="S1620" s="569"/>
      <c r="T1620" s="569"/>
      <c r="U1620" s="569"/>
      <c r="V1620" s="341"/>
      <c r="W1620" s="311"/>
      <c r="X1620" s="71"/>
      <c r="Y1620" s="71"/>
      <c r="Z1620" s="71"/>
      <c r="AA1620" s="456"/>
      <c r="AB1620" s="104"/>
      <c r="AC1620" s="485"/>
      <c r="AD1620" s="486"/>
      <c r="AE1620" s="485"/>
      <c r="AF1620" s="634"/>
      <c r="AG1620" s="97"/>
      <c r="AH1620" s="223"/>
      <c r="AI1620" s="569"/>
      <c r="AJ1620" s="569"/>
      <c r="AK1620" s="569"/>
      <c r="AL1620" s="569"/>
      <c r="AM1620" s="569"/>
      <c r="AN1620" s="589"/>
      <c r="AO1620" s="84"/>
      <c r="AP1620" s="5"/>
    </row>
    <row r="1621" spans="1:42" ht="13.5" customHeight="1" x14ac:dyDescent="0.35">
      <c r="A1621" s="4"/>
      <c r="B1621" s="614"/>
      <c r="C1621" s="71"/>
      <c r="D1621" s="71"/>
      <c r="E1621" s="71"/>
      <c r="F1621" s="71"/>
      <c r="G1621" s="71"/>
      <c r="H1621" s="87"/>
      <c r="I1621" s="71"/>
      <c r="J1621" s="71"/>
      <c r="K1621" s="71"/>
      <c r="L1621" s="87"/>
      <c r="M1621" s="71"/>
      <c r="N1621" s="71"/>
      <c r="O1621" s="71"/>
      <c r="P1621" s="311"/>
      <c r="Q1621" s="312"/>
      <c r="R1621" s="312"/>
      <c r="S1621" s="569"/>
      <c r="T1621" s="569"/>
      <c r="U1621" s="569"/>
      <c r="V1621" s="341"/>
      <c r="W1621" s="311"/>
      <c r="X1621" s="71"/>
      <c r="Y1621" s="71"/>
      <c r="Z1621" s="71"/>
      <c r="AA1621" s="456"/>
      <c r="AB1621" s="104"/>
      <c r="AC1621" s="485"/>
      <c r="AD1621" s="486"/>
      <c r="AE1621" s="485"/>
      <c r="AF1621" s="634"/>
      <c r="AG1621" s="97"/>
      <c r="AH1621" s="223"/>
      <c r="AI1621" s="569"/>
      <c r="AJ1621" s="569"/>
      <c r="AK1621" s="569"/>
      <c r="AL1621" s="569"/>
      <c r="AM1621" s="569"/>
      <c r="AN1621" s="589"/>
      <c r="AO1621" s="84"/>
      <c r="AP1621" s="5"/>
    </row>
    <row r="1622" spans="1:42" ht="13.5" customHeight="1" x14ac:dyDescent="0.35">
      <c r="A1622" s="4"/>
      <c r="B1622" s="614"/>
      <c r="C1622" s="71"/>
      <c r="D1622" s="71"/>
      <c r="E1622" s="71"/>
      <c r="F1622" s="71"/>
      <c r="G1622" s="71"/>
      <c r="H1622" s="87"/>
      <c r="I1622" s="71"/>
      <c r="J1622" s="71"/>
      <c r="K1622" s="71"/>
      <c r="L1622" s="87"/>
      <c r="M1622" s="71"/>
      <c r="N1622" s="71"/>
      <c r="O1622" s="71"/>
      <c r="P1622" s="311"/>
      <c r="Q1622" s="312"/>
      <c r="R1622" s="312"/>
      <c r="S1622" s="569"/>
      <c r="T1622" s="569"/>
      <c r="U1622" s="569"/>
      <c r="V1622" s="341"/>
      <c r="W1622" s="311"/>
      <c r="X1622" s="71"/>
      <c r="Y1622" s="71"/>
      <c r="Z1622" s="71"/>
      <c r="AA1622" s="456"/>
      <c r="AB1622" s="104"/>
      <c r="AC1622" s="485"/>
      <c r="AD1622" s="486"/>
      <c r="AE1622" s="485"/>
      <c r="AF1622" s="634"/>
      <c r="AG1622" s="97"/>
      <c r="AH1622" s="223"/>
      <c r="AI1622" s="569"/>
      <c r="AJ1622" s="569"/>
      <c r="AK1622" s="569"/>
      <c r="AL1622" s="569"/>
      <c r="AM1622" s="569"/>
      <c r="AN1622" s="589"/>
      <c r="AO1622" s="84"/>
      <c r="AP1622" s="5"/>
    </row>
    <row r="1623" spans="1:42" ht="13.5" customHeight="1" x14ac:dyDescent="0.35">
      <c r="A1623" s="4"/>
      <c r="B1623" s="614"/>
      <c r="C1623" s="71"/>
      <c r="D1623" s="71"/>
      <c r="E1623" s="71"/>
      <c r="F1623" s="71"/>
      <c r="G1623" s="71"/>
      <c r="H1623" s="87"/>
      <c r="I1623" s="71"/>
      <c r="J1623" s="71"/>
      <c r="K1623" s="71"/>
      <c r="L1623" s="87"/>
      <c r="M1623" s="71"/>
      <c r="N1623" s="71"/>
      <c r="O1623" s="71"/>
      <c r="P1623" s="311"/>
      <c r="Q1623" s="312"/>
      <c r="R1623" s="312"/>
      <c r="S1623" s="569"/>
      <c r="T1623" s="569"/>
      <c r="U1623" s="569"/>
      <c r="V1623" s="341"/>
      <c r="W1623" s="311"/>
      <c r="X1623" s="71"/>
      <c r="Y1623" s="71"/>
      <c r="Z1623" s="71"/>
      <c r="AA1623" s="456"/>
      <c r="AB1623" s="104"/>
      <c r="AC1623" s="485"/>
      <c r="AD1623" s="486"/>
      <c r="AE1623" s="485"/>
      <c r="AF1623" s="634"/>
      <c r="AG1623" s="97"/>
      <c r="AH1623" s="223"/>
      <c r="AI1623" s="569"/>
      <c r="AJ1623" s="569"/>
      <c r="AK1623" s="569"/>
      <c r="AL1623" s="569"/>
      <c r="AM1623" s="569"/>
      <c r="AN1623" s="589"/>
      <c r="AO1623" s="84"/>
      <c r="AP1623" s="5"/>
    </row>
    <row r="1624" spans="1:42" ht="13.5" customHeight="1" x14ac:dyDescent="0.35">
      <c r="A1624" s="4"/>
      <c r="B1624" s="614"/>
      <c r="C1624" s="71"/>
      <c r="D1624" s="71"/>
      <c r="E1624" s="71"/>
      <c r="F1624" s="71"/>
      <c r="G1624" s="71"/>
      <c r="H1624" s="87"/>
      <c r="I1624" s="71"/>
      <c r="J1624" s="71"/>
      <c r="K1624" s="71"/>
      <c r="L1624" s="87"/>
      <c r="M1624" s="71"/>
      <c r="N1624" s="71"/>
      <c r="O1624" s="71"/>
      <c r="P1624" s="311"/>
      <c r="Q1624" s="312"/>
      <c r="R1624" s="312"/>
      <c r="S1624" s="569"/>
      <c r="T1624" s="569"/>
      <c r="U1624" s="569"/>
      <c r="V1624" s="341"/>
      <c r="W1624" s="311"/>
      <c r="X1624" s="71"/>
      <c r="Y1624" s="71"/>
      <c r="Z1624" s="71"/>
      <c r="AA1624" s="456"/>
      <c r="AB1624" s="104"/>
      <c r="AC1624" s="485"/>
      <c r="AD1624" s="486"/>
      <c r="AE1624" s="485"/>
      <c r="AF1624" s="634"/>
      <c r="AG1624" s="97"/>
      <c r="AH1624" s="223"/>
      <c r="AI1624" s="569"/>
      <c r="AJ1624" s="569"/>
      <c r="AK1624" s="569"/>
      <c r="AL1624" s="569"/>
      <c r="AM1624" s="569"/>
      <c r="AN1624" s="589"/>
      <c r="AO1624" s="84"/>
      <c r="AP1624" s="5"/>
    </row>
    <row r="1625" spans="1:42" ht="13.5" customHeight="1" x14ac:dyDescent="0.35">
      <c r="A1625" s="4"/>
      <c r="B1625" s="614"/>
      <c r="C1625" s="71"/>
      <c r="D1625" s="71"/>
      <c r="E1625" s="71"/>
      <c r="F1625" s="71"/>
      <c r="G1625" s="71"/>
      <c r="H1625" s="87"/>
      <c r="I1625" s="71"/>
      <c r="J1625" s="71"/>
      <c r="K1625" s="71"/>
      <c r="L1625" s="87"/>
      <c r="M1625" s="71"/>
      <c r="N1625" s="71"/>
      <c r="O1625" s="71"/>
      <c r="P1625" s="311"/>
      <c r="Q1625" s="312"/>
      <c r="R1625" s="312"/>
      <c r="S1625" s="569"/>
      <c r="T1625" s="569"/>
      <c r="U1625" s="569"/>
      <c r="V1625" s="341"/>
      <c r="W1625" s="311"/>
      <c r="X1625" s="71"/>
      <c r="Y1625" s="71"/>
      <c r="Z1625" s="71"/>
      <c r="AA1625" s="456"/>
      <c r="AB1625" s="104"/>
      <c r="AC1625" s="485"/>
      <c r="AD1625" s="486"/>
      <c r="AE1625" s="485"/>
      <c r="AF1625" s="634"/>
      <c r="AG1625" s="97"/>
      <c r="AH1625" s="223"/>
      <c r="AI1625" s="569"/>
      <c r="AJ1625" s="569"/>
      <c r="AK1625" s="569"/>
      <c r="AL1625" s="569"/>
      <c r="AM1625" s="569"/>
      <c r="AN1625" s="589"/>
      <c r="AO1625" s="84"/>
      <c r="AP1625" s="5"/>
    </row>
    <row r="1626" spans="1:42" ht="13.5" customHeight="1" x14ac:dyDescent="0.35">
      <c r="A1626" s="4"/>
      <c r="B1626" s="614"/>
      <c r="C1626" s="71"/>
      <c r="D1626" s="71"/>
      <c r="E1626" s="71"/>
      <c r="F1626" s="71"/>
      <c r="G1626" s="71"/>
      <c r="H1626" s="87"/>
      <c r="I1626" s="71"/>
      <c r="J1626" s="71"/>
      <c r="K1626" s="71"/>
      <c r="L1626" s="87"/>
      <c r="M1626" s="71"/>
      <c r="N1626" s="71"/>
      <c r="O1626" s="71"/>
      <c r="P1626" s="311"/>
      <c r="Q1626" s="312"/>
      <c r="R1626" s="312"/>
      <c r="S1626" s="569"/>
      <c r="T1626" s="569"/>
      <c r="U1626" s="569"/>
      <c r="V1626" s="341"/>
      <c r="W1626" s="311"/>
      <c r="X1626" s="71"/>
      <c r="Y1626" s="71"/>
      <c r="Z1626" s="71"/>
      <c r="AA1626" s="456"/>
      <c r="AB1626" s="104"/>
      <c r="AC1626" s="485"/>
      <c r="AD1626" s="486"/>
      <c r="AE1626" s="485"/>
      <c r="AF1626" s="634"/>
      <c r="AG1626" s="97"/>
      <c r="AH1626" s="223"/>
      <c r="AI1626" s="569"/>
      <c r="AJ1626" s="569"/>
      <c r="AK1626" s="569"/>
      <c r="AL1626" s="569"/>
      <c r="AM1626" s="569"/>
      <c r="AN1626" s="589"/>
      <c r="AO1626" s="84"/>
      <c r="AP1626" s="5"/>
    </row>
    <row r="1627" spans="1:42" ht="13.5" customHeight="1" x14ac:dyDescent="0.35">
      <c r="A1627" s="4"/>
      <c r="B1627" s="614"/>
      <c r="C1627" s="71"/>
      <c r="D1627" s="71"/>
      <c r="E1627" s="71"/>
      <c r="F1627" s="71"/>
      <c r="G1627" s="71"/>
      <c r="H1627" s="87"/>
      <c r="I1627" s="71"/>
      <c r="J1627" s="71"/>
      <c r="K1627" s="71"/>
      <c r="L1627" s="87"/>
      <c r="M1627" s="71"/>
      <c r="N1627" s="71"/>
      <c r="O1627" s="71"/>
      <c r="P1627" s="311"/>
      <c r="Q1627" s="312"/>
      <c r="R1627" s="312"/>
      <c r="S1627" s="569"/>
      <c r="T1627" s="569"/>
      <c r="U1627" s="569"/>
      <c r="V1627" s="341"/>
      <c r="W1627" s="311"/>
      <c r="X1627" s="71"/>
      <c r="Y1627" s="71"/>
      <c r="Z1627" s="71"/>
      <c r="AA1627" s="456"/>
      <c r="AB1627" s="104"/>
      <c r="AC1627" s="485"/>
      <c r="AD1627" s="486"/>
      <c r="AE1627" s="485"/>
      <c r="AF1627" s="634"/>
      <c r="AG1627" s="97"/>
      <c r="AH1627" s="223"/>
      <c r="AI1627" s="569"/>
      <c r="AJ1627" s="569"/>
      <c r="AK1627" s="569"/>
      <c r="AL1627" s="569"/>
      <c r="AM1627" s="569"/>
      <c r="AN1627" s="589"/>
      <c r="AO1627" s="84"/>
      <c r="AP1627" s="5"/>
    </row>
    <row r="1628" spans="1:42" ht="13.5" customHeight="1" x14ac:dyDescent="0.35">
      <c r="A1628" s="4"/>
      <c r="B1628" s="614"/>
      <c r="C1628" s="71"/>
      <c r="D1628" s="71"/>
      <c r="E1628" s="71"/>
      <c r="F1628" s="71"/>
      <c r="G1628" s="71"/>
      <c r="H1628" s="87"/>
      <c r="I1628" s="71"/>
      <c r="J1628" s="71"/>
      <c r="K1628" s="71"/>
      <c r="L1628" s="87"/>
      <c r="M1628" s="71"/>
      <c r="N1628" s="71"/>
      <c r="O1628" s="71"/>
      <c r="P1628" s="311"/>
      <c r="Q1628" s="312"/>
      <c r="R1628" s="312"/>
      <c r="S1628" s="569"/>
      <c r="T1628" s="569"/>
      <c r="U1628" s="569"/>
      <c r="V1628" s="341"/>
      <c r="W1628" s="311"/>
      <c r="X1628" s="71"/>
      <c r="Y1628" s="71"/>
      <c r="Z1628" s="71"/>
      <c r="AA1628" s="456"/>
      <c r="AB1628" s="104"/>
      <c r="AC1628" s="485"/>
      <c r="AD1628" s="486"/>
      <c r="AE1628" s="485"/>
      <c r="AF1628" s="634"/>
      <c r="AG1628" s="97"/>
      <c r="AH1628" s="223"/>
      <c r="AI1628" s="569"/>
      <c r="AJ1628" s="569"/>
      <c r="AK1628" s="569"/>
      <c r="AL1628" s="569"/>
      <c r="AM1628" s="569"/>
      <c r="AN1628" s="589"/>
      <c r="AO1628" s="84"/>
      <c r="AP1628" s="5"/>
    </row>
    <row r="1629" spans="1:42" ht="13.5" customHeight="1" x14ac:dyDescent="0.35">
      <c r="A1629" s="4"/>
      <c r="B1629" s="614"/>
      <c r="C1629" s="71"/>
      <c r="D1629" s="71"/>
      <c r="E1629" s="71"/>
      <c r="F1629" s="71"/>
      <c r="G1629" s="71"/>
      <c r="H1629" s="87"/>
      <c r="I1629" s="71"/>
      <c r="J1629" s="71"/>
      <c r="K1629" s="71"/>
      <c r="L1629" s="87"/>
      <c r="M1629" s="71"/>
      <c r="N1629" s="71"/>
      <c r="O1629" s="71"/>
      <c r="P1629" s="311"/>
      <c r="Q1629" s="312"/>
      <c r="R1629" s="312"/>
      <c r="S1629" s="569"/>
      <c r="T1629" s="569"/>
      <c r="U1629" s="569"/>
      <c r="V1629" s="341"/>
      <c r="W1629" s="311"/>
      <c r="X1629" s="71"/>
      <c r="Y1629" s="71"/>
      <c r="Z1629" s="71"/>
      <c r="AA1629" s="456"/>
      <c r="AB1629" s="104"/>
      <c r="AC1629" s="485"/>
      <c r="AD1629" s="486"/>
      <c r="AE1629" s="485"/>
      <c r="AF1629" s="634"/>
      <c r="AG1629" s="97"/>
      <c r="AH1629" s="223"/>
      <c r="AI1629" s="569"/>
      <c r="AJ1629" s="569"/>
      <c r="AK1629" s="569"/>
      <c r="AL1629" s="569"/>
      <c r="AM1629" s="569"/>
      <c r="AN1629" s="589"/>
      <c r="AO1629" s="84"/>
      <c r="AP1629" s="5"/>
    </row>
    <row r="1630" spans="1:42" ht="13.5" customHeight="1" x14ac:dyDescent="0.35">
      <c r="A1630" s="4"/>
      <c r="B1630" s="614"/>
      <c r="C1630" s="71"/>
      <c r="D1630" s="71"/>
      <c r="E1630" s="71"/>
      <c r="F1630" s="71"/>
      <c r="G1630" s="71"/>
      <c r="H1630" s="87"/>
      <c r="I1630" s="71"/>
      <c r="J1630" s="71"/>
      <c r="K1630" s="71"/>
      <c r="L1630" s="87"/>
      <c r="M1630" s="71"/>
      <c r="N1630" s="71"/>
      <c r="O1630" s="71"/>
      <c r="P1630" s="311"/>
      <c r="Q1630" s="312"/>
      <c r="R1630" s="312"/>
      <c r="S1630" s="569"/>
      <c r="T1630" s="569"/>
      <c r="U1630" s="569"/>
      <c r="V1630" s="341"/>
      <c r="W1630" s="311"/>
      <c r="X1630" s="71"/>
      <c r="Y1630" s="71"/>
      <c r="Z1630" s="71"/>
      <c r="AA1630" s="456"/>
      <c r="AB1630" s="104"/>
      <c r="AC1630" s="485"/>
      <c r="AD1630" s="486"/>
      <c r="AE1630" s="485"/>
      <c r="AF1630" s="634"/>
      <c r="AG1630" s="97"/>
      <c r="AH1630" s="223"/>
      <c r="AI1630" s="569"/>
      <c r="AJ1630" s="569"/>
      <c r="AK1630" s="569"/>
      <c r="AL1630" s="569"/>
      <c r="AM1630" s="569"/>
      <c r="AN1630" s="589"/>
      <c r="AO1630" s="84"/>
      <c r="AP1630" s="5"/>
    </row>
    <row r="1631" spans="1:42" ht="13.5" customHeight="1" x14ac:dyDescent="0.35">
      <c r="A1631" s="4"/>
      <c r="B1631" s="614"/>
      <c r="C1631" s="71"/>
      <c r="D1631" s="71"/>
      <c r="E1631" s="71"/>
      <c r="F1631" s="71"/>
      <c r="G1631" s="71"/>
      <c r="H1631" s="87"/>
      <c r="I1631" s="71"/>
      <c r="J1631" s="71"/>
      <c r="K1631" s="71"/>
      <c r="L1631" s="87"/>
      <c r="M1631" s="71"/>
      <c r="N1631" s="71"/>
      <c r="O1631" s="71"/>
      <c r="P1631" s="311"/>
      <c r="Q1631" s="312"/>
      <c r="R1631" s="312"/>
      <c r="S1631" s="569"/>
      <c r="T1631" s="569"/>
      <c r="U1631" s="569"/>
      <c r="V1631" s="341"/>
      <c r="W1631" s="311"/>
      <c r="X1631" s="71"/>
      <c r="Y1631" s="71"/>
      <c r="Z1631" s="71"/>
      <c r="AA1631" s="456"/>
      <c r="AB1631" s="104"/>
      <c r="AC1631" s="485"/>
      <c r="AD1631" s="486"/>
      <c r="AE1631" s="485"/>
      <c r="AF1631" s="634"/>
      <c r="AG1631" s="97"/>
      <c r="AH1631" s="223"/>
      <c r="AI1631" s="569"/>
      <c r="AJ1631" s="569"/>
      <c r="AK1631" s="569"/>
      <c r="AL1631" s="569"/>
      <c r="AM1631" s="569"/>
      <c r="AN1631" s="589"/>
      <c r="AO1631" s="84"/>
      <c r="AP1631" s="5"/>
    </row>
    <row r="1632" spans="1:42" ht="13.5" customHeight="1" x14ac:dyDescent="0.35">
      <c r="A1632" s="4"/>
      <c r="B1632" s="614"/>
      <c r="C1632" s="71"/>
      <c r="D1632" s="71"/>
      <c r="E1632" s="71"/>
      <c r="F1632" s="71"/>
      <c r="G1632" s="71"/>
      <c r="H1632" s="87"/>
      <c r="I1632" s="71"/>
      <c r="J1632" s="71"/>
      <c r="K1632" s="71"/>
      <c r="L1632" s="87"/>
      <c r="M1632" s="71"/>
      <c r="N1632" s="71"/>
      <c r="O1632" s="71"/>
      <c r="P1632" s="311"/>
      <c r="Q1632" s="312"/>
      <c r="R1632" s="312"/>
      <c r="S1632" s="569"/>
      <c r="T1632" s="569"/>
      <c r="U1632" s="569"/>
      <c r="V1632" s="341"/>
      <c r="W1632" s="311"/>
      <c r="X1632" s="71"/>
      <c r="Y1632" s="71"/>
      <c r="Z1632" s="71"/>
      <c r="AA1632" s="456"/>
      <c r="AB1632" s="104"/>
      <c r="AC1632" s="485"/>
      <c r="AD1632" s="486"/>
      <c r="AE1632" s="485"/>
      <c r="AF1632" s="634"/>
      <c r="AG1632" s="97"/>
      <c r="AH1632" s="223"/>
      <c r="AI1632" s="569"/>
      <c r="AJ1632" s="569"/>
      <c r="AK1632" s="569"/>
      <c r="AL1632" s="569"/>
      <c r="AM1632" s="569"/>
      <c r="AN1632" s="589"/>
      <c r="AO1632" s="84"/>
      <c r="AP1632" s="5"/>
    </row>
    <row r="1633" spans="1:42" ht="13.5" customHeight="1" x14ac:dyDescent="0.35">
      <c r="A1633" s="4"/>
      <c r="B1633" s="614"/>
      <c r="C1633" s="71"/>
      <c r="D1633" s="71"/>
      <c r="E1633" s="71"/>
      <c r="F1633" s="71"/>
      <c r="G1633" s="71"/>
      <c r="H1633" s="87"/>
      <c r="I1633" s="71"/>
      <c r="J1633" s="71"/>
      <c r="K1633" s="71"/>
      <c r="L1633" s="87"/>
      <c r="M1633" s="71"/>
      <c r="N1633" s="71"/>
      <c r="O1633" s="71"/>
      <c r="P1633" s="311"/>
      <c r="Q1633" s="312"/>
      <c r="R1633" s="312"/>
      <c r="S1633" s="569"/>
      <c r="T1633" s="569"/>
      <c r="U1633" s="569"/>
      <c r="V1633" s="341"/>
      <c r="W1633" s="311"/>
      <c r="X1633" s="71"/>
      <c r="Y1633" s="71"/>
      <c r="Z1633" s="71"/>
      <c r="AA1633" s="456"/>
      <c r="AB1633" s="104"/>
      <c r="AC1633" s="485"/>
      <c r="AD1633" s="486"/>
      <c r="AE1633" s="485"/>
      <c r="AF1633" s="634"/>
      <c r="AG1633" s="97"/>
      <c r="AH1633" s="223"/>
      <c r="AI1633" s="569"/>
      <c r="AJ1633" s="569"/>
      <c r="AK1633" s="569"/>
      <c r="AL1633" s="569"/>
      <c r="AM1633" s="569"/>
      <c r="AN1633" s="589"/>
      <c r="AO1633" s="84"/>
      <c r="AP1633" s="5"/>
    </row>
    <row r="1634" spans="1:42" ht="13.5" customHeight="1" x14ac:dyDescent="0.35">
      <c r="A1634" s="4"/>
      <c r="B1634" s="614"/>
      <c r="C1634" s="71"/>
      <c r="D1634" s="71"/>
      <c r="E1634" s="71"/>
      <c r="F1634" s="71"/>
      <c r="G1634" s="71"/>
      <c r="H1634" s="87"/>
      <c r="I1634" s="71"/>
      <c r="J1634" s="71"/>
      <c r="K1634" s="71"/>
      <c r="L1634" s="87"/>
      <c r="M1634" s="71"/>
      <c r="N1634" s="71"/>
      <c r="O1634" s="71"/>
      <c r="P1634" s="311"/>
      <c r="Q1634" s="312"/>
      <c r="R1634" s="312"/>
      <c r="S1634" s="569"/>
      <c r="T1634" s="569"/>
      <c r="U1634" s="569"/>
      <c r="V1634" s="341"/>
      <c r="W1634" s="311"/>
      <c r="X1634" s="71"/>
      <c r="Y1634" s="71"/>
      <c r="Z1634" s="71"/>
      <c r="AA1634" s="456"/>
      <c r="AB1634" s="104"/>
      <c r="AC1634" s="485"/>
      <c r="AD1634" s="486"/>
      <c r="AE1634" s="485"/>
      <c r="AF1634" s="634"/>
      <c r="AG1634" s="97"/>
      <c r="AH1634" s="223"/>
      <c r="AI1634" s="569"/>
      <c r="AJ1634" s="569"/>
      <c r="AK1634" s="569"/>
      <c r="AL1634" s="569"/>
      <c r="AM1634" s="569"/>
      <c r="AN1634" s="589"/>
      <c r="AO1634" s="84"/>
      <c r="AP1634" s="5"/>
    </row>
    <row r="1635" spans="1:42" ht="13.5" customHeight="1" x14ac:dyDescent="0.35">
      <c r="A1635" s="4"/>
      <c r="B1635" s="614"/>
      <c r="C1635" s="71"/>
      <c r="D1635" s="71"/>
      <c r="E1635" s="71"/>
      <c r="F1635" s="71"/>
      <c r="G1635" s="71"/>
      <c r="H1635" s="87"/>
      <c r="I1635" s="71"/>
      <c r="J1635" s="71"/>
      <c r="K1635" s="71"/>
      <c r="L1635" s="87"/>
      <c r="M1635" s="71"/>
      <c r="N1635" s="71"/>
      <c r="O1635" s="71"/>
      <c r="P1635" s="311"/>
      <c r="Q1635" s="312"/>
      <c r="R1635" s="312"/>
      <c r="S1635" s="569"/>
      <c r="T1635" s="569"/>
      <c r="U1635" s="569"/>
      <c r="V1635" s="341"/>
      <c r="W1635" s="311"/>
      <c r="X1635" s="71"/>
      <c r="Y1635" s="71"/>
      <c r="Z1635" s="71"/>
      <c r="AA1635" s="456"/>
      <c r="AB1635" s="104"/>
      <c r="AC1635" s="485"/>
      <c r="AD1635" s="486"/>
      <c r="AE1635" s="485"/>
      <c r="AF1635" s="634"/>
      <c r="AG1635" s="97"/>
      <c r="AH1635" s="223"/>
      <c r="AI1635" s="569"/>
      <c r="AJ1635" s="569"/>
      <c r="AK1635" s="569"/>
      <c r="AL1635" s="569"/>
      <c r="AM1635" s="569"/>
      <c r="AN1635" s="589"/>
      <c r="AO1635" s="84"/>
      <c r="AP1635" s="5"/>
    </row>
    <row r="1636" spans="1:42" ht="13.5" customHeight="1" x14ac:dyDescent="0.35">
      <c r="A1636" s="4"/>
      <c r="B1636" s="614"/>
      <c r="C1636" s="71"/>
      <c r="D1636" s="71"/>
      <c r="E1636" s="71"/>
      <c r="F1636" s="71"/>
      <c r="G1636" s="71"/>
      <c r="H1636" s="87"/>
      <c r="I1636" s="71"/>
      <c r="J1636" s="71"/>
      <c r="K1636" s="71"/>
      <c r="L1636" s="87"/>
      <c r="M1636" s="71"/>
      <c r="N1636" s="71"/>
      <c r="O1636" s="71"/>
      <c r="P1636" s="311"/>
      <c r="Q1636" s="312"/>
      <c r="R1636" s="312"/>
      <c r="S1636" s="569"/>
      <c r="T1636" s="569"/>
      <c r="U1636" s="569"/>
      <c r="V1636" s="341"/>
      <c r="W1636" s="311"/>
      <c r="X1636" s="71"/>
      <c r="Y1636" s="71"/>
      <c r="Z1636" s="71"/>
      <c r="AA1636" s="456"/>
      <c r="AB1636" s="104"/>
      <c r="AC1636" s="485"/>
      <c r="AD1636" s="486"/>
      <c r="AE1636" s="485"/>
      <c r="AF1636" s="634"/>
      <c r="AG1636" s="97"/>
      <c r="AH1636" s="223"/>
      <c r="AI1636" s="569"/>
      <c r="AJ1636" s="569"/>
      <c r="AK1636" s="569"/>
      <c r="AL1636" s="569"/>
      <c r="AM1636" s="569"/>
      <c r="AN1636" s="589"/>
      <c r="AO1636" s="84"/>
      <c r="AP1636" s="5"/>
    </row>
    <row r="1637" spans="1:42" ht="13.5" customHeight="1" x14ac:dyDescent="0.35">
      <c r="A1637" s="4"/>
      <c r="B1637" s="614"/>
      <c r="C1637" s="71"/>
      <c r="D1637" s="71"/>
      <c r="E1637" s="71"/>
      <c r="F1637" s="71"/>
      <c r="G1637" s="71"/>
      <c r="H1637" s="87"/>
      <c r="I1637" s="71"/>
      <c r="J1637" s="71"/>
      <c r="K1637" s="71"/>
      <c r="L1637" s="87"/>
      <c r="M1637" s="71"/>
      <c r="N1637" s="71"/>
      <c r="O1637" s="71"/>
      <c r="P1637" s="311"/>
      <c r="Q1637" s="312"/>
      <c r="R1637" s="312"/>
      <c r="S1637" s="569"/>
      <c r="T1637" s="569"/>
      <c r="U1637" s="569"/>
      <c r="V1637" s="341"/>
      <c r="W1637" s="311"/>
      <c r="X1637" s="71"/>
      <c r="Y1637" s="71"/>
      <c r="Z1637" s="71"/>
      <c r="AA1637" s="456"/>
      <c r="AB1637" s="104"/>
      <c r="AC1637" s="485"/>
      <c r="AD1637" s="486"/>
      <c r="AE1637" s="485"/>
      <c r="AF1637" s="634"/>
      <c r="AG1637" s="97"/>
      <c r="AH1637" s="223"/>
      <c r="AI1637" s="569"/>
      <c r="AJ1637" s="569"/>
      <c r="AK1637" s="569"/>
      <c r="AL1637" s="569"/>
      <c r="AM1637" s="569"/>
      <c r="AN1637" s="589"/>
      <c r="AO1637" s="84"/>
      <c r="AP1637" s="5"/>
    </row>
    <row r="1638" spans="1:42" ht="13.5" customHeight="1" x14ac:dyDescent="0.35">
      <c r="A1638" s="4"/>
      <c r="B1638" s="614"/>
      <c r="C1638" s="71"/>
      <c r="D1638" s="71"/>
      <c r="E1638" s="71"/>
      <c r="F1638" s="71"/>
      <c r="G1638" s="71"/>
      <c r="H1638" s="87"/>
      <c r="I1638" s="71"/>
      <c r="J1638" s="71"/>
      <c r="K1638" s="71"/>
      <c r="L1638" s="87"/>
      <c r="M1638" s="71"/>
      <c r="N1638" s="71"/>
      <c r="O1638" s="71"/>
      <c r="P1638" s="311"/>
      <c r="Q1638" s="312"/>
      <c r="R1638" s="312"/>
      <c r="S1638" s="569"/>
      <c r="T1638" s="569"/>
      <c r="U1638" s="569"/>
      <c r="V1638" s="341"/>
      <c r="W1638" s="311"/>
      <c r="X1638" s="71"/>
      <c r="Y1638" s="71"/>
      <c r="Z1638" s="71"/>
      <c r="AA1638" s="456"/>
      <c r="AB1638" s="104"/>
      <c r="AC1638" s="485"/>
      <c r="AD1638" s="486"/>
      <c r="AE1638" s="485"/>
      <c r="AF1638" s="634"/>
      <c r="AG1638" s="97"/>
      <c r="AH1638" s="223"/>
      <c r="AI1638" s="569"/>
      <c r="AJ1638" s="569"/>
      <c r="AK1638" s="569"/>
      <c r="AL1638" s="569"/>
      <c r="AM1638" s="569"/>
      <c r="AN1638" s="589"/>
      <c r="AO1638" s="84"/>
      <c r="AP1638" s="5"/>
    </row>
    <row r="1639" spans="1:42" ht="13.5" customHeight="1" x14ac:dyDescent="0.35">
      <c r="A1639" s="4"/>
      <c r="B1639" s="614"/>
      <c r="C1639" s="71"/>
      <c r="D1639" s="71"/>
      <c r="E1639" s="71"/>
      <c r="F1639" s="71"/>
      <c r="G1639" s="71"/>
      <c r="H1639" s="87"/>
      <c r="I1639" s="71"/>
      <c r="J1639" s="71"/>
      <c r="K1639" s="71"/>
      <c r="L1639" s="87"/>
      <c r="M1639" s="71"/>
      <c r="N1639" s="71"/>
      <c r="O1639" s="71"/>
      <c r="P1639" s="311"/>
      <c r="Q1639" s="312"/>
      <c r="R1639" s="312"/>
      <c r="S1639" s="569"/>
      <c r="T1639" s="569"/>
      <c r="U1639" s="569"/>
      <c r="V1639" s="341"/>
      <c r="W1639" s="311"/>
      <c r="X1639" s="71"/>
      <c r="Y1639" s="71"/>
      <c r="Z1639" s="71"/>
      <c r="AA1639" s="456"/>
      <c r="AB1639" s="104"/>
      <c r="AC1639" s="485"/>
      <c r="AD1639" s="486"/>
      <c r="AE1639" s="485"/>
      <c r="AF1639" s="634"/>
      <c r="AG1639" s="97"/>
      <c r="AH1639" s="223"/>
      <c r="AI1639" s="569"/>
      <c r="AJ1639" s="569"/>
      <c r="AK1639" s="569"/>
      <c r="AL1639" s="569"/>
      <c r="AM1639" s="569"/>
      <c r="AN1639" s="589"/>
      <c r="AO1639" s="84"/>
      <c r="AP1639" s="5"/>
    </row>
    <row r="1640" spans="1:42" ht="13.5" customHeight="1" x14ac:dyDescent="0.35">
      <c r="A1640" s="4"/>
      <c r="B1640" s="614"/>
      <c r="C1640" s="71"/>
      <c r="D1640" s="71"/>
      <c r="E1640" s="71"/>
      <c r="F1640" s="71"/>
      <c r="G1640" s="71"/>
      <c r="H1640" s="87"/>
      <c r="I1640" s="71"/>
      <c r="J1640" s="71"/>
      <c r="K1640" s="71"/>
      <c r="L1640" s="87"/>
      <c r="M1640" s="71"/>
      <c r="N1640" s="71"/>
      <c r="O1640" s="71"/>
      <c r="P1640" s="311"/>
      <c r="Q1640" s="312"/>
      <c r="R1640" s="312"/>
      <c r="S1640" s="569"/>
      <c r="T1640" s="569"/>
      <c r="U1640" s="569"/>
      <c r="V1640" s="341"/>
      <c r="W1640" s="311"/>
      <c r="X1640" s="71"/>
      <c r="Y1640" s="71"/>
      <c r="Z1640" s="71"/>
      <c r="AA1640" s="456"/>
      <c r="AB1640" s="104"/>
      <c r="AC1640" s="485"/>
      <c r="AD1640" s="486"/>
      <c r="AE1640" s="485"/>
      <c r="AF1640" s="634"/>
      <c r="AG1640" s="97"/>
      <c r="AH1640" s="223"/>
      <c r="AI1640" s="569"/>
      <c r="AJ1640" s="569"/>
      <c r="AK1640" s="569"/>
      <c r="AL1640" s="569"/>
      <c r="AM1640" s="569"/>
      <c r="AN1640" s="589"/>
      <c r="AO1640" s="84"/>
      <c r="AP1640" s="5"/>
    </row>
    <row r="1641" spans="1:42" ht="13.5" customHeight="1" x14ac:dyDescent="0.35">
      <c r="A1641" s="4"/>
      <c r="B1641" s="614"/>
      <c r="C1641" s="71"/>
      <c r="D1641" s="71"/>
      <c r="E1641" s="71"/>
      <c r="F1641" s="71"/>
      <c r="G1641" s="71"/>
      <c r="H1641" s="87"/>
      <c r="I1641" s="71"/>
      <c r="J1641" s="71"/>
      <c r="K1641" s="71"/>
      <c r="L1641" s="87"/>
      <c r="M1641" s="71"/>
      <c r="N1641" s="71"/>
      <c r="O1641" s="71"/>
      <c r="P1641" s="311"/>
      <c r="Q1641" s="312"/>
      <c r="R1641" s="312"/>
      <c r="S1641" s="569"/>
      <c r="T1641" s="569"/>
      <c r="U1641" s="569"/>
      <c r="V1641" s="341"/>
      <c r="W1641" s="311"/>
      <c r="X1641" s="71"/>
      <c r="Y1641" s="71"/>
      <c r="Z1641" s="71"/>
      <c r="AA1641" s="456"/>
      <c r="AB1641" s="104"/>
      <c r="AC1641" s="485"/>
      <c r="AD1641" s="486"/>
      <c r="AE1641" s="485"/>
      <c r="AF1641" s="634"/>
      <c r="AG1641" s="97"/>
      <c r="AH1641" s="223"/>
      <c r="AI1641" s="569"/>
      <c r="AJ1641" s="569"/>
      <c r="AK1641" s="569"/>
      <c r="AL1641" s="569"/>
      <c r="AM1641" s="569"/>
      <c r="AN1641" s="589"/>
      <c r="AO1641" s="84"/>
      <c r="AP1641" s="5"/>
    </row>
    <row r="1642" spans="1:42" ht="13.5" customHeight="1" x14ac:dyDescent="0.35">
      <c r="A1642" s="4"/>
      <c r="B1642" s="614"/>
      <c r="C1642" s="71"/>
      <c r="D1642" s="71"/>
      <c r="E1642" s="71"/>
      <c r="F1642" s="71"/>
      <c r="G1642" s="71"/>
      <c r="H1642" s="87"/>
      <c r="I1642" s="71"/>
      <c r="J1642" s="71"/>
      <c r="K1642" s="71"/>
      <c r="L1642" s="87"/>
      <c r="M1642" s="71"/>
      <c r="N1642" s="71"/>
      <c r="O1642" s="71"/>
      <c r="P1642" s="311"/>
      <c r="Q1642" s="312"/>
      <c r="R1642" s="312"/>
      <c r="S1642" s="569"/>
      <c r="T1642" s="569"/>
      <c r="U1642" s="569"/>
      <c r="V1642" s="341"/>
      <c r="W1642" s="311"/>
      <c r="X1642" s="71"/>
      <c r="Y1642" s="71"/>
      <c r="Z1642" s="71"/>
      <c r="AA1642" s="456"/>
      <c r="AB1642" s="104"/>
      <c r="AC1642" s="485"/>
      <c r="AD1642" s="486"/>
      <c r="AE1642" s="485"/>
      <c r="AF1642" s="634"/>
      <c r="AG1642" s="97"/>
      <c r="AH1642" s="223"/>
      <c r="AI1642" s="569"/>
      <c r="AJ1642" s="569"/>
      <c r="AK1642" s="569"/>
      <c r="AL1642" s="569"/>
      <c r="AM1642" s="569"/>
      <c r="AN1642" s="589"/>
      <c r="AO1642" s="84"/>
      <c r="AP1642" s="5"/>
    </row>
    <row r="1643" spans="1:42" ht="13.5" customHeight="1" x14ac:dyDescent="0.35">
      <c r="A1643" s="4"/>
      <c r="B1643" s="614"/>
      <c r="C1643" s="71"/>
      <c r="D1643" s="71"/>
      <c r="E1643" s="71"/>
      <c r="F1643" s="71"/>
      <c r="G1643" s="71"/>
      <c r="H1643" s="87"/>
      <c r="I1643" s="71"/>
      <c r="J1643" s="71"/>
      <c r="K1643" s="71"/>
      <c r="L1643" s="87"/>
      <c r="M1643" s="71"/>
      <c r="N1643" s="71"/>
      <c r="O1643" s="71"/>
      <c r="P1643" s="311"/>
      <c r="Q1643" s="312"/>
      <c r="R1643" s="312"/>
      <c r="S1643" s="569"/>
      <c r="T1643" s="569"/>
      <c r="U1643" s="569"/>
      <c r="V1643" s="341"/>
      <c r="W1643" s="311"/>
      <c r="X1643" s="71"/>
      <c r="Y1643" s="71"/>
      <c r="Z1643" s="71"/>
      <c r="AA1643" s="456"/>
      <c r="AB1643" s="104"/>
      <c r="AC1643" s="485"/>
      <c r="AD1643" s="486"/>
      <c r="AE1643" s="485"/>
      <c r="AF1643" s="634"/>
      <c r="AG1643" s="97"/>
      <c r="AH1643" s="223"/>
      <c r="AI1643" s="569"/>
      <c r="AJ1643" s="569"/>
      <c r="AK1643" s="569"/>
      <c r="AL1643" s="569"/>
      <c r="AM1643" s="569"/>
      <c r="AN1643" s="589"/>
      <c r="AO1643" s="84"/>
      <c r="AP1643" s="5"/>
    </row>
    <row r="1644" spans="1:42" ht="13.5" customHeight="1" x14ac:dyDescent="0.35">
      <c r="A1644" s="4"/>
      <c r="B1644" s="614"/>
      <c r="C1644" s="71"/>
      <c r="D1644" s="71"/>
      <c r="E1644" s="71"/>
      <c r="F1644" s="71"/>
      <c r="G1644" s="71"/>
      <c r="H1644" s="87"/>
      <c r="I1644" s="71"/>
      <c r="J1644" s="71"/>
      <c r="K1644" s="71"/>
      <c r="L1644" s="87"/>
      <c r="M1644" s="71"/>
      <c r="N1644" s="71"/>
      <c r="O1644" s="71"/>
      <c r="P1644" s="311"/>
      <c r="Q1644" s="312"/>
      <c r="R1644" s="312"/>
      <c r="S1644" s="569"/>
      <c r="T1644" s="569"/>
      <c r="U1644" s="569"/>
      <c r="V1644" s="341"/>
      <c r="W1644" s="311"/>
      <c r="X1644" s="71"/>
      <c r="Y1644" s="71"/>
      <c r="Z1644" s="71"/>
      <c r="AA1644" s="456"/>
      <c r="AB1644" s="104"/>
      <c r="AC1644" s="485"/>
      <c r="AD1644" s="486"/>
      <c r="AE1644" s="485"/>
      <c r="AF1644" s="634"/>
      <c r="AG1644" s="97"/>
      <c r="AH1644" s="223"/>
      <c r="AI1644" s="569"/>
      <c r="AJ1644" s="569"/>
      <c r="AK1644" s="569"/>
      <c r="AL1644" s="569"/>
      <c r="AM1644" s="569"/>
      <c r="AN1644" s="589"/>
      <c r="AO1644" s="84"/>
      <c r="AP1644" s="5"/>
    </row>
    <row r="1645" spans="1:42" ht="13.5" customHeight="1" x14ac:dyDescent="0.35">
      <c r="A1645" s="4"/>
      <c r="B1645" s="614"/>
      <c r="C1645" s="71"/>
      <c r="D1645" s="71"/>
      <c r="E1645" s="71"/>
      <c r="F1645" s="71"/>
      <c r="G1645" s="71"/>
      <c r="H1645" s="87"/>
      <c r="I1645" s="71"/>
      <c r="J1645" s="71"/>
      <c r="K1645" s="71"/>
      <c r="L1645" s="87"/>
      <c r="M1645" s="71"/>
      <c r="N1645" s="71"/>
      <c r="O1645" s="71"/>
      <c r="P1645" s="311"/>
      <c r="Q1645" s="312"/>
      <c r="R1645" s="312"/>
      <c r="S1645" s="569"/>
      <c r="T1645" s="569"/>
      <c r="U1645" s="569"/>
      <c r="V1645" s="341"/>
      <c r="W1645" s="311"/>
      <c r="X1645" s="71"/>
      <c r="Y1645" s="71"/>
      <c r="Z1645" s="71"/>
      <c r="AA1645" s="456"/>
      <c r="AB1645" s="104"/>
      <c r="AC1645" s="485"/>
      <c r="AD1645" s="486"/>
      <c r="AE1645" s="485"/>
      <c r="AF1645" s="634"/>
      <c r="AG1645" s="97"/>
      <c r="AH1645" s="223"/>
      <c r="AI1645" s="569"/>
      <c r="AJ1645" s="569"/>
      <c r="AK1645" s="569"/>
      <c r="AL1645" s="569"/>
      <c r="AM1645" s="569"/>
      <c r="AN1645" s="589"/>
      <c r="AO1645" s="84"/>
      <c r="AP1645" s="5"/>
    </row>
    <row r="1646" spans="1:42" ht="13.5" customHeight="1" x14ac:dyDescent="0.35">
      <c r="A1646" s="4"/>
      <c r="B1646" s="614"/>
      <c r="C1646" s="71"/>
      <c r="D1646" s="71"/>
      <c r="E1646" s="71"/>
      <c r="F1646" s="71"/>
      <c r="G1646" s="71"/>
      <c r="H1646" s="87"/>
      <c r="I1646" s="71"/>
      <c r="J1646" s="71"/>
      <c r="K1646" s="71"/>
      <c r="L1646" s="87"/>
      <c r="M1646" s="71"/>
      <c r="N1646" s="71"/>
      <c r="O1646" s="71"/>
      <c r="P1646" s="311"/>
      <c r="Q1646" s="312"/>
      <c r="R1646" s="312"/>
      <c r="S1646" s="569"/>
      <c r="T1646" s="569"/>
      <c r="U1646" s="569"/>
      <c r="V1646" s="341"/>
      <c r="W1646" s="311"/>
      <c r="X1646" s="71"/>
      <c r="Y1646" s="71"/>
      <c r="Z1646" s="71"/>
      <c r="AA1646" s="456"/>
      <c r="AB1646" s="104"/>
      <c r="AC1646" s="485"/>
      <c r="AD1646" s="486"/>
      <c r="AE1646" s="485"/>
      <c r="AF1646" s="634"/>
      <c r="AG1646" s="97"/>
      <c r="AH1646" s="223"/>
      <c r="AI1646" s="569"/>
      <c r="AJ1646" s="569"/>
      <c r="AK1646" s="569"/>
      <c r="AL1646" s="569"/>
      <c r="AM1646" s="569"/>
      <c r="AN1646" s="589"/>
      <c r="AO1646" s="84"/>
      <c r="AP1646" s="5"/>
    </row>
    <row r="1647" spans="1:42" ht="13.5" customHeight="1" x14ac:dyDescent="0.35">
      <c r="A1647" s="4"/>
      <c r="B1647" s="614"/>
      <c r="C1647" s="71"/>
      <c r="D1647" s="71"/>
      <c r="E1647" s="71"/>
      <c r="F1647" s="71"/>
      <c r="G1647" s="71"/>
      <c r="H1647" s="87"/>
      <c r="I1647" s="71"/>
      <c r="J1647" s="71"/>
      <c r="K1647" s="71"/>
      <c r="L1647" s="87"/>
      <c r="M1647" s="71"/>
      <c r="N1647" s="71"/>
      <c r="O1647" s="71"/>
      <c r="P1647" s="311"/>
      <c r="Q1647" s="312"/>
      <c r="R1647" s="312"/>
      <c r="S1647" s="569"/>
      <c r="T1647" s="569"/>
      <c r="U1647" s="569"/>
      <c r="V1647" s="341"/>
      <c r="W1647" s="311"/>
      <c r="X1647" s="71"/>
      <c r="Y1647" s="71"/>
      <c r="Z1647" s="71"/>
      <c r="AA1647" s="456"/>
      <c r="AB1647" s="104"/>
      <c r="AC1647" s="485"/>
      <c r="AD1647" s="486"/>
      <c r="AE1647" s="485"/>
      <c r="AF1647" s="634"/>
      <c r="AG1647" s="97"/>
      <c r="AH1647" s="223"/>
      <c r="AI1647" s="569"/>
      <c r="AJ1647" s="569"/>
      <c r="AK1647" s="569"/>
      <c r="AL1647" s="569"/>
      <c r="AM1647" s="569"/>
      <c r="AN1647" s="589"/>
      <c r="AO1647" s="84"/>
      <c r="AP1647" s="5"/>
    </row>
    <row r="1648" spans="1:42" ht="13.5" customHeight="1" x14ac:dyDescent="0.35">
      <c r="A1648" s="4"/>
      <c r="B1648" s="614"/>
      <c r="C1648" s="71"/>
      <c r="D1648" s="71"/>
      <c r="E1648" s="71"/>
      <c r="F1648" s="71"/>
      <c r="G1648" s="71"/>
      <c r="H1648" s="87"/>
      <c r="I1648" s="71"/>
      <c r="J1648" s="71"/>
      <c r="K1648" s="71"/>
      <c r="L1648" s="87"/>
      <c r="M1648" s="71"/>
      <c r="N1648" s="71"/>
      <c r="O1648" s="71"/>
      <c r="P1648" s="311"/>
      <c r="Q1648" s="312"/>
      <c r="R1648" s="312"/>
      <c r="S1648" s="569"/>
      <c r="T1648" s="569"/>
      <c r="U1648" s="569"/>
      <c r="V1648" s="341"/>
      <c r="W1648" s="311"/>
      <c r="X1648" s="71"/>
      <c r="Y1648" s="71"/>
      <c r="Z1648" s="71"/>
      <c r="AA1648" s="456"/>
      <c r="AB1648" s="104"/>
      <c r="AC1648" s="485"/>
      <c r="AD1648" s="486"/>
      <c r="AE1648" s="485"/>
      <c r="AF1648" s="634"/>
      <c r="AG1648" s="97"/>
      <c r="AH1648" s="223"/>
      <c r="AI1648" s="569"/>
      <c r="AJ1648" s="569"/>
      <c r="AK1648" s="569"/>
      <c r="AL1648" s="569"/>
      <c r="AM1648" s="569"/>
      <c r="AN1648" s="589"/>
      <c r="AO1648" s="84"/>
      <c r="AP1648" s="5"/>
    </row>
    <row r="1649" spans="1:42" ht="13.5" customHeight="1" x14ac:dyDescent="0.35">
      <c r="A1649" s="4"/>
      <c r="B1649" s="614"/>
      <c r="C1649" s="71"/>
      <c r="D1649" s="71"/>
      <c r="E1649" s="71"/>
      <c r="F1649" s="71"/>
      <c r="G1649" s="71"/>
      <c r="H1649" s="87"/>
      <c r="I1649" s="71"/>
      <c r="J1649" s="71"/>
      <c r="K1649" s="71"/>
      <c r="L1649" s="87"/>
      <c r="M1649" s="71"/>
      <c r="N1649" s="71"/>
      <c r="O1649" s="71"/>
      <c r="P1649" s="311"/>
      <c r="Q1649" s="312"/>
      <c r="R1649" s="312"/>
      <c r="S1649" s="569"/>
      <c r="T1649" s="569"/>
      <c r="U1649" s="569"/>
      <c r="V1649" s="341"/>
      <c r="W1649" s="311"/>
      <c r="X1649" s="71"/>
      <c r="Y1649" s="71"/>
      <c r="Z1649" s="71"/>
      <c r="AA1649" s="456"/>
      <c r="AB1649" s="104"/>
      <c r="AC1649" s="485"/>
      <c r="AD1649" s="486"/>
      <c r="AE1649" s="485"/>
      <c r="AF1649" s="634"/>
      <c r="AG1649" s="97"/>
      <c r="AH1649" s="223"/>
      <c r="AI1649" s="569"/>
      <c r="AJ1649" s="569"/>
      <c r="AK1649" s="569"/>
      <c r="AL1649" s="569"/>
      <c r="AM1649" s="569"/>
      <c r="AN1649" s="589"/>
      <c r="AO1649" s="84"/>
      <c r="AP1649" s="5"/>
    </row>
    <row r="1650" spans="1:42" ht="13.5" customHeight="1" x14ac:dyDescent="0.35">
      <c r="A1650" s="4"/>
      <c r="B1650" s="614"/>
      <c r="C1650" s="71"/>
      <c r="D1650" s="71"/>
      <c r="E1650" s="71"/>
      <c r="F1650" s="71"/>
      <c r="G1650" s="71"/>
      <c r="H1650" s="87"/>
      <c r="I1650" s="71"/>
      <c r="J1650" s="71"/>
      <c r="K1650" s="71"/>
      <c r="L1650" s="87"/>
      <c r="M1650" s="71"/>
      <c r="N1650" s="71"/>
      <c r="O1650" s="71"/>
      <c r="P1650" s="311"/>
      <c r="Q1650" s="312"/>
      <c r="R1650" s="312"/>
      <c r="S1650" s="569"/>
      <c r="T1650" s="569"/>
      <c r="U1650" s="569"/>
      <c r="V1650" s="341"/>
      <c r="W1650" s="311"/>
      <c r="X1650" s="71"/>
      <c r="Y1650" s="71"/>
      <c r="Z1650" s="71"/>
      <c r="AA1650" s="456"/>
      <c r="AB1650" s="104"/>
      <c r="AC1650" s="485"/>
      <c r="AD1650" s="486"/>
      <c r="AE1650" s="485"/>
      <c r="AF1650" s="634"/>
      <c r="AG1650" s="97"/>
      <c r="AH1650" s="223"/>
      <c r="AI1650" s="569"/>
      <c r="AJ1650" s="569"/>
      <c r="AK1650" s="569"/>
      <c r="AL1650" s="569"/>
      <c r="AM1650" s="569"/>
      <c r="AN1650" s="589"/>
      <c r="AO1650" s="84"/>
      <c r="AP1650" s="5"/>
    </row>
    <row r="1651" spans="1:42" ht="13.5" customHeight="1" x14ac:dyDescent="0.35">
      <c r="A1651" s="4"/>
      <c r="B1651" s="614"/>
      <c r="C1651" s="71"/>
      <c r="D1651" s="71"/>
      <c r="E1651" s="71"/>
      <c r="F1651" s="71"/>
      <c r="G1651" s="71"/>
      <c r="H1651" s="87"/>
      <c r="I1651" s="71"/>
      <c r="J1651" s="71"/>
      <c r="K1651" s="71"/>
      <c r="L1651" s="87"/>
      <c r="M1651" s="71"/>
      <c r="N1651" s="71"/>
      <c r="O1651" s="71"/>
      <c r="P1651" s="311"/>
      <c r="Q1651" s="312"/>
      <c r="R1651" s="312"/>
      <c r="S1651" s="569"/>
      <c r="T1651" s="569"/>
      <c r="U1651" s="569"/>
      <c r="V1651" s="341"/>
      <c r="W1651" s="311"/>
      <c r="X1651" s="71"/>
      <c r="Y1651" s="71"/>
      <c r="Z1651" s="71"/>
      <c r="AA1651" s="456"/>
      <c r="AB1651" s="104"/>
      <c r="AC1651" s="485"/>
      <c r="AD1651" s="486"/>
      <c r="AE1651" s="485"/>
      <c r="AF1651" s="634"/>
      <c r="AG1651" s="97"/>
      <c r="AH1651" s="223"/>
      <c r="AI1651" s="569"/>
      <c r="AJ1651" s="569"/>
      <c r="AK1651" s="569"/>
      <c r="AL1651" s="569"/>
      <c r="AM1651" s="569"/>
      <c r="AN1651" s="589"/>
      <c r="AO1651" s="84"/>
      <c r="AP1651" s="5"/>
    </row>
    <row r="1652" spans="1:42" ht="13.5" customHeight="1" x14ac:dyDescent="0.35">
      <c r="A1652" s="4"/>
      <c r="B1652" s="614"/>
      <c r="C1652" s="71"/>
      <c r="D1652" s="71"/>
      <c r="E1652" s="71"/>
      <c r="F1652" s="71"/>
      <c r="G1652" s="71"/>
      <c r="H1652" s="87"/>
      <c r="I1652" s="71"/>
      <c r="J1652" s="71"/>
      <c r="K1652" s="71"/>
      <c r="L1652" s="87"/>
      <c r="M1652" s="71"/>
      <c r="N1652" s="71"/>
      <c r="O1652" s="71"/>
      <c r="P1652" s="311"/>
      <c r="Q1652" s="312"/>
      <c r="R1652" s="312"/>
      <c r="S1652" s="569"/>
      <c r="T1652" s="569"/>
      <c r="U1652" s="569"/>
      <c r="V1652" s="341"/>
      <c r="W1652" s="311"/>
      <c r="X1652" s="71"/>
      <c r="Y1652" s="71"/>
      <c r="Z1652" s="71"/>
      <c r="AA1652" s="456"/>
      <c r="AB1652" s="104"/>
      <c r="AC1652" s="485"/>
      <c r="AD1652" s="486"/>
      <c r="AE1652" s="485"/>
      <c r="AF1652" s="634"/>
      <c r="AG1652" s="97"/>
      <c r="AH1652" s="223"/>
      <c r="AI1652" s="569"/>
      <c r="AJ1652" s="569"/>
      <c r="AK1652" s="569"/>
      <c r="AL1652" s="569"/>
      <c r="AM1652" s="569"/>
      <c r="AN1652" s="589"/>
      <c r="AO1652" s="84"/>
      <c r="AP1652" s="5"/>
    </row>
    <row r="1653" spans="1:42" ht="13.5" customHeight="1" x14ac:dyDescent="0.35">
      <c r="A1653" s="4"/>
      <c r="B1653" s="614"/>
      <c r="C1653" s="71"/>
      <c r="D1653" s="71"/>
      <c r="E1653" s="71"/>
      <c r="F1653" s="71"/>
      <c r="G1653" s="71"/>
      <c r="H1653" s="87"/>
      <c r="I1653" s="71"/>
      <c r="J1653" s="71"/>
      <c r="K1653" s="71"/>
      <c r="L1653" s="87"/>
      <c r="M1653" s="71"/>
      <c r="N1653" s="71"/>
      <c r="O1653" s="71"/>
      <c r="P1653" s="311"/>
      <c r="Q1653" s="312"/>
      <c r="R1653" s="312"/>
      <c r="S1653" s="569"/>
      <c r="T1653" s="569"/>
      <c r="U1653" s="569"/>
      <c r="V1653" s="341"/>
      <c r="W1653" s="311"/>
      <c r="X1653" s="71"/>
      <c r="Y1653" s="71"/>
      <c r="Z1653" s="71"/>
      <c r="AA1653" s="456"/>
      <c r="AB1653" s="104"/>
      <c r="AC1653" s="485"/>
      <c r="AD1653" s="486"/>
      <c r="AE1653" s="485"/>
      <c r="AF1653" s="634"/>
      <c r="AG1653" s="97"/>
      <c r="AH1653" s="223"/>
      <c r="AI1653" s="569"/>
      <c r="AJ1653" s="569"/>
      <c r="AK1653" s="569"/>
      <c r="AL1653" s="569"/>
      <c r="AM1653" s="569"/>
      <c r="AN1653" s="589"/>
      <c r="AO1653" s="84"/>
      <c r="AP1653" s="5"/>
    </row>
    <row r="1654" spans="1:42" ht="13.5" customHeight="1" x14ac:dyDescent="0.35">
      <c r="A1654" s="4"/>
      <c r="B1654" s="614"/>
      <c r="C1654" s="71"/>
      <c r="D1654" s="71"/>
      <c r="E1654" s="71"/>
      <c r="F1654" s="71"/>
      <c r="G1654" s="71"/>
      <c r="H1654" s="87"/>
      <c r="I1654" s="71"/>
      <c r="J1654" s="71"/>
      <c r="K1654" s="71"/>
      <c r="L1654" s="87"/>
      <c r="M1654" s="71"/>
      <c r="N1654" s="71"/>
      <c r="O1654" s="71"/>
      <c r="P1654" s="311"/>
      <c r="Q1654" s="312"/>
      <c r="R1654" s="312"/>
      <c r="S1654" s="569"/>
      <c r="T1654" s="569"/>
      <c r="U1654" s="569"/>
      <c r="V1654" s="341"/>
      <c r="W1654" s="311"/>
      <c r="X1654" s="71"/>
      <c r="Y1654" s="71"/>
      <c r="Z1654" s="71"/>
      <c r="AA1654" s="456"/>
      <c r="AB1654" s="104"/>
      <c r="AC1654" s="485"/>
      <c r="AD1654" s="486"/>
      <c r="AE1654" s="485"/>
      <c r="AF1654" s="634"/>
      <c r="AG1654" s="97"/>
      <c r="AH1654" s="223"/>
      <c r="AI1654" s="569"/>
      <c r="AJ1654" s="569"/>
      <c r="AK1654" s="569"/>
      <c r="AL1654" s="569"/>
      <c r="AM1654" s="569"/>
      <c r="AN1654" s="589"/>
      <c r="AO1654" s="84"/>
      <c r="AP1654" s="5"/>
    </row>
    <row r="1655" spans="1:42" ht="13.5" customHeight="1" x14ac:dyDescent="0.35">
      <c r="A1655" s="4"/>
      <c r="B1655" s="614"/>
      <c r="C1655" s="71"/>
      <c r="D1655" s="71"/>
      <c r="E1655" s="71"/>
      <c r="F1655" s="71"/>
      <c r="G1655" s="71"/>
      <c r="H1655" s="87"/>
      <c r="I1655" s="71"/>
      <c r="J1655" s="71"/>
      <c r="K1655" s="71"/>
      <c r="L1655" s="87"/>
      <c r="M1655" s="71"/>
      <c r="N1655" s="71"/>
      <c r="O1655" s="71"/>
      <c r="P1655" s="311"/>
      <c r="Q1655" s="312"/>
      <c r="R1655" s="312"/>
      <c r="S1655" s="569"/>
      <c r="T1655" s="569"/>
      <c r="U1655" s="569"/>
      <c r="V1655" s="341"/>
      <c r="W1655" s="311"/>
      <c r="X1655" s="71"/>
      <c r="Y1655" s="71"/>
      <c r="Z1655" s="71"/>
      <c r="AA1655" s="456"/>
      <c r="AB1655" s="104"/>
      <c r="AC1655" s="485"/>
      <c r="AD1655" s="486"/>
      <c r="AE1655" s="485"/>
      <c r="AF1655" s="634"/>
      <c r="AG1655" s="97"/>
      <c r="AH1655" s="223"/>
      <c r="AI1655" s="569"/>
      <c r="AJ1655" s="569"/>
      <c r="AK1655" s="569"/>
      <c r="AL1655" s="569"/>
      <c r="AM1655" s="569"/>
      <c r="AN1655" s="589"/>
      <c r="AO1655" s="84"/>
      <c r="AP1655" s="5"/>
    </row>
    <row r="1656" spans="1:42" ht="13.5" customHeight="1" x14ac:dyDescent="0.35">
      <c r="A1656" s="4"/>
      <c r="B1656" s="614"/>
      <c r="C1656" s="71"/>
      <c r="D1656" s="71"/>
      <c r="E1656" s="71"/>
      <c r="F1656" s="71"/>
      <c r="G1656" s="71"/>
      <c r="H1656" s="87"/>
      <c r="I1656" s="71"/>
      <c r="J1656" s="71"/>
      <c r="K1656" s="71"/>
      <c r="L1656" s="87"/>
      <c r="M1656" s="71"/>
      <c r="N1656" s="71"/>
      <c r="O1656" s="71"/>
      <c r="P1656" s="311"/>
      <c r="Q1656" s="312"/>
      <c r="R1656" s="312"/>
      <c r="S1656" s="569"/>
      <c r="T1656" s="569"/>
      <c r="U1656" s="569"/>
      <c r="V1656" s="341"/>
      <c r="W1656" s="311"/>
      <c r="X1656" s="71"/>
      <c r="Y1656" s="71"/>
      <c r="Z1656" s="71"/>
      <c r="AA1656" s="456"/>
      <c r="AB1656" s="104"/>
      <c r="AC1656" s="485"/>
      <c r="AD1656" s="486"/>
      <c r="AE1656" s="485"/>
      <c r="AF1656" s="634"/>
      <c r="AG1656" s="97"/>
      <c r="AH1656" s="223"/>
      <c r="AI1656" s="569"/>
      <c r="AJ1656" s="569"/>
      <c r="AK1656" s="569"/>
      <c r="AL1656" s="569"/>
      <c r="AM1656" s="569"/>
      <c r="AN1656" s="589"/>
      <c r="AO1656" s="84"/>
      <c r="AP1656" s="5"/>
    </row>
    <row r="1657" spans="1:42" ht="13.5" customHeight="1" x14ac:dyDescent="0.35">
      <c r="A1657" s="4"/>
      <c r="B1657" s="614"/>
      <c r="C1657" s="71"/>
      <c r="D1657" s="71"/>
      <c r="E1657" s="71"/>
      <c r="F1657" s="71"/>
      <c r="G1657" s="71"/>
      <c r="H1657" s="87"/>
      <c r="I1657" s="71"/>
      <c r="J1657" s="71"/>
      <c r="K1657" s="71"/>
      <c r="L1657" s="87"/>
      <c r="M1657" s="71"/>
      <c r="N1657" s="71"/>
      <c r="O1657" s="71"/>
      <c r="P1657" s="311"/>
      <c r="Q1657" s="312"/>
      <c r="R1657" s="312"/>
      <c r="S1657" s="569"/>
      <c r="T1657" s="569"/>
      <c r="U1657" s="569"/>
      <c r="V1657" s="341"/>
      <c r="W1657" s="311"/>
      <c r="X1657" s="71"/>
      <c r="Y1657" s="71"/>
      <c r="Z1657" s="71"/>
      <c r="AA1657" s="456"/>
      <c r="AB1657" s="104"/>
      <c r="AC1657" s="485"/>
      <c r="AD1657" s="486"/>
      <c r="AE1657" s="485"/>
      <c r="AF1657" s="634"/>
      <c r="AG1657" s="97"/>
      <c r="AH1657" s="223"/>
      <c r="AI1657" s="569"/>
      <c r="AJ1657" s="569"/>
      <c r="AK1657" s="569"/>
      <c r="AL1657" s="569"/>
      <c r="AM1657" s="569"/>
      <c r="AN1657" s="589"/>
      <c r="AO1657" s="84"/>
      <c r="AP1657" s="5"/>
    </row>
    <row r="1658" spans="1:42" ht="13.5" customHeight="1" x14ac:dyDescent="0.35">
      <c r="A1658" s="4"/>
      <c r="B1658" s="614"/>
      <c r="C1658" s="71"/>
      <c r="D1658" s="71"/>
      <c r="E1658" s="71"/>
      <c r="F1658" s="71"/>
      <c r="G1658" s="71"/>
      <c r="H1658" s="87"/>
      <c r="I1658" s="71"/>
      <c r="J1658" s="71"/>
      <c r="K1658" s="71"/>
      <c r="L1658" s="87"/>
      <c r="M1658" s="71"/>
      <c r="N1658" s="71"/>
      <c r="O1658" s="71"/>
      <c r="P1658" s="311"/>
      <c r="Q1658" s="312"/>
      <c r="R1658" s="312"/>
      <c r="S1658" s="569"/>
      <c r="T1658" s="569"/>
      <c r="U1658" s="569"/>
      <c r="V1658" s="341"/>
      <c r="W1658" s="311"/>
      <c r="X1658" s="71"/>
      <c r="Y1658" s="71"/>
      <c r="Z1658" s="71"/>
      <c r="AA1658" s="456"/>
      <c r="AB1658" s="104"/>
      <c r="AC1658" s="485"/>
      <c r="AD1658" s="486"/>
      <c r="AE1658" s="485"/>
      <c r="AF1658" s="634"/>
      <c r="AG1658" s="97"/>
      <c r="AH1658" s="223"/>
      <c r="AI1658" s="569"/>
      <c r="AJ1658" s="569"/>
      <c r="AK1658" s="569"/>
      <c r="AL1658" s="569"/>
      <c r="AM1658" s="569"/>
      <c r="AN1658" s="589"/>
      <c r="AO1658" s="84"/>
      <c r="AP1658" s="5"/>
    </row>
    <row r="1659" spans="1:42" ht="13.5" customHeight="1" x14ac:dyDescent="0.35">
      <c r="A1659" s="4"/>
      <c r="B1659" s="614"/>
      <c r="C1659" s="71"/>
      <c r="D1659" s="71"/>
      <c r="E1659" s="71"/>
      <c r="F1659" s="71"/>
      <c r="G1659" s="71"/>
      <c r="H1659" s="87"/>
      <c r="I1659" s="71"/>
      <c r="J1659" s="71"/>
      <c r="K1659" s="71"/>
      <c r="L1659" s="87"/>
      <c r="M1659" s="71"/>
      <c r="N1659" s="71"/>
      <c r="O1659" s="71"/>
      <c r="P1659" s="311"/>
      <c r="Q1659" s="312"/>
      <c r="R1659" s="312"/>
      <c r="S1659" s="569"/>
      <c r="T1659" s="569"/>
      <c r="U1659" s="569"/>
      <c r="V1659" s="341"/>
      <c r="W1659" s="311"/>
      <c r="X1659" s="71"/>
      <c r="Y1659" s="71"/>
      <c r="Z1659" s="71"/>
      <c r="AA1659" s="456"/>
      <c r="AB1659" s="104"/>
      <c r="AC1659" s="485"/>
      <c r="AD1659" s="486"/>
      <c r="AE1659" s="485"/>
      <c r="AF1659" s="634"/>
      <c r="AG1659" s="97"/>
      <c r="AH1659" s="223"/>
      <c r="AI1659" s="569"/>
      <c r="AJ1659" s="569"/>
      <c r="AK1659" s="569"/>
      <c r="AL1659" s="569"/>
      <c r="AM1659" s="569"/>
      <c r="AN1659" s="589"/>
      <c r="AO1659" s="84"/>
      <c r="AP1659" s="5"/>
    </row>
    <row r="1660" spans="1:42" ht="13.5" customHeight="1" x14ac:dyDescent="0.35">
      <c r="A1660" s="4"/>
      <c r="B1660" s="614"/>
      <c r="C1660" s="71"/>
      <c r="D1660" s="71"/>
      <c r="E1660" s="71"/>
      <c r="F1660" s="71"/>
      <c r="G1660" s="71"/>
      <c r="H1660" s="87"/>
      <c r="I1660" s="71"/>
      <c r="J1660" s="71"/>
      <c r="K1660" s="71"/>
      <c r="L1660" s="87"/>
      <c r="M1660" s="71"/>
      <c r="N1660" s="71"/>
      <c r="O1660" s="71"/>
      <c r="P1660" s="311"/>
      <c r="Q1660" s="312"/>
      <c r="R1660" s="312"/>
      <c r="S1660" s="569"/>
      <c r="T1660" s="569"/>
      <c r="U1660" s="569"/>
      <c r="V1660" s="341"/>
      <c r="W1660" s="311"/>
      <c r="X1660" s="71"/>
      <c r="Y1660" s="71"/>
      <c r="Z1660" s="71"/>
      <c r="AA1660" s="456"/>
      <c r="AB1660" s="104"/>
      <c r="AC1660" s="485"/>
      <c r="AD1660" s="486"/>
      <c r="AE1660" s="485"/>
      <c r="AF1660" s="634"/>
      <c r="AG1660" s="97"/>
      <c r="AH1660" s="223"/>
      <c r="AI1660" s="569"/>
      <c r="AJ1660" s="569"/>
      <c r="AK1660" s="569"/>
      <c r="AL1660" s="569"/>
      <c r="AM1660" s="569"/>
      <c r="AN1660" s="589"/>
      <c r="AO1660" s="84"/>
      <c r="AP1660" s="5"/>
    </row>
    <row r="1661" spans="1:42" ht="13.5" customHeight="1" x14ac:dyDescent="0.35">
      <c r="A1661" s="4"/>
      <c r="B1661" s="614"/>
      <c r="C1661" s="71"/>
      <c r="D1661" s="71"/>
      <c r="E1661" s="71"/>
      <c r="F1661" s="71"/>
      <c r="G1661" s="71"/>
      <c r="H1661" s="87"/>
      <c r="I1661" s="71"/>
      <c r="J1661" s="71"/>
      <c r="K1661" s="71"/>
      <c r="L1661" s="87"/>
      <c r="M1661" s="71"/>
      <c r="N1661" s="71"/>
      <c r="O1661" s="71"/>
      <c r="P1661" s="311"/>
      <c r="Q1661" s="312"/>
      <c r="R1661" s="312"/>
      <c r="S1661" s="569"/>
      <c r="T1661" s="569"/>
      <c r="U1661" s="569"/>
      <c r="V1661" s="341"/>
      <c r="W1661" s="311"/>
      <c r="X1661" s="71"/>
      <c r="Y1661" s="71"/>
      <c r="Z1661" s="71"/>
      <c r="AA1661" s="456"/>
      <c r="AB1661" s="104"/>
      <c r="AC1661" s="485"/>
      <c r="AD1661" s="486"/>
      <c r="AE1661" s="485"/>
      <c r="AF1661" s="634"/>
      <c r="AG1661" s="97"/>
      <c r="AH1661" s="223"/>
      <c r="AI1661" s="569"/>
      <c r="AJ1661" s="569"/>
      <c r="AK1661" s="569"/>
      <c r="AL1661" s="569"/>
      <c r="AM1661" s="569"/>
      <c r="AN1661" s="589"/>
      <c r="AO1661" s="84"/>
      <c r="AP1661" s="5"/>
    </row>
    <row r="1662" spans="1:42" ht="13.5" customHeight="1" x14ac:dyDescent="0.35">
      <c r="A1662" s="4"/>
      <c r="B1662" s="614"/>
      <c r="C1662" s="71"/>
      <c r="D1662" s="71"/>
      <c r="E1662" s="71"/>
      <c r="F1662" s="71"/>
      <c r="G1662" s="71"/>
      <c r="H1662" s="87"/>
      <c r="I1662" s="71"/>
      <c r="J1662" s="71"/>
      <c r="K1662" s="71"/>
      <c r="L1662" s="87"/>
      <c r="M1662" s="71"/>
      <c r="N1662" s="71"/>
      <c r="O1662" s="71"/>
      <c r="P1662" s="311"/>
      <c r="Q1662" s="312"/>
      <c r="R1662" s="312"/>
      <c r="S1662" s="569"/>
      <c r="T1662" s="569"/>
      <c r="U1662" s="569"/>
      <c r="V1662" s="341"/>
      <c r="W1662" s="311"/>
      <c r="X1662" s="71"/>
      <c r="Y1662" s="71"/>
      <c r="Z1662" s="71"/>
      <c r="AA1662" s="456"/>
      <c r="AB1662" s="104"/>
      <c r="AC1662" s="485"/>
      <c r="AD1662" s="486"/>
      <c r="AE1662" s="485"/>
      <c r="AF1662" s="634"/>
      <c r="AG1662" s="97"/>
      <c r="AH1662" s="223"/>
      <c r="AI1662" s="569"/>
      <c r="AJ1662" s="569"/>
      <c r="AK1662" s="569"/>
      <c r="AL1662" s="569"/>
      <c r="AM1662" s="569"/>
      <c r="AN1662" s="589"/>
      <c r="AO1662" s="84"/>
      <c r="AP1662" s="5"/>
    </row>
    <row r="1663" spans="1:42" ht="13.5" customHeight="1" x14ac:dyDescent="0.35">
      <c r="A1663" s="4"/>
      <c r="B1663" s="614"/>
      <c r="C1663" s="71"/>
      <c r="D1663" s="71"/>
      <c r="E1663" s="71"/>
      <c r="F1663" s="71"/>
      <c r="G1663" s="71"/>
      <c r="H1663" s="87"/>
      <c r="I1663" s="71"/>
      <c r="J1663" s="71"/>
      <c r="K1663" s="71"/>
      <c r="L1663" s="87"/>
      <c r="M1663" s="71"/>
      <c r="N1663" s="71"/>
      <c r="O1663" s="71"/>
      <c r="P1663" s="311"/>
      <c r="Q1663" s="312"/>
      <c r="R1663" s="312"/>
      <c r="S1663" s="569"/>
      <c r="T1663" s="569"/>
      <c r="U1663" s="569"/>
      <c r="V1663" s="341"/>
      <c r="W1663" s="311"/>
      <c r="X1663" s="71"/>
      <c r="Y1663" s="71"/>
      <c r="Z1663" s="71"/>
      <c r="AA1663" s="456"/>
      <c r="AB1663" s="104"/>
      <c r="AC1663" s="485"/>
      <c r="AD1663" s="486"/>
      <c r="AE1663" s="485"/>
      <c r="AF1663" s="634"/>
      <c r="AG1663" s="97"/>
      <c r="AH1663" s="223"/>
      <c r="AI1663" s="569"/>
      <c r="AJ1663" s="569"/>
      <c r="AK1663" s="569"/>
      <c r="AL1663" s="569"/>
      <c r="AM1663" s="569"/>
      <c r="AN1663" s="589"/>
      <c r="AO1663" s="84"/>
      <c r="AP1663" s="5"/>
    </row>
    <row r="1664" spans="1:42" ht="13.5" customHeight="1" x14ac:dyDescent="0.35">
      <c r="A1664" s="4"/>
      <c r="B1664" s="614"/>
      <c r="C1664" s="71"/>
      <c r="D1664" s="71"/>
      <c r="E1664" s="71"/>
      <c r="F1664" s="71"/>
      <c r="G1664" s="71"/>
      <c r="H1664" s="87"/>
      <c r="I1664" s="71"/>
      <c r="J1664" s="71"/>
      <c r="K1664" s="71"/>
      <c r="L1664" s="87"/>
      <c r="M1664" s="71"/>
      <c r="N1664" s="71"/>
      <c r="O1664" s="71"/>
      <c r="P1664" s="311"/>
      <c r="Q1664" s="312"/>
      <c r="R1664" s="312"/>
      <c r="S1664" s="569"/>
      <c r="T1664" s="569"/>
      <c r="U1664" s="569"/>
      <c r="V1664" s="341"/>
      <c r="W1664" s="311"/>
      <c r="X1664" s="71"/>
      <c r="Y1664" s="71"/>
      <c r="Z1664" s="71"/>
      <c r="AA1664" s="456"/>
      <c r="AB1664" s="104"/>
      <c r="AC1664" s="485"/>
      <c r="AD1664" s="486"/>
      <c r="AE1664" s="485"/>
      <c r="AF1664" s="634"/>
      <c r="AG1664" s="97"/>
      <c r="AH1664" s="223"/>
      <c r="AI1664" s="569"/>
      <c r="AJ1664" s="569"/>
      <c r="AK1664" s="569"/>
      <c r="AL1664" s="569"/>
      <c r="AM1664" s="569"/>
      <c r="AN1664" s="589"/>
      <c r="AO1664" s="84"/>
      <c r="AP1664" s="5"/>
    </row>
    <row r="1665" spans="1:42" ht="13.5" customHeight="1" x14ac:dyDescent="0.35">
      <c r="A1665" s="4"/>
      <c r="B1665" s="614"/>
      <c r="C1665" s="71"/>
      <c r="D1665" s="71"/>
      <c r="E1665" s="71"/>
      <c r="F1665" s="71"/>
      <c r="G1665" s="71"/>
      <c r="H1665" s="87"/>
      <c r="I1665" s="71"/>
      <c r="J1665" s="71"/>
      <c r="K1665" s="71"/>
      <c r="L1665" s="87"/>
      <c r="M1665" s="71"/>
      <c r="N1665" s="71"/>
      <c r="O1665" s="71"/>
      <c r="P1665" s="311"/>
      <c r="Q1665" s="312"/>
      <c r="R1665" s="312"/>
      <c r="S1665" s="569"/>
      <c r="T1665" s="569"/>
      <c r="U1665" s="569"/>
      <c r="V1665" s="341"/>
      <c r="W1665" s="311"/>
      <c r="X1665" s="71"/>
      <c r="Y1665" s="71"/>
      <c r="Z1665" s="71"/>
      <c r="AA1665" s="456"/>
      <c r="AB1665" s="104"/>
      <c r="AC1665" s="485"/>
      <c r="AD1665" s="486"/>
      <c r="AE1665" s="485"/>
      <c r="AF1665" s="634"/>
      <c r="AG1665" s="97"/>
      <c r="AH1665" s="223"/>
      <c r="AI1665" s="569"/>
      <c r="AJ1665" s="569"/>
      <c r="AK1665" s="569"/>
      <c r="AL1665" s="569"/>
      <c r="AM1665" s="569"/>
      <c r="AN1665" s="589"/>
      <c r="AO1665" s="84"/>
      <c r="AP1665" s="5"/>
    </row>
    <row r="1666" spans="1:42" ht="13.5" customHeight="1" x14ac:dyDescent="0.35">
      <c r="A1666" s="4"/>
      <c r="B1666" s="614"/>
      <c r="C1666" s="71"/>
      <c r="D1666" s="71"/>
      <c r="E1666" s="71"/>
      <c r="F1666" s="71"/>
      <c r="G1666" s="71"/>
      <c r="H1666" s="87"/>
      <c r="I1666" s="71"/>
      <c r="J1666" s="71"/>
      <c r="K1666" s="71"/>
      <c r="L1666" s="87"/>
      <c r="M1666" s="71"/>
      <c r="N1666" s="71"/>
      <c r="O1666" s="71"/>
      <c r="P1666" s="311"/>
      <c r="Q1666" s="312"/>
      <c r="R1666" s="312"/>
      <c r="S1666" s="569"/>
      <c r="T1666" s="569"/>
      <c r="U1666" s="569"/>
      <c r="V1666" s="341"/>
      <c r="W1666" s="311"/>
      <c r="X1666" s="71"/>
      <c r="Y1666" s="71"/>
      <c r="Z1666" s="71"/>
      <c r="AA1666" s="456"/>
      <c r="AB1666" s="104"/>
      <c r="AC1666" s="485"/>
      <c r="AD1666" s="486"/>
      <c r="AE1666" s="485"/>
      <c r="AF1666" s="634"/>
      <c r="AG1666" s="97"/>
      <c r="AH1666" s="223"/>
      <c r="AI1666" s="569"/>
      <c r="AJ1666" s="569"/>
      <c r="AK1666" s="569"/>
      <c r="AL1666" s="569"/>
      <c r="AM1666" s="569"/>
      <c r="AN1666" s="589"/>
      <c r="AO1666" s="84"/>
      <c r="AP1666" s="5"/>
    </row>
    <row r="1667" spans="1:42" ht="13.5" customHeight="1" x14ac:dyDescent="0.35">
      <c r="A1667" s="4"/>
      <c r="B1667" s="614"/>
      <c r="C1667" s="71"/>
      <c r="D1667" s="71"/>
      <c r="E1667" s="71"/>
      <c r="F1667" s="71"/>
      <c r="G1667" s="71"/>
      <c r="H1667" s="87"/>
      <c r="I1667" s="71"/>
      <c r="J1667" s="71"/>
      <c r="K1667" s="71"/>
      <c r="L1667" s="87"/>
      <c r="M1667" s="71"/>
      <c r="N1667" s="71"/>
      <c r="O1667" s="71"/>
      <c r="P1667" s="311"/>
      <c r="Q1667" s="312"/>
      <c r="R1667" s="312"/>
      <c r="S1667" s="569"/>
      <c r="T1667" s="569"/>
      <c r="U1667" s="569"/>
      <c r="V1667" s="341"/>
      <c r="W1667" s="311"/>
      <c r="X1667" s="71"/>
      <c r="Y1667" s="71"/>
      <c r="Z1667" s="71"/>
      <c r="AA1667" s="456"/>
      <c r="AB1667" s="104"/>
      <c r="AC1667" s="485"/>
      <c r="AD1667" s="486"/>
      <c r="AE1667" s="485"/>
      <c r="AF1667" s="634"/>
      <c r="AG1667" s="97"/>
      <c r="AH1667" s="223"/>
      <c r="AI1667" s="569"/>
      <c r="AJ1667" s="569"/>
      <c r="AK1667" s="569"/>
      <c r="AL1667" s="569"/>
      <c r="AM1667" s="569"/>
      <c r="AN1667" s="589"/>
      <c r="AO1667" s="84"/>
      <c r="AP1667" s="5"/>
    </row>
    <row r="1668" spans="1:42" ht="13.5" customHeight="1" x14ac:dyDescent="0.35">
      <c r="A1668" s="4"/>
      <c r="B1668" s="614"/>
      <c r="C1668" s="71"/>
      <c r="D1668" s="71"/>
      <c r="E1668" s="71"/>
      <c r="F1668" s="71"/>
      <c r="G1668" s="71"/>
      <c r="H1668" s="87"/>
      <c r="I1668" s="71"/>
      <c r="J1668" s="71"/>
      <c r="K1668" s="71"/>
      <c r="L1668" s="87"/>
      <c r="M1668" s="71"/>
      <c r="N1668" s="71"/>
      <c r="O1668" s="71"/>
      <c r="P1668" s="311"/>
      <c r="Q1668" s="312"/>
      <c r="R1668" s="312"/>
      <c r="S1668" s="569"/>
      <c r="T1668" s="569"/>
      <c r="U1668" s="569"/>
      <c r="V1668" s="341"/>
      <c r="W1668" s="311"/>
      <c r="X1668" s="71"/>
      <c r="Y1668" s="71"/>
      <c r="Z1668" s="71"/>
      <c r="AA1668" s="456"/>
      <c r="AB1668" s="104"/>
      <c r="AC1668" s="485"/>
      <c r="AD1668" s="486"/>
      <c r="AE1668" s="485"/>
      <c r="AF1668" s="634"/>
      <c r="AG1668" s="97"/>
      <c r="AH1668" s="223"/>
      <c r="AI1668" s="569"/>
      <c r="AJ1668" s="569"/>
      <c r="AK1668" s="569"/>
      <c r="AL1668" s="569"/>
      <c r="AM1668" s="569"/>
      <c r="AN1668" s="589"/>
      <c r="AO1668" s="84"/>
      <c r="AP1668" s="5"/>
    </row>
    <row r="1669" spans="1:42" ht="13.5" customHeight="1" x14ac:dyDescent="0.35">
      <c r="A1669" s="4"/>
      <c r="B1669" s="614"/>
      <c r="C1669" s="71"/>
      <c r="D1669" s="71"/>
      <c r="E1669" s="71"/>
      <c r="F1669" s="71"/>
      <c r="G1669" s="71"/>
      <c r="H1669" s="87"/>
      <c r="I1669" s="71"/>
      <c r="J1669" s="71"/>
      <c r="K1669" s="71"/>
      <c r="L1669" s="87"/>
      <c r="M1669" s="71"/>
      <c r="N1669" s="71"/>
      <c r="O1669" s="71"/>
      <c r="P1669" s="311"/>
      <c r="Q1669" s="312"/>
      <c r="R1669" s="312"/>
      <c r="S1669" s="569"/>
      <c r="T1669" s="569"/>
      <c r="U1669" s="569"/>
      <c r="V1669" s="341"/>
      <c r="W1669" s="311"/>
      <c r="X1669" s="71"/>
      <c r="Y1669" s="71"/>
      <c r="Z1669" s="71"/>
      <c r="AA1669" s="456"/>
      <c r="AB1669" s="104"/>
      <c r="AC1669" s="485"/>
      <c r="AD1669" s="486"/>
      <c r="AE1669" s="485"/>
      <c r="AF1669" s="634"/>
      <c r="AG1669" s="97"/>
      <c r="AH1669" s="223"/>
      <c r="AI1669" s="569"/>
      <c r="AJ1669" s="569"/>
      <c r="AK1669" s="569"/>
      <c r="AL1669" s="569"/>
      <c r="AM1669" s="569"/>
      <c r="AN1669" s="589"/>
      <c r="AO1669" s="84"/>
      <c r="AP1669" s="5"/>
    </row>
    <row r="1670" spans="1:42" ht="13.5" customHeight="1" x14ac:dyDescent="0.35">
      <c r="A1670" s="4"/>
      <c r="B1670" s="614"/>
      <c r="C1670" s="71"/>
      <c r="D1670" s="71"/>
      <c r="E1670" s="71"/>
      <c r="F1670" s="71"/>
      <c r="G1670" s="71"/>
      <c r="H1670" s="87"/>
      <c r="I1670" s="71"/>
      <c r="J1670" s="71"/>
      <c r="K1670" s="71"/>
      <c r="L1670" s="87"/>
      <c r="M1670" s="71"/>
      <c r="N1670" s="71"/>
      <c r="O1670" s="71"/>
      <c r="P1670" s="311"/>
      <c r="Q1670" s="312"/>
      <c r="R1670" s="312"/>
      <c r="S1670" s="569"/>
      <c r="T1670" s="569"/>
      <c r="U1670" s="569"/>
      <c r="V1670" s="341"/>
      <c r="W1670" s="311"/>
      <c r="X1670" s="71"/>
      <c r="Y1670" s="71"/>
      <c r="Z1670" s="71"/>
      <c r="AA1670" s="456"/>
      <c r="AB1670" s="104"/>
      <c r="AC1670" s="485"/>
      <c r="AD1670" s="486"/>
      <c r="AE1670" s="485"/>
      <c r="AF1670" s="634"/>
      <c r="AG1670" s="97"/>
      <c r="AH1670" s="223"/>
      <c r="AI1670" s="569"/>
      <c r="AJ1670" s="569"/>
      <c r="AK1670" s="569"/>
      <c r="AL1670" s="569"/>
      <c r="AM1670" s="569"/>
      <c r="AN1670" s="589"/>
      <c r="AO1670" s="84"/>
      <c r="AP1670" s="5"/>
    </row>
    <row r="1671" spans="1:42" ht="13.5" customHeight="1" x14ac:dyDescent="0.35">
      <c r="A1671" s="4"/>
      <c r="B1671" s="614"/>
      <c r="C1671" s="71"/>
      <c r="D1671" s="71"/>
      <c r="E1671" s="71"/>
      <c r="F1671" s="71"/>
      <c r="G1671" s="71"/>
      <c r="H1671" s="87"/>
      <c r="I1671" s="71"/>
      <c r="J1671" s="71"/>
      <c r="K1671" s="71"/>
      <c r="L1671" s="87"/>
      <c r="M1671" s="71"/>
      <c r="N1671" s="71"/>
      <c r="O1671" s="71"/>
      <c r="P1671" s="311"/>
      <c r="Q1671" s="312"/>
      <c r="R1671" s="312"/>
      <c r="S1671" s="569"/>
      <c r="T1671" s="569"/>
      <c r="U1671" s="569"/>
      <c r="V1671" s="341"/>
      <c r="W1671" s="311"/>
      <c r="X1671" s="71"/>
      <c r="Y1671" s="71"/>
      <c r="Z1671" s="71"/>
      <c r="AA1671" s="456"/>
      <c r="AB1671" s="104"/>
      <c r="AC1671" s="485"/>
      <c r="AD1671" s="486"/>
      <c r="AE1671" s="485"/>
      <c r="AF1671" s="634"/>
      <c r="AG1671" s="97"/>
      <c r="AH1671" s="223"/>
      <c r="AI1671" s="569"/>
      <c r="AJ1671" s="569"/>
      <c r="AK1671" s="569"/>
      <c r="AL1671" s="569"/>
      <c r="AM1671" s="569"/>
      <c r="AN1671" s="589"/>
      <c r="AO1671" s="84"/>
      <c r="AP1671" s="5"/>
    </row>
    <row r="1672" spans="1:42" ht="13.5" customHeight="1" x14ac:dyDescent="0.35">
      <c r="A1672" s="4"/>
      <c r="B1672" s="614"/>
      <c r="C1672" s="71"/>
      <c r="D1672" s="71"/>
      <c r="E1672" s="71"/>
      <c r="F1672" s="71"/>
      <c r="G1672" s="71"/>
      <c r="H1672" s="87"/>
      <c r="I1672" s="71"/>
      <c r="J1672" s="71"/>
      <c r="K1672" s="71"/>
      <c r="L1672" s="87"/>
      <c r="M1672" s="71"/>
      <c r="N1672" s="71"/>
      <c r="O1672" s="71"/>
      <c r="P1672" s="311"/>
      <c r="Q1672" s="312"/>
      <c r="R1672" s="312"/>
      <c r="S1672" s="569"/>
      <c r="T1672" s="569"/>
      <c r="U1672" s="569"/>
      <c r="V1672" s="341"/>
      <c r="W1672" s="311"/>
      <c r="X1672" s="71"/>
      <c r="Y1672" s="71"/>
      <c r="Z1672" s="71"/>
      <c r="AA1672" s="456"/>
      <c r="AB1672" s="104"/>
      <c r="AC1672" s="485"/>
      <c r="AD1672" s="486"/>
      <c r="AE1672" s="485"/>
      <c r="AF1672" s="634"/>
      <c r="AG1672" s="97"/>
      <c r="AH1672" s="223"/>
      <c r="AI1672" s="569"/>
      <c r="AJ1672" s="569"/>
      <c r="AK1672" s="569"/>
      <c r="AL1672" s="569"/>
      <c r="AM1672" s="569"/>
      <c r="AN1672" s="589"/>
      <c r="AO1672" s="84"/>
      <c r="AP1672" s="5"/>
    </row>
    <row r="1673" spans="1:42" ht="13.5" customHeight="1" x14ac:dyDescent="0.35">
      <c r="A1673" s="4"/>
      <c r="B1673" s="614"/>
      <c r="C1673" s="71"/>
      <c r="D1673" s="71"/>
      <c r="E1673" s="71"/>
      <c r="F1673" s="71"/>
      <c r="G1673" s="71"/>
      <c r="H1673" s="87"/>
      <c r="I1673" s="71"/>
      <c r="J1673" s="71"/>
      <c r="K1673" s="71"/>
      <c r="L1673" s="87"/>
      <c r="M1673" s="71"/>
      <c r="N1673" s="71"/>
      <c r="O1673" s="71"/>
      <c r="P1673" s="311"/>
      <c r="Q1673" s="312"/>
      <c r="R1673" s="312"/>
      <c r="S1673" s="569"/>
      <c r="T1673" s="569"/>
      <c r="U1673" s="569"/>
      <c r="V1673" s="341"/>
      <c r="W1673" s="311"/>
      <c r="X1673" s="71"/>
      <c r="Y1673" s="71"/>
      <c r="Z1673" s="71"/>
      <c r="AA1673" s="456"/>
      <c r="AB1673" s="104"/>
      <c r="AC1673" s="485"/>
      <c r="AD1673" s="486"/>
      <c r="AE1673" s="485"/>
      <c r="AF1673" s="634"/>
      <c r="AG1673" s="97"/>
      <c r="AH1673" s="223"/>
      <c r="AI1673" s="569"/>
      <c r="AJ1673" s="569"/>
      <c r="AK1673" s="569"/>
      <c r="AL1673" s="569"/>
      <c r="AM1673" s="569"/>
      <c r="AN1673" s="589"/>
      <c r="AO1673" s="84"/>
      <c r="AP1673" s="5"/>
    </row>
    <row r="1674" spans="1:42" ht="13.5" customHeight="1" x14ac:dyDescent="0.35">
      <c r="A1674" s="4"/>
      <c r="B1674" s="614"/>
      <c r="C1674" s="71"/>
      <c r="D1674" s="71"/>
      <c r="E1674" s="71"/>
      <c r="F1674" s="71"/>
      <c r="G1674" s="71"/>
      <c r="H1674" s="87"/>
      <c r="I1674" s="71"/>
      <c r="J1674" s="71"/>
      <c r="K1674" s="71"/>
      <c r="L1674" s="87"/>
      <c r="M1674" s="71"/>
      <c r="N1674" s="71"/>
      <c r="O1674" s="71"/>
      <c r="P1674" s="311"/>
      <c r="Q1674" s="312"/>
      <c r="R1674" s="312"/>
      <c r="S1674" s="569"/>
      <c r="T1674" s="569"/>
      <c r="U1674" s="569"/>
      <c r="V1674" s="341"/>
      <c r="W1674" s="311"/>
      <c r="X1674" s="71"/>
      <c r="Y1674" s="71"/>
      <c r="Z1674" s="71"/>
      <c r="AA1674" s="456"/>
      <c r="AB1674" s="104"/>
      <c r="AC1674" s="485"/>
      <c r="AD1674" s="486"/>
      <c r="AE1674" s="485"/>
      <c r="AF1674" s="634"/>
      <c r="AG1674" s="97"/>
      <c r="AH1674" s="223"/>
      <c r="AI1674" s="569"/>
      <c r="AJ1674" s="569"/>
      <c r="AK1674" s="569"/>
      <c r="AL1674" s="569"/>
      <c r="AM1674" s="569"/>
      <c r="AN1674" s="589"/>
      <c r="AO1674" s="84"/>
      <c r="AP1674" s="5"/>
    </row>
    <row r="1675" spans="1:42" ht="13.5" customHeight="1" x14ac:dyDescent="0.35">
      <c r="A1675" s="4"/>
      <c r="B1675" s="614"/>
      <c r="C1675" s="71"/>
      <c r="D1675" s="71"/>
      <c r="E1675" s="71"/>
      <c r="F1675" s="71"/>
      <c r="G1675" s="71"/>
      <c r="H1675" s="87"/>
      <c r="I1675" s="71"/>
      <c r="J1675" s="71"/>
      <c r="K1675" s="71"/>
      <c r="L1675" s="87"/>
      <c r="M1675" s="71"/>
      <c r="N1675" s="71"/>
      <c r="O1675" s="71"/>
      <c r="P1675" s="311"/>
      <c r="Q1675" s="312"/>
      <c r="R1675" s="312"/>
      <c r="S1675" s="569"/>
      <c r="T1675" s="569"/>
      <c r="U1675" s="569"/>
      <c r="V1675" s="341"/>
      <c r="W1675" s="311"/>
      <c r="X1675" s="71"/>
      <c r="Y1675" s="71"/>
      <c r="Z1675" s="71"/>
      <c r="AA1675" s="456"/>
      <c r="AB1675" s="104"/>
      <c r="AC1675" s="485"/>
      <c r="AD1675" s="486"/>
      <c r="AE1675" s="485"/>
      <c r="AF1675" s="634"/>
      <c r="AG1675" s="97"/>
      <c r="AH1675" s="223"/>
      <c r="AI1675" s="569"/>
      <c r="AJ1675" s="569"/>
      <c r="AK1675" s="569"/>
      <c r="AL1675" s="569"/>
      <c r="AM1675" s="569"/>
      <c r="AN1675" s="589"/>
      <c r="AO1675" s="84"/>
      <c r="AP1675" s="5"/>
    </row>
    <row r="1676" spans="1:42" ht="13.5" customHeight="1" x14ac:dyDescent="0.35">
      <c r="A1676" s="4"/>
      <c r="B1676" s="614"/>
      <c r="C1676" s="71"/>
      <c r="D1676" s="71"/>
      <c r="E1676" s="71"/>
      <c r="F1676" s="71"/>
      <c r="G1676" s="71"/>
      <c r="H1676" s="87"/>
      <c r="I1676" s="71"/>
      <c r="J1676" s="71"/>
      <c r="K1676" s="71"/>
      <c r="L1676" s="87"/>
      <c r="M1676" s="71"/>
      <c r="N1676" s="71"/>
      <c r="O1676" s="71"/>
      <c r="P1676" s="311"/>
      <c r="Q1676" s="312"/>
      <c r="R1676" s="312"/>
      <c r="S1676" s="569"/>
      <c r="T1676" s="569"/>
      <c r="U1676" s="569"/>
      <c r="V1676" s="341"/>
      <c r="W1676" s="311"/>
      <c r="X1676" s="71"/>
      <c r="Y1676" s="71"/>
      <c r="Z1676" s="71"/>
      <c r="AA1676" s="456"/>
      <c r="AB1676" s="104"/>
      <c r="AC1676" s="485"/>
      <c r="AD1676" s="486"/>
      <c r="AE1676" s="485"/>
      <c r="AF1676" s="634"/>
      <c r="AG1676" s="97"/>
      <c r="AH1676" s="223"/>
      <c r="AI1676" s="569"/>
      <c r="AJ1676" s="569"/>
      <c r="AK1676" s="569"/>
      <c r="AL1676" s="569"/>
      <c r="AM1676" s="569"/>
      <c r="AN1676" s="589"/>
      <c r="AO1676" s="84"/>
      <c r="AP1676" s="5"/>
    </row>
    <row r="1677" spans="1:42" ht="13.5" customHeight="1" x14ac:dyDescent="0.35">
      <c r="A1677" s="4"/>
      <c r="B1677" s="614"/>
      <c r="C1677" s="71"/>
      <c r="D1677" s="71"/>
      <c r="E1677" s="71"/>
      <c r="F1677" s="71"/>
      <c r="G1677" s="71"/>
      <c r="H1677" s="87"/>
      <c r="I1677" s="71"/>
      <c r="J1677" s="71"/>
      <c r="K1677" s="71"/>
      <c r="L1677" s="87"/>
      <c r="M1677" s="71"/>
      <c r="N1677" s="71"/>
      <c r="O1677" s="71"/>
      <c r="P1677" s="311"/>
      <c r="Q1677" s="312"/>
      <c r="R1677" s="312"/>
      <c r="S1677" s="569"/>
      <c r="T1677" s="569"/>
      <c r="U1677" s="569"/>
      <c r="V1677" s="341"/>
      <c r="W1677" s="311"/>
      <c r="X1677" s="71"/>
      <c r="Y1677" s="71"/>
      <c r="Z1677" s="71"/>
      <c r="AA1677" s="456"/>
      <c r="AB1677" s="104"/>
      <c r="AC1677" s="485"/>
      <c r="AD1677" s="486"/>
      <c r="AE1677" s="485"/>
      <c r="AF1677" s="634"/>
      <c r="AG1677" s="97"/>
      <c r="AH1677" s="223"/>
      <c r="AI1677" s="569"/>
      <c r="AJ1677" s="569"/>
      <c r="AK1677" s="569"/>
      <c r="AL1677" s="569"/>
      <c r="AM1677" s="569"/>
      <c r="AN1677" s="589"/>
      <c r="AO1677" s="84"/>
      <c r="AP1677" s="5"/>
    </row>
    <row r="1678" spans="1:42" ht="13.5" customHeight="1" x14ac:dyDescent="0.35">
      <c r="A1678" s="4"/>
      <c r="B1678" s="614"/>
      <c r="C1678" s="71"/>
      <c r="D1678" s="71"/>
      <c r="E1678" s="71"/>
      <c r="F1678" s="71"/>
      <c r="G1678" s="71"/>
      <c r="H1678" s="87"/>
      <c r="I1678" s="71"/>
      <c r="J1678" s="71"/>
      <c r="K1678" s="71"/>
      <c r="L1678" s="87"/>
      <c r="M1678" s="71"/>
      <c r="N1678" s="71"/>
      <c r="O1678" s="71"/>
      <c r="P1678" s="311"/>
      <c r="Q1678" s="312"/>
      <c r="R1678" s="312"/>
      <c r="S1678" s="569"/>
      <c r="T1678" s="569"/>
      <c r="U1678" s="569"/>
      <c r="V1678" s="341"/>
      <c r="W1678" s="311"/>
      <c r="X1678" s="71"/>
      <c r="Y1678" s="71"/>
      <c r="Z1678" s="71"/>
      <c r="AA1678" s="456"/>
      <c r="AB1678" s="104"/>
      <c r="AC1678" s="485"/>
      <c r="AD1678" s="486"/>
      <c r="AE1678" s="485"/>
      <c r="AF1678" s="634"/>
      <c r="AG1678" s="97"/>
      <c r="AH1678" s="223"/>
      <c r="AI1678" s="569"/>
      <c r="AJ1678" s="569"/>
      <c r="AK1678" s="569"/>
      <c r="AL1678" s="569"/>
      <c r="AM1678" s="569"/>
      <c r="AN1678" s="589"/>
      <c r="AO1678" s="84"/>
      <c r="AP1678" s="5"/>
    </row>
    <row r="1679" spans="1:42" ht="13.5" customHeight="1" x14ac:dyDescent="0.35">
      <c r="A1679" s="4"/>
      <c r="B1679" s="614"/>
      <c r="C1679" s="71"/>
      <c r="D1679" s="71"/>
      <c r="E1679" s="71"/>
      <c r="F1679" s="71"/>
      <c r="G1679" s="71"/>
      <c r="H1679" s="87"/>
      <c r="I1679" s="71"/>
      <c r="J1679" s="71"/>
      <c r="K1679" s="71"/>
      <c r="L1679" s="87"/>
      <c r="M1679" s="71"/>
      <c r="N1679" s="71"/>
      <c r="O1679" s="71"/>
      <c r="P1679" s="311"/>
      <c r="Q1679" s="312"/>
      <c r="R1679" s="312"/>
      <c r="S1679" s="569"/>
      <c r="T1679" s="569"/>
      <c r="U1679" s="569"/>
      <c r="V1679" s="341"/>
      <c r="W1679" s="311"/>
      <c r="X1679" s="71"/>
      <c r="Y1679" s="71"/>
      <c r="Z1679" s="71"/>
      <c r="AA1679" s="456"/>
      <c r="AB1679" s="104"/>
      <c r="AC1679" s="485"/>
      <c r="AD1679" s="486"/>
      <c r="AE1679" s="485"/>
      <c r="AF1679" s="634"/>
      <c r="AG1679" s="97"/>
      <c r="AH1679" s="223"/>
      <c r="AI1679" s="569"/>
      <c r="AJ1679" s="569"/>
      <c r="AK1679" s="569"/>
      <c r="AL1679" s="569"/>
      <c r="AM1679" s="569"/>
      <c r="AN1679" s="589"/>
      <c r="AO1679" s="84"/>
      <c r="AP1679" s="5"/>
    </row>
    <row r="1680" spans="1:42" ht="13.5" customHeight="1" x14ac:dyDescent="0.35">
      <c r="A1680" s="4"/>
      <c r="B1680" s="614"/>
      <c r="C1680" s="71"/>
      <c r="D1680" s="71"/>
      <c r="E1680" s="71"/>
      <c r="F1680" s="71"/>
      <c r="G1680" s="71"/>
      <c r="H1680" s="87"/>
      <c r="I1680" s="71"/>
      <c r="J1680" s="71"/>
      <c r="K1680" s="71"/>
      <c r="L1680" s="87"/>
      <c r="M1680" s="71"/>
      <c r="N1680" s="71"/>
      <c r="O1680" s="71"/>
      <c r="P1680" s="311"/>
      <c r="Q1680" s="312"/>
      <c r="R1680" s="312"/>
      <c r="S1680" s="569"/>
      <c r="T1680" s="569"/>
      <c r="U1680" s="569"/>
      <c r="V1680" s="341"/>
      <c r="W1680" s="311"/>
      <c r="X1680" s="71"/>
      <c r="Y1680" s="71"/>
      <c r="Z1680" s="71"/>
      <c r="AA1680" s="456"/>
      <c r="AB1680" s="104"/>
      <c r="AC1680" s="485"/>
      <c r="AD1680" s="486"/>
      <c r="AE1680" s="485"/>
      <c r="AF1680" s="634"/>
      <c r="AG1680" s="97"/>
      <c r="AH1680" s="223"/>
      <c r="AI1680" s="569"/>
      <c r="AJ1680" s="569"/>
      <c r="AK1680" s="569"/>
      <c r="AL1680" s="569"/>
      <c r="AM1680" s="569"/>
      <c r="AN1680" s="589"/>
      <c r="AO1680" s="84"/>
      <c r="AP1680" s="5"/>
    </row>
    <row r="1681" spans="1:42" ht="13.5" customHeight="1" x14ac:dyDescent="0.35">
      <c r="A1681" s="4"/>
      <c r="B1681" s="614"/>
      <c r="C1681" s="71"/>
      <c r="D1681" s="71"/>
      <c r="E1681" s="71"/>
      <c r="F1681" s="71"/>
      <c r="G1681" s="71"/>
      <c r="H1681" s="87"/>
      <c r="I1681" s="71"/>
      <c r="J1681" s="71"/>
      <c r="K1681" s="71"/>
      <c r="L1681" s="87"/>
      <c r="M1681" s="71"/>
      <c r="N1681" s="71"/>
      <c r="O1681" s="71"/>
      <c r="P1681" s="311"/>
      <c r="Q1681" s="312"/>
      <c r="R1681" s="312"/>
      <c r="S1681" s="569"/>
      <c r="T1681" s="569"/>
      <c r="U1681" s="569"/>
      <c r="V1681" s="341"/>
      <c r="W1681" s="311"/>
      <c r="X1681" s="71"/>
      <c r="Y1681" s="71"/>
      <c r="Z1681" s="71"/>
      <c r="AA1681" s="456"/>
      <c r="AB1681" s="104"/>
      <c r="AC1681" s="485"/>
      <c r="AD1681" s="486"/>
      <c r="AE1681" s="485"/>
      <c r="AF1681" s="634"/>
      <c r="AG1681" s="97"/>
      <c r="AH1681" s="223"/>
      <c r="AI1681" s="569"/>
      <c r="AJ1681" s="569"/>
      <c r="AK1681" s="569"/>
      <c r="AL1681" s="569"/>
      <c r="AM1681" s="569"/>
      <c r="AN1681" s="589"/>
      <c r="AO1681" s="84"/>
      <c r="AP1681" s="5"/>
    </row>
    <row r="1682" spans="1:42" ht="13.5" customHeight="1" x14ac:dyDescent="0.35">
      <c r="A1682" s="4"/>
      <c r="B1682" s="614"/>
      <c r="C1682" s="71"/>
      <c r="D1682" s="71"/>
      <c r="E1682" s="71"/>
      <c r="F1682" s="71"/>
      <c r="G1682" s="71"/>
      <c r="H1682" s="87"/>
      <c r="I1682" s="71"/>
      <c r="J1682" s="71"/>
      <c r="K1682" s="71"/>
      <c r="L1682" s="87"/>
      <c r="M1682" s="71"/>
      <c r="N1682" s="71"/>
      <c r="O1682" s="71"/>
      <c r="P1682" s="311"/>
      <c r="Q1682" s="312"/>
      <c r="R1682" s="312"/>
      <c r="S1682" s="569"/>
      <c r="T1682" s="569"/>
      <c r="U1682" s="569"/>
      <c r="V1682" s="341"/>
      <c r="W1682" s="311"/>
      <c r="X1682" s="71"/>
      <c r="Y1682" s="71"/>
      <c r="Z1682" s="71"/>
      <c r="AA1682" s="456"/>
      <c r="AB1682" s="104"/>
      <c r="AC1682" s="485"/>
      <c r="AD1682" s="486"/>
      <c r="AE1682" s="485"/>
      <c r="AF1682" s="634"/>
      <c r="AG1682" s="97"/>
      <c r="AH1682" s="223"/>
      <c r="AI1682" s="569"/>
      <c r="AJ1682" s="569"/>
      <c r="AK1682" s="569"/>
      <c r="AL1682" s="569"/>
      <c r="AM1682" s="569"/>
      <c r="AN1682" s="589"/>
      <c r="AO1682" s="84"/>
      <c r="AP1682" s="5"/>
    </row>
    <row r="1683" spans="1:42" ht="13.5" customHeight="1" x14ac:dyDescent="0.35">
      <c r="A1683" s="4"/>
      <c r="B1683" s="614"/>
      <c r="C1683" s="71"/>
      <c r="D1683" s="71"/>
      <c r="E1683" s="71"/>
      <c r="F1683" s="71"/>
      <c r="G1683" s="71"/>
      <c r="H1683" s="87"/>
      <c r="I1683" s="71"/>
      <c r="J1683" s="71"/>
      <c r="K1683" s="71"/>
      <c r="L1683" s="87"/>
      <c r="M1683" s="71"/>
      <c r="N1683" s="71"/>
      <c r="O1683" s="71"/>
      <c r="P1683" s="311"/>
      <c r="Q1683" s="312"/>
      <c r="R1683" s="312"/>
      <c r="S1683" s="569"/>
      <c r="T1683" s="569"/>
      <c r="U1683" s="569"/>
      <c r="V1683" s="341"/>
      <c r="W1683" s="311"/>
      <c r="X1683" s="71"/>
      <c r="Y1683" s="71"/>
      <c r="Z1683" s="71"/>
      <c r="AA1683" s="456"/>
      <c r="AB1683" s="104"/>
      <c r="AC1683" s="485"/>
      <c r="AD1683" s="486"/>
      <c r="AE1683" s="485"/>
      <c r="AF1683" s="634"/>
      <c r="AG1683" s="97"/>
      <c r="AH1683" s="223"/>
      <c r="AI1683" s="569"/>
      <c r="AJ1683" s="569"/>
      <c r="AK1683" s="569"/>
      <c r="AL1683" s="569"/>
      <c r="AM1683" s="569"/>
      <c r="AN1683" s="589"/>
      <c r="AO1683" s="84"/>
      <c r="AP1683" s="5"/>
    </row>
    <row r="1684" spans="1:42" ht="13.5" customHeight="1" x14ac:dyDescent="0.35">
      <c r="A1684" s="4"/>
      <c r="B1684" s="614"/>
      <c r="C1684" s="71"/>
      <c r="D1684" s="71"/>
      <c r="E1684" s="71"/>
      <c r="F1684" s="71"/>
      <c r="G1684" s="71"/>
      <c r="H1684" s="87"/>
      <c r="I1684" s="71"/>
      <c r="J1684" s="71"/>
      <c r="K1684" s="71"/>
      <c r="L1684" s="87"/>
      <c r="M1684" s="71"/>
      <c r="N1684" s="71"/>
      <c r="O1684" s="71"/>
      <c r="P1684" s="311"/>
      <c r="Q1684" s="312"/>
      <c r="R1684" s="312"/>
      <c r="S1684" s="569"/>
      <c r="T1684" s="569"/>
      <c r="U1684" s="569"/>
      <c r="V1684" s="341"/>
      <c r="W1684" s="311"/>
      <c r="X1684" s="71"/>
      <c r="Y1684" s="71"/>
      <c r="Z1684" s="71"/>
      <c r="AA1684" s="456"/>
      <c r="AB1684" s="104"/>
      <c r="AC1684" s="485"/>
      <c r="AD1684" s="486"/>
      <c r="AE1684" s="485"/>
      <c r="AF1684" s="634"/>
      <c r="AG1684" s="97"/>
      <c r="AH1684" s="223"/>
      <c r="AI1684" s="569"/>
      <c r="AJ1684" s="569"/>
      <c r="AK1684" s="569"/>
      <c r="AL1684" s="569"/>
      <c r="AM1684" s="569"/>
      <c r="AN1684" s="589"/>
      <c r="AO1684" s="84"/>
      <c r="AP1684" s="5"/>
    </row>
    <row r="1685" spans="1:42" ht="13.5" customHeight="1" x14ac:dyDescent="0.35">
      <c r="A1685" s="4"/>
      <c r="B1685" s="614"/>
      <c r="C1685" s="71"/>
      <c r="D1685" s="71"/>
      <c r="E1685" s="71"/>
      <c r="F1685" s="71"/>
      <c r="G1685" s="71"/>
      <c r="H1685" s="87"/>
      <c r="I1685" s="71"/>
      <c r="J1685" s="71"/>
      <c r="K1685" s="71"/>
      <c r="L1685" s="87"/>
      <c r="M1685" s="71"/>
      <c r="N1685" s="71"/>
      <c r="O1685" s="71"/>
      <c r="P1685" s="311"/>
      <c r="Q1685" s="312"/>
      <c r="R1685" s="312"/>
      <c r="S1685" s="569"/>
      <c r="T1685" s="569"/>
      <c r="U1685" s="569"/>
      <c r="V1685" s="341"/>
      <c r="W1685" s="311"/>
      <c r="X1685" s="71"/>
      <c r="Y1685" s="71"/>
      <c r="Z1685" s="71"/>
      <c r="AA1685" s="456"/>
      <c r="AB1685" s="104"/>
      <c r="AC1685" s="485"/>
      <c r="AD1685" s="486"/>
      <c r="AE1685" s="485"/>
      <c r="AF1685" s="634"/>
      <c r="AG1685" s="97"/>
      <c r="AH1685" s="223"/>
      <c r="AI1685" s="569"/>
      <c r="AJ1685" s="569"/>
      <c r="AK1685" s="569"/>
      <c r="AL1685" s="569"/>
      <c r="AM1685" s="569"/>
      <c r="AN1685" s="589"/>
      <c r="AO1685" s="84"/>
      <c r="AP1685" s="5"/>
    </row>
    <row r="1686" spans="1:42" ht="13.5" customHeight="1" x14ac:dyDescent="0.35">
      <c r="A1686" s="4"/>
      <c r="B1686" s="614"/>
      <c r="C1686" s="71"/>
      <c r="D1686" s="71"/>
      <c r="E1686" s="71"/>
      <c r="F1686" s="71"/>
      <c r="G1686" s="71"/>
      <c r="H1686" s="87"/>
      <c r="I1686" s="71"/>
      <c r="J1686" s="71"/>
      <c r="K1686" s="71"/>
      <c r="L1686" s="87"/>
      <c r="M1686" s="71"/>
      <c r="N1686" s="71"/>
      <c r="O1686" s="71"/>
      <c r="P1686" s="311"/>
      <c r="Q1686" s="312"/>
      <c r="R1686" s="312"/>
      <c r="S1686" s="569"/>
      <c r="T1686" s="569"/>
      <c r="U1686" s="569"/>
      <c r="V1686" s="341"/>
      <c r="W1686" s="311"/>
      <c r="X1686" s="71"/>
      <c r="Y1686" s="71"/>
      <c r="Z1686" s="71"/>
      <c r="AA1686" s="456"/>
      <c r="AB1686" s="104"/>
      <c r="AC1686" s="485"/>
      <c r="AD1686" s="486"/>
      <c r="AE1686" s="485"/>
      <c r="AF1686" s="634"/>
      <c r="AG1686" s="97"/>
      <c r="AH1686" s="223"/>
      <c r="AI1686" s="569"/>
      <c r="AJ1686" s="569"/>
      <c r="AK1686" s="569"/>
      <c r="AL1686" s="569"/>
      <c r="AM1686" s="569"/>
      <c r="AN1686" s="589"/>
      <c r="AO1686" s="84"/>
      <c r="AP1686" s="5"/>
    </row>
    <row r="1687" spans="1:42" ht="13.5" customHeight="1" x14ac:dyDescent="0.35">
      <c r="A1687" s="4"/>
      <c r="B1687" s="614"/>
      <c r="C1687" s="71"/>
      <c r="D1687" s="71"/>
      <c r="E1687" s="71"/>
      <c r="F1687" s="71"/>
      <c r="G1687" s="71"/>
      <c r="H1687" s="87"/>
      <c r="I1687" s="71"/>
      <c r="J1687" s="71"/>
      <c r="K1687" s="71"/>
      <c r="L1687" s="87"/>
      <c r="M1687" s="71"/>
      <c r="N1687" s="71"/>
      <c r="O1687" s="71"/>
      <c r="P1687" s="311"/>
      <c r="Q1687" s="312"/>
      <c r="R1687" s="312"/>
      <c r="S1687" s="569"/>
      <c r="T1687" s="569"/>
      <c r="U1687" s="569"/>
      <c r="V1687" s="341"/>
      <c r="W1687" s="311"/>
      <c r="X1687" s="71"/>
      <c r="Y1687" s="71"/>
      <c r="Z1687" s="71"/>
      <c r="AA1687" s="456"/>
      <c r="AB1687" s="104"/>
      <c r="AC1687" s="485"/>
      <c r="AD1687" s="486"/>
      <c r="AE1687" s="485"/>
      <c r="AF1687" s="634"/>
      <c r="AG1687" s="97"/>
      <c r="AH1687" s="223"/>
      <c r="AI1687" s="569"/>
      <c r="AJ1687" s="569"/>
      <c r="AK1687" s="569"/>
      <c r="AL1687" s="569"/>
      <c r="AM1687" s="569"/>
      <c r="AN1687" s="589"/>
      <c r="AO1687" s="84"/>
      <c r="AP1687" s="5"/>
    </row>
    <row r="1688" spans="1:42" ht="13.5" customHeight="1" x14ac:dyDescent="0.35">
      <c r="A1688" s="4"/>
      <c r="B1688" s="614"/>
      <c r="C1688" s="71"/>
      <c r="D1688" s="71"/>
      <c r="E1688" s="71"/>
      <c r="F1688" s="71"/>
      <c r="G1688" s="71"/>
      <c r="H1688" s="87"/>
      <c r="I1688" s="71"/>
      <c r="J1688" s="71"/>
      <c r="K1688" s="71"/>
      <c r="L1688" s="87"/>
      <c r="M1688" s="71"/>
      <c r="N1688" s="71"/>
      <c r="O1688" s="71"/>
      <c r="P1688" s="311"/>
      <c r="Q1688" s="312"/>
      <c r="R1688" s="312"/>
      <c r="S1688" s="569"/>
      <c r="T1688" s="569"/>
      <c r="U1688" s="569"/>
      <c r="V1688" s="341"/>
      <c r="W1688" s="311"/>
      <c r="X1688" s="71"/>
      <c r="Y1688" s="71"/>
      <c r="Z1688" s="71"/>
      <c r="AA1688" s="456"/>
      <c r="AB1688" s="104"/>
      <c r="AC1688" s="485"/>
      <c r="AD1688" s="486"/>
      <c r="AE1688" s="485"/>
      <c r="AF1688" s="634"/>
      <c r="AG1688" s="97"/>
      <c r="AH1688" s="223"/>
      <c r="AI1688" s="569"/>
      <c r="AJ1688" s="569"/>
      <c r="AK1688" s="569"/>
      <c r="AL1688" s="569"/>
      <c r="AM1688" s="569"/>
      <c r="AN1688" s="589"/>
      <c r="AO1688" s="84"/>
      <c r="AP1688" s="5"/>
    </row>
    <row r="1689" spans="1:42" ht="13.5" customHeight="1" x14ac:dyDescent="0.35">
      <c r="A1689" s="4"/>
      <c r="B1689" s="614"/>
      <c r="C1689" s="71"/>
      <c r="D1689" s="71"/>
      <c r="E1689" s="71"/>
      <c r="F1689" s="71"/>
      <c r="G1689" s="71"/>
      <c r="H1689" s="87"/>
      <c r="I1689" s="71"/>
      <c r="J1689" s="71"/>
      <c r="K1689" s="71"/>
      <c r="L1689" s="87"/>
      <c r="M1689" s="71"/>
      <c r="N1689" s="71"/>
      <c r="O1689" s="71"/>
      <c r="P1689" s="311"/>
      <c r="Q1689" s="312"/>
      <c r="R1689" s="312"/>
      <c r="S1689" s="569"/>
      <c r="T1689" s="569"/>
      <c r="U1689" s="569"/>
      <c r="V1689" s="341"/>
      <c r="W1689" s="311"/>
      <c r="X1689" s="71"/>
      <c r="Y1689" s="71"/>
      <c r="Z1689" s="71"/>
      <c r="AA1689" s="456"/>
      <c r="AB1689" s="104"/>
      <c r="AC1689" s="485"/>
      <c r="AD1689" s="486"/>
      <c r="AE1689" s="485"/>
      <c r="AF1689" s="634"/>
      <c r="AG1689" s="97"/>
      <c r="AH1689" s="223"/>
      <c r="AI1689" s="569"/>
      <c r="AJ1689" s="569"/>
      <c r="AK1689" s="569"/>
      <c r="AL1689" s="569"/>
      <c r="AM1689" s="569"/>
      <c r="AN1689" s="589"/>
      <c r="AO1689" s="84"/>
      <c r="AP1689" s="5"/>
    </row>
    <row r="1690" spans="1:42" ht="13.5" customHeight="1" x14ac:dyDescent="0.35">
      <c r="A1690" s="4"/>
      <c r="B1690" s="614"/>
      <c r="C1690" s="71"/>
      <c r="D1690" s="71"/>
      <c r="E1690" s="71"/>
      <c r="F1690" s="71"/>
      <c r="G1690" s="71"/>
      <c r="H1690" s="87"/>
      <c r="I1690" s="71"/>
      <c r="J1690" s="71"/>
      <c r="K1690" s="71"/>
      <c r="L1690" s="87"/>
      <c r="M1690" s="71"/>
      <c r="N1690" s="71"/>
      <c r="O1690" s="71"/>
      <c r="P1690" s="311"/>
      <c r="Q1690" s="312"/>
      <c r="R1690" s="312"/>
      <c r="S1690" s="569"/>
      <c r="T1690" s="569"/>
      <c r="U1690" s="569"/>
      <c r="V1690" s="341"/>
      <c r="W1690" s="311"/>
      <c r="X1690" s="71"/>
      <c r="Y1690" s="71"/>
      <c r="Z1690" s="71"/>
      <c r="AA1690" s="456"/>
      <c r="AB1690" s="104"/>
      <c r="AC1690" s="485"/>
      <c r="AD1690" s="486"/>
      <c r="AE1690" s="485"/>
      <c r="AF1690" s="634"/>
      <c r="AG1690" s="97"/>
      <c r="AH1690" s="223"/>
      <c r="AI1690" s="569"/>
      <c r="AJ1690" s="569"/>
      <c r="AK1690" s="569"/>
      <c r="AL1690" s="569"/>
      <c r="AM1690" s="569"/>
      <c r="AN1690" s="589"/>
      <c r="AO1690" s="84"/>
      <c r="AP1690" s="5"/>
    </row>
    <row r="1691" spans="1:42" ht="13.5" customHeight="1" x14ac:dyDescent="0.35">
      <c r="A1691" s="4"/>
      <c r="B1691" s="614"/>
      <c r="C1691" s="71"/>
      <c r="D1691" s="71"/>
      <c r="E1691" s="71"/>
      <c r="F1691" s="71"/>
      <c r="G1691" s="71"/>
      <c r="H1691" s="87"/>
      <c r="I1691" s="71"/>
      <c r="J1691" s="71"/>
      <c r="K1691" s="71"/>
      <c r="L1691" s="87"/>
      <c r="M1691" s="71"/>
      <c r="N1691" s="71"/>
      <c r="O1691" s="71"/>
      <c r="P1691" s="311"/>
      <c r="Q1691" s="312"/>
      <c r="R1691" s="312"/>
      <c r="S1691" s="569"/>
      <c r="T1691" s="569"/>
      <c r="U1691" s="569"/>
      <c r="V1691" s="341"/>
      <c r="W1691" s="311"/>
      <c r="X1691" s="71"/>
      <c r="Y1691" s="71"/>
      <c r="Z1691" s="71"/>
      <c r="AA1691" s="456"/>
      <c r="AB1691" s="104"/>
      <c r="AC1691" s="485"/>
      <c r="AD1691" s="486"/>
      <c r="AE1691" s="485"/>
      <c r="AF1691" s="634"/>
      <c r="AG1691" s="97"/>
      <c r="AH1691" s="223"/>
      <c r="AI1691" s="569"/>
      <c r="AJ1691" s="569"/>
      <c r="AK1691" s="569"/>
      <c r="AL1691" s="569"/>
      <c r="AM1691" s="569"/>
      <c r="AN1691" s="589"/>
      <c r="AO1691" s="84"/>
      <c r="AP1691" s="5"/>
    </row>
    <row r="1692" spans="1:42" ht="13.5" customHeight="1" x14ac:dyDescent="0.35">
      <c r="A1692" s="4"/>
      <c r="B1692" s="614"/>
      <c r="C1692" s="71"/>
      <c r="D1692" s="71"/>
      <c r="E1692" s="71"/>
      <c r="F1692" s="71"/>
      <c r="G1692" s="71"/>
      <c r="H1692" s="87"/>
      <c r="I1692" s="71"/>
      <c r="J1692" s="71"/>
      <c r="K1692" s="71"/>
      <c r="L1692" s="87"/>
      <c r="M1692" s="71"/>
      <c r="N1692" s="71"/>
      <c r="O1692" s="71"/>
      <c r="P1692" s="311"/>
      <c r="Q1692" s="312"/>
      <c r="R1692" s="312"/>
      <c r="S1692" s="569"/>
      <c r="T1692" s="569"/>
      <c r="U1692" s="569"/>
      <c r="V1692" s="341"/>
      <c r="W1692" s="311"/>
      <c r="X1692" s="71"/>
      <c r="Y1692" s="71"/>
      <c r="Z1692" s="71"/>
      <c r="AA1692" s="456"/>
      <c r="AB1692" s="104"/>
      <c r="AC1692" s="485"/>
      <c r="AD1692" s="486"/>
      <c r="AE1692" s="485"/>
      <c r="AF1692" s="634"/>
      <c r="AG1692" s="97"/>
      <c r="AH1692" s="223"/>
      <c r="AI1692" s="569"/>
      <c r="AJ1692" s="569"/>
      <c r="AK1692" s="569"/>
      <c r="AL1692" s="569"/>
      <c r="AM1692" s="569"/>
      <c r="AN1692" s="589"/>
      <c r="AO1692" s="84"/>
      <c r="AP1692" s="5"/>
    </row>
    <row r="1693" spans="1:42" ht="13.5" customHeight="1" x14ac:dyDescent="0.35">
      <c r="A1693" s="4"/>
      <c r="B1693" s="614"/>
      <c r="C1693" s="71"/>
      <c r="D1693" s="71"/>
      <c r="E1693" s="71"/>
      <c r="F1693" s="71"/>
      <c r="G1693" s="71"/>
      <c r="H1693" s="87"/>
      <c r="I1693" s="71"/>
      <c r="J1693" s="71"/>
      <c r="K1693" s="71"/>
      <c r="L1693" s="87"/>
      <c r="M1693" s="71"/>
      <c r="N1693" s="71"/>
      <c r="O1693" s="71"/>
      <c r="P1693" s="311"/>
      <c r="Q1693" s="312"/>
      <c r="R1693" s="312"/>
      <c r="S1693" s="569"/>
      <c r="T1693" s="569"/>
      <c r="U1693" s="569"/>
      <c r="V1693" s="341"/>
      <c r="W1693" s="311"/>
      <c r="X1693" s="71"/>
      <c r="Y1693" s="71"/>
      <c r="Z1693" s="71"/>
      <c r="AA1693" s="456"/>
      <c r="AB1693" s="104"/>
      <c r="AC1693" s="485"/>
      <c r="AD1693" s="486"/>
      <c r="AE1693" s="485"/>
      <c r="AF1693" s="634"/>
      <c r="AG1693" s="97"/>
      <c r="AH1693" s="223"/>
      <c r="AI1693" s="569"/>
      <c r="AJ1693" s="569"/>
      <c r="AK1693" s="569"/>
      <c r="AL1693" s="569"/>
      <c r="AM1693" s="569"/>
      <c r="AN1693" s="589"/>
      <c r="AO1693" s="84"/>
      <c r="AP1693" s="5"/>
    </row>
    <row r="1694" spans="1:42" ht="13.5" customHeight="1" x14ac:dyDescent="0.35">
      <c r="A1694" s="4"/>
      <c r="B1694" s="614"/>
      <c r="C1694" s="71"/>
      <c r="D1694" s="71"/>
      <c r="E1694" s="71"/>
      <c r="F1694" s="71"/>
      <c r="G1694" s="71"/>
      <c r="H1694" s="87"/>
      <c r="I1694" s="71"/>
      <c r="J1694" s="71"/>
      <c r="K1694" s="71"/>
      <c r="L1694" s="87"/>
      <c r="M1694" s="71"/>
      <c r="N1694" s="71"/>
      <c r="O1694" s="71"/>
      <c r="P1694" s="311"/>
      <c r="Q1694" s="312"/>
      <c r="R1694" s="312"/>
      <c r="S1694" s="569"/>
      <c r="T1694" s="569"/>
      <c r="U1694" s="569"/>
      <c r="V1694" s="341"/>
      <c r="W1694" s="311"/>
      <c r="X1694" s="71"/>
      <c r="Y1694" s="71"/>
      <c r="Z1694" s="71"/>
      <c r="AA1694" s="456"/>
      <c r="AB1694" s="104"/>
      <c r="AC1694" s="485"/>
      <c r="AD1694" s="486"/>
      <c r="AE1694" s="485"/>
      <c r="AF1694" s="634"/>
      <c r="AG1694" s="97"/>
      <c r="AH1694" s="223"/>
      <c r="AI1694" s="569"/>
      <c r="AJ1694" s="569"/>
      <c r="AK1694" s="569"/>
      <c r="AL1694" s="569"/>
      <c r="AM1694" s="569"/>
      <c r="AN1694" s="589"/>
      <c r="AO1694" s="84"/>
      <c r="AP1694" s="5"/>
    </row>
    <row r="1695" spans="1:42" ht="13.5" customHeight="1" x14ac:dyDescent="0.35">
      <c r="A1695" s="4"/>
      <c r="B1695" s="614"/>
      <c r="C1695" s="71"/>
      <c r="D1695" s="71"/>
      <c r="E1695" s="71"/>
      <c r="F1695" s="71"/>
      <c r="G1695" s="71"/>
      <c r="H1695" s="87"/>
      <c r="I1695" s="71"/>
      <c r="J1695" s="71"/>
      <c r="K1695" s="71"/>
      <c r="L1695" s="87"/>
      <c r="M1695" s="71"/>
      <c r="N1695" s="71"/>
      <c r="O1695" s="71"/>
      <c r="P1695" s="311"/>
      <c r="Q1695" s="312"/>
      <c r="R1695" s="312"/>
      <c r="S1695" s="569"/>
      <c r="T1695" s="569"/>
      <c r="U1695" s="569"/>
      <c r="V1695" s="341"/>
      <c r="W1695" s="311"/>
      <c r="X1695" s="71"/>
      <c r="Y1695" s="71"/>
      <c r="Z1695" s="71"/>
      <c r="AA1695" s="456"/>
      <c r="AB1695" s="104"/>
      <c r="AC1695" s="485"/>
      <c r="AD1695" s="486"/>
      <c r="AE1695" s="485"/>
      <c r="AF1695" s="634"/>
      <c r="AG1695" s="97"/>
      <c r="AH1695" s="223"/>
      <c r="AI1695" s="569"/>
      <c r="AJ1695" s="569"/>
      <c r="AK1695" s="569"/>
      <c r="AL1695" s="569"/>
      <c r="AM1695" s="569"/>
      <c r="AN1695" s="589"/>
      <c r="AO1695" s="84"/>
      <c r="AP1695" s="5"/>
    </row>
    <row r="1696" spans="1:42" ht="13.5" customHeight="1" x14ac:dyDescent="0.35">
      <c r="A1696" s="4"/>
      <c r="B1696" s="614"/>
      <c r="C1696" s="71"/>
      <c r="D1696" s="71"/>
      <c r="E1696" s="71"/>
      <c r="F1696" s="71"/>
      <c r="G1696" s="71"/>
      <c r="H1696" s="87"/>
      <c r="I1696" s="71"/>
      <c r="J1696" s="71"/>
      <c r="K1696" s="71"/>
      <c r="L1696" s="87"/>
      <c r="M1696" s="71"/>
      <c r="N1696" s="71"/>
      <c r="O1696" s="71"/>
      <c r="P1696" s="311"/>
      <c r="Q1696" s="312"/>
      <c r="R1696" s="312"/>
      <c r="S1696" s="569"/>
      <c r="T1696" s="569"/>
      <c r="U1696" s="569"/>
      <c r="V1696" s="341"/>
      <c r="W1696" s="311"/>
      <c r="X1696" s="71"/>
      <c r="Y1696" s="71"/>
      <c r="Z1696" s="71"/>
      <c r="AA1696" s="456"/>
      <c r="AB1696" s="104"/>
      <c r="AC1696" s="485"/>
      <c r="AD1696" s="486"/>
      <c r="AE1696" s="485"/>
      <c r="AF1696" s="634"/>
      <c r="AG1696" s="97"/>
      <c r="AH1696" s="223"/>
      <c r="AI1696" s="569"/>
      <c r="AJ1696" s="569"/>
      <c r="AK1696" s="569"/>
      <c r="AL1696" s="569"/>
      <c r="AM1696" s="569"/>
      <c r="AN1696" s="589"/>
      <c r="AO1696" s="84"/>
      <c r="AP1696" s="5"/>
    </row>
    <row r="1697" spans="1:42" ht="13.5" customHeight="1" x14ac:dyDescent="0.35">
      <c r="A1697" s="4"/>
      <c r="B1697" s="614"/>
      <c r="C1697" s="71"/>
      <c r="D1697" s="71"/>
      <c r="E1697" s="71"/>
      <c r="F1697" s="71"/>
      <c r="G1697" s="71"/>
      <c r="H1697" s="87"/>
      <c r="I1697" s="71"/>
      <c r="J1697" s="71"/>
      <c r="K1697" s="71"/>
      <c r="L1697" s="87"/>
      <c r="M1697" s="71"/>
      <c r="N1697" s="71"/>
      <c r="O1697" s="71"/>
      <c r="P1697" s="311"/>
      <c r="Q1697" s="312"/>
      <c r="R1697" s="312"/>
      <c r="S1697" s="569"/>
      <c r="T1697" s="569"/>
      <c r="U1697" s="569"/>
      <c r="V1697" s="341"/>
      <c r="W1697" s="311"/>
      <c r="X1697" s="71"/>
      <c r="Y1697" s="71"/>
      <c r="Z1697" s="71"/>
      <c r="AA1697" s="456"/>
      <c r="AB1697" s="104"/>
      <c r="AC1697" s="485"/>
      <c r="AD1697" s="486"/>
      <c r="AE1697" s="485"/>
      <c r="AF1697" s="634"/>
      <c r="AG1697" s="97"/>
      <c r="AH1697" s="223"/>
      <c r="AI1697" s="569"/>
      <c r="AJ1697" s="569"/>
      <c r="AK1697" s="569"/>
      <c r="AL1697" s="569"/>
      <c r="AM1697" s="569"/>
      <c r="AN1697" s="589"/>
      <c r="AO1697" s="84"/>
      <c r="AP1697" s="5"/>
    </row>
    <row r="1698" spans="1:42" ht="13.5" customHeight="1" x14ac:dyDescent="0.35">
      <c r="A1698" s="4"/>
      <c r="B1698" s="614"/>
      <c r="C1698" s="71"/>
      <c r="D1698" s="71"/>
      <c r="E1698" s="71"/>
      <c r="F1698" s="71"/>
      <c r="G1698" s="71"/>
      <c r="H1698" s="87"/>
      <c r="I1698" s="71"/>
      <c r="J1698" s="71"/>
      <c r="K1698" s="71"/>
      <c r="L1698" s="87"/>
      <c r="M1698" s="71"/>
      <c r="N1698" s="71"/>
      <c r="O1698" s="71"/>
      <c r="P1698" s="311"/>
      <c r="Q1698" s="312"/>
      <c r="R1698" s="312"/>
      <c r="S1698" s="569"/>
      <c r="T1698" s="569"/>
      <c r="U1698" s="569"/>
      <c r="V1698" s="341"/>
      <c r="W1698" s="311"/>
      <c r="X1698" s="71"/>
      <c r="Y1698" s="71"/>
      <c r="Z1698" s="71"/>
      <c r="AA1698" s="456"/>
      <c r="AB1698" s="104"/>
      <c r="AC1698" s="485"/>
      <c r="AD1698" s="486"/>
      <c r="AE1698" s="485"/>
      <c r="AF1698" s="634"/>
      <c r="AG1698" s="97"/>
      <c r="AH1698" s="223"/>
      <c r="AI1698" s="569"/>
      <c r="AJ1698" s="569"/>
      <c r="AK1698" s="569"/>
      <c r="AL1698" s="569"/>
      <c r="AM1698" s="569"/>
      <c r="AN1698" s="589"/>
      <c r="AO1698" s="84"/>
      <c r="AP1698" s="5"/>
    </row>
    <row r="1699" spans="1:42" ht="13.5" customHeight="1" x14ac:dyDescent="0.35">
      <c r="A1699" s="4"/>
      <c r="B1699" s="614"/>
      <c r="C1699" s="71"/>
      <c r="D1699" s="71"/>
      <c r="E1699" s="71"/>
      <c r="F1699" s="71"/>
      <c r="G1699" s="71"/>
      <c r="H1699" s="87"/>
      <c r="I1699" s="71"/>
      <c r="J1699" s="71"/>
      <c r="K1699" s="71"/>
      <c r="L1699" s="87"/>
      <c r="M1699" s="71"/>
      <c r="N1699" s="71"/>
      <c r="O1699" s="71"/>
      <c r="P1699" s="311"/>
      <c r="Q1699" s="312"/>
      <c r="R1699" s="312"/>
      <c r="S1699" s="569"/>
      <c r="T1699" s="569"/>
      <c r="U1699" s="569"/>
      <c r="V1699" s="341"/>
      <c r="W1699" s="311"/>
      <c r="X1699" s="71"/>
      <c r="Y1699" s="71"/>
      <c r="Z1699" s="71"/>
      <c r="AA1699" s="456"/>
      <c r="AB1699" s="104"/>
      <c r="AC1699" s="485"/>
      <c r="AD1699" s="486"/>
      <c r="AE1699" s="485"/>
      <c r="AF1699" s="634"/>
      <c r="AG1699" s="97"/>
      <c r="AH1699" s="223"/>
      <c r="AI1699" s="569"/>
      <c r="AJ1699" s="569"/>
      <c r="AK1699" s="569"/>
      <c r="AL1699" s="569"/>
      <c r="AM1699" s="569"/>
      <c r="AN1699" s="589"/>
      <c r="AO1699" s="84"/>
      <c r="AP1699" s="5"/>
    </row>
    <row r="1700" spans="1:42" ht="13.5" customHeight="1" x14ac:dyDescent="0.35">
      <c r="A1700" s="4"/>
      <c r="B1700" s="614"/>
      <c r="C1700" s="71"/>
      <c r="D1700" s="71"/>
      <c r="E1700" s="71"/>
      <c r="F1700" s="71"/>
      <c r="G1700" s="71"/>
      <c r="H1700" s="87"/>
      <c r="I1700" s="71"/>
      <c r="J1700" s="71"/>
      <c r="K1700" s="71"/>
      <c r="L1700" s="87"/>
      <c r="M1700" s="71"/>
      <c r="N1700" s="71"/>
      <c r="O1700" s="71"/>
      <c r="P1700" s="311"/>
      <c r="Q1700" s="312"/>
      <c r="R1700" s="312"/>
      <c r="S1700" s="569"/>
      <c r="T1700" s="569"/>
      <c r="U1700" s="569"/>
      <c r="V1700" s="341"/>
      <c r="W1700" s="311"/>
      <c r="X1700" s="71"/>
      <c r="Y1700" s="71"/>
      <c r="Z1700" s="71"/>
      <c r="AA1700" s="456"/>
      <c r="AB1700" s="104"/>
      <c r="AC1700" s="485"/>
      <c r="AD1700" s="486"/>
      <c r="AE1700" s="485"/>
      <c r="AF1700" s="634"/>
      <c r="AG1700" s="97"/>
      <c r="AH1700" s="223"/>
      <c r="AI1700" s="569"/>
      <c r="AJ1700" s="569"/>
      <c r="AK1700" s="569"/>
      <c r="AL1700" s="569"/>
      <c r="AM1700" s="569"/>
      <c r="AN1700" s="589"/>
      <c r="AO1700" s="84"/>
      <c r="AP1700" s="5"/>
    </row>
    <row r="1701" spans="1:42" ht="13.5" customHeight="1" x14ac:dyDescent="0.35">
      <c r="A1701" s="4"/>
      <c r="B1701" s="614"/>
      <c r="C1701" s="71"/>
      <c r="D1701" s="71"/>
      <c r="E1701" s="71"/>
      <c r="F1701" s="71"/>
      <c r="G1701" s="71"/>
      <c r="H1701" s="87"/>
      <c r="I1701" s="71"/>
      <c r="J1701" s="71"/>
      <c r="K1701" s="71"/>
      <c r="L1701" s="87"/>
      <c r="M1701" s="71"/>
      <c r="N1701" s="71"/>
      <c r="O1701" s="71"/>
      <c r="P1701" s="311"/>
      <c r="Q1701" s="312"/>
      <c r="R1701" s="312"/>
      <c r="S1701" s="569"/>
      <c r="T1701" s="569"/>
      <c r="U1701" s="569"/>
      <c r="V1701" s="341"/>
      <c r="W1701" s="311"/>
      <c r="X1701" s="71"/>
      <c r="Y1701" s="71"/>
      <c r="Z1701" s="71"/>
      <c r="AA1701" s="456"/>
      <c r="AB1701" s="104"/>
      <c r="AC1701" s="485"/>
      <c r="AD1701" s="486"/>
      <c r="AE1701" s="485"/>
      <c r="AF1701" s="634"/>
      <c r="AG1701" s="97"/>
      <c r="AH1701" s="223"/>
      <c r="AI1701" s="569"/>
      <c r="AJ1701" s="569"/>
      <c r="AK1701" s="569"/>
      <c r="AL1701" s="569"/>
      <c r="AM1701" s="569"/>
      <c r="AN1701" s="589"/>
      <c r="AO1701" s="84"/>
      <c r="AP1701" s="5"/>
    </row>
    <row r="1702" spans="1:42" ht="13.5" customHeight="1" x14ac:dyDescent="0.35">
      <c r="A1702" s="4"/>
      <c r="B1702" s="614"/>
      <c r="C1702" s="71"/>
      <c r="D1702" s="71"/>
      <c r="E1702" s="71"/>
      <c r="F1702" s="71"/>
      <c r="G1702" s="71"/>
      <c r="H1702" s="87"/>
      <c r="I1702" s="71"/>
      <c r="J1702" s="71"/>
      <c r="K1702" s="71"/>
      <c r="L1702" s="87"/>
      <c r="M1702" s="71"/>
      <c r="N1702" s="71"/>
      <c r="O1702" s="71"/>
      <c r="P1702" s="311"/>
      <c r="Q1702" s="312"/>
      <c r="R1702" s="312"/>
      <c r="S1702" s="569"/>
      <c r="T1702" s="569"/>
      <c r="U1702" s="569"/>
      <c r="V1702" s="341"/>
      <c r="W1702" s="311"/>
      <c r="X1702" s="71"/>
      <c r="Y1702" s="71"/>
      <c r="Z1702" s="71"/>
      <c r="AA1702" s="456"/>
      <c r="AB1702" s="104"/>
      <c r="AC1702" s="485"/>
      <c r="AD1702" s="486"/>
      <c r="AE1702" s="485"/>
      <c r="AF1702" s="634"/>
      <c r="AG1702" s="97"/>
      <c r="AH1702" s="223"/>
      <c r="AI1702" s="569"/>
      <c r="AJ1702" s="569"/>
      <c r="AK1702" s="569"/>
      <c r="AL1702" s="569"/>
      <c r="AM1702" s="569"/>
      <c r="AN1702" s="589"/>
      <c r="AO1702" s="84"/>
      <c r="AP1702" s="5"/>
    </row>
    <row r="1703" spans="1:42" ht="13.5" customHeight="1" x14ac:dyDescent="0.35">
      <c r="A1703" s="4"/>
      <c r="B1703" s="614"/>
      <c r="C1703" s="71"/>
      <c r="D1703" s="71"/>
      <c r="E1703" s="71"/>
      <c r="F1703" s="71"/>
      <c r="G1703" s="71"/>
      <c r="H1703" s="87"/>
      <c r="I1703" s="71"/>
      <c r="J1703" s="71"/>
      <c r="K1703" s="71"/>
      <c r="L1703" s="87"/>
      <c r="M1703" s="71"/>
      <c r="N1703" s="71"/>
      <c r="O1703" s="71"/>
      <c r="P1703" s="311"/>
      <c r="Q1703" s="312"/>
      <c r="R1703" s="312"/>
      <c r="S1703" s="569"/>
      <c r="T1703" s="569"/>
      <c r="U1703" s="569"/>
      <c r="V1703" s="341"/>
      <c r="W1703" s="311"/>
      <c r="X1703" s="71"/>
      <c r="Y1703" s="71"/>
      <c r="Z1703" s="71"/>
      <c r="AA1703" s="456"/>
      <c r="AB1703" s="104"/>
      <c r="AC1703" s="485"/>
      <c r="AD1703" s="486"/>
      <c r="AE1703" s="485"/>
      <c r="AF1703" s="634"/>
      <c r="AG1703" s="97"/>
      <c r="AH1703" s="223"/>
      <c r="AI1703" s="569"/>
      <c r="AJ1703" s="569"/>
      <c r="AK1703" s="569"/>
      <c r="AL1703" s="569"/>
      <c r="AM1703" s="569"/>
      <c r="AN1703" s="589"/>
      <c r="AO1703" s="84"/>
      <c r="AP1703" s="5"/>
    </row>
    <row r="1704" spans="1:42" ht="13.5" customHeight="1" x14ac:dyDescent="0.35">
      <c r="A1704" s="4"/>
      <c r="B1704" s="614"/>
      <c r="C1704" s="71"/>
      <c r="D1704" s="71"/>
      <c r="E1704" s="71"/>
      <c r="F1704" s="71"/>
      <c r="G1704" s="71"/>
      <c r="H1704" s="87"/>
      <c r="I1704" s="71"/>
      <c r="J1704" s="71"/>
      <c r="K1704" s="71"/>
      <c r="L1704" s="87"/>
      <c r="M1704" s="71"/>
      <c r="N1704" s="71"/>
      <c r="O1704" s="71"/>
      <c r="P1704" s="311"/>
      <c r="Q1704" s="312"/>
      <c r="R1704" s="312"/>
      <c r="S1704" s="569"/>
      <c r="T1704" s="569"/>
      <c r="U1704" s="569"/>
      <c r="V1704" s="341"/>
      <c r="W1704" s="311"/>
      <c r="X1704" s="71"/>
      <c r="Y1704" s="71"/>
      <c r="Z1704" s="71"/>
      <c r="AA1704" s="456"/>
      <c r="AB1704" s="104"/>
      <c r="AC1704" s="485"/>
      <c r="AD1704" s="486"/>
      <c r="AE1704" s="485"/>
      <c r="AF1704" s="634"/>
      <c r="AG1704" s="97"/>
      <c r="AH1704" s="223"/>
      <c r="AI1704" s="569"/>
      <c r="AJ1704" s="569"/>
      <c r="AK1704" s="569"/>
      <c r="AL1704" s="569"/>
      <c r="AM1704" s="569"/>
      <c r="AN1704" s="589"/>
      <c r="AO1704" s="84"/>
      <c r="AP1704" s="5"/>
    </row>
    <row r="1705" spans="1:42" ht="13.5" customHeight="1" x14ac:dyDescent="0.35">
      <c r="A1705" s="4"/>
      <c r="B1705" s="614"/>
      <c r="C1705" s="71"/>
      <c r="D1705" s="71"/>
      <c r="E1705" s="71"/>
      <c r="F1705" s="71"/>
      <c r="G1705" s="71"/>
      <c r="H1705" s="87"/>
      <c r="I1705" s="71"/>
      <c r="J1705" s="71"/>
      <c r="K1705" s="71"/>
      <c r="L1705" s="87"/>
      <c r="M1705" s="71"/>
      <c r="N1705" s="71"/>
      <c r="O1705" s="71"/>
      <c r="P1705" s="311"/>
      <c r="Q1705" s="312"/>
      <c r="R1705" s="312"/>
      <c r="S1705" s="569"/>
      <c r="T1705" s="569"/>
      <c r="U1705" s="569"/>
      <c r="V1705" s="341"/>
      <c r="W1705" s="311"/>
      <c r="X1705" s="71"/>
      <c r="Y1705" s="71"/>
      <c r="Z1705" s="71"/>
      <c r="AA1705" s="456"/>
      <c r="AB1705" s="104"/>
      <c r="AC1705" s="485"/>
      <c r="AD1705" s="486"/>
      <c r="AE1705" s="485"/>
      <c r="AF1705" s="634"/>
      <c r="AG1705" s="97"/>
      <c r="AH1705" s="223"/>
      <c r="AI1705" s="569"/>
      <c r="AJ1705" s="569"/>
      <c r="AK1705" s="569"/>
      <c r="AL1705" s="569"/>
      <c r="AM1705" s="569"/>
      <c r="AN1705" s="589"/>
      <c r="AO1705" s="84"/>
      <c r="AP1705" s="5"/>
    </row>
    <row r="1706" spans="1:42" ht="13.5" customHeight="1" x14ac:dyDescent="0.35">
      <c r="A1706" s="4"/>
      <c r="B1706" s="614"/>
      <c r="C1706" s="71"/>
      <c r="D1706" s="71"/>
      <c r="E1706" s="71"/>
      <c r="F1706" s="71"/>
      <c r="G1706" s="71"/>
      <c r="H1706" s="87"/>
      <c r="I1706" s="71"/>
      <c r="J1706" s="71"/>
      <c r="K1706" s="71"/>
      <c r="L1706" s="87"/>
      <c r="M1706" s="71"/>
      <c r="N1706" s="71"/>
      <c r="O1706" s="71"/>
      <c r="P1706" s="311"/>
      <c r="Q1706" s="312"/>
      <c r="R1706" s="312"/>
      <c r="S1706" s="569"/>
      <c r="T1706" s="569"/>
      <c r="U1706" s="569"/>
      <c r="V1706" s="341"/>
      <c r="W1706" s="311"/>
      <c r="X1706" s="71"/>
      <c r="Y1706" s="71"/>
      <c r="Z1706" s="71"/>
      <c r="AA1706" s="456"/>
      <c r="AB1706" s="104"/>
      <c r="AC1706" s="485"/>
      <c r="AD1706" s="486"/>
      <c r="AE1706" s="485"/>
      <c r="AF1706" s="634"/>
      <c r="AG1706" s="97"/>
      <c r="AH1706" s="223"/>
      <c r="AI1706" s="569"/>
      <c r="AJ1706" s="569"/>
      <c r="AK1706" s="569"/>
      <c r="AL1706" s="569"/>
      <c r="AM1706" s="569"/>
      <c r="AN1706" s="589"/>
      <c r="AO1706" s="84"/>
      <c r="AP1706" s="5"/>
    </row>
    <row r="1707" spans="1:42" ht="13.5" customHeight="1" x14ac:dyDescent="0.35">
      <c r="A1707" s="4"/>
      <c r="B1707" s="614"/>
      <c r="C1707" s="71"/>
      <c r="D1707" s="71"/>
      <c r="E1707" s="71"/>
      <c r="F1707" s="71"/>
      <c r="G1707" s="71"/>
      <c r="H1707" s="87"/>
      <c r="I1707" s="71"/>
      <c r="J1707" s="71"/>
      <c r="K1707" s="71"/>
      <c r="L1707" s="87"/>
      <c r="M1707" s="71"/>
      <c r="N1707" s="71"/>
      <c r="O1707" s="71"/>
      <c r="P1707" s="311"/>
      <c r="Q1707" s="312"/>
      <c r="R1707" s="312"/>
      <c r="S1707" s="569"/>
      <c r="T1707" s="569"/>
      <c r="U1707" s="569"/>
      <c r="V1707" s="341"/>
      <c r="W1707" s="311"/>
      <c r="X1707" s="71"/>
      <c r="Y1707" s="71"/>
      <c r="Z1707" s="71"/>
      <c r="AA1707" s="456"/>
      <c r="AB1707" s="104"/>
      <c r="AC1707" s="485"/>
      <c r="AD1707" s="486"/>
      <c r="AE1707" s="485"/>
      <c r="AF1707" s="634"/>
      <c r="AG1707" s="97"/>
      <c r="AH1707" s="223"/>
      <c r="AI1707" s="569"/>
      <c r="AJ1707" s="569"/>
      <c r="AK1707" s="569"/>
      <c r="AL1707" s="569"/>
      <c r="AM1707" s="569"/>
      <c r="AN1707" s="589"/>
      <c r="AO1707" s="84"/>
      <c r="AP1707" s="5"/>
    </row>
    <row r="1708" spans="1:42" ht="13.5" customHeight="1" x14ac:dyDescent="0.35">
      <c r="A1708" s="4"/>
      <c r="B1708" s="614"/>
      <c r="C1708" s="71"/>
      <c r="D1708" s="71"/>
      <c r="E1708" s="71"/>
      <c r="F1708" s="71"/>
      <c r="G1708" s="71"/>
      <c r="H1708" s="87"/>
      <c r="I1708" s="71"/>
      <c r="J1708" s="71"/>
      <c r="K1708" s="71"/>
      <c r="L1708" s="87"/>
      <c r="M1708" s="71"/>
      <c r="N1708" s="71"/>
      <c r="O1708" s="71"/>
      <c r="P1708" s="311"/>
      <c r="Q1708" s="312"/>
      <c r="R1708" s="312"/>
      <c r="S1708" s="569"/>
      <c r="T1708" s="569"/>
      <c r="U1708" s="569"/>
      <c r="V1708" s="341"/>
      <c r="W1708" s="311"/>
      <c r="X1708" s="71"/>
      <c r="Y1708" s="71"/>
      <c r="Z1708" s="71"/>
      <c r="AA1708" s="456"/>
      <c r="AB1708" s="104"/>
      <c r="AC1708" s="485"/>
      <c r="AD1708" s="486"/>
      <c r="AE1708" s="485"/>
      <c r="AF1708" s="634"/>
      <c r="AG1708" s="97"/>
      <c r="AH1708" s="223"/>
      <c r="AI1708" s="569"/>
      <c r="AJ1708" s="569"/>
      <c r="AK1708" s="569"/>
      <c r="AL1708" s="569"/>
      <c r="AM1708" s="569"/>
      <c r="AN1708" s="589"/>
      <c r="AO1708" s="84"/>
      <c r="AP1708" s="5"/>
    </row>
    <row r="1709" spans="1:42" ht="13.5" customHeight="1" x14ac:dyDescent="0.35">
      <c r="A1709" s="4"/>
      <c r="B1709" s="614"/>
      <c r="C1709" s="71"/>
      <c r="D1709" s="71"/>
      <c r="E1709" s="71"/>
      <c r="F1709" s="71"/>
      <c r="G1709" s="71"/>
      <c r="H1709" s="87"/>
      <c r="I1709" s="71"/>
      <c r="J1709" s="71"/>
      <c r="K1709" s="71"/>
      <c r="L1709" s="87"/>
      <c r="M1709" s="71"/>
      <c r="N1709" s="71"/>
      <c r="O1709" s="71"/>
      <c r="P1709" s="311"/>
      <c r="Q1709" s="312"/>
      <c r="R1709" s="312"/>
      <c r="S1709" s="569"/>
      <c r="T1709" s="569"/>
      <c r="U1709" s="569"/>
      <c r="V1709" s="341"/>
      <c r="W1709" s="311"/>
      <c r="X1709" s="71"/>
      <c r="Y1709" s="71"/>
      <c r="Z1709" s="71"/>
      <c r="AA1709" s="456"/>
      <c r="AB1709" s="104"/>
      <c r="AC1709" s="485"/>
      <c r="AD1709" s="486"/>
      <c r="AE1709" s="485"/>
      <c r="AF1709" s="634"/>
      <c r="AG1709" s="97"/>
      <c r="AH1709" s="223"/>
      <c r="AI1709" s="569"/>
      <c r="AJ1709" s="569"/>
      <c r="AK1709" s="569"/>
      <c r="AL1709" s="569"/>
      <c r="AM1709" s="569"/>
      <c r="AN1709" s="589"/>
      <c r="AO1709" s="84"/>
      <c r="AP1709" s="5"/>
    </row>
    <row r="1710" spans="1:42" ht="13.5" customHeight="1" x14ac:dyDescent="0.35">
      <c r="A1710" s="4"/>
      <c r="B1710" s="614"/>
      <c r="C1710" s="71"/>
      <c r="D1710" s="71"/>
      <c r="E1710" s="71"/>
      <c r="F1710" s="71"/>
      <c r="G1710" s="71"/>
      <c r="H1710" s="87"/>
      <c r="I1710" s="71"/>
      <c r="J1710" s="71"/>
      <c r="K1710" s="71"/>
      <c r="L1710" s="87"/>
      <c r="M1710" s="71"/>
      <c r="N1710" s="71"/>
      <c r="O1710" s="71"/>
      <c r="P1710" s="311"/>
      <c r="Q1710" s="312"/>
      <c r="R1710" s="312"/>
      <c r="S1710" s="569"/>
      <c r="T1710" s="569"/>
      <c r="U1710" s="569"/>
      <c r="V1710" s="341"/>
      <c r="W1710" s="311"/>
      <c r="X1710" s="71"/>
      <c r="Y1710" s="71"/>
      <c r="Z1710" s="71"/>
      <c r="AA1710" s="456"/>
      <c r="AB1710" s="104"/>
      <c r="AC1710" s="485"/>
      <c r="AD1710" s="486"/>
      <c r="AE1710" s="485"/>
      <c r="AF1710" s="634"/>
      <c r="AG1710" s="97"/>
      <c r="AH1710" s="223"/>
      <c r="AI1710" s="569"/>
      <c r="AJ1710" s="569"/>
      <c r="AK1710" s="569"/>
      <c r="AL1710" s="569"/>
      <c r="AM1710" s="569"/>
      <c r="AN1710" s="589"/>
      <c r="AO1710" s="84"/>
      <c r="AP1710" s="5"/>
    </row>
    <row r="1711" spans="1:42" ht="13.5" customHeight="1" x14ac:dyDescent="0.35">
      <c r="A1711" s="4"/>
      <c r="B1711" s="614"/>
      <c r="C1711" s="71"/>
      <c r="D1711" s="71"/>
      <c r="E1711" s="71"/>
      <c r="F1711" s="71"/>
      <c r="G1711" s="71"/>
      <c r="H1711" s="87"/>
      <c r="I1711" s="71"/>
      <c r="J1711" s="71"/>
      <c r="K1711" s="71"/>
      <c r="L1711" s="87"/>
      <c r="M1711" s="71"/>
      <c r="N1711" s="71"/>
      <c r="O1711" s="71"/>
      <c r="P1711" s="311"/>
      <c r="Q1711" s="312"/>
      <c r="R1711" s="312"/>
      <c r="S1711" s="569"/>
      <c r="T1711" s="569"/>
      <c r="U1711" s="569"/>
      <c r="V1711" s="341"/>
      <c r="W1711" s="311"/>
      <c r="X1711" s="71"/>
      <c r="Y1711" s="71"/>
      <c r="Z1711" s="71"/>
      <c r="AA1711" s="456"/>
      <c r="AB1711" s="104"/>
      <c r="AC1711" s="485"/>
      <c r="AD1711" s="486"/>
      <c r="AE1711" s="485"/>
      <c r="AF1711" s="634"/>
      <c r="AG1711" s="97"/>
      <c r="AH1711" s="223"/>
      <c r="AI1711" s="569"/>
      <c r="AJ1711" s="569"/>
      <c r="AK1711" s="569"/>
      <c r="AL1711" s="569"/>
      <c r="AM1711" s="569"/>
      <c r="AN1711" s="589"/>
      <c r="AO1711" s="84"/>
      <c r="AP1711" s="5"/>
    </row>
    <row r="1712" spans="1:42" ht="13.5" customHeight="1" x14ac:dyDescent="0.35">
      <c r="A1712" s="4"/>
      <c r="B1712" s="614"/>
      <c r="C1712" s="71"/>
      <c r="D1712" s="71"/>
      <c r="E1712" s="71"/>
      <c r="F1712" s="71"/>
      <c r="G1712" s="71"/>
      <c r="H1712" s="87"/>
      <c r="I1712" s="71"/>
      <c r="J1712" s="71"/>
      <c r="K1712" s="71"/>
      <c r="L1712" s="87"/>
      <c r="M1712" s="71"/>
      <c r="N1712" s="71"/>
      <c r="O1712" s="71"/>
      <c r="P1712" s="311"/>
      <c r="Q1712" s="312"/>
      <c r="R1712" s="312"/>
      <c r="S1712" s="569"/>
      <c r="T1712" s="569"/>
      <c r="U1712" s="569"/>
      <c r="V1712" s="341"/>
      <c r="W1712" s="311"/>
      <c r="X1712" s="71"/>
      <c r="Y1712" s="71"/>
      <c r="Z1712" s="71"/>
      <c r="AA1712" s="456"/>
      <c r="AB1712" s="104"/>
      <c r="AC1712" s="485"/>
      <c r="AD1712" s="486"/>
      <c r="AE1712" s="485"/>
      <c r="AF1712" s="634"/>
      <c r="AG1712" s="97"/>
      <c r="AH1712" s="223"/>
      <c r="AI1712" s="569"/>
      <c r="AJ1712" s="569"/>
      <c r="AK1712" s="569"/>
      <c r="AL1712" s="569"/>
      <c r="AM1712" s="569"/>
      <c r="AN1712" s="589"/>
      <c r="AO1712" s="84"/>
      <c r="AP1712" s="5"/>
    </row>
    <row r="1713" spans="1:42" ht="13.5" customHeight="1" x14ac:dyDescent="0.35">
      <c r="A1713" s="4"/>
      <c r="B1713" s="614"/>
      <c r="C1713" s="71"/>
      <c r="D1713" s="71"/>
      <c r="E1713" s="71"/>
      <c r="F1713" s="71"/>
      <c r="G1713" s="71"/>
      <c r="H1713" s="87"/>
      <c r="I1713" s="71"/>
      <c r="J1713" s="71"/>
      <c r="K1713" s="71"/>
      <c r="L1713" s="87"/>
      <c r="M1713" s="71"/>
      <c r="N1713" s="71"/>
      <c r="O1713" s="71"/>
      <c r="P1713" s="311"/>
      <c r="Q1713" s="312"/>
      <c r="R1713" s="312"/>
      <c r="S1713" s="569"/>
      <c r="T1713" s="569"/>
      <c r="U1713" s="569"/>
      <c r="V1713" s="341"/>
      <c r="W1713" s="311"/>
      <c r="X1713" s="71"/>
      <c r="Y1713" s="71"/>
      <c r="Z1713" s="71"/>
      <c r="AA1713" s="456"/>
      <c r="AB1713" s="104"/>
      <c r="AC1713" s="485"/>
      <c r="AD1713" s="486"/>
      <c r="AE1713" s="485"/>
      <c r="AF1713" s="634"/>
      <c r="AG1713" s="97"/>
      <c r="AH1713" s="223"/>
      <c r="AI1713" s="569"/>
      <c r="AJ1713" s="569"/>
      <c r="AK1713" s="569"/>
      <c r="AL1713" s="569"/>
      <c r="AM1713" s="569"/>
      <c r="AN1713" s="589"/>
      <c r="AO1713" s="84"/>
      <c r="AP1713" s="5"/>
    </row>
    <row r="1714" spans="1:42" ht="13.5" customHeight="1" x14ac:dyDescent="0.35">
      <c r="A1714" s="4"/>
      <c r="B1714" s="614"/>
      <c r="C1714" s="71"/>
      <c r="D1714" s="71"/>
      <c r="E1714" s="71"/>
      <c r="F1714" s="71"/>
      <c r="G1714" s="71"/>
      <c r="H1714" s="87"/>
      <c r="I1714" s="71"/>
      <c r="J1714" s="71"/>
      <c r="K1714" s="71"/>
      <c r="L1714" s="87"/>
      <c r="M1714" s="71"/>
      <c r="N1714" s="71"/>
      <c r="O1714" s="71"/>
      <c r="P1714" s="311"/>
      <c r="Q1714" s="312"/>
      <c r="R1714" s="312"/>
      <c r="S1714" s="569"/>
      <c r="T1714" s="569"/>
      <c r="U1714" s="569"/>
      <c r="V1714" s="341"/>
      <c r="W1714" s="311"/>
      <c r="X1714" s="71"/>
      <c r="Y1714" s="71"/>
      <c r="Z1714" s="71"/>
      <c r="AA1714" s="456"/>
      <c r="AB1714" s="104"/>
      <c r="AC1714" s="485"/>
      <c r="AD1714" s="486"/>
      <c r="AE1714" s="485"/>
      <c r="AF1714" s="634"/>
      <c r="AG1714" s="97"/>
      <c r="AH1714" s="223"/>
      <c r="AI1714" s="569"/>
      <c r="AJ1714" s="569"/>
      <c r="AK1714" s="569"/>
      <c r="AL1714" s="569"/>
      <c r="AM1714" s="569"/>
      <c r="AN1714" s="589"/>
      <c r="AO1714" s="84"/>
      <c r="AP1714" s="5"/>
    </row>
    <row r="1715" spans="1:42" ht="13.5" customHeight="1" x14ac:dyDescent="0.35">
      <c r="A1715" s="4"/>
      <c r="B1715" s="614"/>
      <c r="C1715" s="71"/>
      <c r="D1715" s="71"/>
      <c r="E1715" s="71"/>
      <c r="F1715" s="71"/>
      <c r="G1715" s="71"/>
      <c r="H1715" s="87"/>
      <c r="I1715" s="71"/>
      <c r="J1715" s="71"/>
      <c r="K1715" s="71"/>
      <c r="L1715" s="87"/>
      <c r="M1715" s="71"/>
      <c r="N1715" s="71"/>
      <c r="O1715" s="71"/>
      <c r="P1715" s="311"/>
      <c r="Q1715" s="312"/>
      <c r="R1715" s="312"/>
      <c r="S1715" s="569"/>
      <c r="T1715" s="569"/>
      <c r="U1715" s="569"/>
      <c r="V1715" s="341"/>
      <c r="W1715" s="311"/>
      <c r="X1715" s="71"/>
      <c r="Y1715" s="71"/>
      <c r="Z1715" s="71"/>
      <c r="AA1715" s="456"/>
      <c r="AB1715" s="104"/>
      <c r="AC1715" s="485"/>
      <c r="AD1715" s="486"/>
      <c r="AE1715" s="485"/>
      <c r="AF1715" s="634"/>
      <c r="AG1715" s="97"/>
      <c r="AH1715" s="223"/>
      <c r="AI1715" s="569"/>
      <c r="AJ1715" s="569"/>
      <c r="AK1715" s="569"/>
      <c r="AL1715" s="569"/>
      <c r="AM1715" s="569"/>
      <c r="AN1715" s="589"/>
      <c r="AO1715" s="84"/>
      <c r="AP1715" s="5"/>
    </row>
    <row r="1716" spans="1:42" ht="13.5" customHeight="1" x14ac:dyDescent="0.35">
      <c r="A1716" s="4"/>
      <c r="B1716" s="614"/>
      <c r="C1716" s="71"/>
      <c r="D1716" s="71"/>
      <c r="E1716" s="71"/>
      <c r="F1716" s="71"/>
      <c r="G1716" s="71"/>
      <c r="H1716" s="87"/>
      <c r="I1716" s="71"/>
      <c r="J1716" s="71"/>
      <c r="K1716" s="71"/>
      <c r="L1716" s="87"/>
      <c r="M1716" s="71"/>
      <c r="N1716" s="71"/>
      <c r="O1716" s="71"/>
      <c r="P1716" s="311"/>
      <c r="Q1716" s="312"/>
      <c r="R1716" s="312"/>
      <c r="S1716" s="569"/>
      <c r="T1716" s="569"/>
      <c r="U1716" s="569"/>
      <c r="V1716" s="341"/>
      <c r="W1716" s="311"/>
      <c r="X1716" s="71"/>
      <c r="Y1716" s="71"/>
      <c r="Z1716" s="71"/>
      <c r="AA1716" s="456"/>
      <c r="AB1716" s="104"/>
      <c r="AC1716" s="485"/>
      <c r="AD1716" s="486"/>
      <c r="AE1716" s="485"/>
      <c r="AF1716" s="634"/>
      <c r="AG1716" s="97"/>
      <c r="AH1716" s="223"/>
      <c r="AI1716" s="569"/>
      <c r="AJ1716" s="569"/>
      <c r="AK1716" s="569"/>
      <c r="AL1716" s="569"/>
      <c r="AM1716" s="569"/>
      <c r="AN1716" s="589"/>
      <c r="AO1716" s="84"/>
      <c r="AP1716" s="5"/>
    </row>
    <row r="1717" spans="1:42" ht="13.5" customHeight="1" x14ac:dyDescent="0.35">
      <c r="A1717" s="4"/>
      <c r="B1717" s="614"/>
      <c r="C1717" s="71"/>
      <c r="D1717" s="71"/>
      <c r="E1717" s="71"/>
      <c r="F1717" s="71"/>
      <c r="G1717" s="71"/>
      <c r="H1717" s="87"/>
      <c r="I1717" s="71"/>
      <c r="J1717" s="71"/>
      <c r="K1717" s="71"/>
      <c r="L1717" s="87"/>
      <c r="M1717" s="71"/>
      <c r="N1717" s="71"/>
      <c r="O1717" s="71"/>
      <c r="P1717" s="311"/>
      <c r="Q1717" s="312"/>
      <c r="R1717" s="312"/>
      <c r="S1717" s="569"/>
      <c r="T1717" s="569"/>
      <c r="U1717" s="569"/>
      <c r="V1717" s="341"/>
      <c r="W1717" s="311"/>
      <c r="X1717" s="71"/>
      <c r="Y1717" s="71"/>
      <c r="Z1717" s="71"/>
      <c r="AA1717" s="456"/>
      <c r="AB1717" s="104"/>
      <c r="AC1717" s="485"/>
      <c r="AD1717" s="486"/>
      <c r="AE1717" s="485"/>
      <c r="AF1717" s="634"/>
      <c r="AG1717" s="97"/>
      <c r="AH1717" s="223"/>
      <c r="AI1717" s="569"/>
      <c r="AJ1717" s="569"/>
      <c r="AK1717" s="569"/>
      <c r="AL1717" s="569"/>
      <c r="AM1717" s="569"/>
      <c r="AN1717" s="589"/>
      <c r="AO1717" s="84"/>
      <c r="AP1717" s="5"/>
    </row>
    <row r="1718" spans="1:42" ht="13.5" customHeight="1" x14ac:dyDescent="0.35">
      <c r="A1718" s="4"/>
      <c r="B1718" s="614"/>
      <c r="C1718" s="71"/>
      <c r="D1718" s="71"/>
      <c r="E1718" s="71"/>
      <c r="F1718" s="71"/>
      <c r="G1718" s="71"/>
      <c r="H1718" s="87"/>
      <c r="I1718" s="71"/>
      <c r="J1718" s="71"/>
      <c r="K1718" s="71"/>
      <c r="L1718" s="87"/>
      <c r="M1718" s="71"/>
      <c r="N1718" s="71"/>
      <c r="O1718" s="71"/>
      <c r="P1718" s="311"/>
      <c r="Q1718" s="312"/>
      <c r="R1718" s="312"/>
      <c r="S1718" s="569"/>
      <c r="T1718" s="569"/>
      <c r="U1718" s="569"/>
      <c r="V1718" s="341"/>
      <c r="W1718" s="311"/>
      <c r="X1718" s="71"/>
      <c r="Y1718" s="71"/>
      <c r="Z1718" s="71"/>
      <c r="AA1718" s="456"/>
      <c r="AB1718" s="104"/>
      <c r="AC1718" s="485"/>
      <c r="AD1718" s="486"/>
      <c r="AE1718" s="485"/>
      <c r="AF1718" s="634"/>
      <c r="AG1718" s="97"/>
      <c r="AH1718" s="223"/>
      <c r="AI1718" s="569"/>
      <c r="AJ1718" s="569"/>
      <c r="AK1718" s="569"/>
      <c r="AL1718" s="569"/>
      <c r="AM1718" s="569"/>
      <c r="AN1718" s="589"/>
      <c r="AO1718" s="84"/>
      <c r="AP1718" s="5"/>
    </row>
    <row r="1719" spans="1:42" ht="13.5" customHeight="1" x14ac:dyDescent="0.35">
      <c r="A1719" s="4"/>
      <c r="B1719" s="614"/>
      <c r="C1719" s="71"/>
      <c r="D1719" s="71"/>
      <c r="E1719" s="71"/>
      <c r="F1719" s="71"/>
      <c r="G1719" s="71"/>
      <c r="H1719" s="87"/>
      <c r="I1719" s="71"/>
      <c r="J1719" s="71"/>
      <c r="K1719" s="71"/>
      <c r="L1719" s="87"/>
      <c r="M1719" s="71"/>
      <c r="N1719" s="71"/>
      <c r="O1719" s="71"/>
      <c r="P1719" s="311"/>
      <c r="Q1719" s="312"/>
      <c r="R1719" s="312"/>
      <c r="S1719" s="569"/>
      <c r="T1719" s="569"/>
      <c r="U1719" s="569"/>
      <c r="V1719" s="341"/>
      <c r="W1719" s="311"/>
      <c r="X1719" s="71"/>
      <c r="Y1719" s="71"/>
      <c r="Z1719" s="71"/>
      <c r="AA1719" s="456"/>
      <c r="AB1719" s="104"/>
      <c r="AC1719" s="485"/>
      <c r="AD1719" s="486"/>
      <c r="AE1719" s="485"/>
      <c r="AF1719" s="634"/>
      <c r="AG1719" s="97"/>
      <c r="AH1719" s="223"/>
      <c r="AI1719" s="569"/>
      <c r="AJ1719" s="569"/>
      <c r="AK1719" s="569"/>
      <c r="AL1719" s="569"/>
      <c r="AM1719" s="569"/>
      <c r="AN1719" s="589"/>
      <c r="AO1719" s="84"/>
      <c r="AP1719" s="5"/>
    </row>
    <row r="1720" spans="1:42" ht="13.5" customHeight="1" x14ac:dyDescent="0.35">
      <c r="A1720" s="4"/>
      <c r="B1720" s="614"/>
      <c r="C1720" s="71"/>
      <c r="D1720" s="71"/>
      <c r="E1720" s="71"/>
      <c r="F1720" s="71"/>
      <c r="G1720" s="71"/>
      <c r="H1720" s="87"/>
      <c r="I1720" s="71"/>
      <c r="J1720" s="71"/>
      <c r="K1720" s="71"/>
      <c r="L1720" s="87"/>
      <c r="M1720" s="71"/>
      <c r="N1720" s="71"/>
      <c r="O1720" s="71"/>
      <c r="P1720" s="311"/>
      <c r="Q1720" s="312"/>
      <c r="R1720" s="312"/>
      <c r="S1720" s="569"/>
      <c r="T1720" s="569"/>
      <c r="U1720" s="569"/>
      <c r="V1720" s="341"/>
      <c r="W1720" s="311"/>
      <c r="X1720" s="71"/>
      <c r="Y1720" s="71"/>
      <c r="Z1720" s="71"/>
      <c r="AA1720" s="456"/>
      <c r="AB1720" s="104"/>
      <c r="AC1720" s="485"/>
      <c r="AD1720" s="486"/>
      <c r="AE1720" s="485"/>
      <c r="AF1720" s="634"/>
      <c r="AG1720" s="97"/>
      <c r="AH1720" s="223"/>
      <c r="AI1720" s="569"/>
      <c r="AJ1720" s="569"/>
      <c r="AK1720" s="569"/>
      <c r="AL1720" s="569"/>
      <c r="AM1720" s="569"/>
      <c r="AN1720" s="589"/>
      <c r="AO1720" s="84"/>
      <c r="AP1720" s="5"/>
    </row>
    <row r="1721" spans="1:42" ht="13.5" customHeight="1" x14ac:dyDescent="0.35">
      <c r="A1721" s="4"/>
      <c r="B1721" s="614"/>
      <c r="C1721" s="71"/>
      <c r="D1721" s="71"/>
      <c r="E1721" s="71"/>
      <c r="F1721" s="71"/>
      <c r="G1721" s="71"/>
      <c r="H1721" s="87"/>
      <c r="I1721" s="71"/>
      <c r="J1721" s="71"/>
      <c r="K1721" s="71"/>
      <c r="L1721" s="87"/>
      <c r="M1721" s="71"/>
      <c r="N1721" s="71"/>
      <c r="O1721" s="71"/>
      <c r="P1721" s="311"/>
      <c r="Q1721" s="312"/>
      <c r="R1721" s="312"/>
      <c r="S1721" s="569"/>
      <c r="T1721" s="569"/>
      <c r="U1721" s="569"/>
      <c r="V1721" s="341"/>
      <c r="W1721" s="311"/>
      <c r="X1721" s="71"/>
      <c r="Y1721" s="71"/>
      <c r="Z1721" s="71"/>
      <c r="AA1721" s="456"/>
      <c r="AB1721" s="104"/>
      <c r="AC1721" s="485"/>
      <c r="AD1721" s="486"/>
      <c r="AE1721" s="485"/>
      <c r="AF1721" s="634"/>
      <c r="AG1721" s="97"/>
      <c r="AH1721" s="223"/>
      <c r="AI1721" s="569"/>
      <c r="AJ1721" s="569"/>
      <c r="AK1721" s="569"/>
      <c r="AL1721" s="569"/>
      <c r="AM1721" s="569"/>
      <c r="AN1721" s="589"/>
      <c r="AO1721" s="84"/>
      <c r="AP1721" s="5"/>
    </row>
    <row r="1722" spans="1:42" ht="13.5" customHeight="1" x14ac:dyDescent="0.35">
      <c r="A1722" s="4"/>
      <c r="B1722" s="614"/>
      <c r="C1722" s="71"/>
      <c r="D1722" s="71"/>
      <c r="E1722" s="71"/>
      <c r="F1722" s="71"/>
      <c r="G1722" s="71"/>
      <c r="H1722" s="87"/>
      <c r="I1722" s="71"/>
      <c r="J1722" s="71"/>
      <c r="K1722" s="71"/>
      <c r="L1722" s="87"/>
      <c r="M1722" s="71"/>
      <c r="N1722" s="71"/>
      <c r="O1722" s="71"/>
      <c r="P1722" s="311"/>
      <c r="Q1722" s="312"/>
      <c r="R1722" s="312"/>
      <c r="S1722" s="569"/>
      <c r="T1722" s="569"/>
      <c r="U1722" s="569"/>
      <c r="V1722" s="341"/>
      <c r="W1722" s="311"/>
      <c r="X1722" s="71"/>
      <c r="Y1722" s="71"/>
      <c r="Z1722" s="71"/>
      <c r="AA1722" s="456"/>
      <c r="AB1722" s="104"/>
      <c r="AC1722" s="485"/>
      <c r="AD1722" s="486"/>
      <c r="AE1722" s="485"/>
      <c r="AF1722" s="634"/>
      <c r="AG1722" s="97"/>
      <c r="AH1722" s="223"/>
      <c r="AI1722" s="569"/>
      <c r="AJ1722" s="569"/>
      <c r="AK1722" s="569"/>
      <c r="AL1722" s="569"/>
      <c r="AM1722" s="569"/>
      <c r="AN1722" s="589"/>
      <c r="AO1722" s="84"/>
      <c r="AP1722" s="5"/>
    </row>
    <row r="1723" spans="1:42" ht="13.5" customHeight="1" x14ac:dyDescent="0.35">
      <c r="A1723" s="4"/>
      <c r="B1723" s="614"/>
      <c r="C1723" s="71"/>
      <c r="D1723" s="71"/>
      <c r="E1723" s="71"/>
      <c r="F1723" s="71"/>
      <c r="G1723" s="71"/>
      <c r="H1723" s="87"/>
      <c r="I1723" s="71"/>
      <c r="J1723" s="71"/>
      <c r="K1723" s="71"/>
      <c r="L1723" s="87"/>
      <c r="M1723" s="71"/>
      <c r="N1723" s="71"/>
      <c r="O1723" s="71"/>
      <c r="P1723" s="311"/>
      <c r="Q1723" s="312"/>
      <c r="R1723" s="312"/>
      <c r="S1723" s="569"/>
      <c r="T1723" s="569"/>
      <c r="U1723" s="569"/>
      <c r="V1723" s="341"/>
      <c r="W1723" s="311"/>
      <c r="X1723" s="71"/>
      <c r="Y1723" s="71"/>
      <c r="Z1723" s="71"/>
      <c r="AA1723" s="456"/>
      <c r="AB1723" s="104"/>
      <c r="AC1723" s="485"/>
      <c r="AD1723" s="486"/>
      <c r="AE1723" s="485"/>
      <c r="AF1723" s="634"/>
      <c r="AG1723" s="97"/>
      <c r="AH1723" s="223"/>
      <c r="AI1723" s="569"/>
      <c r="AJ1723" s="569"/>
      <c r="AK1723" s="569"/>
      <c r="AL1723" s="569"/>
      <c r="AM1723" s="569"/>
      <c r="AN1723" s="589"/>
      <c r="AO1723" s="84"/>
      <c r="AP1723" s="5"/>
    </row>
    <row r="1724" spans="1:42" ht="13.5" customHeight="1" x14ac:dyDescent="0.35">
      <c r="A1724" s="4"/>
      <c r="B1724" s="614"/>
      <c r="C1724" s="71"/>
      <c r="D1724" s="71"/>
      <c r="E1724" s="71"/>
      <c r="F1724" s="71"/>
      <c r="G1724" s="71"/>
      <c r="H1724" s="87"/>
      <c r="I1724" s="71"/>
      <c r="J1724" s="71"/>
      <c r="K1724" s="71"/>
      <c r="L1724" s="87"/>
      <c r="M1724" s="71"/>
      <c r="N1724" s="71"/>
      <c r="O1724" s="71"/>
      <c r="P1724" s="311"/>
      <c r="Q1724" s="312"/>
      <c r="R1724" s="312"/>
      <c r="S1724" s="569"/>
      <c r="T1724" s="569"/>
      <c r="U1724" s="569"/>
      <c r="V1724" s="341"/>
      <c r="W1724" s="311"/>
      <c r="X1724" s="71"/>
      <c r="Y1724" s="71"/>
      <c r="Z1724" s="71"/>
      <c r="AA1724" s="456"/>
      <c r="AB1724" s="104"/>
      <c r="AC1724" s="485"/>
      <c r="AD1724" s="486"/>
      <c r="AE1724" s="485"/>
      <c r="AF1724" s="634"/>
      <c r="AG1724" s="97"/>
      <c r="AH1724" s="223"/>
      <c r="AI1724" s="569"/>
      <c r="AJ1724" s="569"/>
      <c r="AK1724" s="569"/>
      <c r="AL1724" s="569"/>
      <c r="AM1724" s="569"/>
      <c r="AN1724" s="589"/>
      <c r="AO1724" s="84"/>
      <c r="AP1724" s="5"/>
    </row>
    <row r="1725" spans="1:42" ht="13.5" customHeight="1" x14ac:dyDescent="0.35">
      <c r="A1725" s="4"/>
      <c r="B1725" s="614"/>
      <c r="C1725" s="71"/>
      <c r="D1725" s="71"/>
      <c r="E1725" s="71"/>
      <c r="F1725" s="71"/>
      <c r="G1725" s="71"/>
      <c r="H1725" s="87"/>
      <c r="I1725" s="71"/>
      <c r="J1725" s="71"/>
      <c r="K1725" s="71"/>
      <c r="L1725" s="87"/>
      <c r="M1725" s="71"/>
      <c r="N1725" s="71"/>
      <c r="O1725" s="71"/>
      <c r="P1725" s="311"/>
      <c r="Q1725" s="312"/>
      <c r="R1725" s="312"/>
      <c r="S1725" s="569"/>
      <c r="T1725" s="569"/>
      <c r="U1725" s="569"/>
      <c r="V1725" s="341"/>
      <c r="W1725" s="311"/>
      <c r="X1725" s="71"/>
      <c r="Y1725" s="71"/>
      <c r="Z1725" s="71"/>
      <c r="AA1725" s="456"/>
      <c r="AB1725" s="104"/>
      <c r="AC1725" s="485"/>
      <c r="AD1725" s="486"/>
      <c r="AE1725" s="485"/>
      <c r="AF1725" s="634"/>
      <c r="AG1725" s="97"/>
      <c r="AH1725" s="223"/>
      <c r="AI1725" s="569"/>
      <c r="AJ1725" s="569"/>
      <c r="AK1725" s="569"/>
      <c r="AL1725" s="569"/>
      <c r="AM1725" s="569"/>
      <c r="AN1725" s="589"/>
      <c r="AO1725" s="84"/>
      <c r="AP1725" s="5"/>
    </row>
    <row r="1726" spans="1:42" ht="13.5" customHeight="1" x14ac:dyDescent="0.35">
      <c r="A1726" s="4"/>
      <c r="B1726" s="614"/>
      <c r="C1726" s="71"/>
      <c r="D1726" s="71"/>
      <c r="E1726" s="71"/>
      <c r="F1726" s="71"/>
      <c r="G1726" s="71"/>
      <c r="H1726" s="87"/>
      <c r="I1726" s="71"/>
      <c r="J1726" s="71"/>
      <c r="K1726" s="71"/>
      <c r="L1726" s="87"/>
      <c r="M1726" s="71"/>
      <c r="N1726" s="71"/>
      <c r="O1726" s="71"/>
      <c r="P1726" s="311"/>
      <c r="Q1726" s="312"/>
      <c r="R1726" s="312"/>
      <c r="S1726" s="569"/>
      <c r="T1726" s="569"/>
      <c r="U1726" s="569"/>
      <c r="V1726" s="341"/>
      <c r="W1726" s="311"/>
      <c r="X1726" s="71"/>
      <c r="Y1726" s="71"/>
      <c r="Z1726" s="71"/>
      <c r="AA1726" s="456"/>
      <c r="AB1726" s="104"/>
      <c r="AC1726" s="485"/>
      <c r="AD1726" s="486"/>
      <c r="AE1726" s="485"/>
      <c r="AF1726" s="634"/>
      <c r="AG1726" s="97"/>
      <c r="AH1726" s="223"/>
      <c r="AI1726" s="569"/>
      <c r="AJ1726" s="569"/>
      <c r="AK1726" s="569"/>
      <c r="AL1726" s="569"/>
      <c r="AM1726" s="569"/>
      <c r="AN1726" s="589"/>
      <c r="AO1726" s="84"/>
      <c r="AP1726" s="5"/>
    </row>
    <row r="1727" spans="1:42" ht="13.5" customHeight="1" x14ac:dyDescent="0.35">
      <c r="A1727" s="4"/>
      <c r="B1727" s="614"/>
      <c r="C1727" s="71"/>
      <c r="D1727" s="71"/>
      <c r="E1727" s="71"/>
      <c r="F1727" s="71"/>
      <c r="G1727" s="71"/>
      <c r="H1727" s="87"/>
      <c r="I1727" s="71"/>
      <c r="J1727" s="71"/>
      <c r="K1727" s="71"/>
      <c r="L1727" s="87"/>
      <c r="M1727" s="71"/>
      <c r="N1727" s="71"/>
      <c r="O1727" s="71"/>
      <c r="P1727" s="311"/>
      <c r="Q1727" s="312"/>
      <c r="R1727" s="312"/>
      <c r="S1727" s="569"/>
      <c r="T1727" s="569"/>
      <c r="U1727" s="569"/>
      <c r="V1727" s="341"/>
      <c r="W1727" s="311"/>
      <c r="X1727" s="71"/>
      <c r="Y1727" s="71"/>
      <c r="Z1727" s="71"/>
      <c r="AA1727" s="456"/>
      <c r="AB1727" s="104"/>
      <c r="AC1727" s="485"/>
      <c r="AD1727" s="486"/>
      <c r="AE1727" s="485"/>
      <c r="AF1727" s="634"/>
      <c r="AG1727" s="97"/>
      <c r="AH1727" s="223"/>
      <c r="AI1727" s="569"/>
      <c r="AJ1727" s="569"/>
      <c r="AK1727" s="569"/>
      <c r="AL1727" s="569"/>
      <c r="AM1727" s="569"/>
      <c r="AN1727" s="589"/>
      <c r="AO1727" s="84"/>
      <c r="AP1727" s="5"/>
    </row>
    <row r="1728" spans="1:42" ht="13.5" customHeight="1" x14ac:dyDescent="0.35">
      <c r="A1728" s="4"/>
      <c r="B1728" s="614"/>
      <c r="C1728" s="71"/>
      <c r="D1728" s="71"/>
      <c r="E1728" s="71"/>
      <c r="F1728" s="71"/>
      <c r="G1728" s="71"/>
      <c r="H1728" s="87"/>
      <c r="I1728" s="71"/>
      <c r="J1728" s="71"/>
      <c r="K1728" s="71"/>
      <c r="L1728" s="87"/>
      <c r="M1728" s="71"/>
      <c r="N1728" s="71"/>
      <c r="O1728" s="71"/>
      <c r="P1728" s="311"/>
      <c r="Q1728" s="312"/>
      <c r="R1728" s="312"/>
      <c r="S1728" s="569"/>
      <c r="T1728" s="569"/>
      <c r="U1728" s="569"/>
      <c r="V1728" s="341"/>
      <c r="W1728" s="311"/>
      <c r="X1728" s="71"/>
      <c r="Y1728" s="71"/>
      <c r="Z1728" s="71"/>
      <c r="AA1728" s="456"/>
      <c r="AB1728" s="104"/>
      <c r="AC1728" s="485"/>
      <c r="AD1728" s="486"/>
      <c r="AE1728" s="485"/>
      <c r="AF1728" s="634"/>
      <c r="AG1728" s="97"/>
      <c r="AH1728" s="223"/>
      <c r="AI1728" s="569"/>
      <c r="AJ1728" s="569"/>
      <c r="AK1728" s="569"/>
      <c r="AL1728" s="569"/>
      <c r="AM1728" s="569"/>
      <c r="AN1728" s="589"/>
      <c r="AO1728" s="84"/>
      <c r="AP1728" s="5"/>
    </row>
    <row r="1729" spans="1:42" ht="13.5" customHeight="1" x14ac:dyDescent="0.35">
      <c r="A1729" s="4"/>
      <c r="B1729" s="614"/>
      <c r="C1729" s="71"/>
      <c r="D1729" s="71"/>
      <c r="E1729" s="71"/>
      <c r="F1729" s="71"/>
      <c r="G1729" s="71"/>
      <c r="H1729" s="87"/>
      <c r="I1729" s="71"/>
      <c r="J1729" s="71"/>
      <c r="K1729" s="71"/>
      <c r="L1729" s="87"/>
      <c r="M1729" s="71"/>
      <c r="N1729" s="71"/>
      <c r="O1729" s="71"/>
      <c r="P1729" s="311"/>
      <c r="Q1729" s="312"/>
      <c r="R1729" s="312"/>
      <c r="S1729" s="569"/>
      <c r="T1729" s="569"/>
      <c r="U1729" s="569"/>
      <c r="V1729" s="341"/>
      <c r="W1729" s="311"/>
      <c r="X1729" s="71"/>
      <c r="Y1729" s="71"/>
      <c r="Z1729" s="71"/>
      <c r="AA1729" s="456"/>
      <c r="AB1729" s="104"/>
      <c r="AC1729" s="485"/>
      <c r="AD1729" s="486"/>
      <c r="AE1729" s="485"/>
      <c r="AF1729" s="634"/>
      <c r="AG1729" s="97"/>
      <c r="AH1729" s="223"/>
      <c r="AI1729" s="569"/>
      <c r="AJ1729" s="569"/>
      <c r="AK1729" s="569"/>
      <c r="AL1729" s="569"/>
      <c r="AM1729" s="569"/>
      <c r="AN1729" s="589"/>
      <c r="AO1729" s="84"/>
      <c r="AP1729" s="5"/>
    </row>
    <row r="1730" spans="1:42" ht="13.5" customHeight="1" x14ac:dyDescent="0.35">
      <c r="A1730" s="4"/>
      <c r="B1730" s="614"/>
      <c r="C1730" s="71"/>
      <c r="D1730" s="71"/>
      <c r="E1730" s="71"/>
      <c r="F1730" s="71"/>
      <c r="G1730" s="71"/>
      <c r="H1730" s="87"/>
      <c r="I1730" s="71"/>
      <c r="J1730" s="71"/>
      <c r="K1730" s="71"/>
      <c r="L1730" s="87"/>
      <c r="M1730" s="71"/>
      <c r="N1730" s="71"/>
      <c r="O1730" s="71"/>
      <c r="P1730" s="311"/>
      <c r="Q1730" s="312"/>
      <c r="R1730" s="312"/>
      <c r="S1730" s="569"/>
      <c r="T1730" s="569"/>
      <c r="U1730" s="569"/>
      <c r="V1730" s="341"/>
      <c r="W1730" s="311"/>
      <c r="X1730" s="71"/>
      <c r="Y1730" s="71"/>
      <c r="Z1730" s="71"/>
      <c r="AA1730" s="456"/>
      <c r="AB1730" s="104"/>
      <c r="AC1730" s="485"/>
      <c r="AD1730" s="486"/>
      <c r="AE1730" s="485"/>
      <c r="AF1730" s="634"/>
      <c r="AG1730" s="97"/>
      <c r="AH1730" s="223"/>
      <c r="AI1730" s="569"/>
      <c r="AJ1730" s="569"/>
      <c r="AK1730" s="569"/>
      <c r="AL1730" s="569"/>
      <c r="AM1730" s="569"/>
      <c r="AN1730" s="589"/>
      <c r="AO1730" s="84"/>
      <c r="AP1730" s="5"/>
    </row>
    <row r="1731" spans="1:42" ht="13.5" customHeight="1" x14ac:dyDescent="0.35">
      <c r="A1731" s="4"/>
      <c r="B1731" s="614"/>
      <c r="C1731" s="71"/>
      <c r="D1731" s="71"/>
      <c r="E1731" s="71"/>
      <c r="F1731" s="71"/>
      <c r="G1731" s="71"/>
      <c r="H1731" s="87"/>
      <c r="I1731" s="71"/>
      <c r="J1731" s="71"/>
      <c r="K1731" s="71"/>
      <c r="L1731" s="87"/>
      <c r="M1731" s="71"/>
      <c r="N1731" s="71"/>
      <c r="O1731" s="71"/>
      <c r="P1731" s="311"/>
      <c r="Q1731" s="312"/>
      <c r="R1731" s="312"/>
      <c r="S1731" s="569"/>
      <c r="T1731" s="569"/>
      <c r="U1731" s="569"/>
      <c r="V1731" s="341"/>
      <c r="W1731" s="311"/>
      <c r="X1731" s="71"/>
      <c r="Y1731" s="71"/>
      <c r="Z1731" s="71"/>
      <c r="AA1731" s="456"/>
      <c r="AB1731" s="104"/>
      <c r="AC1731" s="485"/>
      <c r="AD1731" s="486"/>
      <c r="AE1731" s="485"/>
      <c r="AF1731" s="634"/>
      <c r="AG1731" s="97"/>
      <c r="AH1731" s="223"/>
      <c r="AI1731" s="569"/>
      <c r="AJ1731" s="569"/>
      <c r="AK1731" s="569"/>
      <c r="AL1731" s="569"/>
      <c r="AM1731" s="569"/>
      <c r="AN1731" s="589"/>
      <c r="AO1731" s="84"/>
      <c r="AP1731" s="5"/>
    </row>
    <row r="1732" spans="1:42" ht="13.5" customHeight="1" x14ac:dyDescent="0.35">
      <c r="A1732" s="4"/>
      <c r="B1732" s="614"/>
      <c r="C1732" s="71"/>
      <c r="D1732" s="71"/>
      <c r="E1732" s="71"/>
      <c r="F1732" s="71"/>
      <c r="G1732" s="71"/>
      <c r="H1732" s="87"/>
      <c r="I1732" s="71"/>
      <c r="J1732" s="71"/>
      <c r="K1732" s="71"/>
      <c r="L1732" s="87"/>
      <c r="M1732" s="71"/>
      <c r="N1732" s="71"/>
      <c r="O1732" s="71"/>
      <c r="P1732" s="311"/>
      <c r="Q1732" s="312"/>
      <c r="R1732" s="312"/>
      <c r="S1732" s="569"/>
      <c r="T1732" s="569"/>
      <c r="U1732" s="569"/>
      <c r="V1732" s="341"/>
      <c r="W1732" s="311"/>
      <c r="X1732" s="71"/>
      <c r="Y1732" s="71"/>
      <c r="Z1732" s="71"/>
      <c r="AA1732" s="456"/>
      <c r="AB1732" s="104"/>
      <c r="AC1732" s="485"/>
      <c r="AD1732" s="486"/>
      <c r="AE1732" s="485"/>
      <c r="AF1732" s="634"/>
      <c r="AG1732" s="97"/>
      <c r="AH1732" s="223"/>
      <c r="AI1732" s="569"/>
      <c r="AJ1732" s="569"/>
      <c r="AK1732" s="569"/>
      <c r="AL1732" s="569"/>
      <c r="AM1732" s="569"/>
      <c r="AN1732" s="589"/>
      <c r="AO1732" s="84"/>
      <c r="AP1732" s="5"/>
    </row>
    <row r="1733" spans="1:42" ht="13.5" customHeight="1" x14ac:dyDescent="0.35">
      <c r="A1733" s="4"/>
      <c r="B1733" s="614"/>
      <c r="C1733" s="71"/>
      <c r="D1733" s="71"/>
      <c r="E1733" s="71"/>
      <c r="F1733" s="71"/>
      <c r="G1733" s="71"/>
      <c r="H1733" s="87"/>
      <c r="I1733" s="71"/>
      <c r="J1733" s="71"/>
      <c r="K1733" s="71"/>
      <c r="L1733" s="87"/>
      <c r="M1733" s="71"/>
      <c r="N1733" s="71"/>
      <c r="O1733" s="71"/>
      <c r="P1733" s="311"/>
      <c r="Q1733" s="312"/>
      <c r="R1733" s="312"/>
      <c r="S1733" s="569"/>
      <c r="T1733" s="569"/>
      <c r="U1733" s="569"/>
      <c r="V1733" s="341"/>
      <c r="W1733" s="311"/>
      <c r="X1733" s="71"/>
      <c r="Y1733" s="71"/>
      <c r="Z1733" s="71"/>
      <c r="AA1733" s="456"/>
      <c r="AB1733" s="104"/>
      <c r="AC1733" s="485"/>
      <c r="AD1733" s="486"/>
      <c r="AE1733" s="485"/>
      <c r="AF1733" s="634"/>
      <c r="AG1733" s="97"/>
      <c r="AH1733" s="223"/>
      <c r="AI1733" s="569"/>
      <c r="AJ1733" s="569"/>
      <c r="AK1733" s="569"/>
      <c r="AL1733" s="569"/>
      <c r="AM1733" s="569"/>
      <c r="AN1733" s="589"/>
      <c r="AO1733" s="84"/>
      <c r="AP1733" s="5"/>
    </row>
    <row r="1734" spans="1:42" ht="13.5" customHeight="1" x14ac:dyDescent="0.35">
      <c r="A1734" s="4"/>
      <c r="B1734" s="614"/>
      <c r="C1734" s="71"/>
      <c r="D1734" s="71"/>
      <c r="E1734" s="71"/>
      <c r="F1734" s="71"/>
      <c r="G1734" s="71"/>
      <c r="H1734" s="87"/>
      <c r="I1734" s="71"/>
      <c r="J1734" s="71"/>
      <c r="K1734" s="71"/>
      <c r="L1734" s="87"/>
      <c r="M1734" s="71"/>
      <c r="N1734" s="71"/>
      <c r="O1734" s="71"/>
      <c r="P1734" s="311"/>
      <c r="Q1734" s="312"/>
      <c r="R1734" s="312"/>
      <c r="S1734" s="569"/>
      <c r="T1734" s="569"/>
      <c r="U1734" s="569"/>
      <c r="V1734" s="341"/>
      <c r="W1734" s="311"/>
      <c r="X1734" s="71"/>
      <c r="Y1734" s="71"/>
      <c r="Z1734" s="71"/>
      <c r="AA1734" s="456"/>
      <c r="AB1734" s="104"/>
      <c r="AC1734" s="485"/>
      <c r="AD1734" s="486"/>
      <c r="AE1734" s="485"/>
      <c r="AF1734" s="634"/>
      <c r="AG1734" s="97"/>
      <c r="AH1734" s="223"/>
      <c r="AI1734" s="569"/>
      <c r="AJ1734" s="569"/>
      <c r="AK1734" s="569"/>
      <c r="AL1734" s="569"/>
      <c r="AM1734" s="569"/>
      <c r="AN1734" s="589"/>
      <c r="AO1734" s="84"/>
      <c r="AP1734" s="5"/>
    </row>
    <row r="1735" spans="1:42" ht="13.5" customHeight="1" x14ac:dyDescent="0.35">
      <c r="A1735" s="4"/>
      <c r="B1735" s="614"/>
      <c r="C1735" s="71"/>
      <c r="D1735" s="71"/>
      <c r="E1735" s="71"/>
      <c r="F1735" s="71"/>
      <c r="G1735" s="71"/>
      <c r="H1735" s="87"/>
      <c r="I1735" s="71"/>
      <c r="J1735" s="71"/>
      <c r="K1735" s="71"/>
      <c r="L1735" s="87"/>
      <c r="M1735" s="71"/>
      <c r="N1735" s="71"/>
      <c r="O1735" s="71"/>
      <c r="P1735" s="311"/>
      <c r="Q1735" s="312"/>
      <c r="R1735" s="312"/>
      <c r="S1735" s="569"/>
      <c r="T1735" s="569"/>
      <c r="U1735" s="569"/>
      <c r="V1735" s="341"/>
      <c r="W1735" s="311"/>
      <c r="X1735" s="71"/>
      <c r="Y1735" s="71"/>
      <c r="Z1735" s="71"/>
      <c r="AA1735" s="456"/>
      <c r="AB1735" s="104"/>
      <c r="AC1735" s="485"/>
      <c r="AD1735" s="486"/>
      <c r="AE1735" s="485"/>
      <c r="AF1735" s="634"/>
      <c r="AG1735" s="97"/>
      <c r="AH1735" s="223"/>
      <c r="AI1735" s="569"/>
      <c r="AJ1735" s="569"/>
      <c r="AK1735" s="569"/>
      <c r="AL1735" s="569"/>
      <c r="AM1735" s="569"/>
      <c r="AN1735" s="589"/>
      <c r="AO1735" s="84"/>
      <c r="AP1735" s="5"/>
    </row>
    <row r="1736" spans="1:42" ht="13.5" customHeight="1" x14ac:dyDescent="0.35">
      <c r="A1736" s="4"/>
      <c r="B1736" s="614"/>
      <c r="C1736" s="71"/>
      <c r="D1736" s="71"/>
      <c r="E1736" s="71"/>
      <c r="F1736" s="71"/>
      <c r="G1736" s="71"/>
      <c r="H1736" s="87"/>
      <c r="I1736" s="71"/>
      <c r="J1736" s="71"/>
      <c r="K1736" s="71"/>
      <c r="L1736" s="87"/>
      <c r="M1736" s="71"/>
      <c r="N1736" s="71"/>
      <c r="O1736" s="71"/>
      <c r="P1736" s="311"/>
      <c r="Q1736" s="312"/>
      <c r="R1736" s="312"/>
      <c r="S1736" s="569"/>
      <c r="T1736" s="569"/>
      <c r="U1736" s="569"/>
      <c r="V1736" s="341"/>
      <c r="W1736" s="311"/>
      <c r="X1736" s="71"/>
      <c r="Y1736" s="71"/>
      <c r="Z1736" s="71"/>
      <c r="AA1736" s="456"/>
      <c r="AB1736" s="104"/>
      <c r="AC1736" s="485"/>
      <c r="AD1736" s="486"/>
      <c r="AE1736" s="485"/>
      <c r="AF1736" s="634"/>
      <c r="AG1736" s="97"/>
      <c r="AH1736" s="223"/>
      <c r="AI1736" s="569"/>
      <c r="AJ1736" s="569"/>
      <c r="AK1736" s="569"/>
      <c r="AL1736" s="569"/>
      <c r="AM1736" s="569"/>
      <c r="AN1736" s="589"/>
      <c r="AO1736" s="84"/>
      <c r="AP1736" s="5"/>
    </row>
    <row r="1737" spans="1:42" ht="13.5" customHeight="1" x14ac:dyDescent="0.35">
      <c r="A1737" s="4"/>
      <c r="B1737" s="614"/>
      <c r="C1737" s="71"/>
      <c r="D1737" s="71"/>
      <c r="E1737" s="71"/>
      <c r="F1737" s="71"/>
      <c r="G1737" s="71"/>
      <c r="H1737" s="87"/>
      <c r="I1737" s="71"/>
      <c r="J1737" s="71"/>
      <c r="K1737" s="71"/>
      <c r="L1737" s="87"/>
      <c r="M1737" s="71"/>
      <c r="N1737" s="71"/>
      <c r="O1737" s="71"/>
      <c r="P1737" s="311"/>
      <c r="Q1737" s="312"/>
      <c r="R1737" s="312"/>
      <c r="S1737" s="569"/>
      <c r="T1737" s="569"/>
      <c r="U1737" s="569"/>
      <c r="V1737" s="341"/>
      <c r="W1737" s="311"/>
      <c r="X1737" s="71"/>
      <c r="Y1737" s="71"/>
      <c r="Z1737" s="71"/>
      <c r="AA1737" s="456"/>
      <c r="AB1737" s="104"/>
      <c r="AC1737" s="485"/>
      <c r="AD1737" s="486"/>
      <c r="AE1737" s="485"/>
      <c r="AF1737" s="634"/>
      <c r="AG1737" s="97"/>
      <c r="AH1737" s="223"/>
      <c r="AI1737" s="569"/>
      <c r="AJ1737" s="569"/>
      <c r="AK1737" s="569"/>
      <c r="AL1737" s="569"/>
      <c r="AM1737" s="569"/>
      <c r="AN1737" s="589"/>
      <c r="AO1737" s="84"/>
      <c r="AP1737" s="5"/>
    </row>
    <row r="1738" spans="1:42" ht="13.5" customHeight="1" x14ac:dyDescent="0.35">
      <c r="A1738" s="4"/>
      <c r="B1738" s="614"/>
      <c r="C1738" s="71"/>
      <c r="D1738" s="71"/>
      <c r="E1738" s="71"/>
      <c r="F1738" s="71"/>
      <c r="G1738" s="71"/>
      <c r="H1738" s="87"/>
      <c r="I1738" s="71"/>
      <c r="J1738" s="71"/>
      <c r="K1738" s="71"/>
      <c r="L1738" s="87"/>
      <c r="M1738" s="71"/>
      <c r="N1738" s="71"/>
      <c r="O1738" s="71"/>
      <c r="P1738" s="311"/>
      <c r="Q1738" s="312"/>
      <c r="R1738" s="312"/>
      <c r="S1738" s="569"/>
      <c r="T1738" s="569"/>
      <c r="U1738" s="569"/>
      <c r="V1738" s="341"/>
      <c r="W1738" s="311"/>
      <c r="X1738" s="71"/>
      <c r="Y1738" s="71"/>
      <c r="Z1738" s="71"/>
      <c r="AA1738" s="456"/>
      <c r="AB1738" s="104"/>
      <c r="AC1738" s="485"/>
      <c r="AD1738" s="486"/>
      <c r="AE1738" s="485"/>
      <c r="AF1738" s="634"/>
      <c r="AG1738" s="97"/>
      <c r="AH1738" s="223"/>
      <c r="AI1738" s="569"/>
      <c r="AJ1738" s="569"/>
      <c r="AK1738" s="569"/>
      <c r="AL1738" s="569"/>
      <c r="AM1738" s="569"/>
      <c r="AN1738" s="589"/>
      <c r="AO1738" s="84"/>
      <c r="AP1738" s="5"/>
    </row>
    <row r="1739" spans="1:42" ht="13.5" customHeight="1" x14ac:dyDescent="0.35">
      <c r="A1739" s="4"/>
      <c r="B1739" s="614"/>
      <c r="C1739" s="71"/>
      <c r="D1739" s="71"/>
      <c r="E1739" s="71"/>
      <c r="F1739" s="71"/>
      <c r="G1739" s="71"/>
      <c r="H1739" s="87"/>
      <c r="I1739" s="71"/>
      <c r="J1739" s="71"/>
      <c r="K1739" s="71"/>
      <c r="L1739" s="87"/>
      <c r="M1739" s="71"/>
      <c r="N1739" s="71"/>
      <c r="O1739" s="71"/>
      <c r="P1739" s="311"/>
      <c r="Q1739" s="312"/>
      <c r="R1739" s="312"/>
      <c r="S1739" s="569"/>
      <c r="T1739" s="569"/>
      <c r="U1739" s="569"/>
      <c r="V1739" s="341"/>
      <c r="W1739" s="311"/>
      <c r="X1739" s="71"/>
      <c r="Y1739" s="71"/>
      <c r="Z1739" s="71"/>
      <c r="AA1739" s="456"/>
      <c r="AB1739" s="104"/>
      <c r="AC1739" s="485"/>
      <c r="AD1739" s="486"/>
      <c r="AE1739" s="485"/>
      <c r="AF1739" s="634"/>
      <c r="AG1739" s="97"/>
      <c r="AH1739" s="223"/>
      <c r="AI1739" s="569"/>
      <c r="AJ1739" s="569"/>
      <c r="AK1739" s="569"/>
      <c r="AL1739" s="569"/>
      <c r="AM1739" s="569"/>
      <c r="AN1739" s="589"/>
      <c r="AO1739" s="84"/>
      <c r="AP1739" s="5"/>
    </row>
    <row r="1740" spans="1:42" ht="13.5" customHeight="1" x14ac:dyDescent="0.35">
      <c r="A1740" s="4"/>
      <c r="B1740" s="614"/>
      <c r="C1740" s="71"/>
      <c r="D1740" s="71"/>
      <c r="E1740" s="71"/>
      <c r="F1740" s="71"/>
      <c r="G1740" s="71"/>
      <c r="H1740" s="87"/>
      <c r="I1740" s="71"/>
      <c r="J1740" s="71"/>
      <c r="K1740" s="71"/>
      <c r="L1740" s="87"/>
      <c r="M1740" s="71"/>
      <c r="N1740" s="71"/>
      <c r="O1740" s="71"/>
      <c r="P1740" s="311"/>
      <c r="Q1740" s="312"/>
      <c r="R1740" s="312"/>
      <c r="S1740" s="569"/>
      <c r="T1740" s="569"/>
      <c r="U1740" s="569"/>
      <c r="V1740" s="341"/>
      <c r="W1740" s="311"/>
      <c r="X1740" s="71"/>
      <c r="Y1740" s="71"/>
      <c r="Z1740" s="71"/>
      <c r="AA1740" s="456"/>
      <c r="AB1740" s="104"/>
      <c r="AC1740" s="485"/>
      <c r="AD1740" s="486"/>
      <c r="AE1740" s="485"/>
      <c r="AF1740" s="634"/>
      <c r="AG1740" s="97"/>
      <c r="AH1740" s="223"/>
      <c r="AI1740" s="569"/>
      <c r="AJ1740" s="569"/>
      <c r="AK1740" s="569"/>
      <c r="AL1740" s="569"/>
      <c r="AM1740" s="569"/>
      <c r="AN1740" s="589"/>
      <c r="AO1740" s="84"/>
      <c r="AP1740" s="5"/>
    </row>
    <row r="1741" spans="1:42" ht="13.5" customHeight="1" x14ac:dyDescent="0.35">
      <c r="A1741" s="4"/>
      <c r="B1741" s="614"/>
      <c r="C1741" s="71"/>
      <c r="D1741" s="71"/>
      <c r="E1741" s="71"/>
      <c r="F1741" s="71"/>
      <c r="G1741" s="71"/>
      <c r="H1741" s="87"/>
      <c r="I1741" s="71"/>
      <c r="J1741" s="71"/>
      <c r="K1741" s="71"/>
      <c r="L1741" s="87"/>
      <c r="M1741" s="71"/>
      <c r="N1741" s="71"/>
      <c r="O1741" s="71"/>
      <c r="P1741" s="311"/>
      <c r="Q1741" s="312"/>
      <c r="R1741" s="312"/>
      <c r="S1741" s="569"/>
      <c r="T1741" s="569"/>
      <c r="U1741" s="569"/>
      <c r="V1741" s="341"/>
      <c r="W1741" s="311"/>
      <c r="X1741" s="71"/>
      <c r="Y1741" s="71"/>
      <c r="Z1741" s="71"/>
      <c r="AA1741" s="456"/>
      <c r="AB1741" s="104"/>
      <c r="AC1741" s="485"/>
      <c r="AD1741" s="486"/>
      <c r="AE1741" s="485"/>
      <c r="AF1741" s="634"/>
      <c r="AG1741" s="97"/>
      <c r="AH1741" s="223"/>
      <c r="AI1741" s="569"/>
      <c r="AJ1741" s="569"/>
      <c r="AK1741" s="569"/>
      <c r="AL1741" s="569"/>
      <c r="AM1741" s="569"/>
      <c r="AN1741" s="589"/>
      <c r="AO1741" s="84"/>
      <c r="AP1741" s="5"/>
    </row>
    <row r="1742" spans="1:42" ht="13.5" customHeight="1" x14ac:dyDescent="0.35">
      <c r="A1742" s="4"/>
      <c r="B1742" s="614"/>
      <c r="C1742" s="71"/>
      <c r="D1742" s="71"/>
      <c r="E1742" s="71"/>
      <c r="F1742" s="71"/>
      <c r="G1742" s="71"/>
      <c r="H1742" s="87"/>
      <c r="I1742" s="71"/>
      <c r="J1742" s="71"/>
      <c r="K1742" s="71"/>
      <c r="L1742" s="87"/>
      <c r="M1742" s="71"/>
      <c r="N1742" s="71"/>
      <c r="O1742" s="71"/>
      <c r="P1742" s="311"/>
      <c r="Q1742" s="312"/>
      <c r="R1742" s="312"/>
      <c r="S1742" s="569"/>
      <c r="T1742" s="569"/>
      <c r="U1742" s="569"/>
      <c r="V1742" s="341"/>
      <c r="W1742" s="311"/>
      <c r="X1742" s="71"/>
      <c r="Y1742" s="71"/>
      <c r="Z1742" s="71"/>
      <c r="AA1742" s="456"/>
      <c r="AB1742" s="104"/>
      <c r="AC1742" s="485"/>
      <c r="AD1742" s="486"/>
      <c r="AE1742" s="485"/>
      <c r="AF1742" s="634"/>
      <c r="AG1742" s="97"/>
      <c r="AH1742" s="223"/>
      <c r="AI1742" s="569"/>
      <c r="AJ1742" s="569"/>
      <c r="AK1742" s="569"/>
      <c r="AL1742" s="569"/>
      <c r="AM1742" s="569"/>
      <c r="AN1742" s="589"/>
      <c r="AO1742" s="84"/>
      <c r="AP1742" s="5"/>
    </row>
    <row r="1743" spans="1:42" ht="13.5" customHeight="1" x14ac:dyDescent="0.35">
      <c r="A1743" s="4"/>
      <c r="B1743" s="614"/>
      <c r="C1743" s="71"/>
      <c r="D1743" s="71"/>
      <c r="E1743" s="71"/>
      <c r="F1743" s="71"/>
      <c r="G1743" s="71"/>
      <c r="H1743" s="87"/>
      <c r="I1743" s="71"/>
      <c r="J1743" s="71"/>
      <c r="K1743" s="71"/>
      <c r="L1743" s="87"/>
      <c r="M1743" s="71"/>
      <c r="N1743" s="71"/>
      <c r="O1743" s="71"/>
      <c r="P1743" s="311"/>
      <c r="Q1743" s="312"/>
      <c r="R1743" s="312"/>
      <c r="S1743" s="569"/>
      <c r="T1743" s="569"/>
      <c r="U1743" s="569"/>
      <c r="V1743" s="341"/>
      <c r="W1743" s="311"/>
      <c r="X1743" s="71"/>
      <c r="Y1743" s="71"/>
      <c r="Z1743" s="71"/>
      <c r="AA1743" s="456"/>
      <c r="AB1743" s="104"/>
      <c r="AC1743" s="485"/>
      <c r="AD1743" s="486"/>
      <c r="AE1743" s="485"/>
      <c r="AF1743" s="634"/>
      <c r="AG1743" s="97"/>
      <c r="AH1743" s="223"/>
      <c r="AI1743" s="569"/>
      <c r="AJ1743" s="569"/>
      <c r="AK1743" s="569"/>
      <c r="AL1743" s="569"/>
      <c r="AM1743" s="569"/>
      <c r="AN1743" s="589"/>
      <c r="AO1743" s="84"/>
      <c r="AP1743" s="5"/>
    </row>
    <row r="1744" spans="1:42" ht="13.5" customHeight="1" x14ac:dyDescent="0.35">
      <c r="A1744" s="4"/>
      <c r="B1744" s="614"/>
      <c r="C1744" s="71"/>
      <c r="D1744" s="71"/>
      <c r="E1744" s="71"/>
      <c r="F1744" s="71"/>
      <c r="G1744" s="71"/>
      <c r="H1744" s="87"/>
      <c r="I1744" s="71"/>
      <c r="J1744" s="71"/>
      <c r="K1744" s="71"/>
      <c r="L1744" s="87"/>
      <c r="M1744" s="71"/>
      <c r="N1744" s="71"/>
      <c r="O1744" s="71"/>
      <c r="P1744" s="311"/>
      <c r="Q1744" s="312"/>
      <c r="R1744" s="312"/>
      <c r="S1744" s="569"/>
      <c r="T1744" s="569"/>
      <c r="U1744" s="569"/>
      <c r="V1744" s="341"/>
      <c r="W1744" s="311"/>
      <c r="X1744" s="71"/>
      <c r="Y1744" s="71"/>
      <c r="Z1744" s="71"/>
      <c r="AA1744" s="456"/>
      <c r="AB1744" s="104"/>
      <c r="AC1744" s="485"/>
      <c r="AD1744" s="486"/>
      <c r="AE1744" s="485"/>
      <c r="AF1744" s="634"/>
      <c r="AG1744" s="97"/>
      <c r="AH1744" s="223"/>
      <c r="AI1744" s="569"/>
      <c r="AJ1744" s="569"/>
      <c r="AK1744" s="569"/>
      <c r="AL1744" s="569"/>
      <c r="AM1744" s="569"/>
      <c r="AN1744" s="589"/>
      <c r="AO1744" s="84"/>
      <c r="AP1744" s="5"/>
    </row>
    <row r="1745" spans="1:42" ht="13.5" customHeight="1" x14ac:dyDescent="0.35">
      <c r="A1745" s="4"/>
      <c r="B1745" s="614"/>
      <c r="C1745" s="71"/>
      <c r="D1745" s="71"/>
      <c r="E1745" s="71"/>
      <c r="F1745" s="71"/>
      <c r="G1745" s="71"/>
      <c r="H1745" s="87"/>
      <c r="I1745" s="71"/>
      <c r="J1745" s="71"/>
      <c r="K1745" s="71"/>
      <c r="L1745" s="87"/>
      <c r="M1745" s="71"/>
      <c r="N1745" s="71"/>
      <c r="O1745" s="71"/>
      <c r="P1745" s="311"/>
      <c r="Q1745" s="312"/>
      <c r="R1745" s="312"/>
      <c r="S1745" s="569"/>
      <c r="T1745" s="569"/>
      <c r="U1745" s="569"/>
      <c r="V1745" s="341"/>
      <c r="W1745" s="311"/>
      <c r="X1745" s="71"/>
      <c r="Y1745" s="71"/>
      <c r="Z1745" s="71"/>
      <c r="AA1745" s="456"/>
      <c r="AB1745" s="104"/>
      <c r="AC1745" s="485"/>
      <c r="AD1745" s="486"/>
      <c r="AE1745" s="485"/>
      <c r="AF1745" s="634"/>
      <c r="AG1745" s="97"/>
      <c r="AH1745" s="223"/>
      <c r="AI1745" s="569"/>
      <c r="AJ1745" s="569"/>
      <c r="AK1745" s="569"/>
      <c r="AL1745" s="569"/>
      <c r="AM1745" s="569"/>
      <c r="AN1745" s="589"/>
      <c r="AO1745" s="84"/>
      <c r="AP1745" s="5"/>
    </row>
    <row r="1746" spans="1:42" ht="13.5" customHeight="1" x14ac:dyDescent="0.35">
      <c r="A1746" s="4"/>
      <c r="B1746" s="614"/>
      <c r="C1746" s="71"/>
      <c r="D1746" s="71"/>
      <c r="E1746" s="71"/>
      <c r="F1746" s="71"/>
      <c r="G1746" s="71"/>
      <c r="H1746" s="87"/>
      <c r="I1746" s="71"/>
      <c r="J1746" s="71"/>
      <c r="K1746" s="71"/>
      <c r="L1746" s="87"/>
      <c r="M1746" s="71"/>
      <c r="N1746" s="71"/>
      <c r="O1746" s="71"/>
      <c r="P1746" s="311"/>
      <c r="Q1746" s="312"/>
      <c r="R1746" s="312"/>
      <c r="S1746" s="569"/>
      <c r="T1746" s="569"/>
      <c r="U1746" s="569"/>
      <c r="V1746" s="341"/>
      <c r="W1746" s="311"/>
      <c r="X1746" s="71"/>
      <c r="Y1746" s="71"/>
      <c r="Z1746" s="71"/>
      <c r="AA1746" s="456"/>
      <c r="AB1746" s="104"/>
      <c r="AC1746" s="485"/>
      <c r="AD1746" s="486"/>
      <c r="AE1746" s="485"/>
      <c r="AF1746" s="634"/>
      <c r="AG1746" s="97"/>
      <c r="AH1746" s="223"/>
      <c r="AI1746" s="569"/>
      <c r="AJ1746" s="569"/>
      <c r="AK1746" s="569"/>
      <c r="AL1746" s="569"/>
      <c r="AM1746" s="569"/>
      <c r="AN1746" s="589"/>
      <c r="AO1746" s="84"/>
      <c r="AP1746" s="5"/>
    </row>
    <row r="1747" spans="1:42" ht="13.5" customHeight="1" x14ac:dyDescent="0.35">
      <c r="A1747" s="4"/>
      <c r="B1747" s="614"/>
      <c r="C1747" s="71"/>
      <c r="D1747" s="71"/>
      <c r="E1747" s="71"/>
      <c r="F1747" s="71"/>
      <c r="G1747" s="71"/>
      <c r="H1747" s="87"/>
      <c r="I1747" s="71"/>
      <c r="J1747" s="71"/>
      <c r="K1747" s="71"/>
      <c r="L1747" s="87"/>
      <c r="M1747" s="71"/>
      <c r="N1747" s="71"/>
      <c r="O1747" s="71"/>
      <c r="P1747" s="311"/>
      <c r="Q1747" s="312"/>
      <c r="R1747" s="312"/>
      <c r="S1747" s="569"/>
      <c r="T1747" s="569"/>
      <c r="U1747" s="569"/>
      <c r="V1747" s="341"/>
      <c r="W1747" s="311"/>
      <c r="X1747" s="71"/>
      <c r="Y1747" s="71"/>
      <c r="Z1747" s="71"/>
      <c r="AA1747" s="456"/>
      <c r="AB1747" s="104"/>
      <c r="AC1747" s="485"/>
      <c r="AD1747" s="486"/>
      <c r="AE1747" s="485"/>
      <c r="AF1747" s="634"/>
      <c r="AG1747" s="97"/>
      <c r="AH1747" s="223"/>
      <c r="AI1747" s="569"/>
      <c r="AJ1747" s="569"/>
      <c r="AK1747" s="569"/>
      <c r="AL1747" s="569"/>
      <c r="AM1747" s="569"/>
      <c r="AN1747" s="589"/>
      <c r="AO1747" s="84"/>
      <c r="AP1747" s="5"/>
    </row>
    <row r="1748" spans="1:42" ht="13.5" customHeight="1" x14ac:dyDescent="0.35">
      <c r="A1748" s="4"/>
      <c r="B1748" s="614"/>
      <c r="C1748" s="71"/>
      <c r="D1748" s="71"/>
      <c r="E1748" s="71"/>
      <c r="F1748" s="71"/>
      <c r="G1748" s="71"/>
      <c r="H1748" s="87"/>
      <c r="I1748" s="71"/>
      <c r="J1748" s="71"/>
      <c r="K1748" s="71"/>
      <c r="L1748" s="87"/>
      <c r="M1748" s="71"/>
      <c r="N1748" s="71"/>
      <c r="O1748" s="71"/>
      <c r="P1748" s="311"/>
      <c r="Q1748" s="312"/>
      <c r="R1748" s="312"/>
      <c r="S1748" s="569"/>
      <c r="T1748" s="569"/>
      <c r="U1748" s="569"/>
      <c r="V1748" s="341"/>
      <c r="W1748" s="311"/>
      <c r="X1748" s="71"/>
      <c r="Y1748" s="71"/>
      <c r="Z1748" s="71"/>
      <c r="AA1748" s="456"/>
      <c r="AB1748" s="104"/>
      <c r="AC1748" s="485"/>
      <c r="AD1748" s="486"/>
      <c r="AE1748" s="485"/>
      <c r="AF1748" s="634"/>
      <c r="AG1748" s="97"/>
      <c r="AH1748" s="223"/>
      <c r="AI1748" s="569"/>
      <c r="AJ1748" s="569"/>
      <c r="AK1748" s="569"/>
      <c r="AL1748" s="569"/>
      <c r="AM1748" s="569"/>
      <c r="AN1748" s="589"/>
      <c r="AO1748" s="84"/>
      <c r="AP1748" s="5"/>
    </row>
    <row r="1749" spans="1:42" ht="13.5" customHeight="1" x14ac:dyDescent="0.35">
      <c r="A1749" s="4"/>
      <c r="B1749" s="614"/>
      <c r="C1749" s="71"/>
      <c r="D1749" s="71"/>
      <c r="E1749" s="71"/>
      <c r="F1749" s="71"/>
      <c r="G1749" s="71"/>
      <c r="H1749" s="87"/>
      <c r="I1749" s="71"/>
      <c r="J1749" s="71"/>
      <c r="K1749" s="71"/>
      <c r="L1749" s="87"/>
      <c r="M1749" s="71"/>
      <c r="N1749" s="71"/>
      <c r="O1749" s="71"/>
      <c r="P1749" s="311"/>
      <c r="Q1749" s="312"/>
      <c r="R1749" s="312"/>
      <c r="S1749" s="569"/>
      <c r="T1749" s="569"/>
      <c r="U1749" s="569"/>
      <c r="V1749" s="341"/>
      <c r="W1749" s="311"/>
      <c r="X1749" s="71"/>
      <c r="Y1749" s="71"/>
      <c r="Z1749" s="71"/>
      <c r="AA1749" s="456"/>
      <c r="AB1749" s="104"/>
      <c r="AC1749" s="485"/>
      <c r="AD1749" s="486"/>
      <c r="AE1749" s="485"/>
      <c r="AF1749" s="634"/>
      <c r="AG1749" s="97"/>
      <c r="AH1749" s="223"/>
      <c r="AI1749" s="569"/>
      <c r="AJ1749" s="569"/>
      <c r="AK1749" s="569"/>
      <c r="AL1749" s="569"/>
      <c r="AM1749" s="569"/>
      <c r="AN1749" s="589"/>
      <c r="AO1749" s="84"/>
      <c r="AP1749" s="5"/>
    </row>
    <row r="1750" spans="1:42" ht="13.5" customHeight="1" x14ac:dyDescent="0.35">
      <c r="A1750" s="4"/>
      <c r="B1750" s="614"/>
      <c r="C1750" s="71"/>
      <c r="D1750" s="71"/>
      <c r="E1750" s="71"/>
      <c r="F1750" s="71"/>
      <c r="G1750" s="71"/>
      <c r="H1750" s="87"/>
      <c r="I1750" s="71"/>
      <c r="J1750" s="71"/>
      <c r="K1750" s="71"/>
      <c r="L1750" s="87"/>
      <c r="M1750" s="71"/>
      <c r="N1750" s="71"/>
      <c r="O1750" s="71"/>
      <c r="P1750" s="311"/>
      <c r="Q1750" s="312"/>
      <c r="R1750" s="312"/>
      <c r="S1750" s="569"/>
      <c r="T1750" s="569"/>
      <c r="U1750" s="569"/>
      <c r="V1750" s="341"/>
      <c r="W1750" s="311"/>
      <c r="X1750" s="71"/>
      <c r="Y1750" s="71"/>
      <c r="Z1750" s="71"/>
      <c r="AA1750" s="456"/>
      <c r="AB1750" s="104"/>
      <c r="AC1750" s="485"/>
      <c r="AD1750" s="486"/>
      <c r="AE1750" s="485"/>
      <c r="AF1750" s="634"/>
      <c r="AG1750" s="97"/>
      <c r="AH1750" s="223"/>
      <c r="AI1750" s="569"/>
      <c r="AJ1750" s="569"/>
      <c r="AK1750" s="569"/>
      <c r="AL1750" s="569"/>
      <c r="AM1750" s="569"/>
      <c r="AN1750" s="589"/>
      <c r="AO1750" s="84"/>
      <c r="AP1750" s="5"/>
    </row>
    <row r="1751" spans="1:42" ht="13.5" customHeight="1" x14ac:dyDescent="0.35">
      <c r="A1751" s="4"/>
      <c r="B1751" s="614"/>
      <c r="C1751" s="71"/>
      <c r="D1751" s="71"/>
      <c r="E1751" s="71"/>
      <c r="F1751" s="71"/>
      <c r="G1751" s="71"/>
      <c r="H1751" s="87"/>
      <c r="I1751" s="71"/>
      <c r="J1751" s="71"/>
      <c r="K1751" s="71"/>
      <c r="L1751" s="87"/>
      <c r="M1751" s="71"/>
      <c r="N1751" s="71"/>
      <c r="O1751" s="71"/>
      <c r="P1751" s="311"/>
      <c r="Q1751" s="312"/>
      <c r="R1751" s="312"/>
      <c r="S1751" s="569"/>
      <c r="T1751" s="569"/>
      <c r="U1751" s="569"/>
      <c r="V1751" s="341"/>
      <c r="W1751" s="311"/>
      <c r="X1751" s="71"/>
      <c r="Y1751" s="71"/>
      <c r="Z1751" s="71"/>
      <c r="AA1751" s="456"/>
      <c r="AB1751" s="104"/>
      <c r="AC1751" s="485"/>
      <c r="AD1751" s="486"/>
      <c r="AE1751" s="485"/>
      <c r="AF1751" s="634"/>
      <c r="AG1751" s="97"/>
      <c r="AH1751" s="223"/>
      <c r="AI1751" s="569"/>
      <c r="AJ1751" s="569"/>
      <c r="AK1751" s="569"/>
      <c r="AL1751" s="569"/>
      <c r="AM1751" s="569"/>
      <c r="AN1751" s="589"/>
      <c r="AO1751" s="84"/>
      <c r="AP1751" s="5"/>
    </row>
    <row r="1752" spans="1:42" ht="13.5" customHeight="1" x14ac:dyDescent="0.35">
      <c r="A1752" s="4"/>
      <c r="B1752" s="614"/>
      <c r="C1752" s="71"/>
      <c r="D1752" s="71"/>
      <c r="E1752" s="71"/>
      <c r="F1752" s="71"/>
      <c r="G1752" s="71"/>
      <c r="H1752" s="87"/>
      <c r="I1752" s="71"/>
      <c r="J1752" s="71"/>
      <c r="K1752" s="71"/>
      <c r="L1752" s="87"/>
      <c r="M1752" s="71"/>
      <c r="N1752" s="71"/>
      <c r="O1752" s="71"/>
      <c r="P1752" s="311"/>
      <c r="Q1752" s="312"/>
      <c r="R1752" s="312"/>
      <c r="S1752" s="569"/>
      <c r="T1752" s="569"/>
      <c r="U1752" s="569"/>
      <c r="V1752" s="341"/>
      <c r="W1752" s="311"/>
      <c r="X1752" s="71"/>
      <c r="Y1752" s="71"/>
      <c r="Z1752" s="71"/>
      <c r="AA1752" s="456"/>
      <c r="AB1752" s="104"/>
      <c r="AC1752" s="485"/>
      <c r="AD1752" s="486"/>
      <c r="AE1752" s="485"/>
      <c r="AF1752" s="634"/>
      <c r="AG1752" s="97"/>
      <c r="AH1752" s="223"/>
      <c r="AI1752" s="569"/>
      <c r="AJ1752" s="569"/>
      <c r="AK1752" s="569"/>
      <c r="AL1752" s="569"/>
      <c r="AM1752" s="569"/>
      <c r="AN1752" s="589"/>
      <c r="AO1752" s="84"/>
      <c r="AP1752" s="5"/>
    </row>
    <row r="1753" spans="1:42" ht="13.5" customHeight="1" x14ac:dyDescent="0.35">
      <c r="A1753" s="4"/>
      <c r="B1753" s="614"/>
      <c r="C1753" s="71"/>
      <c r="D1753" s="71"/>
      <c r="E1753" s="71"/>
      <c r="F1753" s="71"/>
      <c r="G1753" s="71"/>
      <c r="H1753" s="87"/>
      <c r="I1753" s="71"/>
      <c r="J1753" s="71"/>
      <c r="K1753" s="71"/>
      <c r="L1753" s="87"/>
      <c r="M1753" s="71"/>
      <c r="N1753" s="71"/>
      <c r="O1753" s="71"/>
      <c r="P1753" s="311"/>
      <c r="Q1753" s="312"/>
      <c r="R1753" s="312"/>
      <c r="S1753" s="569"/>
      <c r="T1753" s="569"/>
      <c r="U1753" s="569"/>
      <c r="V1753" s="341"/>
      <c r="W1753" s="311"/>
      <c r="X1753" s="71"/>
      <c r="Y1753" s="71"/>
      <c r="Z1753" s="71"/>
      <c r="AA1753" s="456"/>
      <c r="AB1753" s="104"/>
      <c r="AC1753" s="485"/>
      <c r="AD1753" s="486"/>
      <c r="AE1753" s="485"/>
      <c r="AF1753" s="634"/>
      <c r="AG1753" s="97"/>
      <c r="AH1753" s="223"/>
      <c r="AI1753" s="569"/>
      <c r="AJ1753" s="569"/>
      <c r="AK1753" s="569"/>
      <c r="AL1753" s="569"/>
      <c r="AM1753" s="569"/>
      <c r="AN1753" s="589"/>
      <c r="AO1753" s="84"/>
      <c r="AP1753" s="5"/>
    </row>
    <row r="1754" spans="1:42" ht="13.5" customHeight="1" x14ac:dyDescent="0.35">
      <c r="A1754" s="4"/>
      <c r="B1754" s="614"/>
      <c r="C1754" s="71"/>
      <c r="D1754" s="71"/>
      <c r="E1754" s="71"/>
      <c r="F1754" s="71"/>
      <c r="G1754" s="71"/>
      <c r="H1754" s="87"/>
      <c r="I1754" s="71"/>
      <c r="J1754" s="71"/>
      <c r="K1754" s="71"/>
      <c r="L1754" s="87"/>
      <c r="M1754" s="71"/>
      <c r="N1754" s="71"/>
      <c r="O1754" s="71"/>
      <c r="P1754" s="311"/>
      <c r="Q1754" s="312"/>
      <c r="R1754" s="312"/>
      <c r="S1754" s="569"/>
      <c r="T1754" s="569"/>
      <c r="U1754" s="569"/>
      <c r="V1754" s="341"/>
      <c r="W1754" s="311"/>
      <c r="X1754" s="71"/>
      <c r="Y1754" s="71"/>
      <c r="Z1754" s="71"/>
      <c r="AA1754" s="456"/>
      <c r="AB1754" s="104"/>
      <c r="AC1754" s="485"/>
      <c r="AD1754" s="486"/>
      <c r="AE1754" s="485"/>
      <c r="AF1754" s="634"/>
      <c r="AG1754" s="97"/>
      <c r="AH1754" s="223"/>
      <c r="AI1754" s="569"/>
      <c r="AJ1754" s="569"/>
      <c r="AK1754" s="569"/>
      <c r="AL1754" s="569"/>
      <c r="AM1754" s="569"/>
      <c r="AN1754" s="589"/>
      <c r="AO1754" s="84"/>
      <c r="AP1754" s="5"/>
    </row>
    <row r="1755" spans="1:42" ht="13.5" customHeight="1" x14ac:dyDescent="0.35">
      <c r="A1755" s="4"/>
      <c r="B1755" s="614"/>
      <c r="C1755" s="71"/>
      <c r="D1755" s="71"/>
      <c r="E1755" s="71"/>
      <c r="F1755" s="71"/>
      <c r="G1755" s="71"/>
      <c r="H1755" s="87"/>
      <c r="I1755" s="71"/>
      <c r="J1755" s="71"/>
      <c r="K1755" s="71"/>
      <c r="L1755" s="87"/>
      <c r="M1755" s="71"/>
      <c r="N1755" s="71"/>
      <c r="O1755" s="71"/>
      <c r="P1755" s="311"/>
      <c r="Q1755" s="312"/>
      <c r="R1755" s="312"/>
      <c r="S1755" s="569"/>
      <c r="T1755" s="569"/>
      <c r="U1755" s="569"/>
      <c r="V1755" s="341"/>
      <c r="W1755" s="311"/>
      <c r="X1755" s="71"/>
      <c r="Y1755" s="71"/>
      <c r="Z1755" s="71"/>
      <c r="AA1755" s="456"/>
      <c r="AB1755" s="104"/>
      <c r="AC1755" s="485"/>
      <c r="AD1755" s="486"/>
      <c r="AE1755" s="485"/>
      <c r="AF1755" s="634"/>
      <c r="AG1755" s="97"/>
      <c r="AH1755" s="223"/>
      <c r="AI1755" s="569"/>
      <c r="AJ1755" s="569"/>
      <c r="AK1755" s="569"/>
      <c r="AL1755" s="569"/>
      <c r="AM1755" s="569"/>
      <c r="AN1755" s="589"/>
      <c r="AO1755" s="84"/>
      <c r="AP1755" s="5"/>
    </row>
    <row r="1756" spans="1:42" ht="13.5" customHeight="1" x14ac:dyDescent="0.35">
      <c r="A1756" s="4"/>
      <c r="B1756" s="614"/>
      <c r="C1756" s="71"/>
      <c r="D1756" s="71"/>
      <c r="E1756" s="71"/>
      <c r="F1756" s="71"/>
      <c r="G1756" s="71"/>
      <c r="H1756" s="87"/>
      <c r="I1756" s="71"/>
      <c r="J1756" s="71"/>
      <c r="K1756" s="71"/>
      <c r="L1756" s="87"/>
      <c r="M1756" s="71"/>
      <c r="N1756" s="71"/>
      <c r="O1756" s="71"/>
      <c r="P1756" s="311"/>
      <c r="Q1756" s="312"/>
      <c r="R1756" s="312"/>
      <c r="S1756" s="569"/>
      <c r="T1756" s="569"/>
      <c r="U1756" s="569"/>
      <c r="V1756" s="341"/>
      <c r="W1756" s="311"/>
      <c r="X1756" s="71"/>
      <c r="Y1756" s="71"/>
      <c r="Z1756" s="71"/>
      <c r="AA1756" s="456"/>
      <c r="AB1756" s="104"/>
      <c r="AC1756" s="485"/>
      <c r="AD1756" s="486"/>
      <c r="AE1756" s="485"/>
      <c r="AF1756" s="634"/>
      <c r="AG1756" s="97"/>
      <c r="AH1756" s="223"/>
      <c r="AI1756" s="569"/>
      <c r="AJ1756" s="569"/>
      <c r="AK1756" s="569"/>
      <c r="AL1756" s="569"/>
      <c r="AM1756" s="569"/>
      <c r="AN1756" s="589"/>
      <c r="AO1756" s="84"/>
      <c r="AP1756" s="5"/>
    </row>
    <row r="1757" spans="1:42" ht="13.5" customHeight="1" x14ac:dyDescent="0.35">
      <c r="A1757" s="4"/>
      <c r="B1757" s="614"/>
      <c r="C1757" s="71"/>
      <c r="D1757" s="71"/>
      <c r="E1757" s="71"/>
      <c r="F1757" s="71"/>
      <c r="G1757" s="71"/>
      <c r="H1757" s="87"/>
      <c r="I1757" s="71"/>
      <c r="J1757" s="71"/>
      <c r="K1757" s="71"/>
      <c r="L1757" s="87"/>
      <c r="M1757" s="71"/>
      <c r="N1757" s="71"/>
      <c r="O1757" s="71"/>
      <c r="P1757" s="311"/>
      <c r="Q1757" s="312"/>
      <c r="R1757" s="312"/>
      <c r="S1757" s="569"/>
      <c r="T1757" s="569"/>
      <c r="U1757" s="569"/>
      <c r="V1757" s="341"/>
      <c r="W1757" s="311"/>
      <c r="X1757" s="71"/>
      <c r="Y1757" s="71"/>
      <c r="Z1757" s="71"/>
      <c r="AA1757" s="456"/>
      <c r="AB1757" s="104"/>
      <c r="AC1757" s="485"/>
      <c r="AD1757" s="486"/>
      <c r="AE1757" s="485"/>
      <c r="AF1757" s="634"/>
      <c r="AG1757" s="97"/>
      <c r="AH1757" s="223"/>
      <c r="AI1757" s="569"/>
      <c r="AJ1757" s="569"/>
      <c r="AK1757" s="569"/>
      <c r="AL1757" s="569"/>
      <c r="AM1757" s="569"/>
      <c r="AN1757" s="589"/>
      <c r="AO1757" s="84"/>
      <c r="AP1757" s="5"/>
    </row>
    <row r="1758" spans="1:42" ht="13.5" customHeight="1" x14ac:dyDescent="0.35">
      <c r="A1758" s="4"/>
      <c r="B1758" s="614"/>
      <c r="C1758" s="71"/>
      <c r="D1758" s="71"/>
      <c r="E1758" s="71"/>
      <c r="F1758" s="71"/>
      <c r="G1758" s="71"/>
      <c r="H1758" s="87"/>
      <c r="I1758" s="71"/>
      <c r="J1758" s="71"/>
      <c r="K1758" s="71"/>
      <c r="L1758" s="87"/>
      <c r="M1758" s="71"/>
      <c r="N1758" s="71"/>
      <c r="O1758" s="71"/>
      <c r="P1758" s="311"/>
      <c r="Q1758" s="312"/>
      <c r="R1758" s="312"/>
      <c r="S1758" s="569"/>
      <c r="T1758" s="569"/>
      <c r="U1758" s="569"/>
      <c r="V1758" s="341"/>
      <c r="W1758" s="311"/>
      <c r="X1758" s="71"/>
      <c r="Y1758" s="71"/>
      <c r="Z1758" s="71"/>
      <c r="AA1758" s="456"/>
      <c r="AB1758" s="104"/>
      <c r="AC1758" s="485"/>
      <c r="AD1758" s="486"/>
      <c r="AE1758" s="485"/>
      <c r="AF1758" s="634"/>
      <c r="AG1758" s="97"/>
      <c r="AH1758" s="223"/>
      <c r="AI1758" s="569"/>
      <c r="AJ1758" s="569"/>
      <c r="AK1758" s="569"/>
      <c r="AL1758" s="569"/>
      <c r="AM1758" s="569"/>
      <c r="AN1758" s="589"/>
      <c r="AO1758" s="84"/>
      <c r="AP1758" s="5"/>
    </row>
    <row r="1759" spans="1:42" ht="13.5" customHeight="1" x14ac:dyDescent="0.35">
      <c r="A1759" s="4"/>
      <c r="B1759" s="614"/>
      <c r="C1759" s="71"/>
      <c r="D1759" s="71"/>
      <c r="E1759" s="71"/>
      <c r="F1759" s="71"/>
      <c r="G1759" s="71"/>
      <c r="H1759" s="87"/>
      <c r="I1759" s="71"/>
      <c r="J1759" s="71"/>
      <c r="K1759" s="71"/>
      <c r="L1759" s="87"/>
      <c r="M1759" s="71"/>
      <c r="N1759" s="71"/>
      <c r="O1759" s="71"/>
      <c r="P1759" s="311"/>
      <c r="Q1759" s="312"/>
      <c r="R1759" s="312"/>
      <c r="S1759" s="569"/>
      <c r="T1759" s="569"/>
      <c r="U1759" s="569"/>
      <c r="V1759" s="341"/>
      <c r="W1759" s="311"/>
      <c r="X1759" s="71"/>
      <c r="Y1759" s="71"/>
      <c r="Z1759" s="71"/>
      <c r="AA1759" s="456"/>
      <c r="AB1759" s="104"/>
      <c r="AC1759" s="485"/>
      <c r="AD1759" s="486"/>
      <c r="AE1759" s="485"/>
      <c r="AF1759" s="634"/>
      <c r="AG1759" s="97"/>
      <c r="AH1759" s="223"/>
      <c r="AI1759" s="569"/>
      <c r="AJ1759" s="569"/>
      <c r="AK1759" s="569"/>
      <c r="AL1759" s="569"/>
      <c r="AM1759" s="569"/>
      <c r="AN1759" s="589"/>
      <c r="AO1759" s="84"/>
      <c r="AP1759" s="5"/>
    </row>
    <row r="1760" spans="1:42" ht="13.5" customHeight="1" x14ac:dyDescent="0.35">
      <c r="A1760" s="4"/>
      <c r="B1760" s="614"/>
      <c r="C1760" s="71"/>
      <c r="D1760" s="71"/>
      <c r="E1760" s="71"/>
      <c r="F1760" s="71"/>
      <c r="G1760" s="71"/>
      <c r="H1760" s="87"/>
      <c r="I1760" s="71"/>
      <c r="J1760" s="71"/>
      <c r="K1760" s="71"/>
      <c r="L1760" s="87"/>
      <c r="M1760" s="71"/>
      <c r="N1760" s="71"/>
      <c r="O1760" s="71"/>
      <c r="P1760" s="311"/>
      <c r="Q1760" s="312"/>
      <c r="R1760" s="312"/>
      <c r="S1760" s="569"/>
      <c r="T1760" s="569"/>
      <c r="U1760" s="569"/>
      <c r="V1760" s="341"/>
      <c r="W1760" s="311"/>
      <c r="X1760" s="71"/>
      <c r="Y1760" s="71"/>
      <c r="Z1760" s="71"/>
      <c r="AA1760" s="456"/>
      <c r="AB1760" s="104"/>
      <c r="AC1760" s="485"/>
      <c r="AD1760" s="486"/>
      <c r="AE1760" s="485"/>
      <c r="AF1760" s="634"/>
      <c r="AG1760" s="97"/>
      <c r="AH1760" s="223"/>
      <c r="AI1760" s="569"/>
      <c r="AJ1760" s="569"/>
      <c r="AK1760" s="569"/>
      <c r="AL1760" s="569"/>
      <c r="AM1760" s="569"/>
      <c r="AN1760" s="589"/>
      <c r="AO1760" s="84"/>
      <c r="AP1760" s="5"/>
    </row>
    <row r="1761" spans="1:42" ht="13.5" customHeight="1" x14ac:dyDescent="0.35">
      <c r="A1761" s="4"/>
      <c r="B1761" s="614"/>
      <c r="C1761" s="71"/>
      <c r="D1761" s="71"/>
      <c r="E1761" s="71"/>
      <c r="F1761" s="71"/>
      <c r="G1761" s="71"/>
      <c r="H1761" s="87"/>
      <c r="I1761" s="71"/>
      <c r="J1761" s="71"/>
      <c r="K1761" s="71"/>
      <c r="L1761" s="87"/>
      <c r="M1761" s="71"/>
      <c r="N1761" s="71"/>
      <c r="O1761" s="71"/>
      <c r="P1761" s="311"/>
      <c r="Q1761" s="312"/>
      <c r="R1761" s="312"/>
      <c r="S1761" s="569"/>
      <c r="T1761" s="569"/>
      <c r="U1761" s="569"/>
      <c r="V1761" s="341"/>
      <c r="W1761" s="311"/>
      <c r="X1761" s="71"/>
      <c r="Y1761" s="71"/>
      <c r="Z1761" s="71"/>
      <c r="AA1761" s="456"/>
      <c r="AB1761" s="104"/>
      <c r="AC1761" s="485"/>
      <c r="AD1761" s="486"/>
      <c r="AE1761" s="485"/>
      <c r="AF1761" s="634"/>
      <c r="AG1761" s="97"/>
      <c r="AH1761" s="223"/>
      <c r="AI1761" s="569"/>
      <c r="AJ1761" s="569"/>
      <c r="AK1761" s="569"/>
      <c r="AL1761" s="569"/>
      <c r="AM1761" s="569"/>
      <c r="AN1761" s="589"/>
      <c r="AO1761" s="84"/>
      <c r="AP1761" s="5"/>
    </row>
    <row r="1762" spans="1:42" ht="13.5" customHeight="1" x14ac:dyDescent="0.35">
      <c r="A1762" s="4"/>
      <c r="B1762" s="614"/>
      <c r="C1762" s="71"/>
      <c r="D1762" s="71"/>
      <c r="E1762" s="71"/>
      <c r="F1762" s="71"/>
      <c r="G1762" s="71"/>
      <c r="H1762" s="87"/>
      <c r="I1762" s="71"/>
      <c r="J1762" s="71"/>
      <c r="K1762" s="71"/>
      <c r="L1762" s="87"/>
      <c r="M1762" s="71"/>
      <c r="N1762" s="71"/>
      <c r="O1762" s="71"/>
      <c r="P1762" s="311"/>
      <c r="Q1762" s="312"/>
      <c r="R1762" s="312"/>
      <c r="S1762" s="569"/>
      <c r="T1762" s="569"/>
      <c r="U1762" s="569"/>
      <c r="V1762" s="341"/>
      <c r="W1762" s="311"/>
      <c r="X1762" s="71"/>
      <c r="Y1762" s="71"/>
      <c r="Z1762" s="71"/>
      <c r="AA1762" s="456"/>
      <c r="AB1762" s="104"/>
      <c r="AC1762" s="485"/>
      <c r="AD1762" s="486"/>
      <c r="AE1762" s="485"/>
      <c r="AF1762" s="634"/>
      <c r="AG1762" s="97"/>
      <c r="AH1762" s="223"/>
      <c r="AI1762" s="569"/>
      <c r="AJ1762" s="569"/>
      <c r="AK1762" s="569"/>
      <c r="AL1762" s="569"/>
      <c r="AM1762" s="569"/>
      <c r="AN1762" s="589"/>
      <c r="AO1762" s="84"/>
      <c r="AP1762" s="5"/>
    </row>
    <row r="1763" spans="1:42" ht="13.5" customHeight="1" x14ac:dyDescent="0.35">
      <c r="A1763" s="4"/>
      <c r="B1763" s="614"/>
      <c r="C1763" s="71"/>
      <c r="D1763" s="71"/>
      <c r="E1763" s="71"/>
      <c r="F1763" s="71"/>
      <c r="G1763" s="71"/>
      <c r="H1763" s="87"/>
      <c r="I1763" s="71"/>
      <c r="J1763" s="71"/>
      <c r="K1763" s="71"/>
      <c r="L1763" s="87"/>
      <c r="M1763" s="71"/>
      <c r="N1763" s="71"/>
      <c r="O1763" s="71"/>
      <c r="P1763" s="311"/>
      <c r="Q1763" s="312"/>
      <c r="R1763" s="312"/>
      <c r="S1763" s="569"/>
      <c r="T1763" s="569"/>
      <c r="U1763" s="569"/>
      <c r="V1763" s="341"/>
      <c r="W1763" s="311"/>
      <c r="X1763" s="71"/>
      <c r="Y1763" s="71"/>
      <c r="Z1763" s="71"/>
      <c r="AA1763" s="456"/>
      <c r="AB1763" s="104"/>
      <c r="AC1763" s="485"/>
      <c r="AD1763" s="486"/>
      <c r="AE1763" s="485"/>
      <c r="AF1763" s="634"/>
      <c r="AG1763" s="97"/>
      <c r="AH1763" s="223"/>
      <c r="AI1763" s="569"/>
      <c r="AJ1763" s="569"/>
      <c r="AK1763" s="569"/>
      <c r="AL1763" s="569"/>
      <c r="AM1763" s="569"/>
      <c r="AN1763" s="589"/>
      <c r="AO1763" s="84"/>
      <c r="AP1763" s="5"/>
    </row>
    <row r="1764" spans="1:42" ht="13.5" customHeight="1" x14ac:dyDescent="0.35">
      <c r="A1764" s="4"/>
      <c r="B1764" s="614"/>
      <c r="C1764" s="71"/>
      <c r="D1764" s="71"/>
      <c r="E1764" s="71"/>
      <c r="F1764" s="71"/>
      <c r="G1764" s="71"/>
      <c r="H1764" s="87"/>
      <c r="I1764" s="71"/>
      <c r="J1764" s="71"/>
      <c r="K1764" s="71"/>
      <c r="L1764" s="87"/>
      <c r="M1764" s="71"/>
      <c r="N1764" s="71"/>
      <c r="O1764" s="71"/>
      <c r="P1764" s="311"/>
      <c r="Q1764" s="312"/>
      <c r="R1764" s="312"/>
      <c r="S1764" s="569"/>
      <c r="T1764" s="569"/>
      <c r="U1764" s="569"/>
      <c r="V1764" s="341"/>
      <c r="W1764" s="311"/>
      <c r="X1764" s="71"/>
      <c r="Y1764" s="71"/>
      <c r="Z1764" s="71"/>
      <c r="AA1764" s="456"/>
      <c r="AB1764" s="104"/>
      <c r="AC1764" s="485"/>
      <c r="AD1764" s="486"/>
      <c r="AE1764" s="485"/>
      <c r="AF1764" s="634"/>
      <c r="AG1764" s="97"/>
      <c r="AH1764" s="223"/>
      <c r="AI1764" s="569"/>
      <c r="AJ1764" s="569"/>
      <c r="AK1764" s="569"/>
      <c r="AL1764" s="569"/>
      <c r="AM1764" s="569"/>
      <c r="AN1764" s="589"/>
      <c r="AO1764" s="84"/>
      <c r="AP1764" s="5"/>
    </row>
    <row r="1765" spans="1:42" ht="13.5" customHeight="1" x14ac:dyDescent="0.35">
      <c r="A1765" s="4"/>
      <c r="B1765" s="614"/>
      <c r="C1765" s="71"/>
      <c r="D1765" s="71"/>
      <c r="E1765" s="71"/>
      <c r="F1765" s="71"/>
      <c r="G1765" s="71"/>
      <c r="H1765" s="87"/>
      <c r="I1765" s="71"/>
      <c r="J1765" s="71"/>
      <c r="K1765" s="71"/>
      <c r="L1765" s="87"/>
      <c r="M1765" s="71"/>
      <c r="N1765" s="71"/>
      <c r="O1765" s="71"/>
      <c r="P1765" s="311"/>
      <c r="Q1765" s="312"/>
      <c r="R1765" s="312"/>
      <c r="S1765" s="569"/>
      <c r="T1765" s="569"/>
      <c r="U1765" s="569"/>
      <c r="V1765" s="341"/>
      <c r="W1765" s="311"/>
      <c r="X1765" s="71"/>
      <c r="Y1765" s="71"/>
      <c r="Z1765" s="71"/>
      <c r="AA1765" s="456"/>
      <c r="AB1765" s="104"/>
      <c r="AC1765" s="485"/>
      <c r="AD1765" s="486"/>
      <c r="AE1765" s="485"/>
      <c r="AF1765" s="634"/>
      <c r="AG1765" s="97"/>
      <c r="AH1765" s="223"/>
      <c r="AI1765" s="569"/>
      <c r="AJ1765" s="569"/>
      <c r="AK1765" s="569"/>
      <c r="AL1765" s="569"/>
      <c r="AM1765" s="569"/>
      <c r="AN1765" s="589"/>
      <c r="AO1765" s="84"/>
      <c r="AP1765" s="5"/>
    </row>
    <row r="1766" spans="1:42" ht="13.5" customHeight="1" x14ac:dyDescent="0.35">
      <c r="A1766" s="4"/>
      <c r="B1766" s="614"/>
      <c r="C1766" s="71"/>
      <c r="D1766" s="71"/>
      <c r="E1766" s="71"/>
      <c r="F1766" s="71"/>
      <c r="G1766" s="71"/>
      <c r="H1766" s="87"/>
      <c r="I1766" s="71"/>
      <c r="J1766" s="71"/>
      <c r="K1766" s="71"/>
      <c r="L1766" s="87"/>
      <c r="M1766" s="71"/>
      <c r="N1766" s="71"/>
      <c r="O1766" s="71"/>
      <c r="P1766" s="311"/>
      <c r="Q1766" s="312"/>
      <c r="R1766" s="312"/>
      <c r="S1766" s="569"/>
      <c r="T1766" s="569"/>
      <c r="U1766" s="569"/>
      <c r="V1766" s="341"/>
      <c r="W1766" s="311"/>
      <c r="X1766" s="71"/>
      <c r="Y1766" s="71"/>
      <c r="Z1766" s="71"/>
      <c r="AA1766" s="456"/>
      <c r="AB1766" s="104"/>
      <c r="AC1766" s="485"/>
      <c r="AD1766" s="486"/>
      <c r="AE1766" s="485"/>
      <c r="AF1766" s="634"/>
      <c r="AG1766" s="97"/>
      <c r="AH1766" s="223"/>
      <c r="AI1766" s="569"/>
      <c r="AJ1766" s="569"/>
      <c r="AK1766" s="569"/>
      <c r="AL1766" s="569"/>
      <c r="AM1766" s="569"/>
      <c r="AN1766" s="589"/>
      <c r="AO1766" s="84"/>
      <c r="AP1766" s="5"/>
    </row>
    <row r="1767" spans="1:42" ht="13.5" customHeight="1" x14ac:dyDescent="0.35">
      <c r="A1767" s="4"/>
      <c r="B1767" s="614"/>
      <c r="C1767" s="71"/>
      <c r="D1767" s="71"/>
      <c r="E1767" s="71"/>
      <c r="F1767" s="71"/>
      <c r="G1767" s="71"/>
      <c r="H1767" s="87"/>
      <c r="I1767" s="71"/>
      <c r="J1767" s="71"/>
      <c r="K1767" s="71"/>
      <c r="L1767" s="87"/>
      <c r="M1767" s="71"/>
      <c r="N1767" s="71"/>
      <c r="O1767" s="71"/>
      <c r="P1767" s="311"/>
      <c r="Q1767" s="312"/>
      <c r="R1767" s="312"/>
      <c r="S1767" s="569"/>
      <c r="T1767" s="569"/>
      <c r="U1767" s="569"/>
      <c r="V1767" s="341"/>
      <c r="W1767" s="311"/>
      <c r="X1767" s="71"/>
      <c r="Y1767" s="71"/>
      <c r="Z1767" s="71"/>
      <c r="AA1767" s="456"/>
      <c r="AB1767" s="104"/>
      <c r="AC1767" s="485"/>
      <c r="AD1767" s="486"/>
      <c r="AE1767" s="485"/>
      <c r="AF1767" s="634"/>
      <c r="AG1767" s="97"/>
      <c r="AH1767" s="223"/>
      <c r="AI1767" s="569"/>
      <c r="AJ1767" s="569"/>
      <c r="AK1767" s="569"/>
      <c r="AL1767" s="569"/>
      <c r="AM1767" s="569"/>
      <c r="AN1767" s="589"/>
      <c r="AO1767" s="84"/>
      <c r="AP1767" s="5"/>
    </row>
    <row r="1768" spans="1:42" ht="13.5" customHeight="1" x14ac:dyDescent="0.35">
      <c r="A1768" s="4"/>
      <c r="B1768" s="614"/>
      <c r="C1768" s="71"/>
      <c r="D1768" s="71"/>
      <c r="E1768" s="71"/>
      <c r="F1768" s="71"/>
      <c r="G1768" s="71"/>
      <c r="H1768" s="87"/>
      <c r="I1768" s="71"/>
      <c r="J1768" s="71"/>
      <c r="K1768" s="71"/>
      <c r="L1768" s="87"/>
      <c r="M1768" s="71"/>
      <c r="N1768" s="71"/>
      <c r="O1768" s="71"/>
      <c r="P1768" s="311"/>
      <c r="Q1768" s="312"/>
      <c r="R1768" s="312"/>
      <c r="S1768" s="569"/>
      <c r="T1768" s="569"/>
      <c r="U1768" s="569"/>
      <c r="V1768" s="341"/>
      <c r="W1768" s="311"/>
      <c r="X1768" s="71"/>
      <c r="Y1768" s="71"/>
      <c r="Z1768" s="71"/>
      <c r="AA1768" s="456"/>
      <c r="AB1768" s="104"/>
      <c r="AC1768" s="485"/>
      <c r="AD1768" s="486"/>
      <c r="AE1768" s="485"/>
      <c r="AF1768" s="634"/>
      <c r="AG1768" s="97"/>
      <c r="AH1768" s="223"/>
      <c r="AI1768" s="569"/>
      <c r="AJ1768" s="569"/>
      <c r="AK1768" s="569"/>
      <c r="AL1768" s="569"/>
      <c r="AM1768" s="569"/>
      <c r="AN1768" s="589"/>
      <c r="AO1768" s="84"/>
      <c r="AP1768" s="5"/>
    </row>
    <row r="1769" spans="1:42" ht="13.5" customHeight="1" x14ac:dyDescent="0.35">
      <c r="A1769" s="4"/>
      <c r="B1769" s="614"/>
      <c r="C1769" s="71"/>
      <c r="D1769" s="71"/>
      <c r="E1769" s="71"/>
      <c r="F1769" s="71"/>
      <c r="G1769" s="71"/>
      <c r="H1769" s="87"/>
      <c r="I1769" s="71"/>
      <c r="J1769" s="71"/>
      <c r="K1769" s="71"/>
      <c r="L1769" s="87"/>
      <c r="M1769" s="71"/>
      <c r="N1769" s="71"/>
      <c r="O1769" s="71"/>
      <c r="P1769" s="311"/>
      <c r="Q1769" s="312"/>
      <c r="R1769" s="312"/>
      <c r="S1769" s="569"/>
      <c r="T1769" s="569"/>
      <c r="U1769" s="569"/>
      <c r="V1769" s="341"/>
      <c r="W1769" s="311"/>
      <c r="X1769" s="71"/>
      <c r="Y1769" s="71"/>
      <c r="Z1769" s="71"/>
      <c r="AA1769" s="456"/>
      <c r="AB1769" s="104"/>
      <c r="AC1769" s="485"/>
      <c r="AD1769" s="486"/>
      <c r="AE1769" s="485"/>
      <c r="AF1769" s="634"/>
      <c r="AG1769" s="97"/>
      <c r="AH1769" s="223"/>
      <c r="AI1769" s="569"/>
      <c r="AJ1769" s="569"/>
      <c r="AK1769" s="569"/>
      <c r="AL1769" s="569"/>
      <c r="AM1769" s="569"/>
      <c r="AN1769" s="589"/>
      <c r="AO1769" s="84"/>
      <c r="AP1769" s="5"/>
    </row>
    <row r="1770" spans="1:42" ht="13.5" customHeight="1" x14ac:dyDescent="0.35">
      <c r="A1770" s="4"/>
      <c r="B1770" s="614"/>
      <c r="C1770" s="71"/>
      <c r="D1770" s="71"/>
      <c r="E1770" s="71"/>
      <c r="F1770" s="71"/>
      <c r="G1770" s="71"/>
      <c r="H1770" s="87"/>
      <c r="I1770" s="71"/>
      <c r="J1770" s="71"/>
      <c r="K1770" s="71"/>
      <c r="L1770" s="87"/>
      <c r="M1770" s="71"/>
      <c r="N1770" s="71"/>
      <c r="O1770" s="71"/>
      <c r="P1770" s="311"/>
      <c r="Q1770" s="312"/>
      <c r="R1770" s="312"/>
      <c r="S1770" s="569"/>
      <c r="T1770" s="569"/>
      <c r="U1770" s="569"/>
      <c r="V1770" s="341"/>
      <c r="W1770" s="311"/>
      <c r="X1770" s="71"/>
      <c r="Y1770" s="71"/>
      <c r="Z1770" s="71"/>
      <c r="AA1770" s="456"/>
      <c r="AB1770" s="104"/>
      <c r="AC1770" s="485"/>
      <c r="AD1770" s="486"/>
      <c r="AE1770" s="485"/>
      <c r="AF1770" s="634"/>
      <c r="AG1770" s="97"/>
      <c r="AH1770" s="223"/>
      <c r="AI1770" s="569"/>
      <c r="AJ1770" s="569"/>
      <c r="AK1770" s="569"/>
      <c r="AL1770" s="569"/>
      <c r="AM1770" s="569"/>
      <c r="AN1770" s="589"/>
      <c r="AO1770" s="84"/>
      <c r="AP1770" s="5"/>
    </row>
    <row r="1771" spans="1:42" ht="13.5" customHeight="1" x14ac:dyDescent="0.35">
      <c r="A1771" s="4"/>
      <c r="B1771" s="614"/>
      <c r="C1771" s="71"/>
      <c r="D1771" s="71"/>
      <c r="E1771" s="71"/>
      <c r="F1771" s="71"/>
      <c r="G1771" s="71"/>
      <c r="H1771" s="87"/>
      <c r="I1771" s="71"/>
      <c r="J1771" s="71"/>
      <c r="K1771" s="71"/>
      <c r="L1771" s="87"/>
      <c r="M1771" s="71"/>
      <c r="N1771" s="71"/>
      <c r="O1771" s="71"/>
      <c r="P1771" s="311"/>
      <c r="Q1771" s="312"/>
      <c r="R1771" s="312"/>
      <c r="S1771" s="569"/>
      <c r="T1771" s="569"/>
      <c r="U1771" s="569"/>
      <c r="V1771" s="341"/>
      <c r="W1771" s="311"/>
      <c r="X1771" s="71"/>
      <c r="Y1771" s="71"/>
      <c r="Z1771" s="71"/>
      <c r="AA1771" s="456"/>
      <c r="AB1771" s="104"/>
      <c r="AC1771" s="485"/>
      <c r="AD1771" s="486"/>
      <c r="AE1771" s="485"/>
      <c r="AF1771" s="634"/>
      <c r="AG1771" s="97"/>
      <c r="AH1771" s="223"/>
      <c r="AI1771" s="569"/>
      <c r="AJ1771" s="569"/>
      <c r="AK1771" s="569"/>
      <c r="AL1771" s="569"/>
      <c r="AM1771" s="569"/>
      <c r="AN1771" s="589"/>
      <c r="AO1771" s="84"/>
      <c r="AP1771" s="5"/>
    </row>
    <row r="1772" spans="1:42" ht="13.5" customHeight="1" x14ac:dyDescent="0.35">
      <c r="A1772" s="4"/>
      <c r="B1772" s="614"/>
      <c r="C1772" s="71"/>
      <c r="D1772" s="71"/>
      <c r="E1772" s="71"/>
      <c r="F1772" s="71"/>
      <c r="G1772" s="71"/>
      <c r="H1772" s="87"/>
      <c r="I1772" s="71"/>
      <c r="J1772" s="71"/>
      <c r="K1772" s="71"/>
      <c r="L1772" s="87"/>
      <c r="M1772" s="71"/>
      <c r="N1772" s="71"/>
      <c r="O1772" s="71"/>
      <c r="P1772" s="311"/>
      <c r="Q1772" s="312"/>
      <c r="R1772" s="312"/>
      <c r="S1772" s="569"/>
      <c r="T1772" s="569"/>
      <c r="U1772" s="569"/>
      <c r="V1772" s="341"/>
      <c r="W1772" s="311"/>
      <c r="X1772" s="71"/>
      <c r="Y1772" s="71"/>
      <c r="Z1772" s="71"/>
      <c r="AA1772" s="456"/>
      <c r="AB1772" s="104"/>
      <c r="AC1772" s="485"/>
      <c r="AD1772" s="486"/>
      <c r="AE1772" s="485"/>
      <c r="AF1772" s="634"/>
      <c r="AG1772" s="97"/>
      <c r="AH1772" s="223"/>
      <c r="AI1772" s="569"/>
      <c r="AJ1772" s="569"/>
      <c r="AK1772" s="569"/>
      <c r="AL1772" s="569"/>
      <c r="AM1772" s="569"/>
      <c r="AN1772" s="589"/>
      <c r="AO1772" s="84"/>
      <c r="AP1772" s="5"/>
    </row>
    <row r="1773" spans="1:42" ht="13.5" customHeight="1" x14ac:dyDescent="0.35">
      <c r="A1773" s="4"/>
      <c r="B1773" s="614"/>
      <c r="C1773" s="71"/>
      <c r="D1773" s="71"/>
      <c r="E1773" s="71"/>
      <c r="F1773" s="71"/>
      <c r="G1773" s="71"/>
      <c r="H1773" s="87"/>
      <c r="I1773" s="71"/>
      <c r="J1773" s="71"/>
      <c r="K1773" s="71"/>
      <c r="L1773" s="87"/>
      <c r="M1773" s="71"/>
      <c r="N1773" s="71"/>
      <c r="O1773" s="71"/>
      <c r="P1773" s="311"/>
      <c r="Q1773" s="312"/>
      <c r="R1773" s="312"/>
      <c r="S1773" s="569"/>
      <c r="T1773" s="569"/>
      <c r="U1773" s="569"/>
      <c r="V1773" s="341"/>
      <c r="W1773" s="311"/>
      <c r="X1773" s="71"/>
      <c r="Y1773" s="71"/>
      <c r="Z1773" s="71"/>
      <c r="AA1773" s="456"/>
      <c r="AB1773" s="104"/>
      <c r="AC1773" s="485"/>
      <c r="AD1773" s="486"/>
      <c r="AE1773" s="485"/>
      <c r="AF1773" s="634"/>
      <c r="AG1773" s="97"/>
      <c r="AH1773" s="223"/>
      <c r="AI1773" s="569"/>
      <c r="AJ1773" s="569"/>
      <c r="AK1773" s="569"/>
      <c r="AL1773" s="569"/>
      <c r="AM1773" s="569"/>
      <c r="AN1773" s="589"/>
      <c r="AO1773" s="84"/>
      <c r="AP1773" s="5"/>
    </row>
    <row r="1774" spans="1:42" ht="13.5" customHeight="1" x14ac:dyDescent="0.35">
      <c r="A1774" s="4"/>
      <c r="B1774" s="614"/>
      <c r="C1774" s="71"/>
      <c r="D1774" s="71"/>
      <c r="E1774" s="71"/>
      <c r="F1774" s="71"/>
      <c r="G1774" s="71"/>
      <c r="H1774" s="87"/>
      <c r="I1774" s="71"/>
      <c r="J1774" s="71"/>
      <c r="K1774" s="71"/>
      <c r="L1774" s="87"/>
      <c r="M1774" s="71"/>
      <c r="N1774" s="71"/>
      <c r="O1774" s="71"/>
      <c r="P1774" s="311"/>
      <c r="Q1774" s="312"/>
      <c r="R1774" s="312"/>
      <c r="S1774" s="569"/>
      <c r="T1774" s="569"/>
      <c r="U1774" s="569"/>
      <c r="V1774" s="341"/>
      <c r="W1774" s="311"/>
      <c r="X1774" s="71"/>
      <c r="Y1774" s="71"/>
      <c r="Z1774" s="71"/>
      <c r="AA1774" s="456"/>
      <c r="AB1774" s="104"/>
      <c r="AC1774" s="485"/>
      <c r="AD1774" s="486"/>
      <c r="AE1774" s="485"/>
      <c r="AF1774" s="634"/>
      <c r="AG1774" s="97"/>
      <c r="AH1774" s="223"/>
      <c r="AI1774" s="569"/>
      <c r="AJ1774" s="569"/>
      <c r="AK1774" s="569"/>
      <c r="AL1774" s="569"/>
      <c r="AM1774" s="569"/>
      <c r="AN1774" s="589"/>
      <c r="AO1774" s="84"/>
      <c r="AP1774" s="5"/>
    </row>
    <row r="1775" spans="1:42" ht="13.5" customHeight="1" x14ac:dyDescent="0.35">
      <c r="A1775" s="4"/>
      <c r="B1775" s="614"/>
      <c r="C1775" s="71"/>
      <c r="D1775" s="71"/>
      <c r="E1775" s="71"/>
      <c r="F1775" s="71"/>
      <c r="G1775" s="71"/>
      <c r="H1775" s="87"/>
      <c r="I1775" s="71"/>
      <c r="J1775" s="71"/>
      <c r="K1775" s="71"/>
      <c r="L1775" s="87"/>
      <c r="M1775" s="71"/>
      <c r="N1775" s="71"/>
      <c r="O1775" s="71"/>
      <c r="P1775" s="311"/>
      <c r="Q1775" s="312"/>
      <c r="R1775" s="312"/>
      <c r="S1775" s="569"/>
      <c r="T1775" s="569"/>
      <c r="U1775" s="569"/>
      <c r="V1775" s="341"/>
      <c r="W1775" s="311"/>
      <c r="X1775" s="71"/>
      <c r="Y1775" s="71"/>
      <c r="Z1775" s="71"/>
      <c r="AA1775" s="456"/>
      <c r="AB1775" s="104"/>
      <c r="AC1775" s="485"/>
      <c r="AD1775" s="486"/>
      <c r="AE1775" s="485"/>
      <c r="AF1775" s="634"/>
      <c r="AG1775" s="97"/>
      <c r="AH1775" s="223"/>
      <c r="AI1775" s="569"/>
      <c r="AJ1775" s="569"/>
      <c r="AK1775" s="569"/>
      <c r="AL1775" s="569"/>
      <c r="AM1775" s="569"/>
      <c r="AN1775" s="589"/>
      <c r="AO1775" s="84"/>
      <c r="AP1775" s="5"/>
    </row>
    <row r="1776" spans="1:42" ht="13.5" customHeight="1" x14ac:dyDescent="0.35">
      <c r="A1776" s="4"/>
      <c r="B1776" s="614"/>
      <c r="C1776" s="71"/>
      <c r="D1776" s="71"/>
      <c r="E1776" s="71"/>
      <c r="F1776" s="71"/>
      <c r="G1776" s="71"/>
      <c r="H1776" s="87"/>
      <c r="I1776" s="71"/>
      <c r="J1776" s="71"/>
      <c r="K1776" s="71"/>
      <c r="L1776" s="87"/>
      <c r="M1776" s="71"/>
      <c r="N1776" s="71"/>
      <c r="O1776" s="71"/>
      <c r="P1776" s="311"/>
      <c r="Q1776" s="312"/>
      <c r="R1776" s="312"/>
      <c r="S1776" s="569"/>
      <c r="T1776" s="569"/>
      <c r="U1776" s="569"/>
      <c r="V1776" s="341"/>
      <c r="W1776" s="311"/>
      <c r="X1776" s="71"/>
      <c r="Y1776" s="71"/>
      <c r="Z1776" s="71"/>
      <c r="AA1776" s="456"/>
      <c r="AB1776" s="104"/>
      <c r="AC1776" s="485"/>
      <c r="AD1776" s="486"/>
      <c r="AE1776" s="485"/>
      <c r="AF1776" s="634"/>
      <c r="AG1776" s="97"/>
      <c r="AH1776" s="223"/>
      <c r="AI1776" s="569"/>
      <c r="AJ1776" s="569"/>
      <c r="AK1776" s="569"/>
      <c r="AL1776" s="569"/>
      <c r="AM1776" s="569"/>
      <c r="AN1776" s="589"/>
      <c r="AO1776" s="84"/>
      <c r="AP1776" s="5"/>
    </row>
    <row r="1777" spans="1:42" ht="13.5" customHeight="1" x14ac:dyDescent="0.35">
      <c r="A1777" s="4"/>
      <c r="B1777" s="614"/>
      <c r="C1777" s="71"/>
      <c r="D1777" s="71"/>
      <c r="E1777" s="71"/>
      <c r="F1777" s="71"/>
      <c r="G1777" s="71"/>
      <c r="H1777" s="87"/>
      <c r="I1777" s="71"/>
      <c r="J1777" s="71"/>
      <c r="K1777" s="71"/>
      <c r="L1777" s="87"/>
      <c r="M1777" s="71"/>
      <c r="N1777" s="71"/>
      <c r="O1777" s="71"/>
      <c r="P1777" s="311"/>
      <c r="Q1777" s="312"/>
      <c r="R1777" s="312"/>
      <c r="S1777" s="569"/>
      <c r="T1777" s="569"/>
      <c r="U1777" s="569"/>
      <c r="V1777" s="341"/>
      <c r="W1777" s="311"/>
      <c r="X1777" s="71"/>
      <c r="Y1777" s="71"/>
      <c r="Z1777" s="71"/>
      <c r="AA1777" s="456"/>
      <c r="AB1777" s="104"/>
      <c r="AC1777" s="485"/>
      <c r="AD1777" s="486"/>
      <c r="AE1777" s="485"/>
      <c r="AF1777" s="634"/>
      <c r="AG1777" s="97"/>
      <c r="AH1777" s="223"/>
      <c r="AI1777" s="569"/>
      <c r="AJ1777" s="569"/>
      <c r="AK1777" s="569"/>
      <c r="AL1777" s="569"/>
      <c r="AM1777" s="569"/>
      <c r="AN1777" s="589"/>
      <c r="AO1777" s="84"/>
      <c r="AP1777" s="5"/>
    </row>
    <row r="1778" spans="1:42" ht="13.5" customHeight="1" x14ac:dyDescent="0.35">
      <c r="A1778" s="4"/>
      <c r="B1778" s="614"/>
      <c r="C1778" s="71"/>
      <c r="D1778" s="71"/>
      <c r="E1778" s="71"/>
      <c r="F1778" s="71"/>
      <c r="G1778" s="71"/>
      <c r="H1778" s="87"/>
      <c r="I1778" s="71"/>
      <c r="J1778" s="71"/>
      <c r="K1778" s="71"/>
      <c r="L1778" s="87"/>
      <c r="M1778" s="71"/>
      <c r="N1778" s="71"/>
      <c r="O1778" s="71"/>
      <c r="P1778" s="311"/>
      <c r="Q1778" s="312"/>
      <c r="R1778" s="312"/>
      <c r="S1778" s="569"/>
      <c r="T1778" s="569"/>
      <c r="U1778" s="569"/>
      <c r="V1778" s="341"/>
      <c r="W1778" s="311"/>
      <c r="X1778" s="71"/>
      <c r="Y1778" s="71"/>
      <c r="Z1778" s="71"/>
      <c r="AA1778" s="456"/>
      <c r="AB1778" s="104"/>
      <c r="AC1778" s="485"/>
      <c r="AD1778" s="486"/>
      <c r="AE1778" s="485"/>
      <c r="AF1778" s="634"/>
      <c r="AG1778" s="97"/>
      <c r="AH1778" s="223"/>
      <c r="AI1778" s="569"/>
      <c r="AJ1778" s="569"/>
      <c r="AK1778" s="569"/>
      <c r="AL1778" s="569"/>
      <c r="AM1778" s="569"/>
      <c r="AN1778" s="589"/>
      <c r="AO1778" s="84"/>
      <c r="AP1778" s="5"/>
    </row>
    <row r="1779" spans="1:42" ht="13.5" customHeight="1" x14ac:dyDescent="0.35">
      <c r="A1779" s="4"/>
      <c r="B1779" s="614"/>
      <c r="C1779" s="71"/>
      <c r="D1779" s="71"/>
      <c r="E1779" s="71"/>
      <c r="F1779" s="71"/>
      <c r="G1779" s="71"/>
      <c r="H1779" s="87"/>
      <c r="I1779" s="71"/>
      <c r="J1779" s="71"/>
      <c r="K1779" s="71"/>
      <c r="L1779" s="87"/>
      <c r="M1779" s="71"/>
      <c r="N1779" s="71"/>
      <c r="O1779" s="71"/>
      <c r="P1779" s="311"/>
      <c r="Q1779" s="312"/>
      <c r="R1779" s="312"/>
      <c r="S1779" s="569"/>
      <c r="T1779" s="569"/>
      <c r="U1779" s="569"/>
      <c r="V1779" s="341"/>
      <c r="W1779" s="311"/>
      <c r="X1779" s="71"/>
      <c r="Y1779" s="71"/>
      <c r="Z1779" s="71"/>
      <c r="AA1779" s="456"/>
      <c r="AB1779" s="104"/>
      <c r="AC1779" s="485"/>
      <c r="AD1779" s="486"/>
      <c r="AE1779" s="485"/>
      <c r="AF1779" s="634"/>
      <c r="AG1779" s="97"/>
      <c r="AH1779" s="223"/>
      <c r="AI1779" s="569"/>
      <c r="AJ1779" s="569"/>
      <c r="AK1779" s="569"/>
      <c r="AL1779" s="569"/>
      <c r="AM1779" s="569"/>
      <c r="AN1779" s="589"/>
      <c r="AO1779" s="84"/>
      <c r="AP1779" s="5"/>
    </row>
    <row r="1780" spans="1:42" ht="13.5" customHeight="1" x14ac:dyDescent="0.35">
      <c r="A1780" s="4"/>
      <c r="B1780" s="614"/>
      <c r="C1780" s="71"/>
      <c r="D1780" s="71"/>
      <c r="E1780" s="71"/>
      <c r="F1780" s="71"/>
      <c r="G1780" s="71"/>
      <c r="H1780" s="87"/>
      <c r="I1780" s="71"/>
      <c r="J1780" s="71"/>
      <c r="K1780" s="71"/>
      <c r="L1780" s="87"/>
      <c r="M1780" s="71"/>
      <c r="N1780" s="71"/>
      <c r="O1780" s="71"/>
      <c r="P1780" s="311"/>
      <c r="Q1780" s="312"/>
      <c r="R1780" s="312"/>
      <c r="S1780" s="569"/>
      <c r="T1780" s="569"/>
      <c r="U1780" s="569"/>
      <c r="V1780" s="341"/>
      <c r="W1780" s="311"/>
      <c r="X1780" s="71"/>
      <c r="Y1780" s="71"/>
      <c r="Z1780" s="71"/>
      <c r="AA1780" s="456"/>
      <c r="AB1780" s="104"/>
      <c r="AC1780" s="485"/>
      <c r="AD1780" s="486"/>
      <c r="AE1780" s="485"/>
      <c r="AF1780" s="634"/>
      <c r="AG1780" s="97"/>
      <c r="AH1780" s="223"/>
      <c r="AI1780" s="569"/>
      <c r="AJ1780" s="569"/>
      <c r="AK1780" s="569"/>
      <c r="AL1780" s="569"/>
      <c r="AM1780" s="569"/>
      <c r="AN1780" s="589"/>
      <c r="AO1780" s="84"/>
      <c r="AP1780" s="5"/>
    </row>
    <row r="1781" spans="1:42" ht="13.5" customHeight="1" x14ac:dyDescent="0.35">
      <c r="A1781" s="4"/>
      <c r="B1781" s="614"/>
      <c r="C1781" s="71"/>
      <c r="D1781" s="71"/>
      <c r="E1781" s="71"/>
      <c r="F1781" s="71"/>
      <c r="G1781" s="71"/>
      <c r="H1781" s="87"/>
      <c r="I1781" s="71"/>
      <c r="J1781" s="71"/>
      <c r="K1781" s="71"/>
      <c r="L1781" s="87"/>
      <c r="M1781" s="71"/>
      <c r="N1781" s="71"/>
      <c r="O1781" s="71"/>
      <c r="P1781" s="311"/>
      <c r="Q1781" s="312"/>
      <c r="R1781" s="312"/>
      <c r="S1781" s="569"/>
      <c r="T1781" s="569"/>
      <c r="U1781" s="569"/>
      <c r="V1781" s="341"/>
      <c r="W1781" s="311"/>
      <c r="X1781" s="71"/>
      <c r="Y1781" s="71"/>
      <c r="Z1781" s="71"/>
      <c r="AA1781" s="456"/>
      <c r="AB1781" s="104"/>
      <c r="AC1781" s="485"/>
      <c r="AD1781" s="486"/>
      <c r="AE1781" s="485"/>
      <c r="AF1781" s="634"/>
      <c r="AG1781" s="97"/>
      <c r="AH1781" s="223"/>
      <c r="AI1781" s="569"/>
      <c r="AJ1781" s="569"/>
      <c r="AK1781" s="569"/>
      <c r="AL1781" s="569"/>
      <c r="AM1781" s="569"/>
      <c r="AN1781" s="589"/>
      <c r="AO1781" s="84"/>
      <c r="AP1781" s="5"/>
    </row>
    <row r="1782" spans="1:42" ht="13.5" customHeight="1" x14ac:dyDescent="0.35">
      <c r="A1782" s="4"/>
      <c r="B1782" s="614"/>
      <c r="C1782" s="71"/>
      <c r="D1782" s="71"/>
      <c r="E1782" s="71"/>
      <c r="F1782" s="71"/>
      <c r="G1782" s="71"/>
      <c r="H1782" s="87"/>
      <c r="I1782" s="71"/>
      <c r="J1782" s="71"/>
      <c r="K1782" s="71"/>
      <c r="L1782" s="87"/>
      <c r="M1782" s="71"/>
      <c r="N1782" s="71"/>
      <c r="O1782" s="71"/>
      <c r="P1782" s="311"/>
      <c r="Q1782" s="312"/>
      <c r="R1782" s="312"/>
      <c r="S1782" s="569"/>
      <c r="T1782" s="569"/>
      <c r="U1782" s="569"/>
      <c r="V1782" s="341"/>
      <c r="W1782" s="311"/>
      <c r="X1782" s="71"/>
      <c r="Y1782" s="71"/>
      <c r="Z1782" s="71"/>
      <c r="AA1782" s="456"/>
      <c r="AB1782" s="104"/>
      <c r="AC1782" s="485"/>
      <c r="AD1782" s="486"/>
      <c r="AE1782" s="485"/>
      <c r="AF1782" s="634"/>
      <c r="AG1782" s="97"/>
      <c r="AH1782" s="223"/>
      <c r="AI1782" s="569"/>
      <c r="AJ1782" s="569"/>
      <c r="AK1782" s="569"/>
      <c r="AL1782" s="569"/>
      <c r="AM1782" s="569"/>
      <c r="AN1782" s="589"/>
      <c r="AO1782" s="84"/>
      <c r="AP1782" s="5"/>
    </row>
    <row r="1783" spans="1:42" ht="13.5" customHeight="1" x14ac:dyDescent="0.35">
      <c r="A1783" s="4"/>
      <c r="B1783" s="614"/>
      <c r="C1783" s="71"/>
      <c r="D1783" s="71"/>
      <c r="E1783" s="71"/>
      <c r="F1783" s="71"/>
      <c r="G1783" s="71"/>
      <c r="H1783" s="87"/>
      <c r="I1783" s="71"/>
      <c r="J1783" s="71"/>
      <c r="K1783" s="71"/>
      <c r="L1783" s="87"/>
      <c r="M1783" s="71"/>
      <c r="N1783" s="71"/>
      <c r="O1783" s="71"/>
      <c r="P1783" s="311"/>
      <c r="Q1783" s="312"/>
      <c r="R1783" s="312"/>
      <c r="S1783" s="569"/>
      <c r="T1783" s="569"/>
      <c r="U1783" s="569"/>
      <c r="V1783" s="341"/>
      <c r="W1783" s="311"/>
      <c r="X1783" s="71"/>
      <c r="Y1783" s="71"/>
      <c r="Z1783" s="71"/>
      <c r="AA1783" s="456"/>
      <c r="AB1783" s="104"/>
      <c r="AC1783" s="485"/>
      <c r="AD1783" s="486"/>
      <c r="AE1783" s="485"/>
      <c r="AF1783" s="634"/>
      <c r="AG1783" s="97"/>
      <c r="AH1783" s="223"/>
      <c r="AI1783" s="569"/>
      <c r="AJ1783" s="569"/>
      <c r="AK1783" s="569"/>
      <c r="AL1783" s="569"/>
      <c r="AM1783" s="569"/>
      <c r="AN1783" s="589"/>
      <c r="AO1783" s="84"/>
      <c r="AP1783" s="5"/>
    </row>
    <row r="1784" spans="1:42" ht="13.5" customHeight="1" x14ac:dyDescent="0.35">
      <c r="A1784" s="4"/>
      <c r="B1784" s="614"/>
      <c r="C1784" s="71"/>
      <c r="D1784" s="71"/>
      <c r="E1784" s="71"/>
      <c r="F1784" s="71"/>
      <c r="G1784" s="71"/>
      <c r="H1784" s="87"/>
      <c r="I1784" s="71"/>
      <c r="J1784" s="71"/>
      <c r="K1784" s="71"/>
      <c r="L1784" s="87"/>
      <c r="M1784" s="71"/>
      <c r="N1784" s="71"/>
      <c r="O1784" s="71"/>
      <c r="P1784" s="311"/>
      <c r="Q1784" s="312"/>
      <c r="R1784" s="312"/>
      <c r="S1784" s="569"/>
      <c r="T1784" s="569"/>
      <c r="U1784" s="569"/>
      <c r="V1784" s="341"/>
      <c r="W1784" s="311"/>
      <c r="X1784" s="71"/>
      <c r="Y1784" s="71"/>
      <c r="Z1784" s="71"/>
      <c r="AA1784" s="456"/>
      <c r="AB1784" s="104"/>
      <c r="AC1784" s="485"/>
      <c r="AD1784" s="486"/>
      <c r="AE1784" s="485"/>
      <c r="AF1784" s="634"/>
      <c r="AG1784" s="97"/>
      <c r="AH1784" s="223"/>
      <c r="AI1784" s="569"/>
      <c r="AJ1784" s="569"/>
      <c r="AK1784" s="569"/>
      <c r="AL1784" s="569"/>
      <c r="AM1784" s="569"/>
      <c r="AN1784" s="589"/>
      <c r="AO1784" s="84"/>
      <c r="AP1784" s="5"/>
    </row>
    <row r="1785" spans="1:42" ht="13.5" customHeight="1" x14ac:dyDescent="0.35">
      <c r="A1785" s="4"/>
      <c r="B1785" s="614"/>
      <c r="C1785" s="71"/>
      <c r="D1785" s="71"/>
      <c r="E1785" s="71"/>
      <c r="F1785" s="71"/>
      <c r="G1785" s="71"/>
      <c r="H1785" s="87"/>
      <c r="I1785" s="71"/>
      <c r="J1785" s="71"/>
      <c r="K1785" s="71"/>
      <c r="L1785" s="87"/>
      <c r="M1785" s="71"/>
      <c r="N1785" s="71"/>
      <c r="O1785" s="71"/>
      <c r="P1785" s="311"/>
      <c r="Q1785" s="312"/>
      <c r="R1785" s="312"/>
      <c r="S1785" s="569"/>
      <c r="T1785" s="569"/>
      <c r="U1785" s="569"/>
      <c r="V1785" s="341"/>
      <c r="W1785" s="311"/>
      <c r="X1785" s="71"/>
      <c r="Y1785" s="71"/>
      <c r="Z1785" s="71"/>
      <c r="AA1785" s="456"/>
      <c r="AB1785" s="104"/>
      <c r="AC1785" s="485"/>
      <c r="AD1785" s="486"/>
      <c r="AE1785" s="485"/>
      <c r="AF1785" s="634"/>
      <c r="AG1785" s="97"/>
      <c r="AH1785" s="223"/>
      <c r="AI1785" s="569"/>
      <c r="AJ1785" s="569"/>
      <c r="AK1785" s="569"/>
      <c r="AL1785" s="569"/>
      <c r="AM1785" s="569"/>
      <c r="AN1785" s="589"/>
      <c r="AO1785" s="84"/>
      <c r="AP1785" s="5"/>
    </row>
    <row r="1786" spans="1:42" ht="13.5" customHeight="1" x14ac:dyDescent="0.35">
      <c r="A1786" s="4"/>
      <c r="B1786" s="614"/>
      <c r="C1786" s="71"/>
      <c r="D1786" s="71"/>
      <c r="E1786" s="71"/>
      <c r="F1786" s="71"/>
      <c r="G1786" s="71"/>
      <c r="H1786" s="87"/>
      <c r="I1786" s="71"/>
      <c r="J1786" s="71"/>
      <c r="K1786" s="71"/>
      <c r="L1786" s="87"/>
      <c r="M1786" s="71"/>
      <c r="N1786" s="71"/>
      <c r="O1786" s="71"/>
      <c r="P1786" s="311"/>
      <c r="Q1786" s="312"/>
      <c r="R1786" s="312"/>
      <c r="S1786" s="569"/>
      <c r="T1786" s="569"/>
      <c r="U1786" s="569"/>
      <c r="V1786" s="341"/>
      <c r="W1786" s="311"/>
      <c r="X1786" s="71"/>
      <c r="Y1786" s="71"/>
      <c r="Z1786" s="71"/>
      <c r="AA1786" s="456"/>
      <c r="AB1786" s="104"/>
      <c r="AC1786" s="485"/>
      <c r="AD1786" s="486"/>
      <c r="AE1786" s="485"/>
      <c r="AF1786" s="634"/>
      <c r="AG1786" s="97"/>
      <c r="AH1786" s="223"/>
      <c r="AI1786" s="569"/>
      <c r="AJ1786" s="569"/>
      <c r="AK1786" s="569"/>
      <c r="AL1786" s="569"/>
      <c r="AM1786" s="569"/>
      <c r="AN1786" s="589"/>
      <c r="AO1786" s="84"/>
      <c r="AP1786" s="5"/>
    </row>
    <row r="1787" spans="1:42" ht="13.5" customHeight="1" x14ac:dyDescent="0.35">
      <c r="A1787" s="4"/>
      <c r="B1787" s="614"/>
      <c r="C1787" s="71"/>
      <c r="D1787" s="71"/>
      <c r="E1787" s="71"/>
      <c r="F1787" s="71"/>
      <c r="G1787" s="71"/>
      <c r="H1787" s="87"/>
      <c r="I1787" s="71"/>
      <c r="J1787" s="71"/>
      <c r="K1787" s="71"/>
      <c r="L1787" s="87"/>
      <c r="M1787" s="71"/>
      <c r="N1787" s="71"/>
      <c r="O1787" s="71"/>
      <c r="P1787" s="311"/>
      <c r="Q1787" s="312"/>
      <c r="R1787" s="312"/>
      <c r="S1787" s="569"/>
      <c r="T1787" s="569"/>
      <c r="U1787" s="569"/>
      <c r="V1787" s="341"/>
      <c r="W1787" s="311"/>
      <c r="X1787" s="71"/>
      <c r="Y1787" s="71"/>
      <c r="Z1787" s="71"/>
      <c r="AA1787" s="456"/>
      <c r="AB1787" s="104"/>
      <c r="AC1787" s="485"/>
      <c r="AD1787" s="486"/>
      <c r="AE1787" s="485"/>
      <c r="AF1787" s="634"/>
      <c r="AG1787" s="97"/>
      <c r="AH1787" s="223"/>
      <c r="AI1787" s="569"/>
      <c r="AJ1787" s="569"/>
      <c r="AK1787" s="569"/>
      <c r="AL1787" s="569"/>
      <c r="AM1787" s="569"/>
      <c r="AN1787" s="589"/>
      <c r="AO1787" s="84"/>
      <c r="AP1787" s="5"/>
    </row>
    <row r="1788" spans="1:42" ht="13.5" customHeight="1" x14ac:dyDescent="0.35">
      <c r="A1788" s="4"/>
      <c r="B1788" s="614"/>
      <c r="C1788" s="71"/>
      <c r="D1788" s="71"/>
      <c r="E1788" s="71"/>
      <c r="F1788" s="71"/>
      <c r="G1788" s="71"/>
      <c r="H1788" s="87"/>
      <c r="I1788" s="71"/>
      <c r="J1788" s="71"/>
      <c r="K1788" s="71"/>
      <c r="L1788" s="87"/>
      <c r="M1788" s="71"/>
      <c r="N1788" s="71"/>
      <c r="O1788" s="71"/>
      <c r="P1788" s="311"/>
      <c r="Q1788" s="312"/>
      <c r="R1788" s="312"/>
      <c r="S1788" s="569"/>
      <c r="T1788" s="569"/>
      <c r="U1788" s="569"/>
      <c r="V1788" s="341"/>
      <c r="W1788" s="311"/>
      <c r="X1788" s="71"/>
      <c r="Y1788" s="71"/>
      <c r="Z1788" s="71"/>
      <c r="AA1788" s="456"/>
      <c r="AB1788" s="104"/>
      <c r="AC1788" s="485"/>
      <c r="AD1788" s="486"/>
      <c r="AE1788" s="485"/>
      <c r="AF1788" s="634"/>
      <c r="AG1788" s="97"/>
      <c r="AH1788" s="223"/>
      <c r="AI1788" s="569"/>
      <c r="AJ1788" s="569"/>
      <c r="AK1788" s="569"/>
      <c r="AL1788" s="569"/>
      <c r="AM1788" s="569"/>
      <c r="AN1788" s="589"/>
      <c r="AO1788" s="84"/>
      <c r="AP1788" s="5"/>
    </row>
    <row r="1789" spans="1:42" ht="13.5" customHeight="1" x14ac:dyDescent="0.35">
      <c r="A1789" s="4"/>
      <c r="B1789" s="614"/>
      <c r="C1789" s="71"/>
      <c r="D1789" s="71"/>
      <c r="E1789" s="71"/>
      <c r="F1789" s="71"/>
      <c r="G1789" s="71"/>
      <c r="H1789" s="87"/>
      <c r="I1789" s="71"/>
      <c r="J1789" s="71"/>
      <c r="K1789" s="71"/>
      <c r="L1789" s="87"/>
      <c r="M1789" s="71"/>
      <c r="N1789" s="71"/>
      <c r="O1789" s="71"/>
      <c r="P1789" s="311"/>
      <c r="Q1789" s="312"/>
      <c r="R1789" s="312"/>
      <c r="S1789" s="569"/>
      <c r="T1789" s="569"/>
      <c r="U1789" s="569"/>
      <c r="V1789" s="341"/>
      <c r="W1789" s="311"/>
      <c r="X1789" s="71"/>
      <c r="Y1789" s="71"/>
      <c r="Z1789" s="71"/>
      <c r="AA1789" s="456"/>
      <c r="AB1789" s="104"/>
      <c r="AC1789" s="485"/>
      <c r="AD1789" s="486"/>
      <c r="AE1789" s="485"/>
      <c r="AF1789" s="634"/>
      <c r="AG1789" s="97"/>
      <c r="AH1789" s="223"/>
      <c r="AI1789" s="569"/>
      <c r="AJ1789" s="569"/>
      <c r="AK1789" s="569"/>
      <c r="AL1789" s="569"/>
      <c r="AM1789" s="569"/>
      <c r="AN1789" s="589"/>
      <c r="AO1789" s="84"/>
      <c r="AP1789" s="5"/>
    </row>
    <row r="1790" spans="1:42" ht="13.5" customHeight="1" x14ac:dyDescent="0.35">
      <c r="A1790" s="4"/>
      <c r="B1790" s="614"/>
      <c r="C1790" s="71"/>
      <c r="D1790" s="71"/>
      <c r="E1790" s="71"/>
      <c r="F1790" s="71"/>
      <c r="G1790" s="71"/>
      <c r="H1790" s="87"/>
      <c r="I1790" s="71"/>
      <c r="J1790" s="71"/>
      <c r="K1790" s="71"/>
      <c r="L1790" s="87"/>
      <c r="M1790" s="71"/>
      <c r="N1790" s="71"/>
      <c r="O1790" s="71"/>
      <c r="P1790" s="311"/>
      <c r="Q1790" s="312"/>
      <c r="R1790" s="312"/>
      <c r="S1790" s="569"/>
      <c r="T1790" s="569"/>
      <c r="U1790" s="569"/>
      <c r="V1790" s="341"/>
      <c r="W1790" s="311"/>
      <c r="X1790" s="71"/>
      <c r="Y1790" s="71"/>
      <c r="Z1790" s="71"/>
      <c r="AA1790" s="456"/>
      <c r="AB1790" s="104"/>
      <c r="AC1790" s="485"/>
      <c r="AD1790" s="486"/>
      <c r="AE1790" s="485"/>
      <c r="AF1790" s="634"/>
      <c r="AG1790" s="97"/>
      <c r="AH1790" s="223"/>
      <c r="AI1790" s="569"/>
      <c r="AJ1790" s="569"/>
      <c r="AK1790" s="569"/>
      <c r="AL1790" s="569"/>
      <c r="AM1790" s="569"/>
      <c r="AN1790" s="589"/>
      <c r="AO1790" s="84"/>
      <c r="AP1790" s="5"/>
    </row>
    <row r="1791" spans="1:42" ht="13.5" customHeight="1" x14ac:dyDescent="0.35">
      <c r="A1791" s="4"/>
      <c r="B1791" s="614"/>
      <c r="C1791" s="71"/>
      <c r="D1791" s="71"/>
      <c r="E1791" s="71"/>
      <c r="F1791" s="71"/>
      <c r="G1791" s="71"/>
      <c r="H1791" s="87"/>
      <c r="I1791" s="71"/>
      <c r="J1791" s="71"/>
      <c r="K1791" s="71"/>
      <c r="L1791" s="87"/>
      <c r="M1791" s="71"/>
      <c r="N1791" s="71"/>
      <c r="O1791" s="71"/>
      <c r="P1791" s="311"/>
      <c r="Q1791" s="312"/>
      <c r="R1791" s="312"/>
      <c r="S1791" s="569"/>
      <c r="T1791" s="569"/>
      <c r="U1791" s="569"/>
      <c r="V1791" s="341"/>
      <c r="W1791" s="311"/>
      <c r="X1791" s="71"/>
      <c r="Y1791" s="71"/>
      <c r="Z1791" s="71"/>
      <c r="AA1791" s="456"/>
      <c r="AB1791" s="104"/>
      <c r="AC1791" s="485"/>
      <c r="AD1791" s="486"/>
      <c r="AE1791" s="485"/>
      <c r="AF1791" s="634"/>
      <c r="AG1791" s="97"/>
      <c r="AH1791" s="223"/>
      <c r="AI1791" s="569"/>
      <c r="AJ1791" s="569"/>
      <c r="AK1791" s="569"/>
      <c r="AL1791" s="569"/>
      <c r="AM1791" s="569"/>
      <c r="AN1791" s="589"/>
      <c r="AO1791" s="84"/>
      <c r="AP1791" s="5"/>
    </row>
    <row r="1792" spans="1:42" ht="13.5" customHeight="1" x14ac:dyDescent="0.35">
      <c r="A1792" s="4"/>
      <c r="B1792" s="614"/>
      <c r="C1792" s="71"/>
      <c r="D1792" s="71"/>
      <c r="E1792" s="71"/>
      <c r="F1792" s="71"/>
      <c r="G1792" s="71"/>
      <c r="H1792" s="87"/>
      <c r="I1792" s="71"/>
      <c r="J1792" s="71"/>
      <c r="K1792" s="71"/>
      <c r="L1792" s="87"/>
      <c r="M1792" s="71"/>
      <c r="N1792" s="71"/>
      <c r="O1792" s="71"/>
      <c r="P1792" s="311"/>
      <c r="Q1792" s="312"/>
      <c r="R1792" s="312"/>
      <c r="S1792" s="569"/>
      <c r="T1792" s="569"/>
      <c r="U1792" s="569"/>
      <c r="V1792" s="341"/>
      <c r="W1792" s="311"/>
      <c r="X1792" s="71"/>
      <c r="Y1792" s="71"/>
      <c r="Z1792" s="71"/>
      <c r="AA1792" s="456"/>
      <c r="AB1792" s="104"/>
      <c r="AC1792" s="485"/>
      <c r="AD1792" s="486"/>
      <c r="AE1792" s="485"/>
      <c r="AF1792" s="634"/>
      <c r="AG1792" s="97"/>
      <c r="AH1792" s="223"/>
      <c r="AI1792" s="569"/>
      <c r="AJ1792" s="569"/>
      <c r="AK1792" s="569"/>
      <c r="AL1792" s="569"/>
      <c r="AM1792" s="569"/>
      <c r="AN1792" s="589"/>
      <c r="AO1792" s="84"/>
      <c r="AP1792" s="5"/>
    </row>
    <row r="1793" spans="1:42" ht="13.5" customHeight="1" x14ac:dyDescent="0.35">
      <c r="A1793" s="4"/>
      <c r="B1793" s="614"/>
      <c r="C1793" s="71"/>
      <c r="D1793" s="71"/>
      <c r="E1793" s="71"/>
      <c r="F1793" s="71"/>
      <c r="G1793" s="71"/>
      <c r="H1793" s="87"/>
      <c r="I1793" s="71"/>
      <c r="J1793" s="71"/>
      <c r="K1793" s="71"/>
      <c r="L1793" s="87"/>
      <c r="M1793" s="71"/>
      <c r="N1793" s="71"/>
      <c r="O1793" s="71"/>
      <c r="P1793" s="311"/>
      <c r="Q1793" s="312"/>
      <c r="R1793" s="312"/>
      <c r="S1793" s="569"/>
      <c r="T1793" s="569"/>
      <c r="U1793" s="569"/>
      <c r="V1793" s="341"/>
      <c r="W1793" s="311"/>
      <c r="X1793" s="71"/>
      <c r="Y1793" s="71"/>
      <c r="Z1793" s="71"/>
      <c r="AA1793" s="456"/>
      <c r="AB1793" s="104"/>
      <c r="AC1793" s="485"/>
      <c r="AD1793" s="486"/>
      <c r="AE1793" s="485"/>
      <c r="AF1793" s="634"/>
      <c r="AG1793" s="97"/>
      <c r="AH1793" s="223"/>
      <c r="AI1793" s="569"/>
      <c r="AJ1793" s="569"/>
      <c r="AK1793" s="569"/>
      <c r="AL1793" s="569"/>
      <c r="AM1793" s="569"/>
      <c r="AN1793" s="589"/>
      <c r="AO1793" s="84"/>
      <c r="AP1793" s="5"/>
    </row>
    <row r="1794" spans="1:42" ht="13.5" customHeight="1" x14ac:dyDescent="0.35">
      <c r="A1794" s="4"/>
      <c r="B1794" s="614"/>
      <c r="C1794" s="71"/>
      <c r="D1794" s="71"/>
      <c r="E1794" s="71"/>
      <c r="F1794" s="71"/>
      <c r="G1794" s="71"/>
      <c r="H1794" s="87"/>
      <c r="I1794" s="71"/>
      <c r="J1794" s="71"/>
      <c r="K1794" s="71"/>
      <c r="L1794" s="87"/>
      <c r="M1794" s="71"/>
      <c r="N1794" s="71"/>
      <c r="O1794" s="71"/>
      <c r="P1794" s="311"/>
      <c r="Q1794" s="312"/>
      <c r="R1794" s="312"/>
      <c r="S1794" s="569"/>
      <c r="T1794" s="569"/>
      <c r="U1794" s="569"/>
      <c r="V1794" s="341"/>
      <c r="W1794" s="311"/>
      <c r="X1794" s="71"/>
      <c r="Y1794" s="71"/>
      <c r="Z1794" s="71"/>
      <c r="AA1794" s="456"/>
      <c r="AB1794" s="104"/>
      <c r="AC1794" s="485"/>
      <c r="AD1794" s="486"/>
      <c r="AE1794" s="485"/>
      <c r="AF1794" s="634"/>
      <c r="AG1794" s="97"/>
      <c r="AH1794" s="223"/>
      <c r="AI1794" s="569"/>
      <c r="AJ1794" s="569"/>
      <c r="AK1794" s="569"/>
      <c r="AL1794" s="569"/>
      <c r="AM1794" s="569"/>
      <c r="AN1794" s="589"/>
      <c r="AO1794" s="84"/>
      <c r="AP1794" s="5"/>
    </row>
    <row r="1795" spans="1:42" ht="13.5" customHeight="1" x14ac:dyDescent="0.35">
      <c r="A1795" s="4"/>
      <c r="B1795" s="614"/>
      <c r="C1795" s="71"/>
      <c r="D1795" s="71"/>
      <c r="E1795" s="71"/>
      <c r="F1795" s="71"/>
      <c r="G1795" s="71"/>
      <c r="H1795" s="87"/>
      <c r="I1795" s="71"/>
      <c r="J1795" s="71"/>
      <c r="K1795" s="71"/>
      <c r="L1795" s="87"/>
      <c r="M1795" s="71"/>
      <c r="N1795" s="71"/>
      <c r="O1795" s="71"/>
      <c r="P1795" s="311"/>
      <c r="Q1795" s="312"/>
      <c r="R1795" s="312"/>
      <c r="S1795" s="569"/>
      <c r="T1795" s="569"/>
      <c r="U1795" s="569"/>
      <c r="V1795" s="341"/>
      <c r="W1795" s="311"/>
      <c r="X1795" s="71"/>
      <c r="Y1795" s="71"/>
      <c r="Z1795" s="71"/>
      <c r="AA1795" s="456"/>
      <c r="AB1795" s="104"/>
      <c r="AC1795" s="485"/>
      <c r="AD1795" s="486"/>
      <c r="AE1795" s="485"/>
      <c r="AF1795" s="634"/>
      <c r="AG1795" s="97"/>
      <c r="AH1795" s="223"/>
      <c r="AI1795" s="569"/>
      <c r="AJ1795" s="569"/>
      <c r="AK1795" s="569"/>
      <c r="AL1795" s="569"/>
      <c r="AM1795" s="569"/>
      <c r="AN1795" s="589"/>
      <c r="AO1795" s="84"/>
      <c r="AP1795" s="5"/>
    </row>
    <row r="1796" spans="1:42" ht="13.5" customHeight="1" x14ac:dyDescent="0.35">
      <c r="A1796" s="4"/>
      <c r="B1796" s="614"/>
      <c r="C1796" s="71"/>
      <c r="D1796" s="71"/>
      <c r="E1796" s="71"/>
      <c r="F1796" s="71"/>
      <c r="G1796" s="71"/>
      <c r="H1796" s="87"/>
      <c r="I1796" s="71"/>
      <c r="J1796" s="71"/>
      <c r="K1796" s="71"/>
      <c r="L1796" s="87"/>
      <c r="M1796" s="71"/>
      <c r="N1796" s="71"/>
      <c r="O1796" s="71"/>
      <c r="P1796" s="311"/>
      <c r="Q1796" s="312"/>
      <c r="R1796" s="312"/>
      <c r="S1796" s="569"/>
      <c r="T1796" s="569"/>
      <c r="U1796" s="569"/>
      <c r="V1796" s="341"/>
      <c r="W1796" s="311"/>
      <c r="X1796" s="71"/>
      <c r="Y1796" s="71"/>
      <c r="Z1796" s="71"/>
      <c r="AA1796" s="456"/>
      <c r="AB1796" s="104"/>
      <c r="AC1796" s="485"/>
      <c r="AD1796" s="486"/>
      <c r="AE1796" s="485"/>
      <c r="AF1796" s="634"/>
      <c r="AG1796" s="97"/>
      <c r="AH1796" s="223"/>
      <c r="AI1796" s="569"/>
      <c r="AJ1796" s="569"/>
      <c r="AK1796" s="569"/>
      <c r="AL1796" s="569"/>
      <c r="AM1796" s="569"/>
      <c r="AN1796" s="589"/>
      <c r="AO1796" s="84"/>
      <c r="AP1796" s="5"/>
    </row>
    <row r="1797" spans="1:42" ht="13.5" customHeight="1" x14ac:dyDescent="0.35">
      <c r="A1797" s="4"/>
      <c r="B1797" s="614"/>
      <c r="C1797" s="71"/>
      <c r="D1797" s="71"/>
      <c r="E1797" s="71"/>
      <c r="F1797" s="71"/>
      <c r="G1797" s="71"/>
      <c r="H1797" s="87"/>
      <c r="I1797" s="71"/>
      <c r="J1797" s="71"/>
      <c r="K1797" s="71"/>
      <c r="L1797" s="87"/>
      <c r="M1797" s="71"/>
      <c r="N1797" s="71"/>
      <c r="O1797" s="71"/>
      <c r="P1797" s="311"/>
      <c r="Q1797" s="312"/>
      <c r="R1797" s="312"/>
      <c r="S1797" s="569"/>
      <c r="T1797" s="569"/>
      <c r="U1797" s="569"/>
      <c r="V1797" s="341"/>
      <c r="W1797" s="311"/>
      <c r="X1797" s="71"/>
      <c r="Y1797" s="71"/>
      <c r="Z1797" s="71"/>
      <c r="AA1797" s="456"/>
      <c r="AB1797" s="104"/>
      <c r="AC1797" s="485"/>
      <c r="AD1797" s="486"/>
      <c r="AE1797" s="485"/>
      <c r="AF1797" s="634"/>
      <c r="AG1797" s="97"/>
      <c r="AH1797" s="223"/>
      <c r="AI1797" s="569"/>
      <c r="AJ1797" s="569"/>
      <c r="AK1797" s="569"/>
      <c r="AL1797" s="569"/>
      <c r="AM1797" s="569"/>
      <c r="AN1797" s="589"/>
      <c r="AO1797" s="84"/>
      <c r="AP1797" s="5"/>
    </row>
    <row r="1798" spans="1:42" ht="13.5" customHeight="1" x14ac:dyDescent="0.35">
      <c r="A1798" s="4"/>
      <c r="B1798" s="614"/>
      <c r="C1798" s="71"/>
      <c r="D1798" s="71"/>
      <c r="E1798" s="71"/>
      <c r="F1798" s="71"/>
      <c r="G1798" s="71"/>
      <c r="H1798" s="87"/>
      <c r="I1798" s="71"/>
      <c r="J1798" s="71"/>
      <c r="K1798" s="71"/>
      <c r="L1798" s="87"/>
      <c r="M1798" s="71"/>
      <c r="N1798" s="71"/>
      <c r="O1798" s="71"/>
      <c r="P1798" s="311"/>
      <c r="Q1798" s="312"/>
      <c r="R1798" s="312"/>
      <c r="S1798" s="569"/>
      <c r="T1798" s="569"/>
      <c r="U1798" s="569"/>
      <c r="V1798" s="341"/>
      <c r="W1798" s="311"/>
      <c r="X1798" s="71"/>
      <c r="Y1798" s="71"/>
      <c r="Z1798" s="71"/>
      <c r="AA1798" s="456"/>
      <c r="AB1798" s="104"/>
      <c r="AC1798" s="485"/>
      <c r="AD1798" s="486"/>
      <c r="AE1798" s="485"/>
      <c r="AF1798" s="634"/>
      <c r="AG1798" s="97"/>
      <c r="AH1798" s="223"/>
      <c r="AI1798" s="569"/>
      <c r="AJ1798" s="569"/>
      <c r="AK1798" s="569"/>
      <c r="AL1798" s="569"/>
      <c r="AM1798" s="569"/>
      <c r="AN1798" s="589"/>
      <c r="AO1798" s="84"/>
      <c r="AP1798" s="5"/>
    </row>
    <row r="1799" spans="1:42" ht="13.5" customHeight="1" x14ac:dyDescent="0.35">
      <c r="A1799" s="4"/>
      <c r="B1799" s="614"/>
      <c r="C1799" s="71"/>
      <c r="D1799" s="71"/>
      <c r="E1799" s="71"/>
      <c r="F1799" s="71"/>
      <c r="G1799" s="71"/>
      <c r="H1799" s="87"/>
      <c r="I1799" s="71"/>
      <c r="J1799" s="71"/>
      <c r="K1799" s="71"/>
      <c r="L1799" s="87"/>
      <c r="M1799" s="71"/>
      <c r="N1799" s="71"/>
      <c r="O1799" s="71"/>
      <c r="P1799" s="311"/>
      <c r="Q1799" s="312"/>
      <c r="R1799" s="312"/>
      <c r="S1799" s="569"/>
      <c r="T1799" s="569"/>
      <c r="U1799" s="569"/>
      <c r="V1799" s="341"/>
      <c r="W1799" s="311"/>
      <c r="X1799" s="71"/>
      <c r="Y1799" s="71"/>
      <c r="Z1799" s="71"/>
      <c r="AA1799" s="456"/>
      <c r="AB1799" s="104"/>
      <c r="AC1799" s="485"/>
      <c r="AD1799" s="486"/>
      <c r="AE1799" s="485"/>
      <c r="AF1799" s="634"/>
      <c r="AG1799" s="97"/>
      <c r="AH1799" s="223"/>
      <c r="AI1799" s="569"/>
      <c r="AJ1799" s="569"/>
      <c r="AK1799" s="569"/>
      <c r="AL1799" s="569"/>
      <c r="AM1799" s="569"/>
      <c r="AN1799" s="589"/>
      <c r="AO1799" s="84"/>
      <c r="AP1799" s="5"/>
    </row>
    <row r="1800" spans="1:42" ht="13.5" customHeight="1" x14ac:dyDescent="0.35">
      <c r="A1800" s="4"/>
      <c r="B1800" s="614"/>
      <c r="C1800" s="71"/>
      <c r="D1800" s="71"/>
      <c r="E1800" s="71"/>
      <c r="F1800" s="71"/>
      <c r="G1800" s="71"/>
      <c r="H1800" s="87"/>
      <c r="I1800" s="71"/>
      <c r="J1800" s="71"/>
      <c r="K1800" s="71"/>
      <c r="L1800" s="87"/>
      <c r="M1800" s="71"/>
      <c r="N1800" s="71"/>
      <c r="O1800" s="71"/>
      <c r="P1800" s="311"/>
      <c r="Q1800" s="312"/>
      <c r="R1800" s="312"/>
      <c r="S1800" s="569"/>
      <c r="T1800" s="569"/>
      <c r="U1800" s="569"/>
      <c r="V1800" s="341"/>
      <c r="W1800" s="311"/>
      <c r="X1800" s="71"/>
      <c r="Y1800" s="71"/>
      <c r="Z1800" s="71"/>
      <c r="AA1800" s="456"/>
      <c r="AB1800" s="104"/>
      <c r="AC1800" s="485"/>
      <c r="AD1800" s="486"/>
      <c r="AE1800" s="485"/>
      <c r="AF1800" s="634"/>
      <c r="AG1800" s="97"/>
      <c r="AH1800" s="223"/>
      <c r="AI1800" s="569"/>
      <c r="AJ1800" s="569"/>
      <c r="AK1800" s="569"/>
      <c r="AL1800" s="569"/>
      <c r="AM1800" s="569"/>
      <c r="AN1800" s="589"/>
      <c r="AO1800" s="84"/>
      <c r="AP1800" s="5"/>
    </row>
    <row r="1801" spans="1:42" ht="13.5" customHeight="1" x14ac:dyDescent="0.35">
      <c r="A1801" s="4"/>
      <c r="B1801" s="614"/>
      <c r="C1801" s="71"/>
      <c r="D1801" s="71"/>
      <c r="E1801" s="71"/>
      <c r="F1801" s="71"/>
      <c r="G1801" s="71"/>
      <c r="H1801" s="87"/>
      <c r="I1801" s="71"/>
      <c r="J1801" s="71"/>
      <c r="K1801" s="71"/>
      <c r="L1801" s="87"/>
      <c r="M1801" s="71"/>
      <c r="N1801" s="71"/>
      <c r="O1801" s="71"/>
      <c r="P1801" s="311"/>
      <c r="Q1801" s="312"/>
      <c r="R1801" s="312"/>
      <c r="S1801" s="569"/>
      <c r="T1801" s="569"/>
      <c r="U1801" s="569"/>
      <c r="V1801" s="341"/>
      <c r="W1801" s="311"/>
      <c r="X1801" s="71"/>
      <c r="Y1801" s="71"/>
      <c r="Z1801" s="71"/>
      <c r="AA1801" s="456"/>
      <c r="AB1801" s="104"/>
      <c r="AC1801" s="485"/>
      <c r="AD1801" s="486"/>
      <c r="AE1801" s="485"/>
      <c r="AF1801" s="634"/>
      <c r="AG1801" s="97"/>
      <c r="AH1801" s="223"/>
      <c r="AI1801" s="569"/>
      <c r="AJ1801" s="569"/>
      <c r="AK1801" s="569"/>
      <c r="AL1801" s="569"/>
      <c r="AM1801" s="569"/>
      <c r="AN1801" s="589"/>
      <c r="AO1801" s="84"/>
      <c r="AP1801" s="5"/>
    </row>
    <row r="1802" spans="1:42" ht="13.5" customHeight="1" x14ac:dyDescent="0.35">
      <c r="A1802" s="4"/>
      <c r="B1802" s="614"/>
      <c r="C1802" s="71"/>
      <c r="D1802" s="71"/>
      <c r="E1802" s="71"/>
      <c r="F1802" s="71"/>
      <c r="G1802" s="71"/>
      <c r="H1802" s="87"/>
      <c r="I1802" s="71"/>
      <c r="J1802" s="71"/>
      <c r="K1802" s="71"/>
      <c r="L1802" s="87"/>
      <c r="M1802" s="71"/>
      <c r="N1802" s="71"/>
      <c r="O1802" s="71"/>
      <c r="P1802" s="311"/>
      <c r="Q1802" s="312"/>
      <c r="R1802" s="312"/>
      <c r="S1802" s="569"/>
      <c r="T1802" s="569"/>
      <c r="U1802" s="569"/>
      <c r="V1802" s="341"/>
      <c r="W1802" s="311"/>
      <c r="X1802" s="71"/>
      <c r="Y1802" s="71"/>
      <c r="Z1802" s="71"/>
      <c r="AA1802" s="456"/>
      <c r="AB1802" s="104"/>
      <c r="AC1802" s="485"/>
      <c r="AD1802" s="486"/>
      <c r="AE1802" s="485"/>
      <c r="AF1802" s="634"/>
      <c r="AG1802" s="97"/>
      <c r="AH1802" s="223"/>
      <c r="AI1802" s="569"/>
      <c r="AJ1802" s="569"/>
      <c r="AK1802" s="569"/>
      <c r="AL1802" s="569"/>
      <c r="AM1802" s="569"/>
      <c r="AN1802" s="589"/>
      <c r="AO1802" s="84"/>
      <c r="AP1802" s="5"/>
    </row>
    <row r="1803" spans="1:42" ht="13.5" customHeight="1" x14ac:dyDescent="0.35">
      <c r="A1803" s="4"/>
      <c r="B1803" s="614"/>
      <c r="C1803" s="71"/>
      <c r="D1803" s="71"/>
      <c r="E1803" s="71"/>
      <c r="F1803" s="71"/>
      <c r="G1803" s="71"/>
      <c r="H1803" s="87"/>
      <c r="I1803" s="71"/>
      <c r="J1803" s="71"/>
      <c r="K1803" s="71"/>
      <c r="L1803" s="87"/>
      <c r="M1803" s="71"/>
      <c r="N1803" s="71"/>
      <c r="O1803" s="71"/>
      <c r="P1803" s="311"/>
      <c r="Q1803" s="312"/>
      <c r="R1803" s="312"/>
      <c r="S1803" s="569"/>
      <c r="T1803" s="569"/>
      <c r="U1803" s="569"/>
      <c r="V1803" s="341"/>
      <c r="W1803" s="311"/>
      <c r="X1803" s="71"/>
      <c r="Y1803" s="71"/>
      <c r="Z1803" s="71"/>
      <c r="AA1803" s="456"/>
      <c r="AB1803" s="104"/>
      <c r="AC1803" s="485"/>
      <c r="AD1803" s="486"/>
      <c r="AE1803" s="485"/>
      <c r="AF1803" s="634"/>
      <c r="AG1803" s="97"/>
      <c r="AH1803" s="223"/>
      <c r="AI1803" s="569"/>
      <c r="AJ1803" s="569"/>
      <c r="AK1803" s="569"/>
      <c r="AL1803" s="569"/>
      <c r="AM1803" s="569"/>
      <c r="AN1803" s="589"/>
      <c r="AO1803" s="84"/>
      <c r="AP1803" s="5"/>
    </row>
    <row r="1804" spans="1:42" ht="13.5" customHeight="1" x14ac:dyDescent="0.35">
      <c r="A1804" s="4"/>
      <c r="B1804" s="614"/>
      <c r="C1804" s="71"/>
      <c r="D1804" s="71"/>
      <c r="E1804" s="71"/>
      <c r="F1804" s="71"/>
      <c r="G1804" s="71"/>
      <c r="H1804" s="87"/>
      <c r="I1804" s="71"/>
      <c r="J1804" s="71"/>
      <c r="K1804" s="71"/>
      <c r="L1804" s="87"/>
      <c r="M1804" s="71"/>
      <c r="N1804" s="71"/>
      <c r="O1804" s="71"/>
      <c r="P1804" s="311"/>
      <c r="Q1804" s="312"/>
      <c r="R1804" s="312"/>
      <c r="S1804" s="569"/>
      <c r="T1804" s="569"/>
      <c r="U1804" s="569"/>
      <c r="V1804" s="341"/>
      <c r="W1804" s="311"/>
      <c r="X1804" s="71"/>
      <c r="Y1804" s="71"/>
      <c r="Z1804" s="71"/>
      <c r="AA1804" s="456"/>
      <c r="AB1804" s="104"/>
      <c r="AC1804" s="485"/>
      <c r="AD1804" s="486"/>
      <c r="AE1804" s="485"/>
      <c r="AF1804" s="634"/>
      <c r="AG1804" s="97"/>
      <c r="AH1804" s="223"/>
      <c r="AI1804" s="569"/>
      <c r="AJ1804" s="569"/>
      <c r="AK1804" s="569"/>
      <c r="AL1804" s="569"/>
      <c r="AM1804" s="569"/>
      <c r="AN1804" s="589"/>
      <c r="AO1804" s="84"/>
      <c r="AP1804" s="5"/>
    </row>
    <row r="1805" spans="1:42" ht="13.5" customHeight="1" x14ac:dyDescent="0.35">
      <c r="A1805" s="4"/>
      <c r="B1805" s="614"/>
      <c r="C1805" s="71"/>
      <c r="D1805" s="71"/>
      <c r="E1805" s="71"/>
      <c r="F1805" s="71"/>
      <c r="G1805" s="71"/>
      <c r="H1805" s="87"/>
      <c r="I1805" s="71"/>
      <c r="J1805" s="71"/>
      <c r="K1805" s="71"/>
      <c r="L1805" s="87"/>
      <c r="M1805" s="71"/>
      <c r="N1805" s="71"/>
      <c r="O1805" s="71"/>
      <c r="P1805" s="311"/>
      <c r="Q1805" s="312"/>
      <c r="R1805" s="312"/>
      <c r="S1805" s="569"/>
      <c r="T1805" s="569"/>
      <c r="U1805" s="569"/>
      <c r="V1805" s="341"/>
      <c r="W1805" s="311"/>
      <c r="X1805" s="71"/>
      <c r="Y1805" s="71"/>
      <c r="Z1805" s="71"/>
      <c r="AA1805" s="456"/>
      <c r="AB1805" s="104"/>
      <c r="AC1805" s="485"/>
      <c r="AD1805" s="486"/>
      <c r="AE1805" s="485"/>
      <c r="AF1805" s="634"/>
      <c r="AG1805" s="97"/>
      <c r="AH1805" s="223"/>
      <c r="AI1805" s="569"/>
      <c r="AJ1805" s="569"/>
      <c r="AK1805" s="569"/>
      <c r="AL1805" s="569"/>
      <c r="AM1805" s="569"/>
      <c r="AN1805" s="589"/>
      <c r="AO1805" s="84"/>
      <c r="AP1805" s="5"/>
    </row>
    <row r="1806" spans="1:42" ht="13.5" customHeight="1" x14ac:dyDescent="0.35">
      <c r="A1806" s="4"/>
      <c r="B1806" s="614"/>
      <c r="C1806" s="71"/>
      <c r="D1806" s="71"/>
      <c r="E1806" s="71"/>
      <c r="F1806" s="71"/>
      <c r="G1806" s="71"/>
      <c r="H1806" s="87"/>
      <c r="I1806" s="71"/>
      <c r="J1806" s="71"/>
      <c r="K1806" s="71"/>
      <c r="L1806" s="87"/>
      <c r="M1806" s="71"/>
      <c r="N1806" s="71"/>
      <c r="O1806" s="71"/>
      <c r="P1806" s="311"/>
      <c r="Q1806" s="312"/>
      <c r="R1806" s="312"/>
      <c r="S1806" s="569"/>
      <c r="T1806" s="569"/>
      <c r="U1806" s="569"/>
      <c r="V1806" s="341"/>
      <c r="W1806" s="311"/>
      <c r="X1806" s="71"/>
      <c r="Y1806" s="71"/>
      <c r="Z1806" s="71"/>
      <c r="AA1806" s="456"/>
      <c r="AB1806" s="104"/>
      <c r="AC1806" s="485"/>
      <c r="AD1806" s="486"/>
      <c r="AE1806" s="485"/>
      <c r="AF1806" s="634"/>
      <c r="AG1806" s="97"/>
      <c r="AH1806" s="223"/>
      <c r="AI1806" s="569"/>
      <c r="AJ1806" s="569"/>
      <c r="AK1806" s="569"/>
      <c r="AL1806" s="569"/>
      <c r="AM1806" s="569"/>
      <c r="AN1806" s="589"/>
      <c r="AO1806" s="84"/>
      <c r="AP1806" s="5"/>
    </row>
    <row r="1807" spans="1:42" ht="13.5" customHeight="1" x14ac:dyDescent="0.35">
      <c r="A1807" s="4"/>
      <c r="B1807" s="614"/>
      <c r="C1807" s="71"/>
      <c r="D1807" s="71"/>
      <c r="E1807" s="71"/>
      <c r="F1807" s="71"/>
      <c r="G1807" s="71"/>
      <c r="H1807" s="87"/>
      <c r="I1807" s="71"/>
      <c r="J1807" s="71"/>
      <c r="K1807" s="71"/>
      <c r="L1807" s="87"/>
      <c r="M1807" s="71"/>
      <c r="N1807" s="71"/>
      <c r="O1807" s="71"/>
      <c r="P1807" s="311"/>
      <c r="Q1807" s="312"/>
      <c r="R1807" s="312"/>
      <c r="S1807" s="569"/>
      <c r="T1807" s="569"/>
      <c r="U1807" s="569"/>
      <c r="V1807" s="341"/>
      <c r="W1807" s="311"/>
      <c r="X1807" s="71"/>
      <c r="Y1807" s="71"/>
      <c r="Z1807" s="71"/>
      <c r="AA1807" s="456"/>
      <c r="AB1807" s="104"/>
      <c r="AC1807" s="485"/>
      <c r="AD1807" s="486"/>
      <c r="AE1807" s="485"/>
      <c r="AF1807" s="634"/>
      <c r="AG1807" s="97"/>
      <c r="AH1807" s="223"/>
      <c r="AI1807" s="569"/>
      <c r="AJ1807" s="569"/>
      <c r="AK1807" s="569"/>
      <c r="AL1807" s="569"/>
      <c r="AM1807" s="569"/>
      <c r="AN1807" s="589"/>
      <c r="AO1807" s="84"/>
      <c r="AP1807" s="5"/>
    </row>
    <row r="1808" spans="1:42" ht="13.5" customHeight="1" x14ac:dyDescent="0.35">
      <c r="A1808" s="4"/>
      <c r="B1808" s="614"/>
      <c r="C1808" s="71"/>
      <c r="D1808" s="71"/>
      <c r="E1808" s="71"/>
      <c r="F1808" s="71"/>
      <c r="G1808" s="71"/>
      <c r="H1808" s="87"/>
      <c r="I1808" s="71"/>
      <c r="J1808" s="71"/>
      <c r="K1808" s="71"/>
      <c r="L1808" s="87"/>
      <c r="M1808" s="71"/>
      <c r="N1808" s="71"/>
      <c r="O1808" s="71"/>
      <c r="P1808" s="311"/>
      <c r="Q1808" s="312"/>
      <c r="R1808" s="312"/>
      <c r="S1808" s="569"/>
      <c r="T1808" s="569"/>
      <c r="U1808" s="569"/>
      <c r="V1808" s="341"/>
      <c r="W1808" s="311"/>
      <c r="X1808" s="71"/>
      <c r="Y1808" s="71"/>
      <c r="Z1808" s="71"/>
      <c r="AA1808" s="456"/>
      <c r="AB1808" s="104"/>
      <c r="AC1808" s="485"/>
      <c r="AD1808" s="486"/>
      <c r="AE1808" s="485"/>
      <c r="AF1808" s="634"/>
      <c r="AG1808" s="97"/>
      <c r="AH1808" s="223"/>
      <c r="AI1808" s="569"/>
      <c r="AJ1808" s="569"/>
      <c r="AK1808" s="569"/>
      <c r="AL1808" s="569"/>
      <c r="AM1808" s="569"/>
      <c r="AN1808" s="589"/>
      <c r="AO1808" s="84"/>
      <c r="AP1808" s="5"/>
    </row>
    <row r="1809" spans="1:42" ht="13.5" customHeight="1" x14ac:dyDescent="0.35">
      <c r="A1809" s="4"/>
      <c r="B1809" s="614"/>
      <c r="C1809" s="71"/>
      <c r="D1809" s="71"/>
      <c r="E1809" s="71"/>
      <c r="F1809" s="71"/>
      <c r="G1809" s="71"/>
      <c r="H1809" s="87"/>
      <c r="I1809" s="71"/>
      <c r="J1809" s="71"/>
      <c r="K1809" s="71"/>
      <c r="L1809" s="87"/>
      <c r="M1809" s="71"/>
      <c r="N1809" s="71"/>
      <c r="O1809" s="71"/>
      <c r="P1809" s="311"/>
      <c r="Q1809" s="312"/>
      <c r="R1809" s="312"/>
      <c r="S1809" s="569"/>
      <c r="T1809" s="569"/>
      <c r="U1809" s="569"/>
      <c r="V1809" s="341"/>
      <c r="W1809" s="311"/>
      <c r="X1809" s="71"/>
      <c r="Y1809" s="71"/>
      <c r="Z1809" s="71"/>
      <c r="AA1809" s="456"/>
      <c r="AB1809" s="104"/>
      <c r="AC1809" s="485"/>
      <c r="AD1809" s="486"/>
      <c r="AE1809" s="485"/>
      <c r="AF1809" s="634"/>
      <c r="AG1809" s="97"/>
      <c r="AH1809" s="223"/>
      <c r="AI1809" s="569"/>
      <c r="AJ1809" s="569"/>
      <c r="AK1809" s="569"/>
      <c r="AL1809" s="569"/>
      <c r="AM1809" s="569"/>
      <c r="AN1809" s="589"/>
      <c r="AO1809" s="84"/>
      <c r="AP1809" s="5"/>
    </row>
    <row r="1810" spans="1:42" ht="13.5" customHeight="1" x14ac:dyDescent="0.35">
      <c r="A1810" s="4"/>
      <c r="B1810" s="614"/>
      <c r="C1810" s="71"/>
      <c r="D1810" s="71"/>
      <c r="E1810" s="71"/>
      <c r="F1810" s="71"/>
      <c r="G1810" s="71"/>
      <c r="H1810" s="87"/>
      <c r="I1810" s="71"/>
      <c r="J1810" s="71"/>
      <c r="K1810" s="71"/>
      <c r="L1810" s="87"/>
      <c r="M1810" s="71"/>
      <c r="N1810" s="71"/>
      <c r="O1810" s="71"/>
      <c r="P1810" s="311"/>
      <c r="Q1810" s="312"/>
      <c r="R1810" s="312"/>
      <c r="S1810" s="569"/>
      <c r="T1810" s="569"/>
      <c r="U1810" s="569"/>
      <c r="V1810" s="341"/>
      <c r="W1810" s="311"/>
      <c r="X1810" s="71"/>
      <c r="Y1810" s="71"/>
      <c r="Z1810" s="71"/>
      <c r="AA1810" s="456"/>
      <c r="AB1810" s="104"/>
      <c r="AC1810" s="485"/>
      <c r="AD1810" s="486"/>
      <c r="AE1810" s="485"/>
      <c r="AF1810" s="634"/>
      <c r="AG1810" s="97"/>
      <c r="AH1810" s="223"/>
      <c r="AI1810" s="569"/>
      <c r="AJ1810" s="569"/>
      <c r="AK1810" s="569"/>
      <c r="AL1810" s="569"/>
      <c r="AM1810" s="569"/>
      <c r="AN1810" s="589"/>
      <c r="AO1810" s="84"/>
      <c r="AP1810" s="5"/>
    </row>
    <row r="1811" spans="1:42" ht="13.5" customHeight="1" x14ac:dyDescent="0.35">
      <c r="A1811" s="4"/>
      <c r="B1811" s="614"/>
      <c r="C1811" s="71"/>
      <c r="D1811" s="71"/>
      <c r="E1811" s="71"/>
      <c r="F1811" s="71"/>
      <c r="G1811" s="71"/>
      <c r="H1811" s="87"/>
      <c r="I1811" s="71"/>
      <c r="J1811" s="71"/>
      <c r="K1811" s="71"/>
      <c r="L1811" s="87"/>
      <c r="M1811" s="71"/>
      <c r="N1811" s="71"/>
      <c r="O1811" s="71"/>
      <c r="P1811" s="311"/>
      <c r="Q1811" s="312"/>
      <c r="R1811" s="312"/>
      <c r="S1811" s="569"/>
      <c r="T1811" s="569"/>
      <c r="U1811" s="569"/>
      <c r="V1811" s="341"/>
      <c r="W1811" s="311"/>
      <c r="X1811" s="71"/>
      <c r="Y1811" s="71"/>
      <c r="Z1811" s="71"/>
      <c r="AA1811" s="456"/>
      <c r="AB1811" s="104"/>
      <c r="AC1811" s="485"/>
      <c r="AD1811" s="486"/>
      <c r="AE1811" s="485"/>
      <c r="AF1811" s="634"/>
      <c r="AG1811" s="97"/>
      <c r="AH1811" s="223"/>
      <c r="AI1811" s="569"/>
      <c r="AJ1811" s="569"/>
      <c r="AK1811" s="569"/>
      <c r="AL1811" s="569"/>
      <c r="AM1811" s="569"/>
      <c r="AN1811" s="589"/>
      <c r="AO1811" s="84"/>
      <c r="AP1811" s="5"/>
    </row>
    <row r="1812" spans="1:42" ht="13.5" customHeight="1" x14ac:dyDescent="0.35">
      <c r="A1812" s="4"/>
      <c r="B1812" s="614"/>
      <c r="C1812" s="71"/>
      <c r="D1812" s="71"/>
      <c r="E1812" s="71"/>
      <c r="F1812" s="71"/>
      <c r="G1812" s="71"/>
      <c r="H1812" s="87"/>
      <c r="I1812" s="71"/>
      <c r="J1812" s="71"/>
      <c r="K1812" s="71"/>
      <c r="L1812" s="87"/>
      <c r="M1812" s="71"/>
      <c r="N1812" s="71"/>
      <c r="O1812" s="71"/>
      <c r="P1812" s="311"/>
      <c r="Q1812" s="312"/>
      <c r="R1812" s="312"/>
      <c r="S1812" s="569"/>
      <c r="T1812" s="569"/>
      <c r="U1812" s="569"/>
      <c r="V1812" s="341"/>
      <c r="W1812" s="311"/>
      <c r="X1812" s="71"/>
      <c r="Y1812" s="71"/>
      <c r="Z1812" s="71"/>
      <c r="AA1812" s="456"/>
      <c r="AB1812" s="104"/>
      <c r="AC1812" s="485"/>
      <c r="AD1812" s="486"/>
      <c r="AE1812" s="485"/>
      <c r="AF1812" s="634"/>
      <c r="AG1812" s="97"/>
      <c r="AH1812" s="223"/>
      <c r="AI1812" s="569"/>
      <c r="AJ1812" s="569"/>
      <c r="AK1812" s="569"/>
      <c r="AL1812" s="569"/>
      <c r="AM1812" s="569"/>
      <c r="AN1812" s="589"/>
      <c r="AO1812" s="84"/>
      <c r="AP1812" s="5"/>
    </row>
    <row r="1813" spans="1:42" ht="13.5" customHeight="1" x14ac:dyDescent="0.35">
      <c r="A1813" s="4"/>
      <c r="B1813" s="614"/>
      <c r="C1813" s="71"/>
      <c r="D1813" s="71"/>
      <c r="E1813" s="71"/>
      <c r="F1813" s="71"/>
      <c r="G1813" s="71"/>
      <c r="H1813" s="87"/>
      <c r="I1813" s="71"/>
      <c r="J1813" s="71"/>
      <c r="K1813" s="71"/>
      <c r="L1813" s="87"/>
      <c r="M1813" s="71"/>
      <c r="N1813" s="71"/>
      <c r="O1813" s="71"/>
      <c r="P1813" s="311"/>
      <c r="Q1813" s="312"/>
      <c r="R1813" s="312"/>
      <c r="S1813" s="569"/>
      <c r="T1813" s="569"/>
      <c r="U1813" s="569"/>
      <c r="V1813" s="341"/>
      <c r="W1813" s="311"/>
      <c r="X1813" s="71"/>
      <c r="Y1813" s="71"/>
      <c r="Z1813" s="71"/>
      <c r="AA1813" s="456"/>
      <c r="AB1813" s="104"/>
      <c r="AC1813" s="485"/>
      <c r="AD1813" s="486"/>
      <c r="AE1813" s="485"/>
      <c r="AF1813" s="634"/>
      <c r="AG1813" s="97"/>
      <c r="AH1813" s="223"/>
      <c r="AI1813" s="569"/>
      <c r="AJ1813" s="569"/>
      <c r="AK1813" s="569"/>
      <c r="AL1813" s="569"/>
      <c r="AM1813" s="569"/>
      <c r="AN1813" s="589"/>
      <c r="AO1813" s="84"/>
      <c r="AP1813" s="5"/>
    </row>
    <row r="1814" spans="1:42" ht="13.5" customHeight="1" x14ac:dyDescent="0.35">
      <c r="A1814" s="4"/>
      <c r="B1814" s="614"/>
      <c r="C1814" s="71"/>
      <c r="D1814" s="71"/>
      <c r="E1814" s="71"/>
      <c r="F1814" s="71"/>
      <c r="G1814" s="71"/>
      <c r="H1814" s="87"/>
      <c r="I1814" s="71"/>
      <c r="J1814" s="71"/>
      <c r="K1814" s="71"/>
      <c r="L1814" s="87"/>
      <c r="M1814" s="71"/>
      <c r="N1814" s="71"/>
      <c r="O1814" s="71"/>
      <c r="P1814" s="311"/>
      <c r="Q1814" s="312"/>
      <c r="R1814" s="312"/>
      <c r="S1814" s="569"/>
      <c r="T1814" s="569"/>
      <c r="U1814" s="569"/>
      <c r="V1814" s="341"/>
      <c r="W1814" s="311"/>
      <c r="X1814" s="71"/>
      <c r="Y1814" s="71"/>
      <c r="Z1814" s="71"/>
      <c r="AA1814" s="456"/>
      <c r="AB1814" s="104"/>
      <c r="AC1814" s="485"/>
      <c r="AD1814" s="486"/>
      <c r="AE1814" s="485"/>
      <c r="AF1814" s="634"/>
      <c r="AG1814" s="97"/>
      <c r="AH1814" s="223"/>
      <c r="AI1814" s="569"/>
      <c r="AJ1814" s="569"/>
      <c r="AK1814" s="569"/>
      <c r="AL1814" s="569"/>
      <c r="AM1814" s="569"/>
      <c r="AN1814" s="589"/>
      <c r="AO1814" s="84"/>
      <c r="AP1814" s="5"/>
    </row>
    <row r="1815" spans="1:42" ht="13.5" customHeight="1" x14ac:dyDescent="0.35">
      <c r="A1815" s="4"/>
      <c r="B1815" s="614"/>
      <c r="C1815" s="71"/>
      <c r="D1815" s="71"/>
      <c r="E1815" s="71"/>
      <c r="F1815" s="71"/>
      <c r="G1815" s="71"/>
      <c r="H1815" s="87"/>
      <c r="I1815" s="71"/>
      <c r="J1815" s="71"/>
      <c r="K1815" s="71"/>
      <c r="L1815" s="87"/>
      <c r="M1815" s="71"/>
      <c r="N1815" s="71"/>
      <c r="O1815" s="71"/>
      <c r="P1815" s="311"/>
      <c r="Q1815" s="312"/>
      <c r="R1815" s="312"/>
      <c r="S1815" s="569"/>
      <c r="T1815" s="569"/>
      <c r="U1815" s="569"/>
      <c r="V1815" s="341"/>
      <c r="W1815" s="311"/>
      <c r="X1815" s="71"/>
      <c r="Y1815" s="71"/>
      <c r="Z1815" s="71"/>
      <c r="AA1815" s="456"/>
      <c r="AB1815" s="104"/>
      <c r="AC1815" s="485"/>
      <c r="AD1815" s="486"/>
      <c r="AE1815" s="485"/>
      <c r="AF1815" s="634"/>
      <c r="AG1815" s="97"/>
      <c r="AH1815" s="223"/>
      <c r="AI1815" s="569"/>
      <c r="AJ1815" s="569"/>
      <c r="AK1815" s="569"/>
      <c r="AL1815" s="569"/>
      <c r="AM1815" s="569"/>
      <c r="AN1815" s="589"/>
      <c r="AO1815" s="84"/>
      <c r="AP1815" s="5"/>
    </row>
    <row r="1816" spans="1:42" ht="13.5" customHeight="1" x14ac:dyDescent="0.35">
      <c r="A1816" s="4"/>
      <c r="B1816" s="614"/>
      <c r="C1816" s="71"/>
      <c r="D1816" s="71"/>
      <c r="E1816" s="71"/>
      <c r="F1816" s="71"/>
      <c r="G1816" s="71"/>
      <c r="H1816" s="87"/>
      <c r="I1816" s="71"/>
      <c r="J1816" s="71"/>
      <c r="K1816" s="71"/>
      <c r="L1816" s="87"/>
      <c r="M1816" s="71"/>
      <c r="N1816" s="71"/>
      <c r="O1816" s="71"/>
      <c r="P1816" s="311"/>
      <c r="Q1816" s="312"/>
      <c r="R1816" s="312"/>
      <c r="S1816" s="569"/>
      <c r="T1816" s="569"/>
      <c r="U1816" s="569"/>
      <c r="V1816" s="341"/>
      <c r="W1816" s="311"/>
      <c r="X1816" s="71"/>
      <c r="Y1816" s="71"/>
      <c r="Z1816" s="71"/>
      <c r="AA1816" s="456"/>
      <c r="AB1816" s="104"/>
      <c r="AC1816" s="485"/>
      <c r="AD1816" s="486"/>
      <c r="AE1816" s="485"/>
      <c r="AF1816" s="634"/>
      <c r="AG1816" s="97"/>
      <c r="AH1816" s="223"/>
      <c r="AI1816" s="569"/>
      <c r="AJ1816" s="569"/>
      <c r="AK1816" s="569"/>
      <c r="AL1816" s="569"/>
      <c r="AM1816" s="569"/>
      <c r="AN1816" s="589"/>
      <c r="AO1816" s="84"/>
      <c r="AP1816" s="5"/>
    </row>
    <row r="1817" spans="1:42" ht="13.5" customHeight="1" x14ac:dyDescent="0.35">
      <c r="A1817" s="4"/>
      <c r="B1817" s="614"/>
      <c r="C1817" s="71"/>
      <c r="D1817" s="71"/>
      <c r="E1817" s="71"/>
      <c r="F1817" s="71"/>
      <c r="G1817" s="71"/>
      <c r="H1817" s="87"/>
      <c r="I1817" s="71"/>
      <c r="J1817" s="71"/>
      <c r="K1817" s="71"/>
      <c r="L1817" s="87"/>
      <c r="M1817" s="71"/>
      <c r="N1817" s="71"/>
      <c r="O1817" s="71"/>
      <c r="P1817" s="311"/>
      <c r="Q1817" s="312"/>
      <c r="R1817" s="312"/>
      <c r="S1817" s="569"/>
      <c r="T1817" s="569"/>
      <c r="U1817" s="569"/>
      <c r="V1817" s="341"/>
      <c r="W1817" s="311"/>
      <c r="X1817" s="71"/>
      <c r="Y1817" s="71"/>
      <c r="Z1817" s="71"/>
      <c r="AA1817" s="456"/>
      <c r="AB1817" s="104"/>
      <c r="AC1817" s="485"/>
      <c r="AD1817" s="486"/>
      <c r="AE1817" s="485"/>
      <c r="AF1817" s="634"/>
      <c r="AG1817" s="97"/>
      <c r="AH1817" s="223"/>
      <c r="AI1817" s="569"/>
      <c r="AJ1817" s="569"/>
      <c r="AK1817" s="569"/>
      <c r="AL1817" s="569"/>
      <c r="AM1817" s="569"/>
      <c r="AN1817" s="589"/>
      <c r="AO1817" s="84"/>
      <c r="AP1817" s="5"/>
    </row>
    <row r="1818" spans="1:42" ht="13.5" customHeight="1" x14ac:dyDescent="0.35">
      <c r="A1818" s="4"/>
      <c r="B1818" s="614"/>
      <c r="C1818" s="71"/>
      <c r="D1818" s="71"/>
      <c r="E1818" s="71"/>
      <c r="F1818" s="71"/>
      <c r="G1818" s="71"/>
      <c r="H1818" s="87"/>
      <c r="I1818" s="71"/>
      <c r="J1818" s="71"/>
      <c r="K1818" s="71"/>
      <c r="L1818" s="87"/>
      <c r="M1818" s="71"/>
      <c r="N1818" s="71"/>
      <c r="O1818" s="71"/>
      <c r="P1818" s="311"/>
      <c r="Q1818" s="312"/>
      <c r="R1818" s="312"/>
      <c r="S1818" s="569"/>
      <c r="T1818" s="569"/>
      <c r="U1818" s="569"/>
      <c r="V1818" s="341"/>
      <c r="W1818" s="311"/>
      <c r="X1818" s="71"/>
      <c r="Y1818" s="71"/>
      <c r="Z1818" s="71"/>
      <c r="AA1818" s="456"/>
      <c r="AB1818" s="104"/>
      <c r="AC1818" s="485"/>
      <c r="AD1818" s="486"/>
      <c r="AE1818" s="485"/>
      <c r="AF1818" s="634"/>
      <c r="AG1818" s="97"/>
      <c r="AH1818" s="223"/>
      <c r="AI1818" s="569"/>
      <c r="AJ1818" s="569"/>
      <c r="AK1818" s="569"/>
      <c r="AL1818" s="569"/>
      <c r="AM1818" s="569"/>
      <c r="AN1818" s="589"/>
      <c r="AO1818" s="84"/>
      <c r="AP1818" s="5"/>
    </row>
    <row r="1819" spans="1:42" ht="13.5" customHeight="1" x14ac:dyDescent="0.35">
      <c r="A1819" s="4"/>
      <c r="B1819" s="614"/>
      <c r="C1819" s="71"/>
      <c r="D1819" s="71"/>
      <c r="E1819" s="71"/>
      <c r="F1819" s="71"/>
      <c r="G1819" s="71"/>
      <c r="H1819" s="87"/>
      <c r="I1819" s="71"/>
      <c r="J1819" s="71"/>
      <c r="K1819" s="71"/>
      <c r="L1819" s="87"/>
      <c r="M1819" s="71"/>
      <c r="N1819" s="71"/>
      <c r="O1819" s="71"/>
      <c r="P1819" s="311"/>
      <c r="Q1819" s="312"/>
      <c r="R1819" s="312"/>
      <c r="S1819" s="569"/>
      <c r="T1819" s="569"/>
      <c r="U1819" s="569"/>
      <c r="V1819" s="341"/>
      <c r="W1819" s="311"/>
      <c r="X1819" s="71"/>
      <c r="Y1819" s="71"/>
      <c r="Z1819" s="71"/>
      <c r="AA1819" s="456"/>
      <c r="AB1819" s="104"/>
      <c r="AC1819" s="485"/>
      <c r="AD1819" s="486"/>
      <c r="AE1819" s="485"/>
      <c r="AF1819" s="634"/>
      <c r="AG1819" s="97"/>
      <c r="AH1819" s="223"/>
      <c r="AI1819" s="569"/>
      <c r="AJ1819" s="569"/>
      <c r="AK1819" s="569"/>
      <c r="AL1819" s="569"/>
      <c r="AM1819" s="569"/>
      <c r="AN1819" s="589"/>
      <c r="AO1819" s="84"/>
      <c r="AP1819" s="5"/>
    </row>
    <row r="1820" spans="1:42" ht="13.5" customHeight="1" x14ac:dyDescent="0.35">
      <c r="A1820" s="4"/>
      <c r="B1820" s="614"/>
      <c r="C1820" s="71"/>
      <c r="D1820" s="71"/>
      <c r="E1820" s="71"/>
      <c r="F1820" s="71"/>
      <c r="G1820" s="71"/>
      <c r="H1820" s="87"/>
      <c r="I1820" s="71"/>
      <c r="J1820" s="71"/>
      <c r="K1820" s="71"/>
      <c r="L1820" s="87"/>
      <c r="M1820" s="71"/>
      <c r="N1820" s="71"/>
      <c r="O1820" s="71"/>
      <c r="P1820" s="311"/>
      <c r="Q1820" s="312"/>
      <c r="R1820" s="312"/>
      <c r="S1820" s="569"/>
      <c r="T1820" s="569"/>
      <c r="U1820" s="569"/>
      <c r="V1820" s="341"/>
      <c r="W1820" s="311"/>
      <c r="X1820" s="71"/>
      <c r="Y1820" s="71"/>
      <c r="Z1820" s="71"/>
      <c r="AA1820" s="456"/>
      <c r="AB1820" s="104"/>
      <c r="AC1820" s="485"/>
      <c r="AD1820" s="486"/>
      <c r="AE1820" s="485"/>
      <c r="AF1820" s="634"/>
      <c r="AG1820" s="97"/>
      <c r="AH1820" s="223"/>
      <c r="AI1820" s="569"/>
      <c r="AJ1820" s="569"/>
      <c r="AK1820" s="569"/>
      <c r="AL1820" s="569"/>
      <c r="AM1820" s="569"/>
      <c r="AN1820" s="589"/>
      <c r="AO1820" s="84"/>
      <c r="AP1820" s="5"/>
    </row>
    <row r="1821" spans="1:42" ht="13.5" customHeight="1" x14ac:dyDescent="0.35">
      <c r="A1821" s="4"/>
      <c r="B1821" s="614"/>
      <c r="C1821" s="71"/>
      <c r="D1821" s="71"/>
      <c r="E1821" s="71"/>
      <c r="F1821" s="71"/>
      <c r="G1821" s="71"/>
      <c r="H1821" s="87"/>
      <c r="I1821" s="71"/>
      <c r="J1821" s="71"/>
      <c r="K1821" s="71"/>
      <c r="L1821" s="87"/>
      <c r="M1821" s="71"/>
      <c r="N1821" s="71"/>
      <c r="O1821" s="71"/>
      <c r="P1821" s="311"/>
      <c r="Q1821" s="312"/>
      <c r="R1821" s="312"/>
      <c r="S1821" s="569"/>
      <c r="T1821" s="569"/>
      <c r="U1821" s="569"/>
      <c r="V1821" s="341"/>
      <c r="W1821" s="311"/>
      <c r="X1821" s="71"/>
      <c r="Y1821" s="71"/>
      <c r="Z1821" s="71"/>
      <c r="AA1821" s="456"/>
      <c r="AB1821" s="104"/>
      <c r="AC1821" s="485"/>
      <c r="AD1821" s="486"/>
      <c r="AE1821" s="485"/>
      <c r="AF1821" s="634"/>
      <c r="AG1821" s="97"/>
      <c r="AH1821" s="223"/>
      <c r="AI1821" s="569"/>
      <c r="AJ1821" s="569"/>
      <c r="AK1821" s="569"/>
      <c r="AL1821" s="569"/>
      <c r="AM1821" s="569"/>
      <c r="AN1821" s="589"/>
      <c r="AO1821" s="84"/>
      <c r="AP1821" s="5"/>
    </row>
    <row r="1822" spans="1:42" ht="13.5" customHeight="1" x14ac:dyDescent="0.35">
      <c r="A1822" s="4"/>
      <c r="B1822" s="614"/>
      <c r="C1822" s="71"/>
      <c r="D1822" s="71"/>
      <c r="E1822" s="71"/>
      <c r="F1822" s="71"/>
      <c r="G1822" s="71"/>
      <c r="H1822" s="87"/>
      <c r="I1822" s="71"/>
      <c r="J1822" s="71"/>
      <c r="K1822" s="71"/>
      <c r="L1822" s="87"/>
      <c r="M1822" s="71"/>
      <c r="N1822" s="71"/>
      <c r="O1822" s="71"/>
      <c r="P1822" s="311"/>
      <c r="Q1822" s="312"/>
      <c r="R1822" s="312"/>
      <c r="S1822" s="569"/>
      <c r="T1822" s="569"/>
      <c r="U1822" s="569"/>
      <c r="V1822" s="341"/>
      <c r="W1822" s="311"/>
      <c r="X1822" s="71"/>
      <c r="Y1822" s="71"/>
      <c r="Z1822" s="71"/>
      <c r="AA1822" s="456"/>
      <c r="AB1822" s="104"/>
      <c r="AC1822" s="485"/>
      <c r="AD1822" s="486"/>
      <c r="AE1822" s="485"/>
      <c r="AF1822" s="634"/>
      <c r="AG1822" s="97"/>
      <c r="AH1822" s="223"/>
      <c r="AI1822" s="569"/>
      <c r="AJ1822" s="569"/>
      <c r="AK1822" s="569"/>
      <c r="AL1822" s="569"/>
      <c r="AM1822" s="569"/>
      <c r="AN1822" s="589"/>
      <c r="AO1822" s="84"/>
      <c r="AP1822" s="5"/>
    </row>
    <row r="1823" spans="1:42" ht="13.5" customHeight="1" x14ac:dyDescent="0.35">
      <c r="A1823" s="4"/>
      <c r="B1823" s="614"/>
      <c r="C1823" s="71"/>
      <c r="D1823" s="71"/>
      <c r="E1823" s="71"/>
      <c r="F1823" s="71"/>
      <c r="G1823" s="71"/>
      <c r="H1823" s="87"/>
      <c r="I1823" s="71"/>
      <c r="J1823" s="71"/>
      <c r="K1823" s="71"/>
      <c r="L1823" s="87"/>
      <c r="M1823" s="71"/>
      <c r="N1823" s="71"/>
      <c r="O1823" s="71"/>
      <c r="P1823" s="311"/>
      <c r="Q1823" s="312"/>
      <c r="R1823" s="312"/>
      <c r="S1823" s="569"/>
      <c r="T1823" s="569"/>
      <c r="U1823" s="569"/>
      <c r="V1823" s="341"/>
      <c r="W1823" s="311"/>
      <c r="X1823" s="71"/>
      <c r="Y1823" s="71"/>
      <c r="Z1823" s="71"/>
      <c r="AA1823" s="456"/>
      <c r="AB1823" s="104"/>
      <c r="AC1823" s="485"/>
      <c r="AD1823" s="486"/>
      <c r="AE1823" s="485"/>
      <c r="AF1823" s="634"/>
      <c r="AG1823" s="97"/>
      <c r="AH1823" s="223"/>
      <c r="AI1823" s="569"/>
      <c r="AJ1823" s="569"/>
      <c r="AK1823" s="569"/>
      <c r="AL1823" s="569"/>
      <c r="AM1823" s="569"/>
      <c r="AN1823" s="589"/>
      <c r="AO1823" s="84"/>
      <c r="AP1823" s="5"/>
    </row>
    <row r="1824" spans="1:42" ht="13.5" customHeight="1" x14ac:dyDescent="0.35">
      <c r="A1824" s="4"/>
      <c r="B1824" s="614"/>
      <c r="C1824" s="71"/>
      <c r="D1824" s="71"/>
      <c r="E1824" s="71"/>
      <c r="F1824" s="71"/>
      <c r="G1824" s="71"/>
      <c r="H1824" s="87"/>
      <c r="I1824" s="71"/>
      <c r="J1824" s="71"/>
      <c r="K1824" s="71"/>
      <c r="L1824" s="87"/>
      <c r="M1824" s="71"/>
      <c r="N1824" s="71"/>
      <c r="O1824" s="71"/>
      <c r="P1824" s="311"/>
      <c r="Q1824" s="312"/>
      <c r="R1824" s="312"/>
      <c r="S1824" s="569"/>
      <c r="T1824" s="569"/>
      <c r="U1824" s="569"/>
      <c r="V1824" s="341"/>
      <c r="W1824" s="311"/>
      <c r="X1824" s="71"/>
      <c r="Y1824" s="71"/>
      <c r="Z1824" s="71"/>
      <c r="AA1824" s="456"/>
      <c r="AB1824" s="104"/>
      <c r="AC1824" s="485"/>
      <c r="AD1824" s="486"/>
      <c r="AE1824" s="485"/>
      <c r="AF1824" s="634"/>
      <c r="AG1824" s="97"/>
      <c r="AH1824" s="223"/>
      <c r="AI1824" s="569"/>
      <c r="AJ1824" s="569"/>
      <c r="AK1824" s="569"/>
      <c r="AL1824" s="569"/>
      <c r="AM1824" s="569"/>
      <c r="AN1824" s="589"/>
      <c r="AO1824" s="84"/>
      <c r="AP1824" s="5"/>
    </row>
    <row r="1825" spans="1:42" ht="13.5" customHeight="1" x14ac:dyDescent="0.35">
      <c r="A1825" s="4"/>
      <c r="B1825" s="614"/>
      <c r="C1825" s="71"/>
      <c r="D1825" s="71"/>
      <c r="E1825" s="71"/>
      <c r="F1825" s="71"/>
      <c r="G1825" s="71"/>
      <c r="H1825" s="87"/>
      <c r="I1825" s="71"/>
      <c r="J1825" s="71"/>
      <c r="K1825" s="71"/>
      <c r="L1825" s="87"/>
      <c r="M1825" s="71"/>
      <c r="N1825" s="71"/>
      <c r="O1825" s="71"/>
      <c r="P1825" s="311"/>
      <c r="Q1825" s="312"/>
      <c r="R1825" s="312"/>
      <c r="S1825" s="569"/>
      <c r="T1825" s="569"/>
      <c r="U1825" s="569"/>
      <c r="V1825" s="341"/>
      <c r="W1825" s="311"/>
      <c r="X1825" s="71"/>
      <c r="Y1825" s="71"/>
      <c r="Z1825" s="71"/>
      <c r="AA1825" s="456"/>
      <c r="AB1825" s="104"/>
      <c r="AC1825" s="485"/>
      <c r="AD1825" s="486"/>
      <c r="AE1825" s="485"/>
      <c r="AF1825" s="634"/>
      <c r="AG1825" s="97"/>
      <c r="AH1825" s="223"/>
      <c r="AI1825" s="569"/>
      <c r="AJ1825" s="569"/>
      <c r="AK1825" s="569"/>
      <c r="AL1825" s="569"/>
      <c r="AM1825" s="569"/>
      <c r="AN1825" s="589"/>
      <c r="AO1825" s="84"/>
      <c r="AP1825" s="5"/>
    </row>
    <row r="1826" spans="1:42" ht="13.5" customHeight="1" x14ac:dyDescent="0.35">
      <c r="A1826" s="4"/>
      <c r="B1826" s="614"/>
      <c r="C1826" s="71"/>
      <c r="D1826" s="71"/>
      <c r="E1826" s="71"/>
      <c r="F1826" s="71"/>
      <c r="G1826" s="71"/>
      <c r="H1826" s="87"/>
      <c r="I1826" s="71"/>
      <c r="J1826" s="71"/>
      <c r="K1826" s="71"/>
      <c r="L1826" s="87"/>
      <c r="M1826" s="71"/>
      <c r="N1826" s="71"/>
      <c r="O1826" s="71"/>
      <c r="P1826" s="311"/>
      <c r="Q1826" s="312"/>
      <c r="R1826" s="312"/>
      <c r="S1826" s="569"/>
      <c r="T1826" s="569"/>
      <c r="U1826" s="569"/>
      <c r="V1826" s="341"/>
      <c r="W1826" s="311"/>
      <c r="X1826" s="71"/>
      <c r="Y1826" s="71"/>
      <c r="Z1826" s="71"/>
      <c r="AA1826" s="456"/>
      <c r="AB1826" s="104"/>
      <c r="AC1826" s="485"/>
      <c r="AD1826" s="486"/>
      <c r="AE1826" s="485"/>
      <c r="AF1826" s="634"/>
      <c r="AG1826" s="97"/>
      <c r="AH1826" s="223"/>
      <c r="AI1826" s="569"/>
      <c r="AJ1826" s="569"/>
      <c r="AK1826" s="569"/>
      <c r="AL1826" s="569"/>
      <c r="AM1826" s="569"/>
      <c r="AN1826" s="589"/>
      <c r="AO1826" s="84"/>
      <c r="AP1826" s="5"/>
    </row>
    <row r="1827" spans="1:42" ht="13.5" customHeight="1" x14ac:dyDescent="0.35">
      <c r="A1827" s="4"/>
      <c r="B1827" s="614"/>
      <c r="C1827" s="71"/>
      <c r="D1827" s="71"/>
      <c r="E1827" s="71"/>
      <c r="F1827" s="71"/>
      <c r="G1827" s="71"/>
      <c r="H1827" s="87"/>
      <c r="I1827" s="71"/>
      <c r="J1827" s="71"/>
      <c r="K1827" s="71"/>
      <c r="L1827" s="87"/>
      <c r="M1827" s="71"/>
      <c r="N1827" s="71"/>
      <c r="O1827" s="71"/>
      <c r="P1827" s="311"/>
      <c r="Q1827" s="312"/>
      <c r="R1827" s="312"/>
      <c r="S1827" s="569"/>
      <c r="T1827" s="569"/>
      <c r="U1827" s="569"/>
      <c r="V1827" s="341"/>
      <c r="W1827" s="311"/>
      <c r="X1827" s="71"/>
      <c r="Y1827" s="71"/>
      <c r="Z1827" s="71"/>
      <c r="AA1827" s="456"/>
      <c r="AB1827" s="104"/>
      <c r="AC1827" s="485"/>
      <c r="AD1827" s="486"/>
      <c r="AE1827" s="485"/>
      <c r="AF1827" s="634"/>
      <c r="AG1827" s="97"/>
      <c r="AH1827" s="223"/>
      <c r="AI1827" s="569"/>
      <c r="AJ1827" s="569"/>
      <c r="AK1827" s="569"/>
      <c r="AL1827" s="569"/>
      <c r="AM1827" s="569"/>
      <c r="AN1827" s="589"/>
      <c r="AO1827" s="84"/>
      <c r="AP1827" s="5"/>
    </row>
    <row r="1828" spans="1:42" ht="13.5" customHeight="1" x14ac:dyDescent="0.35">
      <c r="A1828" s="4"/>
      <c r="B1828" s="614"/>
      <c r="C1828" s="71"/>
      <c r="D1828" s="71"/>
      <c r="E1828" s="71"/>
      <c r="F1828" s="71"/>
      <c r="G1828" s="71"/>
      <c r="H1828" s="87"/>
      <c r="I1828" s="71"/>
      <c r="J1828" s="71"/>
      <c r="K1828" s="71"/>
      <c r="L1828" s="87"/>
      <c r="M1828" s="71"/>
      <c r="N1828" s="71"/>
      <c r="O1828" s="71"/>
      <c r="P1828" s="311"/>
      <c r="Q1828" s="312"/>
      <c r="R1828" s="312"/>
      <c r="S1828" s="569"/>
      <c r="T1828" s="569"/>
      <c r="U1828" s="569"/>
      <c r="V1828" s="341"/>
      <c r="W1828" s="311"/>
      <c r="X1828" s="71"/>
      <c r="Y1828" s="71"/>
      <c r="Z1828" s="71"/>
      <c r="AA1828" s="456"/>
      <c r="AB1828" s="104"/>
      <c r="AC1828" s="485"/>
      <c r="AD1828" s="486"/>
      <c r="AE1828" s="485"/>
      <c r="AF1828" s="634"/>
      <c r="AG1828" s="97"/>
      <c r="AH1828" s="223"/>
      <c r="AI1828" s="569"/>
      <c r="AJ1828" s="569"/>
      <c r="AK1828" s="569"/>
      <c r="AL1828" s="569"/>
      <c r="AM1828" s="569"/>
      <c r="AN1828" s="589"/>
      <c r="AO1828" s="84"/>
      <c r="AP1828" s="5"/>
    </row>
    <row r="1829" spans="1:42" ht="13.5" customHeight="1" x14ac:dyDescent="0.35">
      <c r="A1829" s="4"/>
      <c r="B1829" s="614"/>
      <c r="C1829" s="71"/>
      <c r="D1829" s="71"/>
      <c r="E1829" s="71"/>
      <c r="F1829" s="71"/>
      <c r="G1829" s="71"/>
      <c r="H1829" s="87"/>
      <c r="I1829" s="71"/>
      <c r="J1829" s="71"/>
      <c r="K1829" s="71"/>
      <c r="L1829" s="87"/>
      <c r="M1829" s="71"/>
      <c r="N1829" s="71"/>
      <c r="O1829" s="71"/>
      <c r="P1829" s="311"/>
      <c r="Q1829" s="312"/>
      <c r="R1829" s="312"/>
      <c r="S1829" s="569"/>
      <c r="T1829" s="569"/>
      <c r="U1829" s="569"/>
      <c r="V1829" s="341"/>
      <c r="W1829" s="311"/>
      <c r="X1829" s="71"/>
      <c r="Y1829" s="71"/>
      <c r="Z1829" s="71"/>
      <c r="AA1829" s="456"/>
      <c r="AB1829" s="104"/>
      <c r="AC1829" s="485"/>
      <c r="AD1829" s="486"/>
      <c r="AE1829" s="485"/>
      <c r="AF1829" s="634"/>
      <c r="AG1829" s="97"/>
      <c r="AH1829" s="223"/>
      <c r="AI1829" s="569"/>
      <c r="AJ1829" s="569"/>
      <c r="AK1829" s="569"/>
      <c r="AL1829" s="569"/>
      <c r="AM1829" s="569"/>
      <c r="AN1829" s="589"/>
      <c r="AO1829" s="84"/>
      <c r="AP1829" s="5"/>
    </row>
    <row r="1830" spans="1:42" ht="13.5" customHeight="1" x14ac:dyDescent="0.35">
      <c r="A1830" s="4"/>
      <c r="B1830" s="614"/>
      <c r="C1830" s="71"/>
      <c r="D1830" s="71"/>
      <c r="E1830" s="71"/>
      <c r="F1830" s="71"/>
      <c r="G1830" s="71"/>
      <c r="H1830" s="87"/>
      <c r="I1830" s="71"/>
      <c r="J1830" s="71"/>
      <c r="K1830" s="71"/>
      <c r="L1830" s="87"/>
      <c r="M1830" s="71"/>
      <c r="N1830" s="71"/>
      <c r="O1830" s="71"/>
      <c r="P1830" s="311"/>
      <c r="Q1830" s="312"/>
      <c r="R1830" s="312"/>
      <c r="S1830" s="569"/>
      <c r="T1830" s="569"/>
      <c r="U1830" s="569"/>
      <c r="V1830" s="341"/>
      <c r="W1830" s="311"/>
      <c r="X1830" s="71"/>
      <c r="Y1830" s="71"/>
      <c r="Z1830" s="71"/>
      <c r="AA1830" s="456"/>
      <c r="AB1830" s="104"/>
      <c r="AC1830" s="485"/>
      <c r="AD1830" s="486"/>
      <c r="AE1830" s="485"/>
      <c r="AF1830" s="634"/>
      <c r="AG1830" s="97"/>
      <c r="AH1830" s="223"/>
      <c r="AI1830" s="569"/>
      <c r="AJ1830" s="569"/>
      <c r="AK1830" s="569"/>
      <c r="AL1830" s="569"/>
      <c r="AM1830" s="569"/>
      <c r="AN1830" s="589"/>
      <c r="AO1830" s="84"/>
      <c r="AP1830" s="5"/>
    </row>
    <row r="1831" spans="1:42" ht="13.5" customHeight="1" x14ac:dyDescent="0.35">
      <c r="A1831" s="4"/>
      <c r="B1831" s="614"/>
      <c r="C1831" s="71"/>
      <c r="D1831" s="71"/>
      <c r="E1831" s="71"/>
      <c r="F1831" s="71"/>
      <c r="G1831" s="71"/>
      <c r="H1831" s="87"/>
      <c r="I1831" s="71"/>
      <c r="J1831" s="71"/>
      <c r="K1831" s="71"/>
      <c r="L1831" s="87"/>
      <c r="M1831" s="71"/>
      <c r="N1831" s="71"/>
      <c r="O1831" s="71"/>
      <c r="P1831" s="311"/>
      <c r="Q1831" s="312"/>
      <c r="R1831" s="312"/>
      <c r="S1831" s="569"/>
      <c r="T1831" s="569"/>
      <c r="U1831" s="569"/>
      <c r="V1831" s="341"/>
      <c r="W1831" s="311"/>
      <c r="X1831" s="71"/>
      <c r="Y1831" s="71"/>
      <c r="Z1831" s="71"/>
      <c r="AA1831" s="456"/>
      <c r="AB1831" s="104"/>
      <c r="AC1831" s="485"/>
      <c r="AD1831" s="486"/>
      <c r="AE1831" s="485"/>
      <c r="AF1831" s="634"/>
      <c r="AG1831" s="97"/>
      <c r="AH1831" s="223"/>
      <c r="AI1831" s="569"/>
      <c r="AJ1831" s="569"/>
      <c r="AK1831" s="569"/>
      <c r="AL1831" s="569"/>
      <c r="AM1831" s="569"/>
      <c r="AN1831" s="589"/>
      <c r="AO1831" s="84"/>
      <c r="AP1831" s="5"/>
    </row>
    <row r="1832" spans="1:42" ht="13.5" customHeight="1" x14ac:dyDescent="0.35">
      <c r="A1832" s="4"/>
      <c r="B1832" s="614"/>
      <c r="C1832" s="71"/>
      <c r="D1832" s="71"/>
      <c r="E1832" s="71"/>
      <c r="F1832" s="71"/>
      <c r="G1832" s="71"/>
      <c r="H1832" s="87"/>
      <c r="I1832" s="71"/>
      <c r="J1832" s="71"/>
      <c r="K1832" s="71"/>
      <c r="L1832" s="87"/>
      <c r="M1832" s="71"/>
      <c r="N1832" s="71"/>
      <c r="O1832" s="71"/>
      <c r="P1832" s="311"/>
      <c r="Q1832" s="312"/>
      <c r="R1832" s="312"/>
      <c r="S1832" s="569"/>
      <c r="T1832" s="569"/>
      <c r="U1832" s="569"/>
      <c r="V1832" s="341"/>
      <c r="W1832" s="311"/>
      <c r="X1832" s="71"/>
      <c r="Y1832" s="71"/>
      <c r="Z1832" s="71"/>
      <c r="AA1832" s="456"/>
      <c r="AB1832" s="104"/>
      <c r="AC1832" s="485"/>
      <c r="AD1832" s="486"/>
      <c r="AE1832" s="485"/>
      <c r="AF1832" s="634"/>
      <c r="AG1832" s="97"/>
      <c r="AH1832" s="223"/>
      <c r="AI1832" s="569"/>
      <c r="AJ1832" s="569"/>
      <c r="AK1832" s="569"/>
      <c r="AL1832" s="569"/>
      <c r="AM1832" s="569"/>
      <c r="AN1832" s="589"/>
      <c r="AO1832" s="84"/>
      <c r="AP1832" s="5"/>
    </row>
    <row r="1833" spans="1:42" ht="13.5" customHeight="1" x14ac:dyDescent="0.35">
      <c r="A1833" s="4"/>
      <c r="B1833" s="614"/>
      <c r="C1833" s="71"/>
      <c r="D1833" s="71"/>
      <c r="E1833" s="71"/>
      <c r="F1833" s="71"/>
      <c r="G1833" s="71"/>
      <c r="H1833" s="87"/>
      <c r="I1833" s="71"/>
      <c r="J1833" s="71"/>
      <c r="K1833" s="71"/>
      <c r="L1833" s="87"/>
      <c r="M1833" s="71"/>
      <c r="N1833" s="71"/>
      <c r="O1833" s="71"/>
      <c r="P1833" s="311"/>
      <c r="Q1833" s="312"/>
      <c r="R1833" s="312"/>
      <c r="S1833" s="569"/>
      <c r="T1833" s="569"/>
      <c r="U1833" s="569"/>
      <c r="V1833" s="341"/>
      <c r="W1833" s="311"/>
      <c r="X1833" s="71"/>
      <c r="Y1833" s="71"/>
      <c r="Z1833" s="71"/>
      <c r="AA1833" s="456"/>
      <c r="AB1833" s="104"/>
      <c r="AC1833" s="485"/>
      <c r="AD1833" s="486"/>
      <c r="AE1833" s="485"/>
      <c r="AF1833" s="634"/>
      <c r="AG1833" s="97"/>
      <c r="AH1833" s="223"/>
      <c r="AI1833" s="569"/>
      <c r="AJ1833" s="569"/>
      <c r="AK1833" s="569"/>
      <c r="AL1833" s="569"/>
      <c r="AM1833" s="569"/>
      <c r="AN1833" s="589"/>
      <c r="AO1833" s="84"/>
      <c r="AP1833" s="5"/>
    </row>
    <row r="1834" spans="1:42" ht="13.5" customHeight="1" x14ac:dyDescent="0.35">
      <c r="A1834" s="4"/>
      <c r="B1834" s="614"/>
      <c r="C1834" s="71"/>
      <c r="D1834" s="71"/>
      <c r="E1834" s="71"/>
      <c r="F1834" s="71"/>
      <c r="G1834" s="71"/>
      <c r="H1834" s="87"/>
      <c r="I1834" s="71"/>
      <c r="J1834" s="71"/>
      <c r="K1834" s="71"/>
      <c r="L1834" s="87"/>
      <c r="M1834" s="71"/>
      <c r="N1834" s="71"/>
      <c r="O1834" s="71"/>
      <c r="P1834" s="311"/>
      <c r="Q1834" s="312"/>
      <c r="R1834" s="312"/>
      <c r="S1834" s="569"/>
      <c r="T1834" s="569"/>
      <c r="U1834" s="569"/>
      <c r="V1834" s="341"/>
      <c r="W1834" s="311"/>
      <c r="X1834" s="71"/>
      <c r="Y1834" s="71"/>
      <c r="Z1834" s="71"/>
      <c r="AA1834" s="456"/>
      <c r="AB1834" s="104"/>
      <c r="AC1834" s="485"/>
      <c r="AD1834" s="486"/>
      <c r="AE1834" s="485"/>
      <c r="AF1834" s="634"/>
      <c r="AG1834" s="97"/>
      <c r="AH1834" s="223"/>
      <c r="AI1834" s="569"/>
      <c r="AJ1834" s="569"/>
      <c r="AK1834" s="569"/>
      <c r="AL1834" s="569"/>
      <c r="AM1834" s="569"/>
      <c r="AN1834" s="589"/>
      <c r="AO1834" s="84"/>
      <c r="AP1834" s="5"/>
    </row>
    <row r="1835" spans="1:42" ht="13.5" customHeight="1" x14ac:dyDescent="0.35">
      <c r="A1835" s="4"/>
      <c r="B1835" s="614"/>
      <c r="C1835" s="71"/>
      <c r="D1835" s="71"/>
      <c r="E1835" s="71"/>
      <c r="F1835" s="71"/>
      <c r="G1835" s="71"/>
      <c r="H1835" s="87"/>
      <c r="I1835" s="71"/>
      <c r="J1835" s="71"/>
      <c r="K1835" s="71"/>
      <c r="L1835" s="87"/>
      <c r="M1835" s="71"/>
      <c r="N1835" s="71"/>
      <c r="O1835" s="71"/>
      <c r="P1835" s="311"/>
      <c r="Q1835" s="312"/>
      <c r="R1835" s="312"/>
      <c r="S1835" s="569"/>
      <c r="T1835" s="569"/>
      <c r="U1835" s="569"/>
      <c r="V1835" s="341"/>
      <c r="W1835" s="311"/>
      <c r="X1835" s="71"/>
      <c r="Y1835" s="71"/>
      <c r="Z1835" s="71"/>
      <c r="AA1835" s="456"/>
      <c r="AB1835" s="104"/>
      <c r="AC1835" s="485"/>
      <c r="AD1835" s="486"/>
      <c r="AE1835" s="485"/>
      <c r="AF1835" s="634"/>
      <c r="AG1835" s="97"/>
      <c r="AH1835" s="223"/>
      <c r="AI1835" s="569"/>
      <c r="AJ1835" s="569"/>
      <c r="AK1835" s="569"/>
      <c r="AL1835" s="569"/>
      <c r="AM1835" s="569"/>
      <c r="AN1835" s="589"/>
      <c r="AO1835" s="84"/>
      <c r="AP1835" s="5"/>
    </row>
    <row r="1836" spans="1:42" ht="13.5" customHeight="1" x14ac:dyDescent="0.35">
      <c r="A1836" s="4"/>
      <c r="B1836" s="614"/>
      <c r="C1836" s="71"/>
      <c r="D1836" s="71"/>
      <c r="E1836" s="71"/>
      <c r="F1836" s="71"/>
      <c r="G1836" s="71"/>
      <c r="H1836" s="87"/>
      <c r="I1836" s="71"/>
      <c r="J1836" s="71"/>
      <c r="K1836" s="71"/>
      <c r="L1836" s="87"/>
      <c r="M1836" s="71"/>
      <c r="N1836" s="71"/>
      <c r="O1836" s="71"/>
      <c r="P1836" s="311"/>
      <c r="Q1836" s="312"/>
      <c r="R1836" s="312"/>
      <c r="S1836" s="569"/>
      <c r="T1836" s="569"/>
      <c r="U1836" s="569"/>
      <c r="V1836" s="341"/>
      <c r="W1836" s="311"/>
      <c r="X1836" s="71"/>
      <c r="Y1836" s="71"/>
      <c r="Z1836" s="71"/>
      <c r="AA1836" s="456"/>
      <c r="AB1836" s="104"/>
      <c r="AC1836" s="485"/>
      <c r="AD1836" s="486"/>
      <c r="AE1836" s="485"/>
      <c r="AF1836" s="634"/>
      <c r="AG1836" s="97"/>
      <c r="AH1836" s="223"/>
      <c r="AI1836" s="569"/>
      <c r="AJ1836" s="569"/>
      <c r="AK1836" s="569"/>
      <c r="AL1836" s="569"/>
      <c r="AM1836" s="569"/>
      <c r="AN1836" s="589"/>
      <c r="AO1836" s="84"/>
      <c r="AP1836" s="5"/>
    </row>
    <row r="1837" spans="1:42" ht="13.5" customHeight="1" x14ac:dyDescent="0.35">
      <c r="A1837" s="4"/>
      <c r="B1837" s="614"/>
      <c r="C1837" s="71"/>
      <c r="D1837" s="71"/>
      <c r="E1837" s="71"/>
      <c r="F1837" s="71"/>
      <c r="G1837" s="71"/>
      <c r="H1837" s="87"/>
      <c r="I1837" s="71"/>
      <c r="J1837" s="71"/>
      <c r="K1837" s="71"/>
      <c r="L1837" s="87"/>
      <c r="M1837" s="71"/>
      <c r="N1837" s="71"/>
      <c r="O1837" s="71"/>
      <c r="P1837" s="311"/>
      <c r="Q1837" s="312"/>
      <c r="R1837" s="312"/>
      <c r="S1837" s="569"/>
      <c r="T1837" s="569"/>
      <c r="U1837" s="569"/>
      <c r="V1837" s="341"/>
      <c r="W1837" s="311"/>
      <c r="X1837" s="71"/>
      <c r="Y1837" s="71"/>
      <c r="Z1837" s="71"/>
      <c r="AA1837" s="456"/>
      <c r="AB1837" s="104"/>
      <c r="AC1837" s="485"/>
      <c r="AD1837" s="486"/>
      <c r="AE1837" s="485"/>
      <c r="AF1837" s="634"/>
      <c r="AG1837" s="97"/>
      <c r="AH1837" s="223"/>
      <c r="AI1837" s="569"/>
      <c r="AJ1837" s="569"/>
      <c r="AK1837" s="569"/>
      <c r="AL1837" s="569"/>
      <c r="AM1837" s="569"/>
      <c r="AN1837" s="589"/>
      <c r="AO1837" s="84"/>
      <c r="AP1837" s="5"/>
    </row>
    <row r="1838" spans="1:42" ht="13.5" customHeight="1" x14ac:dyDescent="0.35">
      <c r="A1838" s="4"/>
      <c r="B1838" s="614"/>
      <c r="C1838" s="71"/>
      <c r="D1838" s="71"/>
      <c r="E1838" s="71"/>
      <c r="F1838" s="71"/>
      <c r="G1838" s="71"/>
      <c r="H1838" s="87"/>
      <c r="I1838" s="71"/>
      <c r="J1838" s="71"/>
      <c r="K1838" s="71"/>
      <c r="L1838" s="87"/>
      <c r="M1838" s="71"/>
      <c r="N1838" s="71"/>
      <c r="O1838" s="71"/>
      <c r="P1838" s="311"/>
      <c r="Q1838" s="312"/>
      <c r="R1838" s="312"/>
      <c r="S1838" s="569"/>
      <c r="T1838" s="569"/>
      <c r="U1838" s="569"/>
      <c r="V1838" s="341"/>
      <c r="W1838" s="311"/>
      <c r="X1838" s="71"/>
      <c r="Y1838" s="71"/>
      <c r="Z1838" s="71"/>
      <c r="AA1838" s="456"/>
      <c r="AB1838" s="104"/>
      <c r="AC1838" s="485"/>
      <c r="AD1838" s="486"/>
      <c r="AE1838" s="485"/>
      <c r="AF1838" s="634"/>
      <c r="AG1838" s="97"/>
      <c r="AH1838" s="223"/>
      <c r="AI1838" s="569"/>
      <c r="AJ1838" s="569"/>
      <c r="AK1838" s="569"/>
      <c r="AL1838" s="569"/>
      <c r="AM1838" s="569"/>
      <c r="AN1838" s="589"/>
      <c r="AO1838" s="84"/>
      <c r="AP1838" s="5"/>
    </row>
    <row r="1839" spans="1:42" ht="13.5" customHeight="1" x14ac:dyDescent="0.35">
      <c r="A1839" s="4"/>
      <c r="B1839" s="614"/>
      <c r="C1839" s="71"/>
      <c r="D1839" s="71"/>
      <c r="E1839" s="71"/>
      <c r="F1839" s="71"/>
      <c r="G1839" s="71"/>
      <c r="H1839" s="87"/>
      <c r="I1839" s="71"/>
      <c r="J1839" s="71"/>
      <c r="K1839" s="71"/>
      <c r="L1839" s="87"/>
      <c r="M1839" s="71"/>
      <c r="N1839" s="71"/>
      <c r="O1839" s="71"/>
      <c r="P1839" s="311"/>
      <c r="Q1839" s="312"/>
      <c r="R1839" s="312"/>
      <c r="S1839" s="569"/>
      <c r="T1839" s="569"/>
      <c r="U1839" s="569"/>
      <c r="V1839" s="341"/>
      <c r="W1839" s="311"/>
      <c r="X1839" s="71"/>
      <c r="Y1839" s="71"/>
      <c r="Z1839" s="71"/>
      <c r="AA1839" s="456"/>
      <c r="AB1839" s="104"/>
      <c r="AC1839" s="485"/>
      <c r="AD1839" s="486"/>
      <c r="AE1839" s="485"/>
      <c r="AF1839" s="634"/>
      <c r="AG1839" s="97"/>
      <c r="AH1839" s="223"/>
      <c r="AI1839" s="569"/>
      <c r="AJ1839" s="569"/>
      <c r="AK1839" s="569"/>
      <c r="AL1839" s="569"/>
      <c r="AM1839" s="569"/>
      <c r="AN1839" s="589"/>
      <c r="AO1839" s="84"/>
      <c r="AP1839" s="5"/>
    </row>
    <row r="1840" spans="1:42" ht="13.5" customHeight="1" x14ac:dyDescent="0.35">
      <c r="A1840" s="4"/>
      <c r="B1840" s="614"/>
      <c r="C1840" s="71"/>
      <c r="D1840" s="71"/>
      <c r="E1840" s="71"/>
      <c r="F1840" s="71"/>
      <c r="G1840" s="71"/>
      <c r="H1840" s="87"/>
      <c r="I1840" s="71"/>
      <c r="J1840" s="71"/>
      <c r="K1840" s="71"/>
      <c r="L1840" s="87"/>
      <c r="M1840" s="71"/>
      <c r="N1840" s="71"/>
      <c r="O1840" s="71"/>
      <c r="P1840" s="311"/>
      <c r="Q1840" s="312"/>
      <c r="R1840" s="312"/>
      <c r="S1840" s="569"/>
      <c r="T1840" s="569"/>
      <c r="U1840" s="569"/>
      <c r="V1840" s="341"/>
      <c r="W1840" s="311"/>
      <c r="X1840" s="71"/>
      <c r="Y1840" s="71"/>
      <c r="Z1840" s="71"/>
      <c r="AA1840" s="456"/>
      <c r="AB1840" s="104"/>
      <c r="AC1840" s="485"/>
      <c r="AD1840" s="486"/>
      <c r="AE1840" s="485"/>
      <c r="AF1840" s="634"/>
      <c r="AG1840" s="97"/>
      <c r="AH1840" s="223"/>
      <c r="AI1840" s="569"/>
      <c r="AJ1840" s="569"/>
      <c r="AK1840" s="569"/>
      <c r="AL1840" s="569"/>
      <c r="AM1840" s="569"/>
      <c r="AN1840" s="589"/>
      <c r="AO1840" s="84"/>
      <c r="AP1840" s="5"/>
    </row>
    <row r="1841" spans="1:42" ht="13.5" customHeight="1" x14ac:dyDescent="0.35">
      <c r="A1841" s="4"/>
      <c r="B1841" s="614"/>
      <c r="C1841" s="71"/>
      <c r="D1841" s="71"/>
      <c r="E1841" s="71"/>
      <c r="F1841" s="71"/>
      <c r="G1841" s="71"/>
      <c r="H1841" s="87"/>
      <c r="I1841" s="71"/>
      <c r="J1841" s="71"/>
      <c r="K1841" s="71"/>
      <c r="L1841" s="87"/>
      <c r="M1841" s="71"/>
      <c r="N1841" s="71"/>
      <c r="O1841" s="71"/>
      <c r="P1841" s="311"/>
      <c r="Q1841" s="312"/>
      <c r="R1841" s="312"/>
      <c r="S1841" s="569"/>
      <c r="T1841" s="569"/>
      <c r="U1841" s="569"/>
      <c r="V1841" s="341"/>
      <c r="W1841" s="311"/>
      <c r="X1841" s="71"/>
      <c r="Y1841" s="71"/>
      <c r="Z1841" s="71"/>
      <c r="AA1841" s="456"/>
      <c r="AB1841" s="104"/>
      <c r="AC1841" s="485"/>
      <c r="AD1841" s="486"/>
      <c r="AE1841" s="485"/>
      <c r="AF1841" s="634"/>
      <c r="AG1841" s="97"/>
      <c r="AH1841" s="223"/>
      <c r="AI1841" s="569"/>
      <c r="AJ1841" s="569"/>
      <c r="AK1841" s="569"/>
      <c r="AL1841" s="569"/>
      <c r="AM1841" s="569"/>
      <c r="AN1841" s="589"/>
      <c r="AO1841" s="84"/>
      <c r="AP1841" s="5"/>
    </row>
    <row r="1842" spans="1:42" ht="13.5" customHeight="1" x14ac:dyDescent="0.35">
      <c r="A1842" s="4"/>
      <c r="B1842" s="614"/>
      <c r="C1842" s="71"/>
      <c r="D1842" s="71"/>
      <c r="E1842" s="71"/>
      <c r="F1842" s="71"/>
      <c r="G1842" s="71"/>
      <c r="H1842" s="87"/>
      <c r="I1842" s="71"/>
      <c r="J1842" s="71"/>
      <c r="K1842" s="71"/>
      <c r="L1842" s="87"/>
      <c r="M1842" s="71"/>
      <c r="N1842" s="71"/>
      <c r="O1842" s="71"/>
      <c r="P1842" s="311"/>
      <c r="Q1842" s="312"/>
      <c r="R1842" s="312"/>
      <c r="S1842" s="569"/>
      <c r="T1842" s="569"/>
      <c r="U1842" s="569"/>
      <c r="V1842" s="341"/>
      <c r="W1842" s="311"/>
      <c r="X1842" s="71"/>
      <c r="Y1842" s="71"/>
      <c r="Z1842" s="71"/>
      <c r="AA1842" s="456"/>
      <c r="AB1842" s="104"/>
      <c r="AC1842" s="485"/>
      <c r="AD1842" s="486"/>
      <c r="AE1842" s="485"/>
      <c r="AF1842" s="634"/>
      <c r="AG1842" s="97"/>
      <c r="AH1842" s="223"/>
      <c r="AI1842" s="569"/>
      <c r="AJ1842" s="569"/>
      <c r="AK1842" s="569"/>
      <c r="AL1842" s="569"/>
      <c r="AM1842" s="569"/>
      <c r="AN1842" s="589"/>
      <c r="AO1842" s="84"/>
      <c r="AP1842" s="5"/>
    </row>
    <row r="1843" spans="1:42" ht="13.5" customHeight="1" x14ac:dyDescent="0.35">
      <c r="A1843" s="4"/>
      <c r="B1843" s="614"/>
      <c r="C1843" s="71"/>
      <c r="D1843" s="71"/>
      <c r="E1843" s="71"/>
      <c r="F1843" s="71"/>
      <c r="G1843" s="71"/>
      <c r="H1843" s="87"/>
      <c r="I1843" s="71"/>
      <c r="J1843" s="71"/>
      <c r="K1843" s="71"/>
      <c r="L1843" s="87"/>
      <c r="M1843" s="71"/>
      <c r="N1843" s="71"/>
      <c r="O1843" s="71"/>
      <c r="P1843" s="311"/>
      <c r="Q1843" s="312"/>
      <c r="R1843" s="312"/>
      <c r="S1843" s="569"/>
      <c r="T1843" s="569"/>
      <c r="U1843" s="569"/>
      <c r="V1843" s="341"/>
      <c r="W1843" s="311"/>
      <c r="X1843" s="71"/>
      <c r="Y1843" s="71"/>
      <c r="Z1843" s="71"/>
      <c r="AA1843" s="456"/>
      <c r="AB1843" s="104"/>
      <c r="AC1843" s="485"/>
      <c r="AD1843" s="486"/>
      <c r="AE1843" s="485"/>
      <c r="AF1843" s="634"/>
      <c r="AG1843" s="97"/>
      <c r="AH1843" s="223"/>
      <c r="AI1843" s="569"/>
      <c r="AJ1843" s="569"/>
      <c r="AK1843" s="569"/>
      <c r="AL1843" s="569"/>
      <c r="AM1843" s="569"/>
      <c r="AN1843" s="589"/>
      <c r="AO1843" s="84"/>
      <c r="AP1843" s="5"/>
    </row>
    <row r="1844" spans="1:42" ht="13.5" customHeight="1" x14ac:dyDescent="0.35">
      <c r="A1844" s="4"/>
      <c r="B1844" s="614"/>
      <c r="C1844" s="71"/>
      <c r="D1844" s="71"/>
      <c r="E1844" s="71"/>
      <c r="F1844" s="71"/>
      <c r="G1844" s="71"/>
      <c r="H1844" s="87"/>
      <c r="I1844" s="71"/>
      <c r="J1844" s="71"/>
      <c r="K1844" s="71"/>
      <c r="L1844" s="87"/>
      <c r="M1844" s="71"/>
      <c r="N1844" s="71"/>
      <c r="O1844" s="71"/>
      <c r="P1844" s="311"/>
      <c r="Q1844" s="312"/>
      <c r="R1844" s="312"/>
      <c r="S1844" s="569"/>
      <c r="T1844" s="569"/>
      <c r="U1844" s="569"/>
      <c r="V1844" s="341"/>
      <c r="W1844" s="311"/>
      <c r="X1844" s="71"/>
      <c r="Y1844" s="71"/>
      <c r="Z1844" s="71"/>
      <c r="AA1844" s="456"/>
      <c r="AB1844" s="104"/>
      <c r="AC1844" s="485"/>
      <c r="AD1844" s="486"/>
      <c r="AE1844" s="485"/>
      <c r="AF1844" s="634"/>
      <c r="AG1844" s="97"/>
      <c r="AH1844" s="223"/>
      <c r="AI1844" s="569"/>
      <c r="AJ1844" s="569"/>
      <c r="AK1844" s="569"/>
      <c r="AL1844" s="569"/>
      <c r="AM1844" s="569"/>
      <c r="AN1844" s="589"/>
      <c r="AO1844" s="84"/>
      <c r="AP1844" s="5"/>
    </row>
    <row r="1845" spans="1:42" ht="13.5" customHeight="1" x14ac:dyDescent="0.35">
      <c r="A1845" s="4"/>
      <c r="B1845" s="614"/>
      <c r="C1845" s="71"/>
      <c r="D1845" s="71"/>
      <c r="E1845" s="71"/>
      <c r="F1845" s="71"/>
      <c r="G1845" s="71"/>
      <c r="H1845" s="87"/>
      <c r="I1845" s="71"/>
      <c r="J1845" s="71"/>
      <c r="K1845" s="71"/>
      <c r="L1845" s="87"/>
      <c r="M1845" s="71"/>
      <c r="N1845" s="71"/>
      <c r="O1845" s="71"/>
      <c r="P1845" s="311"/>
      <c r="Q1845" s="312"/>
      <c r="R1845" s="312"/>
      <c r="S1845" s="569"/>
      <c r="T1845" s="569"/>
      <c r="U1845" s="569"/>
      <c r="V1845" s="341"/>
      <c r="W1845" s="311"/>
      <c r="X1845" s="71"/>
      <c r="Y1845" s="71"/>
      <c r="Z1845" s="71"/>
      <c r="AA1845" s="456"/>
      <c r="AB1845" s="104"/>
      <c r="AC1845" s="485"/>
      <c r="AD1845" s="486"/>
      <c r="AE1845" s="485"/>
      <c r="AF1845" s="634"/>
      <c r="AG1845" s="97"/>
      <c r="AH1845" s="223"/>
      <c r="AI1845" s="569"/>
      <c r="AJ1845" s="569"/>
      <c r="AK1845" s="569"/>
      <c r="AL1845" s="569"/>
      <c r="AM1845" s="569"/>
      <c r="AN1845" s="589"/>
      <c r="AO1845" s="84"/>
      <c r="AP1845" s="5"/>
    </row>
    <row r="1846" spans="1:42" ht="13.5" customHeight="1" x14ac:dyDescent="0.35">
      <c r="A1846" s="4"/>
      <c r="B1846" s="614"/>
      <c r="C1846" s="71"/>
      <c r="D1846" s="71"/>
      <c r="E1846" s="71"/>
      <c r="F1846" s="71"/>
      <c r="G1846" s="71"/>
      <c r="H1846" s="87"/>
      <c r="I1846" s="71"/>
      <c r="J1846" s="71"/>
      <c r="K1846" s="71"/>
      <c r="L1846" s="87"/>
      <c r="M1846" s="71"/>
      <c r="N1846" s="71"/>
      <c r="O1846" s="71"/>
      <c r="P1846" s="311"/>
      <c r="Q1846" s="312"/>
      <c r="R1846" s="312"/>
      <c r="S1846" s="569"/>
      <c r="T1846" s="569"/>
      <c r="U1846" s="569"/>
      <c r="V1846" s="341"/>
      <c r="W1846" s="311"/>
      <c r="X1846" s="71"/>
      <c r="Y1846" s="71"/>
      <c r="Z1846" s="71"/>
      <c r="AA1846" s="456"/>
      <c r="AB1846" s="104"/>
      <c r="AC1846" s="485"/>
      <c r="AD1846" s="486"/>
      <c r="AE1846" s="485"/>
      <c r="AF1846" s="634"/>
      <c r="AG1846" s="97"/>
      <c r="AH1846" s="223"/>
      <c r="AI1846" s="569"/>
      <c r="AJ1846" s="569"/>
      <c r="AK1846" s="569"/>
      <c r="AL1846" s="569"/>
      <c r="AM1846" s="569"/>
      <c r="AN1846" s="589"/>
      <c r="AO1846" s="84"/>
      <c r="AP1846" s="5"/>
    </row>
    <row r="1847" spans="1:42" ht="13.5" customHeight="1" x14ac:dyDescent="0.35">
      <c r="A1847" s="4"/>
      <c r="B1847" s="614"/>
      <c r="C1847" s="71"/>
      <c r="D1847" s="71"/>
      <c r="E1847" s="71"/>
      <c r="F1847" s="71"/>
      <c r="G1847" s="71"/>
      <c r="H1847" s="87"/>
      <c r="I1847" s="71"/>
      <c r="J1847" s="71"/>
      <c r="K1847" s="71"/>
      <c r="L1847" s="87"/>
      <c r="M1847" s="71"/>
      <c r="N1847" s="71"/>
      <c r="O1847" s="71"/>
      <c r="P1847" s="311"/>
      <c r="Q1847" s="312"/>
      <c r="R1847" s="312"/>
      <c r="S1847" s="569"/>
      <c r="T1847" s="569"/>
      <c r="U1847" s="569"/>
      <c r="V1847" s="341"/>
      <c r="W1847" s="311"/>
      <c r="X1847" s="71"/>
      <c r="Y1847" s="71"/>
      <c r="Z1847" s="71"/>
      <c r="AA1847" s="456"/>
      <c r="AB1847" s="104"/>
      <c r="AC1847" s="485"/>
      <c r="AD1847" s="486"/>
      <c r="AE1847" s="485"/>
      <c r="AF1847" s="634"/>
      <c r="AG1847" s="97"/>
      <c r="AH1847" s="223"/>
      <c r="AI1847" s="569"/>
      <c r="AJ1847" s="569"/>
      <c r="AK1847" s="569"/>
      <c r="AL1847" s="569"/>
      <c r="AM1847" s="569"/>
      <c r="AN1847" s="589"/>
      <c r="AO1847" s="84"/>
      <c r="AP1847" s="5"/>
    </row>
    <row r="1848" spans="1:42" ht="13.5" customHeight="1" x14ac:dyDescent="0.35">
      <c r="A1848" s="4"/>
      <c r="B1848" s="614"/>
      <c r="C1848" s="71"/>
      <c r="D1848" s="71"/>
      <c r="E1848" s="71"/>
      <c r="F1848" s="71"/>
      <c r="G1848" s="71"/>
      <c r="H1848" s="87"/>
      <c r="I1848" s="71"/>
      <c r="J1848" s="71"/>
      <c r="K1848" s="71"/>
      <c r="L1848" s="87"/>
      <c r="M1848" s="71"/>
      <c r="N1848" s="71"/>
      <c r="O1848" s="71"/>
      <c r="P1848" s="311"/>
      <c r="Q1848" s="312"/>
      <c r="R1848" s="312"/>
      <c r="S1848" s="569"/>
      <c r="T1848" s="569"/>
      <c r="U1848" s="569"/>
      <c r="V1848" s="341"/>
      <c r="W1848" s="311"/>
      <c r="X1848" s="71"/>
      <c r="Y1848" s="71"/>
      <c r="Z1848" s="71"/>
      <c r="AA1848" s="456"/>
      <c r="AB1848" s="104"/>
      <c r="AC1848" s="485"/>
      <c r="AD1848" s="486"/>
      <c r="AE1848" s="485"/>
      <c r="AF1848" s="634"/>
      <c r="AG1848" s="97"/>
      <c r="AH1848" s="223"/>
      <c r="AI1848" s="569"/>
      <c r="AJ1848" s="569"/>
      <c r="AK1848" s="569"/>
      <c r="AL1848" s="569"/>
      <c r="AM1848" s="569"/>
      <c r="AN1848" s="589"/>
      <c r="AO1848" s="84"/>
      <c r="AP1848" s="5"/>
    </row>
    <row r="1849" spans="1:42" ht="13.5" customHeight="1" x14ac:dyDescent="0.35">
      <c r="A1849" s="4"/>
      <c r="B1849" s="614"/>
      <c r="C1849" s="71"/>
      <c r="D1849" s="71"/>
      <c r="E1849" s="71"/>
      <c r="F1849" s="71"/>
      <c r="G1849" s="71"/>
      <c r="H1849" s="87"/>
      <c r="I1849" s="71"/>
      <c r="J1849" s="71"/>
      <c r="K1849" s="71"/>
      <c r="L1849" s="87"/>
      <c r="M1849" s="71"/>
      <c r="N1849" s="71"/>
      <c r="O1849" s="71"/>
      <c r="P1849" s="311"/>
      <c r="Q1849" s="312"/>
      <c r="R1849" s="312"/>
      <c r="S1849" s="569"/>
      <c r="T1849" s="569"/>
      <c r="U1849" s="569"/>
      <c r="V1849" s="341"/>
      <c r="W1849" s="311"/>
      <c r="X1849" s="71"/>
      <c r="Y1849" s="71"/>
      <c r="Z1849" s="71"/>
      <c r="AA1849" s="456"/>
      <c r="AB1849" s="104"/>
      <c r="AC1849" s="485"/>
      <c r="AD1849" s="486"/>
      <c r="AE1849" s="485"/>
      <c r="AF1849" s="634"/>
      <c r="AG1849" s="97"/>
      <c r="AH1849" s="223"/>
      <c r="AI1849" s="569"/>
      <c r="AJ1849" s="569"/>
      <c r="AK1849" s="569"/>
      <c r="AL1849" s="569"/>
      <c r="AM1849" s="569"/>
      <c r="AN1849" s="589"/>
      <c r="AO1849" s="84"/>
      <c r="AP1849" s="5"/>
    </row>
    <row r="1850" spans="1:42" ht="13.5" customHeight="1" x14ac:dyDescent="0.35">
      <c r="A1850" s="4"/>
      <c r="B1850" s="614"/>
      <c r="C1850" s="71"/>
      <c r="D1850" s="71"/>
      <c r="E1850" s="71"/>
      <c r="F1850" s="71"/>
      <c r="G1850" s="71"/>
      <c r="H1850" s="87"/>
      <c r="I1850" s="71"/>
      <c r="J1850" s="71"/>
      <c r="K1850" s="71"/>
      <c r="L1850" s="87"/>
      <c r="M1850" s="71"/>
      <c r="N1850" s="71"/>
      <c r="O1850" s="71"/>
      <c r="P1850" s="311"/>
      <c r="Q1850" s="312"/>
      <c r="R1850" s="312"/>
      <c r="S1850" s="569"/>
      <c r="T1850" s="569"/>
      <c r="U1850" s="569"/>
      <c r="V1850" s="341"/>
      <c r="W1850" s="311"/>
      <c r="X1850" s="71"/>
      <c r="Y1850" s="71"/>
      <c r="Z1850" s="71"/>
      <c r="AA1850" s="456"/>
      <c r="AB1850" s="104"/>
      <c r="AC1850" s="485"/>
      <c r="AD1850" s="486"/>
      <c r="AE1850" s="485"/>
      <c r="AF1850" s="634"/>
      <c r="AG1850" s="97"/>
      <c r="AH1850" s="223"/>
      <c r="AI1850" s="569"/>
      <c r="AJ1850" s="569"/>
      <c r="AK1850" s="569"/>
      <c r="AL1850" s="569"/>
      <c r="AM1850" s="569"/>
      <c r="AN1850" s="589"/>
      <c r="AO1850" s="84"/>
      <c r="AP1850" s="5"/>
    </row>
    <row r="1851" spans="1:42" ht="13.5" customHeight="1" x14ac:dyDescent="0.35">
      <c r="A1851" s="4"/>
      <c r="B1851" s="614"/>
      <c r="C1851" s="71"/>
      <c r="D1851" s="71"/>
      <c r="E1851" s="71"/>
      <c r="F1851" s="71"/>
      <c r="G1851" s="71"/>
      <c r="H1851" s="87"/>
      <c r="I1851" s="71"/>
      <c r="J1851" s="71"/>
      <c r="K1851" s="71"/>
      <c r="L1851" s="87"/>
      <c r="M1851" s="71"/>
      <c r="N1851" s="71"/>
      <c r="O1851" s="71"/>
      <c r="P1851" s="311"/>
      <c r="Q1851" s="312"/>
      <c r="R1851" s="312"/>
      <c r="S1851" s="569"/>
      <c r="T1851" s="569"/>
      <c r="U1851" s="569"/>
      <c r="V1851" s="341"/>
      <c r="W1851" s="311"/>
      <c r="X1851" s="71"/>
      <c r="Y1851" s="71"/>
      <c r="Z1851" s="71"/>
      <c r="AA1851" s="456"/>
      <c r="AB1851" s="104"/>
      <c r="AC1851" s="485"/>
      <c r="AD1851" s="486"/>
      <c r="AE1851" s="485"/>
      <c r="AF1851" s="634"/>
      <c r="AG1851" s="97"/>
      <c r="AH1851" s="223"/>
      <c r="AI1851" s="569"/>
      <c r="AJ1851" s="569"/>
      <c r="AK1851" s="569"/>
      <c r="AL1851" s="569"/>
      <c r="AM1851" s="569"/>
      <c r="AN1851" s="589"/>
      <c r="AO1851" s="84"/>
      <c r="AP1851" s="5"/>
    </row>
    <row r="1852" spans="1:42" ht="13.5" customHeight="1" x14ac:dyDescent="0.35">
      <c r="A1852" s="4"/>
      <c r="B1852" s="614"/>
      <c r="C1852" s="71"/>
      <c r="D1852" s="71"/>
      <c r="E1852" s="71"/>
      <c r="F1852" s="71"/>
      <c r="G1852" s="71"/>
      <c r="H1852" s="87"/>
      <c r="I1852" s="71"/>
      <c r="J1852" s="71"/>
      <c r="K1852" s="71"/>
      <c r="L1852" s="87"/>
      <c r="M1852" s="71"/>
      <c r="N1852" s="71"/>
      <c r="O1852" s="71"/>
      <c r="P1852" s="311"/>
      <c r="Q1852" s="312"/>
      <c r="R1852" s="312"/>
      <c r="S1852" s="569"/>
      <c r="T1852" s="569"/>
      <c r="U1852" s="569"/>
      <c r="V1852" s="341"/>
      <c r="W1852" s="311"/>
      <c r="X1852" s="71"/>
      <c r="Y1852" s="71"/>
      <c r="Z1852" s="71"/>
      <c r="AA1852" s="456"/>
      <c r="AB1852" s="104"/>
      <c r="AC1852" s="485"/>
      <c r="AD1852" s="486"/>
      <c r="AE1852" s="485"/>
      <c r="AF1852" s="634"/>
      <c r="AG1852" s="97"/>
      <c r="AH1852" s="223"/>
      <c r="AI1852" s="569"/>
      <c r="AJ1852" s="569"/>
      <c r="AK1852" s="569"/>
      <c r="AL1852" s="569"/>
      <c r="AM1852" s="569"/>
      <c r="AN1852" s="589"/>
      <c r="AO1852" s="84"/>
      <c r="AP1852" s="5"/>
    </row>
    <row r="1853" spans="1:42" ht="13.5" customHeight="1" x14ac:dyDescent="0.35">
      <c r="A1853" s="4"/>
      <c r="B1853" s="614"/>
      <c r="C1853" s="71"/>
      <c r="D1853" s="71"/>
      <c r="E1853" s="71"/>
      <c r="F1853" s="71"/>
      <c r="G1853" s="71"/>
      <c r="H1853" s="87"/>
      <c r="I1853" s="71"/>
      <c r="J1853" s="71"/>
      <c r="K1853" s="71"/>
      <c r="L1853" s="87"/>
      <c r="M1853" s="71"/>
      <c r="N1853" s="71"/>
      <c r="O1853" s="71"/>
      <c r="P1853" s="311"/>
      <c r="Q1853" s="312"/>
      <c r="R1853" s="312"/>
      <c r="S1853" s="569"/>
      <c r="T1853" s="569"/>
      <c r="U1853" s="569"/>
      <c r="V1853" s="341"/>
      <c r="W1853" s="311"/>
      <c r="X1853" s="71"/>
      <c r="Y1853" s="71"/>
      <c r="Z1853" s="71"/>
      <c r="AA1853" s="456"/>
      <c r="AB1853" s="104"/>
      <c r="AC1853" s="485"/>
      <c r="AD1853" s="486"/>
      <c r="AE1853" s="485"/>
      <c r="AF1853" s="634"/>
      <c r="AG1853" s="97"/>
      <c r="AH1853" s="223"/>
      <c r="AI1853" s="569"/>
      <c r="AJ1853" s="569"/>
      <c r="AK1853" s="569"/>
      <c r="AL1853" s="569"/>
      <c r="AM1853" s="569"/>
      <c r="AN1853" s="589"/>
      <c r="AO1853" s="84"/>
      <c r="AP1853" s="5"/>
    </row>
    <row r="1854" spans="1:42" ht="13.5" customHeight="1" x14ac:dyDescent="0.35">
      <c r="A1854" s="4"/>
      <c r="B1854" s="614"/>
      <c r="C1854" s="71"/>
      <c r="D1854" s="71"/>
      <c r="E1854" s="71"/>
      <c r="F1854" s="71"/>
      <c r="G1854" s="71"/>
      <c r="H1854" s="87"/>
      <c r="I1854" s="71"/>
      <c r="J1854" s="71"/>
      <c r="K1854" s="71"/>
      <c r="L1854" s="87"/>
      <c r="M1854" s="71"/>
      <c r="N1854" s="71"/>
      <c r="O1854" s="71"/>
      <c r="P1854" s="311"/>
      <c r="Q1854" s="312"/>
      <c r="R1854" s="312"/>
      <c r="S1854" s="569"/>
      <c r="T1854" s="569"/>
      <c r="U1854" s="569"/>
      <c r="V1854" s="341"/>
      <c r="W1854" s="311"/>
      <c r="X1854" s="71"/>
      <c r="Y1854" s="71"/>
      <c r="Z1854" s="71"/>
      <c r="AA1854" s="456"/>
      <c r="AB1854" s="104"/>
      <c r="AC1854" s="485"/>
      <c r="AD1854" s="486"/>
      <c r="AE1854" s="485"/>
      <c r="AF1854" s="634"/>
      <c r="AG1854" s="97"/>
      <c r="AH1854" s="223"/>
      <c r="AI1854" s="569"/>
      <c r="AJ1854" s="569"/>
      <c r="AK1854" s="569"/>
      <c r="AL1854" s="569"/>
      <c r="AM1854" s="569"/>
      <c r="AN1854" s="589"/>
      <c r="AO1854" s="84"/>
      <c r="AP1854" s="5"/>
    </row>
    <row r="1855" spans="1:42" ht="13.5" customHeight="1" x14ac:dyDescent="0.35">
      <c r="A1855" s="4"/>
      <c r="B1855" s="614"/>
      <c r="C1855" s="71"/>
      <c r="D1855" s="71"/>
      <c r="E1855" s="71"/>
      <c r="F1855" s="71"/>
      <c r="G1855" s="71"/>
      <c r="H1855" s="87"/>
      <c r="I1855" s="71"/>
      <c r="J1855" s="71"/>
      <c r="K1855" s="71"/>
      <c r="L1855" s="87"/>
      <c r="M1855" s="71"/>
      <c r="N1855" s="71"/>
      <c r="O1855" s="71"/>
      <c r="P1855" s="311"/>
      <c r="Q1855" s="312"/>
      <c r="R1855" s="312"/>
      <c r="S1855" s="569"/>
      <c r="T1855" s="569"/>
      <c r="U1855" s="569"/>
      <c r="V1855" s="341"/>
      <c r="W1855" s="311"/>
      <c r="X1855" s="71"/>
      <c r="Y1855" s="71"/>
      <c r="Z1855" s="71"/>
      <c r="AA1855" s="456"/>
      <c r="AB1855" s="104"/>
      <c r="AC1855" s="485"/>
      <c r="AD1855" s="486"/>
      <c r="AE1855" s="485"/>
      <c r="AF1855" s="634"/>
      <c r="AG1855" s="97"/>
      <c r="AH1855" s="223"/>
      <c r="AI1855" s="569"/>
      <c r="AJ1855" s="569"/>
      <c r="AK1855" s="569"/>
      <c r="AL1855" s="569"/>
      <c r="AM1855" s="569"/>
      <c r="AN1855" s="589"/>
      <c r="AO1855" s="84"/>
      <c r="AP1855" s="5"/>
    </row>
    <row r="1856" spans="1:42" ht="13.5" customHeight="1" x14ac:dyDescent="0.35">
      <c r="A1856" s="4"/>
      <c r="B1856" s="614"/>
      <c r="C1856" s="71"/>
      <c r="D1856" s="71"/>
      <c r="E1856" s="71"/>
      <c r="F1856" s="71"/>
      <c r="G1856" s="71"/>
      <c r="H1856" s="87"/>
      <c r="I1856" s="71"/>
      <c r="J1856" s="71"/>
      <c r="K1856" s="71"/>
      <c r="L1856" s="87"/>
      <c r="M1856" s="71"/>
      <c r="N1856" s="71"/>
      <c r="O1856" s="71"/>
      <c r="P1856" s="311"/>
      <c r="Q1856" s="312"/>
      <c r="R1856" s="312"/>
      <c r="S1856" s="569"/>
      <c r="T1856" s="569"/>
      <c r="U1856" s="569"/>
      <c r="V1856" s="341"/>
      <c r="W1856" s="311"/>
      <c r="X1856" s="71"/>
      <c r="Y1856" s="71"/>
      <c r="Z1856" s="71"/>
      <c r="AA1856" s="456"/>
      <c r="AB1856" s="104"/>
      <c r="AC1856" s="485"/>
      <c r="AD1856" s="486"/>
      <c r="AE1856" s="485"/>
      <c r="AF1856" s="634"/>
      <c r="AG1856" s="97"/>
      <c r="AH1856" s="223"/>
      <c r="AI1856" s="569"/>
      <c r="AJ1856" s="569"/>
      <c r="AK1856" s="569"/>
      <c r="AL1856" s="569"/>
      <c r="AM1856" s="569"/>
      <c r="AN1856" s="589"/>
      <c r="AO1856" s="84"/>
      <c r="AP1856" s="5"/>
    </row>
    <row r="1857" spans="1:42" ht="13.5" customHeight="1" x14ac:dyDescent="0.35">
      <c r="A1857" s="4"/>
      <c r="B1857" s="614"/>
      <c r="C1857" s="71"/>
      <c r="D1857" s="71"/>
      <c r="E1857" s="71"/>
      <c r="F1857" s="71"/>
      <c r="G1857" s="71"/>
      <c r="H1857" s="87"/>
      <c r="I1857" s="71"/>
      <c r="J1857" s="71"/>
      <c r="K1857" s="71"/>
      <c r="L1857" s="87"/>
      <c r="M1857" s="71"/>
      <c r="N1857" s="71"/>
      <c r="O1857" s="71"/>
      <c r="P1857" s="311"/>
      <c r="Q1857" s="312"/>
      <c r="R1857" s="312"/>
      <c r="S1857" s="569"/>
      <c r="T1857" s="569"/>
      <c r="U1857" s="569"/>
      <c r="V1857" s="341"/>
      <c r="W1857" s="311"/>
      <c r="X1857" s="71"/>
      <c r="Y1857" s="71"/>
      <c r="Z1857" s="71"/>
      <c r="AA1857" s="456"/>
      <c r="AB1857" s="104"/>
      <c r="AC1857" s="485"/>
      <c r="AD1857" s="486"/>
      <c r="AE1857" s="485"/>
      <c r="AF1857" s="634"/>
      <c r="AG1857" s="97"/>
      <c r="AH1857" s="223"/>
      <c r="AI1857" s="569"/>
      <c r="AJ1857" s="569"/>
      <c r="AK1857" s="569"/>
      <c r="AL1857" s="569"/>
      <c r="AM1857" s="569"/>
      <c r="AN1857" s="589"/>
      <c r="AO1857" s="84"/>
      <c r="AP1857" s="5"/>
    </row>
    <row r="1858" spans="1:42" ht="13.5" customHeight="1" x14ac:dyDescent="0.35">
      <c r="A1858" s="4"/>
      <c r="B1858" s="614"/>
      <c r="C1858" s="71"/>
      <c r="D1858" s="71"/>
      <c r="E1858" s="71"/>
      <c r="F1858" s="71"/>
      <c r="G1858" s="71"/>
      <c r="H1858" s="87"/>
      <c r="I1858" s="71"/>
      <c r="J1858" s="71"/>
      <c r="K1858" s="71"/>
      <c r="L1858" s="87"/>
      <c r="M1858" s="71"/>
      <c r="N1858" s="71"/>
      <c r="O1858" s="71"/>
      <c r="P1858" s="311"/>
      <c r="Q1858" s="312"/>
      <c r="R1858" s="312"/>
      <c r="S1858" s="569"/>
      <c r="T1858" s="569"/>
      <c r="U1858" s="569"/>
      <c r="V1858" s="341"/>
      <c r="W1858" s="311"/>
      <c r="X1858" s="71"/>
      <c r="Y1858" s="71"/>
      <c r="Z1858" s="71"/>
      <c r="AA1858" s="456"/>
      <c r="AB1858" s="104"/>
      <c r="AC1858" s="485"/>
      <c r="AD1858" s="486"/>
      <c r="AE1858" s="485"/>
      <c r="AF1858" s="634"/>
      <c r="AG1858" s="97"/>
      <c r="AH1858" s="223"/>
      <c r="AI1858" s="569"/>
      <c r="AJ1858" s="569"/>
      <c r="AK1858" s="569"/>
      <c r="AL1858" s="569"/>
      <c r="AM1858" s="569"/>
      <c r="AN1858" s="589"/>
      <c r="AO1858" s="84"/>
      <c r="AP1858" s="5"/>
    </row>
    <row r="1859" spans="1:42" ht="13.5" customHeight="1" x14ac:dyDescent="0.35">
      <c r="A1859" s="4"/>
      <c r="B1859" s="614"/>
      <c r="C1859" s="71"/>
      <c r="D1859" s="71"/>
      <c r="E1859" s="71"/>
      <c r="F1859" s="71"/>
      <c r="G1859" s="71"/>
      <c r="H1859" s="87"/>
      <c r="I1859" s="71"/>
      <c r="J1859" s="71"/>
      <c r="K1859" s="71"/>
      <c r="L1859" s="87"/>
      <c r="M1859" s="71"/>
      <c r="N1859" s="71"/>
      <c r="O1859" s="71"/>
      <c r="P1859" s="311"/>
      <c r="Q1859" s="312"/>
      <c r="R1859" s="312"/>
      <c r="S1859" s="569"/>
      <c r="T1859" s="569"/>
      <c r="U1859" s="569"/>
      <c r="V1859" s="341"/>
      <c r="W1859" s="311"/>
      <c r="X1859" s="71"/>
      <c r="Y1859" s="71"/>
      <c r="Z1859" s="71"/>
      <c r="AA1859" s="456"/>
      <c r="AB1859" s="104"/>
      <c r="AC1859" s="485"/>
      <c r="AD1859" s="486"/>
      <c r="AE1859" s="485"/>
      <c r="AF1859" s="634"/>
      <c r="AG1859" s="97"/>
      <c r="AH1859" s="223"/>
      <c r="AI1859" s="569"/>
      <c r="AJ1859" s="569"/>
      <c r="AK1859" s="569"/>
      <c r="AL1859" s="569"/>
      <c r="AM1859" s="569"/>
      <c r="AN1859" s="589"/>
      <c r="AO1859" s="84"/>
      <c r="AP1859" s="5"/>
    </row>
    <row r="1860" spans="1:42" ht="13.5" customHeight="1" x14ac:dyDescent="0.35">
      <c r="A1860" s="4"/>
      <c r="B1860" s="614"/>
      <c r="C1860" s="71"/>
      <c r="D1860" s="71"/>
      <c r="E1860" s="71"/>
      <c r="F1860" s="71"/>
      <c r="G1860" s="71"/>
      <c r="H1860" s="87"/>
      <c r="I1860" s="71"/>
      <c r="J1860" s="71"/>
      <c r="K1860" s="71"/>
      <c r="L1860" s="87"/>
      <c r="M1860" s="71"/>
      <c r="N1860" s="71"/>
      <c r="O1860" s="71"/>
      <c r="P1860" s="311"/>
      <c r="Q1860" s="312"/>
      <c r="R1860" s="312"/>
      <c r="S1860" s="569"/>
      <c r="T1860" s="569"/>
      <c r="U1860" s="569"/>
      <c r="V1860" s="341"/>
      <c r="W1860" s="311"/>
      <c r="X1860" s="71"/>
      <c r="Y1860" s="71"/>
      <c r="Z1860" s="71"/>
      <c r="AA1860" s="456"/>
      <c r="AB1860" s="104"/>
      <c r="AC1860" s="485"/>
      <c r="AD1860" s="486"/>
      <c r="AE1860" s="485"/>
      <c r="AF1860" s="634"/>
      <c r="AG1860" s="97"/>
      <c r="AH1860" s="223"/>
      <c r="AI1860" s="569"/>
      <c r="AJ1860" s="569"/>
      <c r="AK1860" s="569"/>
      <c r="AL1860" s="569"/>
      <c r="AM1860" s="569"/>
      <c r="AN1860" s="589"/>
      <c r="AO1860" s="84"/>
      <c r="AP1860" s="5"/>
    </row>
    <row r="1861" spans="1:42" ht="13.5" customHeight="1" x14ac:dyDescent="0.35">
      <c r="A1861" s="4"/>
      <c r="B1861" s="614"/>
      <c r="C1861" s="71"/>
      <c r="D1861" s="71"/>
      <c r="E1861" s="71"/>
      <c r="F1861" s="71"/>
      <c r="G1861" s="71"/>
      <c r="H1861" s="87"/>
      <c r="I1861" s="71"/>
      <c r="J1861" s="71"/>
      <c r="K1861" s="71"/>
      <c r="L1861" s="87"/>
      <c r="M1861" s="71"/>
      <c r="N1861" s="71"/>
      <c r="O1861" s="71"/>
      <c r="P1861" s="311"/>
      <c r="Q1861" s="312"/>
      <c r="R1861" s="312"/>
      <c r="S1861" s="569"/>
      <c r="T1861" s="569"/>
      <c r="U1861" s="569"/>
      <c r="V1861" s="341"/>
      <c r="W1861" s="311"/>
      <c r="X1861" s="71"/>
      <c r="Y1861" s="71"/>
      <c r="Z1861" s="71"/>
      <c r="AA1861" s="456"/>
      <c r="AB1861" s="104"/>
      <c r="AC1861" s="485"/>
      <c r="AD1861" s="486"/>
      <c r="AE1861" s="485"/>
      <c r="AF1861" s="634"/>
      <c r="AG1861" s="97"/>
      <c r="AH1861" s="223"/>
      <c r="AI1861" s="569"/>
      <c r="AJ1861" s="569"/>
      <c r="AK1861" s="569"/>
      <c r="AL1861" s="569"/>
      <c r="AM1861" s="569"/>
      <c r="AN1861" s="589"/>
      <c r="AO1861" s="84"/>
      <c r="AP1861" s="5"/>
    </row>
    <row r="1862" spans="1:42" ht="13.5" customHeight="1" x14ac:dyDescent="0.35">
      <c r="A1862" s="4"/>
      <c r="B1862" s="614"/>
      <c r="C1862" s="71"/>
      <c r="D1862" s="71"/>
      <c r="E1862" s="71"/>
      <c r="F1862" s="71"/>
      <c r="G1862" s="71"/>
      <c r="H1862" s="87"/>
      <c r="I1862" s="71"/>
      <c r="J1862" s="71"/>
      <c r="K1862" s="71"/>
      <c r="L1862" s="87"/>
      <c r="M1862" s="71"/>
      <c r="N1862" s="71"/>
      <c r="O1862" s="71"/>
      <c r="P1862" s="311"/>
      <c r="Q1862" s="312"/>
      <c r="R1862" s="312"/>
      <c r="S1862" s="569"/>
      <c r="T1862" s="569"/>
      <c r="U1862" s="569"/>
      <c r="V1862" s="341"/>
      <c r="W1862" s="311"/>
      <c r="X1862" s="71"/>
      <c r="Y1862" s="71"/>
      <c r="Z1862" s="71"/>
      <c r="AA1862" s="456"/>
      <c r="AB1862" s="104"/>
      <c r="AC1862" s="485"/>
      <c r="AD1862" s="486"/>
      <c r="AE1862" s="485"/>
      <c r="AF1862" s="634"/>
      <c r="AG1862" s="97"/>
      <c r="AH1862" s="223"/>
      <c r="AI1862" s="569"/>
      <c r="AJ1862" s="569"/>
      <c r="AK1862" s="569"/>
      <c r="AL1862" s="569"/>
      <c r="AM1862" s="569"/>
      <c r="AN1862" s="589"/>
      <c r="AO1862" s="84"/>
      <c r="AP1862" s="5"/>
    </row>
    <row r="1863" spans="1:42" ht="13.5" customHeight="1" x14ac:dyDescent="0.35">
      <c r="A1863" s="4"/>
      <c r="B1863" s="614"/>
      <c r="C1863" s="71"/>
      <c r="D1863" s="71"/>
      <c r="E1863" s="71"/>
      <c r="F1863" s="71"/>
      <c r="G1863" s="71"/>
      <c r="H1863" s="87"/>
      <c r="I1863" s="71"/>
      <c r="J1863" s="71"/>
      <c r="K1863" s="71"/>
      <c r="L1863" s="87"/>
      <c r="M1863" s="71"/>
      <c r="N1863" s="71"/>
      <c r="O1863" s="71"/>
      <c r="P1863" s="311"/>
      <c r="Q1863" s="312"/>
      <c r="R1863" s="312"/>
      <c r="S1863" s="569"/>
      <c r="T1863" s="569"/>
      <c r="U1863" s="569"/>
      <c r="V1863" s="341"/>
      <c r="W1863" s="311"/>
      <c r="X1863" s="71"/>
      <c r="Y1863" s="71"/>
      <c r="Z1863" s="71"/>
      <c r="AA1863" s="456"/>
      <c r="AB1863" s="104"/>
      <c r="AC1863" s="485"/>
      <c r="AD1863" s="486"/>
      <c r="AE1863" s="485"/>
      <c r="AF1863" s="634"/>
      <c r="AG1863" s="97"/>
      <c r="AH1863" s="223"/>
      <c r="AI1863" s="569"/>
      <c r="AJ1863" s="569"/>
      <c r="AK1863" s="569"/>
      <c r="AL1863" s="569"/>
      <c r="AM1863" s="569"/>
      <c r="AN1863" s="589"/>
      <c r="AO1863" s="84"/>
      <c r="AP1863" s="5"/>
    </row>
    <row r="1864" spans="1:42" ht="13.5" customHeight="1" x14ac:dyDescent="0.35">
      <c r="A1864" s="4"/>
      <c r="B1864" s="614"/>
      <c r="C1864" s="71"/>
      <c r="D1864" s="71"/>
      <c r="E1864" s="71"/>
      <c r="F1864" s="71"/>
      <c r="G1864" s="71"/>
      <c r="H1864" s="87"/>
      <c r="I1864" s="71"/>
      <c r="J1864" s="71"/>
      <c r="K1864" s="71"/>
      <c r="L1864" s="87"/>
      <c r="M1864" s="71"/>
      <c r="N1864" s="71"/>
      <c r="O1864" s="71"/>
      <c r="P1864" s="311"/>
      <c r="Q1864" s="312"/>
      <c r="R1864" s="312"/>
      <c r="S1864" s="569"/>
      <c r="T1864" s="569"/>
      <c r="U1864" s="569"/>
      <c r="V1864" s="341"/>
      <c r="W1864" s="311"/>
      <c r="X1864" s="71"/>
      <c r="Y1864" s="71"/>
      <c r="Z1864" s="71"/>
      <c r="AA1864" s="456"/>
      <c r="AB1864" s="104"/>
      <c r="AC1864" s="485"/>
      <c r="AD1864" s="486"/>
      <c r="AE1864" s="485"/>
      <c r="AF1864" s="634"/>
      <c r="AG1864" s="97"/>
      <c r="AH1864" s="223"/>
      <c r="AI1864" s="569"/>
      <c r="AJ1864" s="569"/>
      <c r="AK1864" s="569"/>
      <c r="AL1864" s="569"/>
      <c r="AM1864" s="569"/>
      <c r="AN1864" s="589"/>
      <c r="AO1864" s="84"/>
      <c r="AP1864" s="5"/>
    </row>
    <row r="1865" spans="1:42" ht="13.5" customHeight="1" x14ac:dyDescent="0.35">
      <c r="A1865" s="4"/>
      <c r="B1865" s="614"/>
      <c r="C1865" s="71"/>
      <c r="D1865" s="71"/>
      <c r="E1865" s="71"/>
      <c r="F1865" s="71"/>
      <c r="G1865" s="71"/>
      <c r="H1865" s="87"/>
      <c r="I1865" s="71"/>
      <c r="J1865" s="71"/>
      <c r="K1865" s="71"/>
      <c r="L1865" s="87"/>
      <c r="M1865" s="71"/>
      <c r="N1865" s="71"/>
      <c r="O1865" s="71"/>
      <c r="P1865" s="311"/>
      <c r="Q1865" s="312"/>
      <c r="R1865" s="312"/>
      <c r="S1865" s="569"/>
      <c r="T1865" s="569"/>
      <c r="U1865" s="569"/>
      <c r="V1865" s="341"/>
      <c r="W1865" s="311"/>
      <c r="X1865" s="71"/>
      <c r="Y1865" s="71"/>
      <c r="Z1865" s="71"/>
      <c r="AA1865" s="456"/>
      <c r="AB1865" s="104"/>
      <c r="AC1865" s="485"/>
      <c r="AD1865" s="486"/>
      <c r="AE1865" s="485"/>
      <c r="AF1865" s="634"/>
      <c r="AG1865" s="97"/>
      <c r="AH1865" s="223"/>
      <c r="AI1865" s="569"/>
      <c r="AJ1865" s="569"/>
      <c r="AK1865" s="569"/>
      <c r="AL1865" s="569"/>
      <c r="AM1865" s="569"/>
      <c r="AN1865" s="589"/>
      <c r="AO1865" s="84"/>
      <c r="AP1865" s="5"/>
    </row>
    <row r="1866" spans="1:42" ht="13.5" customHeight="1" x14ac:dyDescent="0.35">
      <c r="A1866" s="4"/>
      <c r="B1866" s="614"/>
      <c r="C1866" s="71"/>
      <c r="D1866" s="71"/>
      <c r="E1866" s="71"/>
      <c r="F1866" s="71"/>
      <c r="G1866" s="71"/>
      <c r="H1866" s="87"/>
      <c r="I1866" s="71"/>
      <c r="J1866" s="71"/>
      <c r="K1866" s="71"/>
      <c r="L1866" s="87"/>
      <c r="M1866" s="71"/>
      <c r="N1866" s="71"/>
      <c r="O1866" s="71"/>
      <c r="P1866" s="311"/>
      <c r="Q1866" s="312"/>
      <c r="R1866" s="312"/>
      <c r="S1866" s="569"/>
      <c r="T1866" s="569"/>
      <c r="U1866" s="569"/>
      <c r="V1866" s="341"/>
      <c r="W1866" s="311"/>
      <c r="X1866" s="71"/>
      <c r="Y1866" s="71"/>
      <c r="Z1866" s="71"/>
      <c r="AA1866" s="456"/>
      <c r="AB1866" s="104"/>
      <c r="AC1866" s="485"/>
      <c r="AD1866" s="486"/>
      <c r="AE1866" s="485"/>
      <c r="AF1866" s="634"/>
      <c r="AG1866" s="97"/>
      <c r="AH1866" s="223"/>
      <c r="AI1866" s="569"/>
      <c r="AJ1866" s="569"/>
      <c r="AK1866" s="569"/>
      <c r="AL1866" s="569"/>
      <c r="AM1866" s="569"/>
      <c r="AN1866" s="589"/>
      <c r="AO1866" s="84"/>
      <c r="AP1866" s="5"/>
    </row>
    <row r="1867" spans="1:42" ht="13.5" customHeight="1" x14ac:dyDescent="0.35">
      <c r="A1867" s="4"/>
      <c r="B1867" s="614"/>
      <c r="C1867" s="71"/>
      <c r="D1867" s="71"/>
      <c r="E1867" s="71"/>
      <c r="F1867" s="71"/>
      <c r="G1867" s="71"/>
      <c r="H1867" s="87"/>
      <c r="I1867" s="71"/>
      <c r="J1867" s="71"/>
      <c r="K1867" s="71"/>
      <c r="L1867" s="87"/>
      <c r="M1867" s="71"/>
      <c r="N1867" s="71"/>
      <c r="O1867" s="71"/>
      <c r="P1867" s="311"/>
      <c r="Q1867" s="312"/>
      <c r="R1867" s="312"/>
      <c r="S1867" s="569"/>
      <c r="T1867" s="569"/>
      <c r="U1867" s="569"/>
      <c r="V1867" s="341"/>
      <c r="W1867" s="311"/>
      <c r="X1867" s="71"/>
      <c r="Y1867" s="71"/>
      <c r="Z1867" s="71"/>
      <c r="AA1867" s="456"/>
      <c r="AB1867" s="104"/>
      <c r="AC1867" s="485"/>
      <c r="AD1867" s="486"/>
      <c r="AE1867" s="485"/>
      <c r="AF1867" s="634"/>
      <c r="AG1867" s="97"/>
      <c r="AH1867" s="223"/>
      <c r="AI1867" s="569"/>
      <c r="AJ1867" s="569"/>
      <c r="AK1867" s="569"/>
      <c r="AL1867" s="569"/>
      <c r="AM1867" s="569"/>
      <c r="AN1867" s="589"/>
      <c r="AO1867" s="84"/>
      <c r="AP1867" s="5"/>
    </row>
    <row r="1868" spans="1:42" ht="13.5" customHeight="1" x14ac:dyDescent="0.35">
      <c r="A1868" s="4"/>
      <c r="B1868" s="614"/>
      <c r="C1868" s="71"/>
      <c r="D1868" s="71"/>
      <c r="E1868" s="71"/>
      <c r="F1868" s="71"/>
      <c r="G1868" s="71"/>
      <c r="H1868" s="87"/>
      <c r="I1868" s="71"/>
      <c r="J1868" s="71"/>
      <c r="K1868" s="71"/>
      <c r="L1868" s="87"/>
      <c r="M1868" s="71"/>
      <c r="N1868" s="71"/>
      <c r="O1868" s="71"/>
      <c r="P1868" s="311"/>
      <c r="Q1868" s="312"/>
      <c r="R1868" s="312"/>
      <c r="S1868" s="569"/>
      <c r="T1868" s="569"/>
      <c r="U1868" s="569"/>
      <c r="V1868" s="341"/>
      <c r="W1868" s="311"/>
      <c r="X1868" s="71"/>
      <c r="Y1868" s="71"/>
      <c r="Z1868" s="71"/>
      <c r="AA1868" s="456"/>
      <c r="AB1868" s="104"/>
      <c r="AC1868" s="485"/>
      <c r="AD1868" s="486"/>
      <c r="AE1868" s="485"/>
      <c r="AF1868" s="634"/>
      <c r="AG1868" s="97"/>
      <c r="AH1868" s="223"/>
      <c r="AI1868" s="569"/>
      <c r="AJ1868" s="569"/>
      <c r="AK1868" s="569"/>
      <c r="AL1868" s="569"/>
      <c r="AM1868" s="569"/>
      <c r="AN1868" s="589"/>
      <c r="AO1868" s="84"/>
      <c r="AP1868" s="5"/>
    </row>
    <row r="1869" spans="1:42" ht="13.5" customHeight="1" x14ac:dyDescent="0.35">
      <c r="A1869" s="4"/>
      <c r="B1869" s="614"/>
      <c r="C1869" s="71"/>
      <c r="D1869" s="71"/>
      <c r="E1869" s="71"/>
      <c r="F1869" s="71"/>
      <c r="G1869" s="71"/>
      <c r="H1869" s="87"/>
      <c r="I1869" s="71"/>
      <c r="J1869" s="71"/>
      <c r="K1869" s="71"/>
      <c r="L1869" s="87"/>
      <c r="M1869" s="71"/>
      <c r="N1869" s="71"/>
      <c r="O1869" s="71"/>
      <c r="P1869" s="311"/>
      <c r="Q1869" s="312"/>
      <c r="R1869" s="312"/>
      <c r="S1869" s="569"/>
      <c r="T1869" s="569"/>
      <c r="U1869" s="569"/>
      <c r="V1869" s="341"/>
      <c r="W1869" s="311"/>
      <c r="X1869" s="71"/>
      <c r="Y1869" s="71"/>
      <c r="Z1869" s="71"/>
      <c r="AA1869" s="456"/>
      <c r="AB1869" s="104"/>
      <c r="AC1869" s="485"/>
      <c r="AD1869" s="486"/>
      <c r="AE1869" s="485"/>
      <c r="AF1869" s="634"/>
      <c r="AG1869" s="97"/>
      <c r="AH1869" s="223"/>
      <c r="AI1869" s="569"/>
      <c r="AJ1869" s="569"/>
      <c r="AK1869" s="569"/>
      <c r="AL1869" s="569"/>
      <c r="AM1869" s="569"/>
      <c r="AN1869" s="589"/>
      <c r="AO1869" s="84"/>
      <c r="AP1869" s="5"/>
    </row>
    <row r="1870" spans="1:42" ht="13.5" customHeight="1" x14ac:dyDescent="0.35">
      <c r="A1870" s="4"/>
      <c r="B1870" s="614"/>
      <c r="C1870" s="71"/>
      <c r="D1870" s="71"/>
      <c r="E1870" s="71"/>
      <c r="F1870" s="71"/>
      <c r="G1870" s="71"/>
      <c r="H1870" s="87"/>
      <c r="I1870" s="71"/>
      <c r="J1870" s="71"/>
      <c r="K1870" s="71"/>
      <c r="L1870" s="87"/>
      <c r="M1870" s="71"/>
      <c r="N1870" s="71"/>
      <c r="O1870" s="71"/>
      <c r="P1870" s="311"/>
      <c r="Q1870" s="312"/>
      <c r="R1870" s="312"/>
      <c r="S1870" s="569"/>
      <c r="T1870" s="569"/>
      <c r="U1870" s="569"/>
      <c r="V1870" s="341"/>
      <c r="W1870" s="311"/>
      <c r="X1870" s="71"/>
      <c r="Y1870" s="71"/>
      <c r="Z1870" s="71"/>
      <c r="AA1870" s="456"/>
      <c r="AB1870" s="104"/>
      <c r="AC1870" s="485"/>
      <c r="AD1870" s="486"/>
      <c r="AE1870" s="485"/>
      <c r="AF1870" s="634"/>
      <c r="AG1870" s="97"/>
      <c r="AH1870" s="223"/>
      <c r="AI1870" s="569"/>
      <c r="AJ1870" s="569"/>
      <c r="AK1870" s="569"/>
      <c r="AL1870" s="569"/>
      <c r="AM1870" s="569"/>
      <c r="AN1870" s="589"/>
      <c r="AO1870" s="84"/>
      <c r="AP1870" s="5"/>
    </row>
    <row r="1871" spans="1:42" ht="13.5" customHeight="1" x14ac:dyDescent="0.35">
      <c r="A1871" s="4"/>
      <c r="B1871" s="614"/>
      <c r="C1871" s="71"/>
      <c r="D1871" s="71"/>
      <c r="E1871" s="71"/>
      <c r="F1871" s="71"/>
      <c r="G1871" s="71"/>
      <c r="H1871" s="87"/>
      <c r="I1871" s="71"/>
      <c r="J1871" s="71"/>
      <c r="K1871" s="71"/>
      <c r="L1871" s="87"/>
      <c r="M1871" s="71"/>
      <c r="N1871" s="71"/>
      <c r="O1871" s="71"/>
      <c r="P1871" s="311"/>
      <c r="Q1871" s="312"/>
      <c r="R1871" s="312"/>
      <c r="S1871" s="569"/>
      <c r="T1871" s="569"/>
      <c r="U1871" s="569"/>
      <c r="V1871" s="341"/>
      <c r="W1871" s="311"/>
      <c r="X1871" s="71"/>
      <c r="Y1871" s="71"/>
      <c r="Z1871" s="71"/>
      <c r="AA1871" s="456"/>
      <c r="AB1871" s="104"/>
      <c r="AC1871" s="485"/>
      <c r="AD1871" s="486"/>
      <c r="AE1871" s="485"/>
      <c r="AF1871" s="634"/>
      <c r="AG1871" s="97"/>
      <c r="AH1871" s="223"/>
      <c r="AI1871" s="569"/>
      <c r="AJ1871" s="569"/>
      <c r="AK1871" s="569"/>
      <c r="AL1871" s="569"/>
      <c r="AM1871" s="569"/>
      <c r="AN1871" s="589"/>
      <c r="AO1871" s="84"/>
      <c r="AP1871" s="5"/>
    </row>
    <row r="1872" spans="1:42" ht="13.5" customHeight="1" x14ac:dyDescent="0.35">
      <c r="A1872" s="4"/>
      <c r="B1872" s="614"/>
      <c r="C1872" s="71"/>
      <c r="D1872" s="71"/>
      <c r="E1872" s="71"/>
      <c r="F1872" s="71"/>
      <c r="G1872" s="71"/>
      <c r="H1872" s="87"/>
      <c r="I1872" s="71"/>
      <c r="J1872" s="71"/>
      <c r="K1872" s="71"/>
      <c r="L1872" s="87"/>
      <c r="M1872" s="71"/>
      <c r="N1872" s="71"/>
      <c r="O1872" s="71"/>
      <c r="P1872" s="311"/>
      <c r="Q1872" s="312"/>
      <c r="R1872" s="312"/>
      <c r="S1872" s="569"/>
      <c r="T1872" s="569"/>
      <c r="U1872" s="569"/>
      <c r="V1872" s="341"/>
      <c r="W1872" s="311"/>
      <c r="X1872" s="71"/>
      <c r="Y1872" s="71"/>
      <c r="Z1872" s="71"/>
      <c r="AA1872" s="456"/>
      <c r="AB1872" s="104"/>
      <c r="AC1872" s="485"/>
      <c r="AD1872" s="486"/>
      <c r="AE1872" s="485"/>
      <c r="AF1872" s="634"/>
      <c r="AG1872" s="97"/>
      <c r="AH1872" s="223"/>
      <c r="AI1872" s="569"/>
      <c r="AJ1872" s="569"/>
      <c r="AK1872" s="569"/>
      <c r="AL1872" s="569"/>
      <c r="AM1872" s="569"/>
      <c r="AN1872" s="589"/>
      <c r="AO1872" s="84"/>
      <c r="AP1872" s="5"/>
    </row>
    <row r="1873" spans="1:42" ht="13.5" customHeight="1" x14ac:dyDescent="0.35">
      <c r="A1873" s="4"/>
      <c r="B1873" s="614"/>
      <c r="C1873" s="71"/>
      <c r="D1873" s="71"/>
      <c r="E1873" s="71"/>
      <c r="F1873" s="71"/>
      <c r="G1873" s="71"/>
      <c r="H1873" s="87"/>
      <c r="I1873" s="71"/>
      <c r="J1873" s="71"/>
      <c r="K1873" s="71"/>
      <c r="L1873" s="87"/>
      <c r="M1873" s="71"/>
      <c r="N1873" s="71"/>
      <c r="O1873" s="71"/>
      <c r="P1873" s="311"/>
      <c r="Q1873" s="312"/>
      <c r="R1873" s="312"/>
      <c r="S1873" s="569"/>
      <c r="T1873" s="569"/>
      <c r="U1873" s="569"/>
      <c r="V1873" s="341"/>
      <c r="W1873" s="311"/>
      <c r="X1873" s="71"/>
      <c r="Y1873" s="71"/>
      <c r="Z1873" s="71"/>
      <c r="AA1873" s="456"/>
      <c r="AB1873" s="104"/>
      <c r="AC1873" s="485"/>
      <c r="AD1873" s="486"/>
      <c r="AE1873" s="485"/>
      <c r="AF1873" s="634"/>
      <c r="AG1873" s="97"/>
      <c r="AH1873" s="223"/>
      <c r="AI1873" s="569"/>
      <c r="AJ1873" s="569"/>
      <c r="AK1873" s="569"/>
      <c r="AL1873" s="569"/>
      <c r="AM1873" s="569"/>
      <c r="AN1873" s="589"/>
      <c r="AO1873" s="84"/>
      <c r="AP1873" s="5"/>
    </row>
    <row r="1874" spans="1:42" ht="13.5" customHeight="1" x14ac:dyDescent="0.35">
      <c r="A1874" s="4"/>
      <c r="B1874" s="614"/>
      <c r="C1874" s="71"/>
      <c r="D1874" s="71"/>
      <c r="E1874" s="71"/>
      <c r="F1874" s="71"/>
      <c r="G1874" s="71"/>
      <c r="H1874" s="87"/>
      <c r="I1874" s="71"/>
      <c r="J1874" s="71"/>
      <c r="K1874" s="71"/>
      <c r="L1874" s="87"/>
      <c r="M1874" s="71"/>
      <c r="N1874" s="71"/>
      <c r="O1874" s="71"/>
      <c r="P1874" s="311"/>
      <c r="Q1874" s="312"/>
      <c r="R1874" s="312"/>
      <c r="S1874" s="569"/>
      <c r="T1874" s="569"/>
      <c r="U1874" s="569"/>
      <c r="V1874" s="341"/>
      <c r="W1874" s="311"/>
      <c r="X1874" s="71"/>
      <c r="Y1874" s="71"/>
      <c r="Z1874" s="71"/>
      <c r="AA1874" s="456"/>
      <c r="AB1874" s="104"/>
      <c r="AC1874" s="485"/>
      <c r="AD1874" s="486"/>
      <c r="AE1874" s="485"/>
      <c r="AF1874" s="634"/>
      <c r="AG1874" s="97"/>
      <c r="AH1874" s="223"/>
      <c r="AI1874" s="569"/>
      <c r="AJ1874" s="569"/>
      <c r="AK1874" s="569"/>
      <c r="AL1874" s="569"/>
      <c r="AM1874" s="569"/>
      <c r="AN1874" s="589"/>
      <c r="AO1874" s="84"/>
      <c r="AP1874" s="5"/>
    </row>
    <row r="1875" spans="1:42" ht="13.5" customHeight="1" x14ac:dyDescent="0.35">
      <c r="A1875" s="4"/>
      <c r="B1875" s="614"/>
      <c r="C1875" s="71"/>
      <c r="D1875" s="71"/>
      <c r="E1875" s="71"/>
      <c r="F1875" s="71"/>
      <c r="G1875" s="71"/>
      <c r="H1875" s="87"/>
      <c r="I1875" s="71"/>
      <c r="J1875" s="71"/>
      <c r="K1875" s="71"/>
      <c r="L1875" s="87"/>
      <c r="M1875" s="71"/>
      <c r="N1875" s="71"/>
      <c r="O1875" s="71"/>
      <c r="P1875" s="311"/>
      <c r="Q1875" s="312"/>
      <c r="R1875" s="312"/>
      <c r="S1875" s="569"/>
      <c r="T1875" s="569"/>
      <c r="U1875" s="569"/>
      <c r="V1875" s="341"/>
      <c r="W1875" s="311"/>
      <c r="X1875" s="71"/>
      <c r="Y1875" s="71"/>
      <c r="Z1875" s="71"/>
      <c r="AA1875" s="456"/>
      <c r="AB1875" s="104"/>
      <c r="AC1875" s="485"/>
      <c r="AD1875" s="486"/>
      <c r="AE1875" s="485"/>
      <c r="AF1875" s="634"/>
      <c r="AG1875" s="97"/>
      <c r="AH1875" s="223"/>
      <c r="AI1875" s="569"/>
      <c r="AJ1875" s="569"/>
      <c r="AK1875" s="569"/>
      <c r="AL1875" s="569"/>
      <c r="AM1875" s="569"/>
      <c r="AN1875" s="589"/>
      <c r="AO1875" s="84"/>
      <c r="AP1875" s="5"/>
    </row>
    <row r="1876" spans="1:42" ht="13.5" customHeight="1" x14ac:dyDescent="0.35">
      <c r="A1876" s="4"/>
      <c r="B1876" s="614"/>
      <c r="C1876" s="71"/>
      <c r="D1876" s="71"/>
      <c r="E1876" s="71"/>
      <c r="F1876" s="71"/>
      <c r="G1876" s="71"/>
      <c r="H1876" s="87"/>
      <c r="I1876" s="71"/>
      <c r="J1876" s="71"/>
      <c r="K1876" s="71"/>
      <c r="L1876" s="87"/>
      <c r="M1876" s="71"/>
      <c r="N1876" s="71"/>
      <c r="O1876" s="71"/>
      <c r="P1876" s="311"/>
      <c r="Q1876" s="312"/>
      <c r="R1876" s="312"/>
      <c r="S1876" s="569"/>
      <c r="T1876" s="569"/>
      <c r="U1876" s="569"/>
      <c r="V1876" s="341"/>
      <c r="W1876" s="311"/>
      <c r="X1876" s="71"/>
      <c r="Y1876" s="71"/>
      <c r="Z1876" s="71"/>
      <c r="AA1876" s="456"/>
      <c r="AB1876" s="104"/>
      <c r="AC1876" s="485"/>
      <c r="AD1876" s="486"/>
      <c r="AE1876" s="485"/>
      <c r="AF1876" s="634"/>
      <c r="AG1876" s="97"/>
      <c r="AH1876" s="223"/>
      <c r="AI1876" s="569"/>
      <c r="AJ1876" s="569"/>
      <c r="AK1876" s="569"/>
      <c r="AL1876" s="569"/>
      <c r="AM1876" s="569"/>
      <c r="AN1876" s="589"/>
      <c r="AO1876" s="84"/>
      <c r="AP1876" s="5"/>
    </row>
    <row r="1877" spans="1:42" ht="13.5" customHeight="1" x14ac:dyDescent="0.35">
      <c r="A1877" s="4"/>
      <c r="B1877" s="614"/>
      <c r="C1877" s="71"/>
      <c r="D1877" s="71"/>
      <c r="E1877" s="71"/>
      <c r="F1877" s="71"/>
      <c r="G1877" s="71"/>
      <c r="H1877" s="87"/>
      <c r="I1877" s="71"/>
      <c r="J1877" s="71"/>
      <c r="K1877" s="71"/>
      <c r="L1877" s="87"/>
      <c r="M1877" s="71"/>
      <c r="N1877" s="71"/>
      <c r="O1877" s="71"/>
      <c r="P1877" s="311"/>
      <c r="Q1877" s="312"/>
      <c r="R1877" s="312"/>
      <c r="S1877" s="569"/>
      <c r="T1877" s="569"/>
      <c r="U1877" s="569"/>
      <c r="V1877" s="341"/>
      <c r="W1877" s="311"/>
      <c r="X1877" s="71"/>
      <c r="Y1877" s="71"/>
      <c r="Z1877" s="71"/>
      <c r="AA1877" s="456"/>
      <c r="AB1877" s="104"/>
      <c r="AC1877" s="485"/>
      <c r="AD1877" s="486"/>
      <c r="AE1877" s="485"/>
      <c r="AF1877" s="634"/>
      <c r="AG1877" s="97"/>
      <c r="AH1877" s="223"/>
      <c r="AI1877" s="569"/>
      <c r="AJ1877" s="569"/>
      <c r="AK1877" s="569"/>
      <c r="AL1877" s="569"/>
      <c r="AM1877" s="569"/>
      <c r="AN1877" s="589"/>
      <c r="AO1877" s="84"/>
      <c r="AP1877" s="5"/>
    </row>
    <row r="1878" spans="1:42" ht="13.5" customHeight="1" x14ac:dyDescent="0.35">
      <c r="A1878" s="4"/>
      <c r="B1878" s="614"/>
      <c r="C1878" s="71"/>
      <c r="D1878" s="71"/>
      <c r="E1878" s="71"/>
      <c r="F1878" s="71"/>
      <c r="G1878" s="71"/>
      <c r="H1878" s="87"/>
      <c r="I1878" s="71"/>
      <c r="J1878" s="71"/>
      <c r="K1878" s="71"/>
      <c r="L1878" s="87"/>
      <c r="M1878" s="71"/>
      <c r="N1878" s="71"/>
      <c r="O1878" s="71"/>
      <c r="P1878" s="311"/>
      <c r="Q1878" s="312"/>
      <c r="R1878" s="312"/>
      <c r="S1878" s="569"/>
      <c r="T1878" s="569"/>
      <c r="U1878" s="569"/>
      <c r="V1878" s="341"/>
      <c r="W1878" s="311"/>
      <c r="X1878" s="71"/>
      <c r="Y1878" s="71"/>
      <c r="Z1878" s="71"/>
      <c r="AA1878" s="456"/>
      <c r="AB1878" s="104"/>
      <c r="AC1878" s="485"/>
      <c r="AD1878" s="486"/>
      <c r="AE1878" s="485"/>
      <c r="AF1878" s="634"/>
      <c r="AG1878" s="97"/>
      <c r="AH1878" s="223"/>
      <c r="AI1878" s="569"/>
      <c r="AJ1878" s="569"/>
      <c r="AK1878" s="569"/>
      <c r="AL1878" s="569"/>
      <c r="AM1878" s="569"/>
      <c r="AN1878" s="589"/>
      <c r="AO1878" s="84"/>
      <c r="AP1878" s="5"/>
    </row>
    <row r="1879" spans="1:42" ht="13.5" customHeight="1" x14ac:dyDescent="0.35">
      <c r="A1879" s="4"/>
      <c r="B1879" s="614"/>
      <c r="C1879" s="71"/>
      <c r="D1879" s="71"/>
      <c r="E1879" s="71"/>
      <c r="F1879" s="71"/>
      <c r="G1879" s="71"/>
      <c r="H1879" s="87"/>
      <c r="I1879" s="71"/>
      <c r="J1879" s="71"/>
      <c r="K1879" s="71"/>
      <c r="L1879" s="87"/>
      <c r="M1879" s="71"/>
      <c r="N1879" s="71"/>
      <c r="O1879" s="71"/>
      <c r="P1879" s="311"/>
      <c r="Q1879" s="312"/>
      <c r="R1879" s="312"/>
      <c r="S1879" s="569"/>
      <c r="T1879" s="569"/>
      <c r="U1879" s="569"/>
      <c r="V1879" s="341"/>
      <c r="W1879" s="311"/>
      <c r="X1879" s="71"/>
      <c r="Y1879" s="71"/>
      <c r="Z1879" s="71"/>
      <c r="AA1879" s="456"/>
      <c r="AB1879" s="104"/>
      <c r="AC1879" s="485"/>
      <c r="AD1879" s="486"/>
      <c r="AE1879" s="485"/>
      <c r="AF1879" s="634"/>
      <c r="AG1879" s="97"/>
      <c r="AH1879" s="223"/>
      <c r="AI1879" s="569"/>
      <c r="AJ1879" s="569"/>
      <c r="AK1879" s="569"/>
      <c r="AL1879" s="569"/>
      <c r="AM1879" s="569"/>
      <c r="AN1879" s="589"/>
      <c r="AO1879" s="84"/>
      <c r="AP1879" s="5"/>
    </row>
    <row r="1880" spans="1:42" ht="13.5" customHeight="1" x14ac:dyDescent="0.35">
      <c r="A1880" s="4"/>
      <c r="B1880" s="614"/>
      <c r="C1880" s="71"/>
      <c r="D1880" s="71"/>
      <c r="E1880" s="71"/>
      <c r="F1880" s="71"/>
      <c r="G1880" s="71"/>
      <c r="H1880" s="87"/>
      <c r="I1880" s="71"/>
      <c r="J1880" s="71"/>
      <c r="K1880" s="71"/>
      <c r="L1880" s="87"/>
      <c r="M1880" s="71"/>
      <c r="N1880" s="71"/>
      <c r="O1880" s="71"/>
      <c r="P1880" s="311"/>
      <c r="Q1880" s="312"/>
      <c r="R1880" s="312"/>
      <c r="S1880" s="569"/>
      <c r="T1880" s="569"/>
      <c r="U1880" s="569"/>
      <c r="V1880" s="341"/>
      <c r="W1880" s="311"/>
      <c r="X1880" s="71"/>
      <c r="Y1880" s="71"/>
      <c r="Z1880" s="71"/>
      <c r="AA1880" s="456"/>
      <c r="AB1880" s="104"/>
      <c r="AC1880" s="485"/>
      <c r="AD1880" s="486"/>
      <c r="AE1880" s="485"/>
      <c r="AF1880" s="634"/>
      <c r="AG1880" s="97"/>
      <c r="AH1880" s="223"/>
      <c r="AI1880" s="569"/>
      <c r="AJ1880" s="569"/>
      <c r="AK1880" s="569"/>
      <c r="AL1880" s="569"/>
      <c r="AM1880" s="569"/>
      <c r="AN1880" s="589"/>
      <c r="AO1880" s="84"/>
      <c r="AP1880" s="5"/>
    </row>
    <row r="1881" spans="1:42" ht="13.5" customHeight="1" x14ac:dyDescent="0.35">
      <c r="A1881" s="4"/>
      <c r="B1881" s="614"/>
      <c r="C1881" s="71"/>
      <c r="D1881" s="71"/>
      <c r="E1881" s="71"/>
      <c r="F1881" s="71"/>
      <c r="G1881" s="71"/>
      <c r="H1881" s="87"/>
      <c r="I1881" s="71"/>
      <c r="J1881" s="71"/>
      <c r="K1881" s="71"/>
      <c r="L1881" s="87"/>
      <c r="M1881" s="71"/>
      <c r="N1881" s="71"/>
      <c r="O1881" s="71"/>
      <c r="P1881" s="311"/>
      <c r="Q1881" s="312"/>
      <c r="R1881" s="312"/>
      <c r="S1881" s="569"/>
      <c r="T1881" s="569"/>
      <c r="U1881" s="569"/>
      <c r="V1881" s="341"/>
      <c r="W1881" s="311"/>
      <c r="X1881" s="71"/>
      <c r="Y1881" s="71"/>
      <c r="Z1881" s="71"/>
      <c r="AA1881" s="456"/>
      <c r="AB1881" s="104"/>
      <c r="AC1881" s="485"/>
      <c r="AD1881" s="486"/>
      <c r="AE1881" s="485"/>
      <c r="AF1881" s="634"/>
      <c r="AG1881" s="97"/>
      <c r="AH1881" s="223"/>
      <c r="AI1881" s="569"/>
      <c r="AJ1881" s="569"/>
      <c r="AK1881" s="569"/>
      <c r="AL1881" s="569"/>
      <c r="AM1881" s="569"/>
      <c r="AN1881" s="589"/>
      <c r="AO1881" s="84"/>
      <c r="AP1881" s="5"/>
    </row>
    <row r="1882" spans="1:42" ht="13.5" customHeight="1" x14ac:dyDescent="0.35">
      <c r="A1882" s="4"/>
      <c r="B1882" s="614"/>
      <c r="C1882" s="71"/>
      <c r="D1882" s="71"/>
      <c r="E1882" s="71"/>
      <c r="F1882" s="71"/>
      <c r="G1882" s="71"/>
      <c r="H1882" s="87"/>
      <c r="I1882" s="71"/>
      <c r="J1882" s="71"/>
      <c r="K1882" s="71"/>
      <c r="L1882" s="87"/>
      <c r="M1882" s="71"/>
      <c r="N1882" s="71"/>
      <c r="O1882" s="71"/>
      <c r="P1882" s="311"/>
      <c r="Q1882" s="312"/>
      <c r="R1882" s="312"/>
      <c r="S1882" s="569"/>
      <c r="T1882" s="569"/>
      <c r="U1882" s="569"/>
      <c r="V1882" s="341"/>
      <c r="W1882" s="311"/>
      <c r="X1882" s="71"/>
      <c r="Y1882" s="71"/>
      <c r="Z1882" s="71"/>
      <c r="AA1882" s="456"/>
      <c r="AB1882" s="104"/>
      <c r="AC1882" s="485"/>
      <c r="AD1882" s="486"/>
      <c r="AE1882" s="485"/>
      <c r="AF1882" s="634"/>
      <c r="AG1882" s="97"/>
      <c r="AH1882" s="223"/>
      <c r="AI1882" s="569"/>
      <c r="AJ1882" s="569"/>
      <c r="AK1882" s="569"/>
      <c r="AL1882" s="569"/>
      <c r="AM1882" s="569"/>
      <c r="AN1882" s="589"/>
      <c r="AO1882" s="84"/>
      <c r="AP1882" s="5"/>
    </row>
    <row r="1883" spans="1:42" ht="13.5" customHeight="1" x14ac:dyDescent="0.35">
      <c r="A1883" s="4"/>
      <c r="B1883" s="614"/>
      <c r="C1883" s="71"/>
      <c r="D1883" s="71"/>
      <c r="E1883" s="71"/>
      <c r="F1883" s="71"/>
      <c r="G1883" s="71"/>
      <c r="H1883" s="87"/>
      <c r="I1883" s="71"/>
      <c r="J1883" s="71"/>
      <c r="K1883" s="71"/>
      <c r="L1883" s="87"/>
      <c r="M1883" s="71"/>
      <c r="N1883" s="71"/>
      <c r="O1883" s="71"/>
      <c r="P1883" s="311"/>
      <c r="Q1883" s="312"/>
      <c r="R1883" s="312"/>
      <c r="S1883" s="569"/>
      <c r="T1883" s="569"/>
      <c r="U1883" s="569"/>
      <c r="V1883" s="341"/>
      <c r="W1883" s="311"/>
      <c r="X1883" s="71"/>
      <c r="Y1883" s="71"/>
      <c r="Z1883" s="71"/>
      <c r="AA1883" s="456"/>
      <c r="AB1883" s="104"/>
      <c r="AC1883" s="485"/>
      <c r="AD1883" s="486"/>
      <c r="AE1883" s="485"/>
      <c r="AF1883" s="634"/>
      <c r="AG1883" s="97"/>
      <c r="AH1883" s="223"/>
      <c r="AI1883" s="569"/>
      <c r="AJ1883" s="569"/>
      <c r="AK1883" s="569"/>
      <c r="AL1883" s="569"/>
      <c r="AM1883" s="569"/>
      <c r="AN1883" s="589"/>
      <c r="AO1883" s="84"/>
      <c r="AP1883" s="5"/>
    </row>
    <row r="1884" spans="1:42" ht="13.5" customHeight="1" x14ac:dyDescent="0.35">
      <c r="A1884" s="4"/>
      <c r="B1884" s="614"/>
      <c r="C1884" s="71"/>
      <c r="D1884" s="71"/>
      <c r="E1884" s="71"/>
      <c r="F1884" s="71"/>
      <c r="G1884" s="71"/>
      <c r="H1884" s="87"/>
      <c r="I1884" s="71"/>
      <c r="J1884" s="71"/>
      <c r="K1884" s="71"/>
      <c r="L1884" s="87"/>
      <c r="M1884" s="71"/>
      <c r="N1884" s="71"/>
      <c r="O1884" s="71"/>
      <c r="P1884" s="311"/>
      <c r="Q1884" s="312"/>
      <c r="R1884" s="312"/>
      <c r="S1884" s="569"/>
      <c r="T1884" s="569"/>
      <c r="U1884" s="569"/>
      <c r="V1884" s="341"/>
      <c r="W1884" s="311"/>
      <c r="X1884" s="71"/>
      <c r="Y1884" s="71"/>
      <c r="Z1884" s="71"/>
      <c r="AA1884" s="456"/>
      <c r="AB1884" s="104"/>
      <c r="AC1884" s="485"/>
      <c r="AD1884" s="486"/>
      <c r="AE1884" s="485"/>
      <c r="AF1884" s="634"/>
      <c r="AG1884" s="97"/>
      <c r="AH1884" s="223"/>
      <c r="AI1884" s="569"/>
      <c r="AJ1884" s="569"/>
      <c r="AK1884" s="569"/>
      <c r="AL1884" s="569"/>
      <c r="AM1884" s="569"/>
      <c r="AN1884" s="589"/>
      <c r="AO1884" s="84"/>
      <c r="AP1884" s="5"/>
    </row>
    <row r="1885" spans="1:42" ht="13.5" customHeight="1" x14ac:dyDescent="0.35">
      <c r="A1885" s="4"/>
      <c r="B1885" s="614"/>
      <c r="C1885" s="71"/>
      <c r="D1885" s="71"/>
      <c r="E1885" s="71"/>
      <c r="F1885" s="71"/>
      <c r="G1885" s="71"/>
      <c r="H1885" s="87"/>
      <c r="I1885" s="71"/>
      <c r="J1885" s="71"/>
      <c r="K1885" s="71"/>
      <c r="L1885" s="87"/>
      <c r="M1885" s="71"/>
      <c r="N1885" s="71"/>
      <c r="O1885" s="71"/>
      <c r="P1885" s="311"/>
      <c r="Q1885" s="312"/>
      <c r="R1885" s="312"/>
      <c r="S1885" s="569"/>
      <c r="T1885" s="569"/>
      <c r="U1885" s="569"/>
      <c r="V1885" s="341"/>
      <c r="W1885" s="311"/>
      <c r="X1885" s="71"/>
      <c r="Y1885" s="71"/>
      <c r="Z1885" s="71"/>
      <c r="AA1885" s="456"/>
      <c r="AB1885" s="104"/>
      <c r="AC1885" s="485"/>
      <c r="AD1885" s="486"/>
      <c r="AE1885" s="485"/>
      <c r="AF1885" s="634"/>
      <c r="AG1885" s="97"/>
      <c r="AH1885" s="223"/>
      <c r="AI1885" s="569"/>
      <c r="AJ1885" s="569"/>
      <c r="AK1885" s="569"/>
      <c r="AL1885" s="569"/>
      <c r="AM1885" s="569"/>
      <c r="AN1885" s="589"/>
      <c r="AO1885" s="84"/>
      <c r="AP1885" s="5"/>
    </row>
    <row r="1886" spans="1:42" ht="13.5" customHeight="1" x14ac:dyDescent="0.35">
      <c r="A1886" s="4"/>
      <c r="B1886" s="614"/>
      <c r="C1886" s="71"/>
      <c r="D1886" s="71"/>
      <c r="E1886" s="71"/>
      <c r="F1886" s="71"/>
      <c r="G1886" s="71"/>
      <c r="H1886" s="87"/>
      <c r="I1886" s="71"/>
      <c r="J1886" s="71"/>
      <c r="K1886" s="71"/>
      <c r="L1886" s="87"/>
      <c r="M1886" s="71"/>
      <c r="N1886" s="71"/>
      <c r="O1886" s="71"/>
      <c r="P1886" s="311"/>
      <c r="Q1886" s="312"/>
      <c r="R1886" s="312"/>
      <c r="S1886" s="569"/>
      <c r="T1886" s="569"/>
      <c r="U1886" s="569"/>
      <c r="V1886" s="341"/>
      <c r="W1886" s="311"/>
      <c r="X1886" s="71"/>
      <c r="Y1886" s="71"/>
      <c r="Z1886" s="71"/>
      <c r="AA1886" s="456"/>
      <c r="AB1886" s="104"/>
      <c r="AC1886" s="485"/>
      <c r="AD1886" s="486"/>
      <c r="AE1886" s="485"/>
      <c r="AF1886" s="634"/>
      <c r="AG1886" s="97"/>
      <c r="AH1886" s="223"/>
      <c r="AI1886" s="569"/>
      <c r="AJ1886" s="569"/>
      <c r="AK1886" s="569"/>
      <c r="AL1886" s="569"/>
      <c r="AM1886" s="569"/>
      <c r="AN1886" s="589"/>
      <c r="AO1886" s="84"/>
      <c r="AP1886" s="5"/>
    </row>
    <row r="1887" spans="1:42" ht="13.5" customHeight="1" x14ac:dyDescent="0.35">
      <c r="A1887" s="4"/>
      <c r="B1887" s="614"/>
      <c r="C1887" s="71"/>
      <c r="D1887" s="71"/>
      <c r="E1887" s="71"/>
      <c r="F1887" s="71"/>
      <c r="G1887" s="71"/>
      <c r="H1887" s="87"/>
      <c r="I1887" s="71"/>
      <c r="J1887" s="71"/>
      <c r="K1887" s="71"/>
      <c r="L1887" s="87"/>
      <c r="M1887" s="71"/>
      <c r="N1887" s="71"/>
      <c r="O1887" s="71"/>
      <c r="P1887" s="311"/>
      <c r="Q1887" s="312"/>
      <c r="R1887" s="312"/>
      <c r="S1887" s="569"/>
      <c r="T1887" s="569"/>
      <c r="U1887" s="569"/>
      <c r="V1887" s="341"/>
      <c r="W1887" s="311"/>
      <c r="X1887" s="71"/>
      <c r="Y1887" s="71"/>
      <c r="Z1887" s="71"/>
      <c r="AA1887" s="456"/>
      <c r="AB1887" s="104"/>
      <c r="AC1887" s="485"/>
      <c r="AD1887" s="486"/>
      <c r="AE1887" s="485"/>
      <c r="AF1887" s="634"/>
      <c r="AG1887" s="97"/>
      <c r="AH1887" s="223"/>
      <c r="AI1887" s="569"/>
      <c r="AJ1887" s="569"/>
      <c r="AK1887" s="569"/>
      <c r="AL1887" s="569"/>
      <c r="AM1887" s="569"/>
      <c r="AN1887" s="589"/>
      <c r="AO1887" s="84"/>
      <c r="AP1887" s="5"/>
    </row>
    <row r="1888" spans="1:42" ht="13.5" customHeight="1" x14ac:dyDescent="0.35">
      <c r="A1888" s="4"/>
      <c r="B1888" s="614"/>
      <c r="C1888" s="71"/>
      <c r="D1888" s="71"/>
      <c r="E1888" s="71"/>
      <c r="F1888" s="71"/>
      <c r="G1888" s="71"/>
      <c r="H1888" s="87"/>
      <c r="I1888" s="71"/>
      <c r="J1888" s="71"/>
      <c r="K1888" s="71"/>
      <c r="L1888" s="87"/>
      <c r="M1888" s="71"/>
      <c r="N1888" s="71"/>
      <c r="O1888" s="71"/>
      <c r="P1888" s="311"/>
      <c r="Q1888" s="312"/>
      <c r="R1888" s="312"/>
      <c r="S1888" s="569"/>
      <c r="T1888" s="569"/>
      <c r="U1888" s="569"/>
      <c r="V1888" s="341"/>
      <c r="W1888" s="311"/>
      <c r="X1888" s="71"/>
      <c r="Y1888" s="71"/>
      <c r="Z1888" s="71"/>
      <c r="AA1888" s="456"/>
      <c r="AB1888" s="104"/>
      <c r="AC1888" s="485"/>
      <c r="AD1888" s="486"/>
      <c r="AE1888" s="485"/>
      <c r="AF1888" s="634"/>
      <c r="AG1888" s="97"/>
      <c r="AH1888" s="223"/>
      <c r="AI1888" s="569"/>
      <c r="AJ1888" s="569"/>
      <c r="AK1888" s="569"/>
      <c r="AL1888" s="569"/>
      <c r="AM1888" s="569"/>
      <c r="AN1888" s="589"/>
      <c r="AO1888" s="84"/>
      <c r="AP1888" s="5"/>
    </row>
    <row r="1889" spans="1:42" ht="13.5" customHeight="1" x14ac:dyDescent="0.35">
      <c r="A1889" s="4"/>
      <c r="B1889" s="614"/>
      <c r="C1889" s="71"/>
      <c r="D1889" s="71"/>
      <c r="E1889" s="71"/>
      <c r="F1889" s="71"/>
      <c r="G1889" s="71"/>
      <c r="H1889" s="87"/>
      <c r="I1889" s="71"/>
      <c r="J1889" s="71"/>
      <c r="K1889" s="71"/>
      <c r="L1889" s="87"/>
      <c r="M1889" s="71"/>
      <c r="N1889" s="71"/>
      <c r="O1889" s="71"/>
      <c r="P1889" s="311"/>
      <c r="Q1889" s="312"/>
      <c r="R1889" s="312"/>
      <c r="S1889" s="569"/>
      <c r="T1889" s="569"/>
      <c r="U1889" s="569"/>
      <c r="V1889" s="341"/>
      <c r="W1889" s="311"/>
      <c r="X1889" s="71"/>
      <c r="Y1889" s="71"/>
      <c r="Z1889" s="71"/>
      <c r="AA1889" s="456"/>
      <c r="AB1889" s="104"/>
      <c r="AC1889" s="485"/>
      <c r="AD1889" s="486"/>
      <c r="AE1889" s="485"/>
      <c r="AF1889" s="634"/>
      <c r="AG1889" s="97"/>
      <c r="AH1889" s="223"/>
      <c r="AI1889" s="569"/>
      <c r="AJ1889" s="569"/>
      <c r="AK1889" s="569"/>
      <c r="AL1889" s="569"/>
      <c r="AM1889" s="569"/>
      <c r="AN1889" s="589"/>
      <c r="AO1889" s="84"/>
      <c r="AP1889" s="5"/>
    </row>
    <row r="1890" spans="1:42" ht="13.5" customHeight="1" x14ac:dyDescent="0.35">
      <c r="A1890" s="4"/>
      <c r="B1890" s="614"/>
      <c r="C1890" s="71"/>
      <c r="D1890" s="71"/>
      <c r="E1890" s="71"/>
      <c r="F1890" s="71"/>
      <c r="G1890" s="71"/>
      <c r="H1890" s="87"/>
      <c r="I1890" s="71"/>
      <c r="J1890" s="71"/>
      <c r="K1890" s="71"/>
      <c r="L1890" s="87"/>
      <c r="M1890" s="71"/>
      <c r="N1890" s="71"/>
      <c r="O1890" s="71"/>
      <c r="P1890" s="311"/>
      <c r="Q1890" s="312"/>
      <c r="R1890" s="312"/>
      <c r="S1890" s="569"/>
      <c r="T1890" s="569"/>
      <c r="U1890" s="569"/>
      <c r="V1890" s="341"/>
      <c r="W1890" s="311"/>
      <c r="X1890" s="71"/>
      <c r="Y1890" s="71"/>
      <c r="Z1890" s="71"/>
      <c r="AA1890" s="456"/>
      <c r="AB1890" s="104"/>
      <c r="AC1890" s="485"/>
      <c r="AD1890" s="486"/>
      <c r="AE1890" s="485"/>
      <c r="AF1890" s="634"/>
      <c r="AG1890" s="97"/>
      <c r="AH1890" s="223"/>
      <c r="AI1890" s="569"/>
      <c r="AJ1890" s="569"/>
      <c r="AK1890" s="569"/>
      <c r="AL1890" s="569"/>
      <c r="AM1890" s="569"/>
      <c r="AN1890" s="589"/>
      <c r="AO1890" s="84"/>
      <c r="AP1890" s="5"/>
    </row>
    <row r="1891" spans="1:42" ht="13.5" customHeight="1" x14ac:dyDescent="0.35">
      <c r="A1891" s="4"/>
      <c r="B1891" s="614"/>
      <c r="C1891" s="71"/>
      <c r="D1891" s="71"/>
      <c r="E1891" s="71"/>
      <c r="F1891" s="71"/>
      <c r="G1891" s="71"/>
      <c r="H1891" s="87"/>
      <c r="I1891" s="71"/>
      <c r="J1891" s="71"/>
      <c r="K1891" s="71"/>
      <c r="L1891" s="87"/>
      <c r="M1891" s="71"/>
      <c r="N1891" s="71"/>
      <c r="O1891" s="71"/>
      <c r="P1891" s="311"/>
      <c r="Q1891" s="312"/>
      <c r="R1891" s="312"/>
      <c r="S1891" s="569"/>
      <c r="T1891" s="569"/>
      <c r="U1891" s="569"/>
      <c r="V1891" s="341"/>
      <c r="W1891" s="311"/>
      <c r="X1891" s="71"/>
      <c r="Y1891" s="71"/>
      <c r="Z1891" s="71"/>
      <c r="AA1891" s="456"/>
      <c r="AB1891" s="104"/>
      <c r="AC1891" s="485"/>
      <c r="AD1891" s="486"/>
      <c r="AE1891" s="485"/>
      <c r="AF1891" s="634"/>
      <c r="AG1891" s="97"/>
      <c r="AH1891" s="223"/>
      <c r="AI1891" s="569"/>
      <c r="AJ1891" s="569"/>
      <c r="AK1891" s="569"/>
      <c r="AL1891" s="569"/>
      <c r="AM1891" s="569"/>
      <c r="AN1891" s="589"/>
      <c r="AO1891" s="84"/>
      <c r="AP1891" s="5"/>
    </row>
    <row r="1892" spans="1:42" ht="13.5" customHeight="1" x14ac:dyDescent="0.35">
      <c r="A1892" s="4"/>
      <c r="B1892" s="614"/>
      <c r="C1892" s="71"/>
      <c r="D1892" s="71"/>
      <c r="E1892" s="71"/>
      <c r="F1892" s="71"/>
      <c r="G1892" s="71"/>
      <c r="H1892" s="87"/>
      <c r="I1892" s="71"/>
      <c r="J1892" s="71"/>
      <c r="K1892" s="71"/>
      <c r="L1892" s="87"/>
      <c r="M1892" s="71"/>
      <c r="N1892" s="71"/>
      <c r="O1892" s="71"/>
      <c r="P1892" s="311"/>
      <c r="Q1892" s="312"/>
      <c r="R1892" s="312"/>
      <c r="S1892" s="569"/>
      <c r="T1892" s="569"/>
      <c r="U1892" s="569"/>
      <c r="V1892" s="341"/>
      <c r="W1892" s="311"/>
      <c r="X1892" s="71"/>
      <c r="Y1892" s="71"/>
      <c r="Z1892" s="71"/>
      <c r="AA1892" s="456"/>
      <c r="AB1892" s="104"/>
      <c r="AC1892" s="485"/>
      <c r="AD1892" s="486"/>
      <c r="AE1892" s="485"/>
      <c r="AF1892" s="634"/>
      <c r="AG1892" s="97"/>
      <c r="AH1892" s="223"/>
      <c r="AI1892" s="569"/>
      <c r="AJ1892" s="569"/>
      <c r="AK1892" s="569"/>
      <c r="AL1892" s="569"/>
      <c r="AM1892" s="569"/>
      <c r="AN1892" s="589"/>
      <c r="AO1892" s="84"/>
      <c r="AP1892" s="5"/>
    </row>
    <row r="1893" spans="1:42" ht="13.5" customHeight="1" x14ac:dyDescent="0.35">
      <c r="A1893" s="4"/>
      <c r="B1893" s="614"/>
      <c r="C1893" s="71"/>
      <c r="D1893" s="71"/>
      <c r="E1893" s="71"/>
      <c r="F1893" s="71"/>
      <c r="G1893" s="71"/>
      <c r="H1893" s="87"/>
      <c r="I1893" s="71"/>
      <c r="J1893" s="71"/>
      <c r="K1893" s="71"/>
      <c r="L1893" s="87"/>
      <c r="M1893" s="71"/>
      <c r="N1893" s="71"/>
      <c r="O1893" s="71"/>
      <c r="P1893" s="311"/>
      <c r="Q1893" s="312"/>
      <c r="R1893" s="312"/>
      <c r="S1893" s="569"/>
      <c r="T1893" s="569"/>
      <c r="U1893" s="569"/>
      <c r="V1893" s="341"/>
      <c r="W1893" s="311"/>
      <c r="X1893" s="71"/>
      <c r="Y1893" s="71"/>
      <c r="Z1893" s="71"/>
      <c r="AA1893" s="456"/>
      <c r="AB1893" s="104"/>
      <c r="AC1893" s="485"/>
      <c r="AD1893" s="486"/>
      <c r="AE1893" s="485"/>
      <c r="AF1893" s="634"/>
      <c r="AG1893" s="97"/>
      <c r="AH1893" s="223"/>
      <c r="AI1893" s="569"/>
      <c r="AJ1893" s="569"/>
      <c r="AK1893" s="569"/>
      <c r="AL1893" s="569"/>
      <c r="AM1893" s="569"/>
      <c r="AN1893" s="589"/>
      <c r="AO1893" s="84"/>
      <c r="AP1893" s="5"/>
    </row>
    <row r="1894" spans="1:42" ht="13.5" customHeight="1" x14ac:dyDescent="0.35">
      <c r="A1894" s="4"/>
      <c r="B1894" s="614"/>
      <c r="C1894" s="71"/>
      <c r="D1894" s="71"/>
      <c r="E1894" s="71"/>
      <c r="F1894" s="71"/>
      <c r="G1894" s="71"/>
      <c r="H1894" s="87"/>
      <c r="I1894" s="71"/>
      <c r="J1894" s="71"/>
      <c r="K1894" s="71"/>
      <c r="L1894" s="87"/>
      <c r="M1894" s="71"/>
      <c r="N1894" s="71"/>
      <c r="O1894" s="71"/>
      <c r="P1894" s="311"/>
      <c r="Q1894" s="312"/>
      <c r="R1894" s="312"/>
      <c r="S1894" s="569"/>
      <c r="T1894" s="569"/>
      <c r="U1894" s="569"/>
      <c r="V1894" s="341"/>
      <c r="W1894" s="311"/>
      <c r="X1894" s="71"/>
      <c r="Y1894" s="71"/>
      <c r="Z1894" s="71"/>
      <c r="AA1894" s="456"/>
      <c r="AB1894" s="104"/>
      <c r="AC1894" s="485"/>
      <c r="AD1894" s="486"/>
      <c r="AE1894" s="485"/>
      <c r="AF1894" s="634"/>
      <c r="AG1894" s="97"/>
      <c r="AH1894" s="223"/>
      <c r="AI1894" s="569"/>
      <c r="AJ1894" s="569"/>
      <c r="AK1894" s="569"/>
      <c r="AL1894" s="569"/>
      <c r="AM1894" s="569"/>
      <c r="AN1894" s="589"/>
      <c r="AO1894" s="84"/>
      <c r="AP1894" s="5"/>
    </row>
    <row r="1895" spans="1:42" ht="13.5" customHeight="1" x14ac:dyDescent="0.35">
      <c r="A1895" s="4"/>
      <c r="B1895" s="614"/>
      <c r="C1895" s="71"/>
      <c r="D1895" s="71"/>
      <c r="E1895" s="71"/>
      <c r="F1895" s="71"/>
      <c r="G1895" s="71"/>
      <c r="H1895" s="87"/>
      <c r="I1895" s="71"/>
      <c r="J1895" s="71"/>
      <c r="K1895" s="71"/>
      <c r="L1895" s="87"/>
      <c r="M1895" s="71"/>
      <c r="N1895" s="71"/>
      <c r="O1895" s="71"/>
      <c r="P1895" s="311"/>
      <c r="Q1895" s="312"/>
      <c r="R1895" s="312"/>
      <c r="S1895" s="569"/>
      <c r="T1895" s="569"/>
      <c r="U1895" s="569"/>
      <c r="V1895" s="341"/>
      <c r="W1895" s="311"/>
      <c r="X1895" s="71"/>
      <c r="Y1895" s="71"/>
      <c r="Z1895" s="71"/>
      <c r="AA1895" s="456"/>
      <c r="AB1895" s="104"/>
      <c r="AC1895" s="485"/>
      <c r="AD1895" s="486"/>
      <c r="AE1895" s="485"/>
      <c r="AF1895" s="634"/>
      <c r="AG1895" s="97"/>
      <c r="AH1895" s="223"/>
      <c r="AI1895" s="569"/>
      <c r="AJ1895" s="569"/>
      <c r="AK1895" s="569"/>
      <c r="AL1895" s="569"/>
      <c r="AM1895" s="569"/>
      <c r="AN1895" s="589"/>
      <c r="AO1895" s="84"/>
      <c r="AP1895" s="5"/>
    </row>
    <row r="1896" spans="1:42" ht="13.5" customHeight="1" x14ac:dyDescent="0.35">
      <c r="A1896" s="4"/>
      <c r="B1896" s="614"/>
      <c r="C1896" s="71"/>
      <c r="D1896" s="71"/>
      <c r="E1896" s="71"/>
      <c r="F1896" s="71"/>
      <c r="G1896" s="71"/>
      <c r="H1896" s="87"/>
      <c r="I1896" s="71"/>
      <c r="J1896" s="71"/>
      <c r="K1896" s="71"/>
      <c r="L1896" s="87"/>
      <c r="M1896" s="71"/>
      <c r="N1896" s="71"/>
      <c r="O1896" s="71"/>
      <c r="P1896" s="311"/>
      <c r="Q1896" s="312"/>
      <c r="R1896" s="312"/>
      <c r="S1896" s="569"/>
      <c r="T1896" s="569"/>
      <c r="U1896" s="569"/>
      <c r="V1896" s="341"/>
      <c r="W1896" s="311"/>
      <c r="X1896" s="71"/>
      <c r="Y1896" s="71"/>
      <c r="Z1896" s="71"/>
      <c r="AA1896" s="456"/>
      <c r="AB1896" s="104"/>
      <c r="AC1896" s="485"/>
      <c r="AD1896" s="486"/>
      <c r="AE1896" s="485"/>
      <c r="AF1896" s="634"/>
      <c r="AG1896" s="97"/>
      <c r="AH1896" s="223"/>
      <c r="AI1896" s="569"/>
      <c r="AJ1896" s="569"/>
      <c r="AK1896" s="569"/>
      <c r="AL1896" s="569"/>
      <c r="AM1896" s="569"/>
      <c r="AN1896" s="589"/>
      <c r="AO1896" s="84"/>
      <c r="AP1896" s="5"/>
    </row>
    <row r="1897" spans="1:42" ht="13.5" customHeight="1" x14ac:dyDescent="0.35">
      <c r="A1897" s="4"/>
      <c r="B1897" s="614"/>
      <c r="C1897" s="71"/>
      <c r="D1897" s="71"/>
      <c r="E1897" s="71"/>
      <c r="F1897" s="71"/>
      <c r="G1897" s="71"/>
      <c r="H1897" s="87"/>
      <c r="I1897" s="71"/>
      <c r="J1897" s="71"/>
      <c r="K1897" s="71"/>
      <c r="L1897" s="87"/>
      <c r="M1897" s="71"/>
      <c r="N1897" s="71"/>
      <c r="O1897" s="71"/>
      <c r="P1897" s="311"/>
      <c r="Q1897" s="312"/>
      <c r="R1897" s="312"/>
      <c r="S1897" s="569"/>
      <c r="T1897" s="569"/>
      <c r="U1897" s="569"/>
      <c r="V1897" s="341"/>
      <c r="W1897" s="311"/>
      <c r="X1897" s="71"/>
      <c r="Y1897" s="71"/>
      <c r="Z1897" s="71"/>
      <c r="AA1897" s="456"/>
      <c r="AB1897" s="104"/>
      <c r="AC1897" s="485"/>
      <c r="AD1897" s="486"/>
      <c r="AE1897" s="485"/>
      <c r="AF1897" s="634"/>
      <c r="AG1897" s="97"/>
      <c r="AH1897" s="223"/>
      <c r="AI1897" s="569"/>
      <c r="AJ1897" s="569"/>
      <c r="AK1897" s="569"/>
      <c r="AL1897" s="569"/>
      <c r="AM1897" s="569"/>
      <c r="AN1897" s="589"/>
      <c r="AO1897" s="84"/>
      <c r="AP1897" s="5"/>
    </row>
    <row r="1898" spans="1:42" ht="13.5" customHeight="1" x14ac:dyDescent="0.35">
      <c r="A1898" s="4"/>
      <c r="B1898" s="614"/>
      <c r="C1898" s="71"/>
      <c r="D1898" s="71"/>
      <c r="E1898" s="71"/>
      <c r="F1898" s="71"/>
      <c r="G1898" s="71"/>
      <c r="H1898" s="87"/>
      <c r="I1898" s="71"/>
      <c r="J1898" s="71"/>
      <c r="K1898" s="71"/>
      <c r="L1898" s="87"/>
      <c r="M1898" s="71"/>
      <c r="N1898" s="71"/>
      <c r="O1898" s="71"/>
      <c r="P1898" s="311"/>
      <c r="Q1898" s="312"/>
      <c r="R1898" s="312"/>
      <c r="S1898" s="569"/>
      <c r="T1898" s="569"/>
      <c r="U1898" s="569"/>
      <c r="V1898" s="341"/>
      <c r="W1898" s="311"/>
      <c r="X1898" s="71"/>
      <c r="Y1898" s="71"/>
      <c r="Z1898" s="71"/>
      <c r="AA1898" s="456"/>
      <c r="AB1898" s="104"/>
      <c r="AC1898" s="485"/>
      <c r="AD1898" s="486"/>
      <c r="AE1898" s="485"/>
      <c r="AF1898" s="634"/>
      <c r="AG1898" s="97"/>
      <c r="AH1898" s="223"/>
      <c r="AI1898" s="569"/>
      <c r="AJ1898" s="569"/>
      <c r="AK1898" s="569"/>
      <c r="AL1898" s="569"/>
      <c r="AM1898" s="569"/>
      <c r="AN1898" s="589"/>
      <c r="AO1898" s="84"/>
      <c r="AP1898" s="5"/>
    </row>
    <row r="1899" spans="1:42" ht="13.5" customHeight="1" x14ac:dyDescent="0.35">
      <c r="A1899" s="4"/>
      <c r="B1899" s="614"/>
      <c r="C1899" s="71"/>
      <c r="D1899" s="71"/>
      <c r="E1899" s="71"/>
      <c r="F1899" s="71"/>
      <c r="G1899" s="71"/>
      <c r="H1899" s="87"/>
      <c r="I1899" s="71"/>
      <c r="J1899" s="71"/>
      <c r="K1899" s="71"/>
      <c r="L1899" s="87"/>
      <c r="M1899" s="71"/>
      <c r="N1899" s="71"/>
      <c r="O1899" s="71"/>
      <c r="P1899" s="311"/>
      <c r="Q1899" s="312"/>
      <c r="R1899" s="312"/>
      <c r="S1899" s="569"/>
      <c r="T1899" s="569"/>
      <c r="U1899" s="569"/>
      <c r="V1899" s="341"/>
      <c r="W1899" s="311"/>
      <c r="X1899" s="71"/>
      <c r="Y1899" s="71"/>
      <c r="Z1899" s="71"/>
      <c r="AA1899" s="456"/>
      <c r="AB1899" s="104"/>
      <c r="AC1899" s="485"/>
      <c r="AD1899" s="486"/>
      <c r="AE1899" s="485"/>
      <c r="AF1899" s="634"/>
      <c r="AG1899" s="97"/>
      <c r="AH1899" s="223"/>
      <c r="AI1899" s="569"/>
      <c r="AJ1899" s="569"/>
      <c r="AK1899" s="569"/>
      <c r="AL1899" s="569"/>
      <c r="AM1899" s="569"/>
      <c r="AN1899" s="589"/>
      <c r="AO1899" s="84"/>
      <c r="AP1899" s="5"/>
    </row>
    <row r="1900" spans="1:42" ht="13.5" customHeight="1" x14ac:dyDescent="0.35">
      <c r="A1900" s="4"/>
      <c r="B1900" s="614"/>
      <c r="C1900" s="71"/>
      <c r="D1900" s="71"/>
      <c r="E1900" s="71"/>
      <c r="F1900" s="71"/>
      <c r="G1900" s="71"/>
      <c r="H1900" s="87"/>
      <c r="I1900" s="71"/>
      <c r="J1900" s="71"/>
      <c r="K1900" s="71"/>
      <c r="L1900" s="87"/>
      <c r="M1900" s="71"/>
      <c r="N1900" s="71"/>
      <c r="O1900" s="71"/>
      <c r="P1900" s="311"/>
      <c r="Q1900" s="312"/>
      <c r="R1900" s="312"/>
      <c r="S1900" s="569"/>
      <c r="T1900" s="569"/>
      <c r="U1900" s="569"/>
      <c r="V1900" s="341"/>
      <c r="W1900" s="311"/>
      <c r="X1900" s="71"/>
      <c r="Y1900" s="71"/>
      <c r="Z1900" s="71"/>
      <c r="AA1900" s="456"/>
      <c r="AB1900" s="104"/>
      <c r="AC1900" s="485"/>
      <c r="AD1900" s="486"/>
      <c r="AE1900" s="485"/>
      <c r="AF1900" s="634"/>
      <c r="AG1900" s="97"/>
      <c r="AH1900" s="223"/>
      <c r="AI1900" s="569"/>
      <c r="AJ1900" s="569"/>
      <c r="AK1900" s="569"/>
      <c r="AL1900" s="569"/>
      <c r="AM1900" s="569"/>
      <c r="AN1900" s="589"/>
      <c r="AO1900" s="84"/>
      <c r="AP1900" s="5"/>
    </row>
    <row r="1901" spans="1:42" ht="13.5" customHeight="1" x14ac:dyDescent="0.35">
      <c r="A1901" s="4"/>
      <c r="B1901" s="614"/>
      <c r="C1901" s="71"/>
      <c r="D1901" s="71"/>
      <c r="E1901" s="71"/>
      <c r="F1901" s="71"/>
      <c r="G1901" s="71"/>
      <c r="H1901" s="87"/>
      <c r="I1901" s="71"/>
      <c r="J1901" s="71"/>
      <c r="K1901" s="71"/>
      <c r="L1901" s="87"/>
      <c r="M1901" s="71"/>
      <c r="N1901" s="71"/>
      <c r="O1901" s="71"/>
      <c r="P1901" s="311"/>
      <c r="Q1901" s="312"/>
      <c r="R1901" s="312"/>
      <c r="S1901" s="569"/>
      <c r="T1901" s="569"/>
      <c r="U1901" s="569"/>
      <c r="V1901" s="341"/>
      <c r="W1901" s="311"/>
      <c r="X1901" s="71"/>
      <c r="Y1901" s="71"/>
      <c r="Z1901" s="71"/>
      <c r="AA1901" s="456"/>
      <c r="AB1901" s="104"/>
      <c r="AC1901" s="485"/>
      <c r="AD1901" s="486"/>
      <c r="AE1901" s="485"/>
      <c r="AF1901" s="634"/>
      <c r="AG1901" s="97"/>
      <c r="AH1901" s="223"/>
      <c r="AI1901" s="569"/>
      <c r="AJ1901" s="569"/>
      <c r="AK1901" s="569"/>
      <c r="AL1901" s="569"/>
      <c r="AM1901" s="569"/>
      <c r="AN1901" s="589"/>
      <c r="AO1901" s="84"/>
      <c r="AP1901" s="5"/>
    </row>
    <row r="1902" spans="1:42" ht="13.5" customHeight="1" x14ac:dyDescent="0.35">
      <c r="A1902" s="4"/>
      <c r="B1902" s="614"/>
      <c r="C1902" s="71"/>
      <c r="D1902" s="71"/>
      <c r="E1902" s="71"/>
      <c r="F1902" s="71"/>
      <c r="G1902" s="71"/>
      <c r="H1902" s="87"/>
      <c r="I1902" s="71"/>
      <c r="J1902" s="71"/>
      <c r="K1902" s="71"/>
      <c r="L1902" s="87"/>
      <c r="M1902" s="71"/>
      <c r="N1902" s="71"/>
      <c r="O1902" s="71"/>
      <c r="P1902" s="311"/>
      <c r="Q1902" s="312"/>
      <c r="R1902" s="312"/>
      <c r="S1902" s="569"/>
      <c r="T1902" s="569"/>
      <c r="U1902" s="569"/>
      <c r="V1902" s="341"/>
      <c r="W1902" s="311"/>
      <c r="X1902" s="71"/>
      <c r="Y1902" s="71"/>
      <c r="Z1902" s="71"/>
      <c r="AA1902" s="456"/>
      <c r="AB1902" s="104"/>
      <c r="AC1902" s="485"/>
      <c r="AD1902" s="486"/>
      <c r="AE1902" s="485"/>
      <c r="AF1902" s="634"/>
      <c r="AG1902" s="97"/>
      <c r="AH1902" s="223"/>
      <c r="AI1902" s="569"/>
      <c r="AJ1902" s="569"/>
      <c r="AK1902" s="569"/>
      <c r="AL1902" s="569"/>
      <c r="AM1902" s="569"/>
      <c r="AN1902" s="589"/>
      <c r="AO1902" s="84"/>
      <c r="AP1902" s="5"/>
    </row>
    <row r="1903" spans="1:42" ht="13.5" customHeight="1" x14ac:dyDescent="0.35">
      <c r="A1903" s="4"/>
      <c r="B1903" s="614"/>
      <c r="C1903" s="71"/>
      <c r="D1903" s="71"/>
      <c r="E1903" s="71"/>
      <c r="F1903" s="71"/>
      <c r="G1903" s="71"/>
      <c r="H1903" s="87"/>
      <c r="I1903" s="71"/>
      <c r="J1903" s="71"/>
      <c r="K1903" s="71"/>
      <c r="L1903" s="87"/>
      <c r="M1903" s="71"/>
      <c r="N1903" s="71"/>
      <c r="O1903" s="71"/>
      <c r="P1903" s="311"/>
      <c r="Q1903" s="312"/>
      <c r="R1903" s="312"/>
      <c r="S1903" s="569"/>
      <c r="T1903" s="569"/>
      <c r="U1903" s="569"/>
      <c r="V1903" s="341"/>
      <c r="W1903" s="311"/>
      <c r="X1903" s="71"/>
      <c r="Y1903" s="71"/>
      <c r="Z1903" s="71"/>
      <c r="AA1903" s="456"/>
      <c r="AB1903" s="104"/>
      <c r="AC1903" s="485"/>
      <c r="AD1903" s="486"/>
      <c r="AE1903" s="485"/>
      <c r="AF1903" s="634"/>
      <c r="AG1903" s="97"/>
      <c r="AH1903" s="223"/>
      <c r="AI1903" s="569"/>
      <c r="AJ1903" s="569"/>
      <c r="AK1903" s="569"/>
      <c r="AL1903" s="569"/>
      <c r="AM1903" s="569"/>
      <c r="AN1903" s="589"/>
      <c r="AO1903" s="84"/>
      <c r="AP1903" s="5"/>
    </row>
    <row r="1904" spans="1:42" ht="13.5" customHeight="1" x14ac:dyDescent="0.35">
      <c r="A1904" s="4"/>
      <c r="B1904" s="614"/>
      <c r="C1904" s="71"/>
      <c r="D1904" s="71"/>
      <c r="E1904" s="71"/>
      <c r="F1904" s="71"/>
      <c r="G1904" s="71"/>
      <c r="H1904" s="87"/>
      <c r="I1904" s="71"/>
      <c r="J1904" s="71"/>
      <c r="K1904" s="71"/>
      <c r="L1904" s="87"/>
      <c r="M1904" s="71"/>
      <c r="N1904" s="71"/>
      <c r="O1904" s="71"/>
      <c r="P1904" s="311"/>
      <c r="Q1904" s="312"/>
      <c r="R1904" s="312"/>
      <c r="S1904" s="569"/>
      <c r="T1904" s="569"/>
      <c r="U1904" s="569"/>
      <c r="V1904" s="341"/>
      <c r="W1904" s="311"/>
      <c r="X1904" s="71"/>
      <c r="Y1904" s="71"/>
      <c r="Z1904" s="71"/>
      <c r="AA1904" s="456"/>
      <c r="AB1904" s="104"/>
      <c r="AC1904" s="485"/>
      <c r="AD1904" s="486"/>
      <c r="AE1904" s="485"/>
      <c r="AF1904" s="634"/>
      <c r="AG1904" s="97"/>
      <c r="AH1904" s="223"/>
      <c r="AI1904" s="569"/>
      <c r="AJ1904" s="569"/>
      <c r="AK1904" s="569"/>
      <c r="AL1904" s="569"/>
      <c r="AM1904" s="569"/>
      <c r="AN1904" s="589"/>
      <c r="AO1904" s="84"/>
      <c r="AP1904" s="5"/>
    </row>
    <row r="1905" spans="1:42" ht="13.5" customHeight="1" x14ac:dyDescent="0.35">
      <c r="A1905" s="4"/>
      <c r="B1905" s="614"/>
      <c r="C1905" s="71"/>
      <c r="D1905" s="71"/>
      <c r="E1905" s="71"/>
      <c r="F1905" s="71"/>
      <c r="G1905" s="71"/>
      <c r="H1905" s="87"/>
      <c r="I1905" s="71"/>
      <c r="J1905" s="71"/>
      <c r="K1905" s="71"/>
      <c r="L1905" s="87"/>
      <c r="M1905" s="71"/>
      <c r="N1905" s="71"/>
      <c r="O1905" s="71"/>
      <c r="P1905" s="311"/>
      <c r="Q1905" s="312"/>
      <c r="R1905" s="312"/>
      <c r="S1905" s="569"/>
      <c r="T1905" s="569"/>
      <c r="U1905" s="569"/>
      <c r="V1905" s="341"/>
      <c r="W1905" s="311"/>
      <c r="X1905" s="71"/>
      <c r="Y1905" s="71"/>
      <c r="Z1905" s="71"/>
      <c r="AA1905" s="456"/>
      <c r="AB1905" s="104"/>
      <c r="AC1905" s="485"/>
      <c r="AD1905" s="486"/>
      <c r="AE1905" s="485"/>
      <c r="AF1905" s="634"/>
      <c r="AG1905" s="97"/>
      <c r="AH1905" s="223"/>
      <c r="AI1905" s="569"/>
      <c r="AJ1905" s="569"/>
      <c r="AK1905" s="569"/>
      <c r="AL1905" s="569"/>
      <c r="AM1905" s="569"/>
      <c r="AN1905" s="589"/>
      <c r="AO1905" s="84"/>
      <c r="AP1905" s="5"/>
    </row>
    <row r="1906" spans="1:42" ht="13.5" customHeight="1" x14ac:dyDescent="0.35">
      <c r="A1906" s="4"/>
      <c r="B1906" s="614"/>
      <c r="C1906" s="71"/>
      <c r="D1906" s="71"/>
      <c r="E1906" s="71"/>
      <c r="F1906" s="71"/>
      <c r="G1906" s="71"/>
      <c r="H1906" s="87"/>
      <c r="I1906" s="71"/>
      <c r="J1906" s="71"/>
      <c r="K1906" s="71"/>
      <c r="L1906" s="87"/>
      <c r="M1906" s="71"/>
      <c r="N1906" s="71"/>
      <c r="O1906" s="71"/>
      <c r="P1906" s="311"/>
      <c r="Q1906" s="312"/>
      <c r="R1906" s="312"/>
      <c r="S1906" s="569"/>
      <c r="T1906" s="569"/>
      <c r="U1906" s="569"/>
      <c r="V1906" s="341"/>
      <c r="W1906" s="311"/>
      <c r="X1906" s="71"/>
      <c r="Y1906" s="71"/>
      <c r="Z1906" s="71"/>
      <c r="AA1906" s="456"/>
      <c r="AB1906" s="104"/>
      <c r="AC1906" s="485"/>
      <c r="AD1906" s="486"/>
      <c r="AE1906" s="485"/>
      <c r="AF1906" s="634"/>
      <c r="AG1906" s="97"/>
      <c r="AH1906" s="223"/>
      <c r="AI1906" s="569"/>
      <c r="AJ1906" s="569"/>
      <c r="AK1906" s="569"/>
      <c r="AL1906" s="569"/>
      <c r="AM1906" s="569"/>
      <c r="AN1906" s="589"/>
      <c r="AO1906" s="84"/>
      <c r="AP1906" s="5"/>
    </row>
    <row r="1907" spans="1:42" ht="13.5" customHeight="1" x14ac:dyDescent="0.35">
      <c r="A1907" s="4"/>
      <c r="B1907" s="614"/>
      <c r="C1907" s="71"/>
      <c r="D1907" s="71"/>
      <c r="E1907" s="71"/>
      <c r="F1907" s="71"/>
      <c r="G1907" s="71"/>
      <c r="H1907" s="87"/>
      <c r="I1907" s="71"/>
      <c r="J1907" s="71"/>
      <c r="K1907" s="71"/>
      <c r="L1907" s="87"/>
      <c r="M1907" s="71"/>
      <c r="N1907" s="71"/>
      <c r="O1907" s="71"/>
      <c r="P1907" s="311"/>
      <c r="Q1907" s="312"/>
      <c r="R1907" s="312"/>
      <c r="S1907" s="569"/>
      <c r="T1907" s="569"/>
      <c r="U1907" s="569"/>
      <c r="V1907" s="341"/>
      <c r="W1907" s="311"/>
      <c r="X1907" s="71"/>
      <c r="Y1907" s="71"/>
      <c r="Z1907" s="71"/>
      <c r="AA1907" s="456"/>
      <c r="AB1907" s="104"/>
      <c r="AC1907" s="485"/>
      <c r="AD1907" s="486"/>
      <c r="AE1907" s="485"/>
      <c r="AF1907" s="634"/>
      <c r="AG1907" s="97"/>
      <c r="AH1907" s="223"/>
      <c r="AI1907" s="569"/>
      <c r="AJ1907" s="569"/>
      <c r="AK1907" s="569"/>
      <c r="AL1907" s="569"/>
      <c r="AM1907" s="569"/>
      <c r="AN1907" s="589"/>
      <c r="AO1907" s="84"/>
      <c r="AP1907" s="5"/>
    </row>
    <row r="1908" spans="1:42" ht="13.5" customHeight="1" x14ac:dyDescent="0.35">
      <c r="A1908" s="4"/>
      <c r="B1908" s="614"/>
      <c r="C1908" s="71"/>
      <c r="D1908" s="71"/>
      <c r="E1908" s="71"/>
      <c r="F1908" s="71"/>
      <c r="G1908" s="71"/>
      <c r="H1908" s="87"/>
      <c r="I1908" s="71"/>
      <c r="J1908" s="71"/>
      <c r="K1908" s="71"/>
      <c r="L1908" s="87"/>
      <c r="M1908" s="71"/>
      <c r="N1908" s="71"/>
      <c r="O1908" s="71"/>
      <c r="P1908" s="311"/>
      <c r="Q1908" s="312"/>
      <c r="R1908" s="312"/>
      <c r="S1908" s="569"/>
      <c r="T1908" s="569"/>
      <c r="U1908" s="569"/>
      <c r="V1908" s="341"/>
      <c r="W1908" s="311"/>
      <c r="X1908" s="71"/>
      <c r="Y1908" s="71"/>
      <c r="Z1908" s="71"/>
      <c r="AA1908" s="456"/>
      <c r="AB1908" s="104"/>
      <c r="AC1908" s="485"/>
      <c r="AD1908" s="486"/>
      <c r="AE1908" s="485"/>
      <c r="AF1908" s="634"/>
      <c r="AG1908" s="97"/>
      <c r="AH1908" s="223"/>
      <c r="AI1908" s="569"/>
      <c r="AJ1908" s="569"/>
      <c r="AK1908" s="569"/>
      <c r="AL1908" s="569"/>
      <c r="AM1908" s="569"/>
      <c r="AN1908" s="589"/>
      <c r="AO1908" s="84"/>
      <c r="AP1908" s="5"/>
    </row>
    <row r="1909" spans="1:42" ht="13.5" customHeight="1" x14ac:dyDescent="0.35">
      <c r="A1909" s="4"/>
      <c r="B1909" s="614"/>
      <c r="C1909" s="71"/>
      <c r="D1909" s="71"/>
      <c r="E1909" s="71"/>
      <c r="F1909" s="71"/>
      <c r="G1909" s="71"/>
      <c r="H1909" s="87"/>
      <c r="I1909" s="71"/>
      <c r="J1909" s="71"/>
      <c r="K1909" s="71"/>
      <c r="L1909" s="87"/>
      <c r="M1909" s="71"/>
      <c r="N1909" s="71"/>
      <c r="O1909" s="71"/>
      <c r="P1909" s="311"/>
      <c r="Q1909" s="312"/>
      <c r="R1909" s="312"/>
      <c r="S1909" s="569"/>
      <c r="T1909" s="569"/>
      <c r="U1909" s="569"/>
      <c r="V1909" s="341"/>
      <c r="W1909" s="311"/>
      <c r="X1909" s="71"/>
      <c r="Y1909" s="71"/>
      <c r="Z1909" s="71"/>
      <c r="AA1909" s="456"/>
      <c r="AB1909" s="104"/>
      <c r="AC1909" s="485"/>
      <c r="AD1909" s="486"/>
      <c r="AE1909" s="485"/>
      <c r="AF1909" s="634"/>
      <c r="AG1909" s="97"/>
      <c r="AH1909" s="223"/>
      <c r="AI1909" s="569"/>
      <c r="AJ1909" s="569"/>
      <c r="AK1909" s="569"/>
      <c r="AL1909" s="569"/>
      <c r="AM1909" s="569"/>
      <c r="AN1909" s="589"/>
      <c r="AO1909" s="84"/>
      <c r="AP1909" s="5"/>
    </row>
    <row r="1910" spans="1:42" ht="13.5" customHeight="1" x14ac:dyDescent="0.35">
      <c r="A1910" s="4"/>
      <c r="B1910" s="614"/>
      <c r="C1910" s="71"/>
      <c r="D1910" s="71"/>
      <c r="E1910" s="71"/>
      <c r="F1910" s="71"/>
      <c r="G1910" s="71"/>
      <c r="H1910" s="87"/>
      <c r="I1910" s="71"/>
      <c r="J1910" s="71"/>
      <c r="K1910" s="71"/>
      <c r="L1910" s="87"/>
      <c r="M1910" s="71"/>
      <c r="N1910" s="71"/>
      <c r="O1910" s="71"/>
      <c r="P1910" s="311"/>
      <c r="Q1910" s="312"/>
      <c r="R1910" s="312"/>
      <c r="S1910" s="569"/>
      <c r="T1910" s="569"/>
      <c r="U1910" s="569"/>
      <c r="V1910" s="341"/>
      <c r="W1910" s="311"/>
      <c r="X1910" s="71"/>
      <c r="Y1910" s="71"/>
      <c r="Z1910" s="71"/>
      <c r="AA1910" s="456"/>
      <c r="AB1910" s="104"/>
      <c r="AC1910" s="485"/>
      <c r="AD1910" s="486"/>
      <c r="AE1910" s="485"/>
      <c r="AF1910" s="634"/>
      <c r="AG1910" s="97"/>
      <c r="AH1910" s="223"/>
      <c r="AI1910" s="569"/>
      <c r="AJ1910" s="569"/>
      <c r="AK1910" s="569"/>
      <c r="AL1910" s="569"/>
      <c r="AM1910" s="569"/>
      <c r="AN1910" s="589"/>
      <c r="AO1910" s="84"/>
      <c r="AP1910" s="5"/>
    </row>
    <row r="1911" spans="1:42" ht="13.5" customHeight="1" x14ac:dyDescent="0.35">
      <c r="A1911" s="4"/>
      <c r="B1911" s="614"/>
      <c r="C1911" s="71"/>
      <c r="D1911" s="71"/>
      <c r="E1911" s="71"/>
      <c r="F1911" s="71"/>
      <c r="G1911" s="71"/>
      <c r="H1911" s="87"/>
      <c r="I1911" s="71"/>
      <c r="J1911" s="71"/>
      <c r="K1911" s="71"/>
      <c r="L1911" s="87"/>
      <c r="M1911" s="71"/>
      <c r="N1911" s="71"/>
      <c r="O1911" s="71"/>
      <c r="P1911" s="311"/>
      <c r="Q1911" s="312"/>
      <c r="R1911" s="312"/>
      <c r="S1911" s="569"/>
      <c r="T1911" s="569"/>
      <c r="U1911" s="569"/>
      <c r="V1911" s="341"/>
      <c r="W1911" s="311"/>
      <c r="X1911" s="71"/>
      <c r="Y1911" s="71"/>
      <c r="Z1911" s="71"/>
      <c r="AA1911" s="456"/>
      <c r="AB1911" s="104"/>
      <c r="AC1911" s="485"/>
      <c r="AD1911" s="486"/>
      <c r="AE1911" s="485"/>
      <c r="AF1911" s="634"/>
      <c r="AG1911" s="97"/>
      <c r="AH1911" s="223"/>
      <c r="AI1911" s="569"/>
      <c r="AJ1911" s="569"/>
      <c r="AK1911" s="569"/>
      <c r="AL1911" s="569"/>
      <c r="AM1911" s="569"/>
      <c r="AN1911" s="589"/>
      <c r="AO1911" s="84"/>
      <c r="AP1911" s="5"/>
    </row>
    <row r="1912" spans="1:42" ht="13.5" customHeight="1" x14ac:dyDescent="0.35">
      <c r="A1912" s="4"/>
      <c r="B1912" s="614"/>
      <c r="C1912" s="71"/>
      <c r="D1912" s="71"/>
      <c r="E1912" s="71"/>
      <c r="F1912" s="71"/>
      <c r="G1912" s="71"/>
      <c r="H1912" s="87"/>
      <c r="I1912" s="71"/>
      <c r="J1912" s="71"/>
      <c r="K1912" s="71"/>
      <c r="L1912" s="87"/>
      <c r="M1912" s="71"/>
      <c r="N1912" s="71"/>
      <c r="O1912" s="71"/>
      <c r="P1912" s="311"/>
      <c r="Q1912" s="312"/>
      <c r="R1912" s="312"/>
      <c r="S1912" s="569"/>
      <c r="T1912" s="569"/>
      <c r="U1912" s="569"/>
      <c r="V1912" s="341"/>
      <c r="W1912" s="311"/>
      <c r="X1912" s="71"/>
      <c r="Y1912" s="71"/>
      <c r="Z1912" s="71"/>
      <c r="AA1912" s="456"/>
      <c r="AB1912" s="104"/>
      <c r="AC1912" s="485"/>
      <c r="AD1912" s="486"/>
      <c r="AE1912" s="485"/>
      <c r="AF1912" s="634"/>
      <c r="AG1912" s="97"/>
      <c r="AH1912" s="223"/>
      <c r="AI1912" s="569"/>
      <c r="AJ1912" s="569"/>
      <c r="AK1912" s="569"/>
      <c r="AL1912" s="569"/>
      <c r="AM1912" s="569"/>
      <c r="AN1912" s="589"/>
      <c r="AO1912" s="84"/>
      <c r="AP1912" s="5"/>
    </row>
    <row r="1913" spans="1:42" ht="13.5" customHeight="1" x14ac:dyDescent="0.35">
      <c r="A1913" s="4"/>
      <c r="B1913" s="614"/>
      <c r="C1913" s="71"/>
      <c r="D1913" s="71"/>
      <c r="E1913" s="71"/>
      <c r="F1913" s="71"/>
      <c r="G1913" s="71"/>
      <c r="H1913" s="87"/>
      <c r="I1913" s="71"/>
      <c r="J1913" s="71"/>
      <c r="K1913" s="71"/>
      <c r="L1913" s="87"/>
      <c r="M1913" s="71"/>
      <c r="N1913" s="71"/>
      <c r="O1913" s="71"/>
      <c r="P1913" s="311"/>
      <c r="Q1913" s="312"/>
      <c r="R1913" s="312"/>
      <c r="S1913" s="569"/>
      <c r="T1913" s="569"/>
      <c r="U1913" s="569"/>
      <c r="V1913" s="341"/>
      <c r="W1913" s="311"/>
      <c r="X1913" s="71"/>
      <c r="Y1913" s="71"/>
      <c r="Z1913" s="71"/>
      <c r="AA1913" s="456"/>
      <c r="AB1913" s="104"/>
      <c r="AC1913" s="485"/>
      <c r="AD1913" s="486"/>
      <c r="AE1913" s="485"/>
      <c r="AF1913" s="634"/>
      <c r="AG1913" s="97"/>
      <c r="AH1913" s="223"/>
      <c r="AI1913" s="569"/>
      <c r="AJ1913" s="569"/>
      <c r="AK1913" s="569"/>
      <c r="AL1913" s="569"/>
      <c r="AM1913" s="569"/>
      <c r="AN1913" s="589"/>
      <c r="AO1913" s="84"/>
      <c r="AP1913" s="5"/>
    </row>
    <row r="1914" spans="1:42" ht="13.5" customHeight="1" x14ac:dyDescent="0.35">
      <c r="A1914" s="4"/>
      <c r="B1914" s="614"/>
      <c r="C1914" s="71"/>
      <c r="D1914" s="71"/>
      <c r="E1914" s="71"/>
      <c r="F1914" s="71"/>
      <c r="G1914" s="71"/>
      <c r="H1914" s="87"/>
      <c r="I1914" s="71"/>
      <c r="J1914" s="71"/>
      <c r="K1914" s="71"/>
      <c r="L1914" s="87"/>
      <c r="M1914" s="71"/>
      <c r="N1914" s="71"/>
      <c r="O1914" s="71"/>
      <c r="P1914" s="311"/>
      <c r="Q1914" s="312"/>
      <c r="R1914" s="312"/>
      <c r="S1914" s="569"/>
      <c r="T1914" s="569"/>
      <c r="U1914" s="569"/>
      <c r="V1914" s="341"/>
      <c r="W1914" s="311"/>
      <c r="X1914" s="71"/>
      <c r="Y1914" s="71"/>
      <c r="Z1914" s="71"/>
      <c r="AA1914" s="456"/>
      <c r="AB1914" s="104"/>
      <c r="AC1914" s="485"/>
      <c r="AD1914" s="486"/>
      <c r="AE1914" s="485"/>
      <c r="AF1914" s="634"/>
      <c r="AG1914" s="97"/>
      <c r="AH1914" s="223"/>
      <c r="AI1914" s="569"/>
      <c r="AJ1914" s="569"/>
      <c r="AK1914" s="569"/>
      <c r="AL1914" s="569"/>
      <c r="AM1914" s="569"/>
      <c r="AN1914" s="589"/>
      <c r="AO1914" s="84"/>
      <c r="AP1914" s="5"/>
    </row>
    <row r="1915" spans="1:42" ht="13.5" customHeight="1" x14ac:dyDescent="0.35">
      <c r="A1915" s="4"/>
      <c r="B1915" s="614"/>
      <c r="C1915" s="71"/>
      <c r="D1915" s="71"/>
      <c r="E1915" s="71"/>
      <c r="F1915" s="71"/>
      <c r="G1915" s="71"/>
      <c r="H1915" s="87"/>
      <c r="I1915" s="71"/>
      <c r="J1915" s="71"/>
      <c r="K1915" s="71"/>
      <c r="L1915" s="87"/>
      <c r="M1915" s="71"/>
      <c r="N1915" s="71"/>
      <c r="O1915" s="71"/>
      <c r="P1915" s="311"/>
      <c r="Q1915" s="312"/>
      <c r="R1915" s="312"/>
      <c r="S1915" s="569"/>
      <c r="T1915" s="569"/>
      <c r="U1915" s="569"/>
      <c r="V1915" s="341"/>
      <c r="W1915" s="311"/>
      <c r="X1915" s="71"/>
      <c r="Y1915" s="71"/>
      <c r="Z1915" s="71"/>
      <c r="AA1915" s="456"/>
      <c r="AB1915" s="104"/>
      <c r="AC1915" s="485"/>
      <c r="AD1915" s="486"/>
      <c r="AE1915" s="485"/>
      <c r="AF1915" s="634"/>
      <c r="AG1915" s="97"/>
      <c r="AH1915" s="223"/>
      <c r="AI1915" s="569"/>
      <c r="AJ1915" s="569"/>
      <c r="AK1915" s="569"/>
      <c r="AL1915" s="569"/>
      <c r="AM1915" s="569"/>
      <c r="AN1915" s="589"/>
      <c r="AO1915" s="84"/>
      <c r="AP1915" s="5"/>
    </row>
    <row r="1916" spans="1:42" ht="13.5" customHeight="1" x14ac:dyDescent="0.35">
      <c r="A1916" s="4"/>
      <c r="B1916" s="614"/>
      <c r="C1916" s="71"/>
      <c r="D1916" s="71"/>
      <c r="E1916" s="71"/>
      <c r="F1916" s="71"/>
      <c r="G1916" s="71"/>
      <c r="H1916" s="87"/>
      <c r="I1916" s="71"/>
      <c r="J1916" s="71"/>
      <c r="K1916" s="71"/>
      <c r="L1916" s="87"/>
      <c r="M1916" s="71"/>
      <c r="N1916" s="71"/>
      <c r="O1916" s="71"/>
      <c r="P1916" s="311"/>
      <c r="Q1916" s="312"/>
      <c r="R1916" s="312"/>
      <c r="S1916" s="569"/>
      <c r="T1916" s="569"/>
      <c r="U1916" s="569"/>
      <c r="V1916" s="341"/>
      <c r="W1916" s="311"/>
      <c r="X1916" s="71"/>
      <c r="Y1916" s="71"/>
      <c r="Z1916" s="71"/>
      <c r="AA1916" s="456"/>
      <c r="AB1916" s="104"/>
      <c r="AC1916" s="485"/>
      <c r="AD1916" s="486"/>
      <c r="AE1916" s="485"/>
      <c r="AF1916" s="634"/>
      <c r="AG1916" s="97"/>
      <c r="AH1916" s="223"/>
      <c r="AI1916" s="569"/>
      <c r="AJ1916" s="569"/>
      <c r="AK1916" s="569"/>
      <c r="AL1916" s="569"/>
      <c r="AM1916" s="569"/>
      <c r="AN1916" s="589"/>
      <c r="AO1916" s="84"/>
      <c r="AP1916" s="5"/>
    </row>
    <row r="1917" spans="1:42" ht="13.5" customHeight="1" x14ac:dyDescent="0.35">
      <c r="A1917" s="4"/>
      <c r="B1917" s="614"/>
      <c r="C1917" s="71"/>
      <c r="D1917" s="71"/>
      <c r="E1917" s="71"/>
      <c r="F1917" s="71"/>
      <c r="G1917" s="71"/>
      <c r="H1917" s="87"/>
      <c r="I1917" s="71"/>
      <c r="J1917" s="71"/>
      <c r="K1917" s="71"/>
      <c r="L1917" s="87"/>
      <c r="M1917" s="71"/>
      <c r="N1917" s="71"/>
      <c r="O1917" s="71"/>
      <c r="P1917" s="311"/>
      <c r="Q1917" s="312"/>
      <c r="R1917" s="312"/>
      <c r="S1917" s="569"/>
      <c r="T1917" s="569"/>
      <c r="U1917" s="569"/>
      <c r="V1917" s="341"/>
      <c r="W1917" s="311"/>
      <c r="X1917" s="71"/>
      <c r="Y1917" s="71"/>
      <c r="Z1917" s="71"/>
      <c r="AA1917" s="456"/>
      <c r="AB1917" s="104"/>
      <c r="AC1917" s="485"/>
      <c r="AD1917" s="486"/>
      <c r="AE1917" s="485"/>
      <c r="AF1917" s="634"/>
      <c r="AG1917" s="97"/>
      <c r="AH1917" s="223"/>
      <c r="AI1917" s="569"/>
      <c r="AJ1917" s="569"/>
      <c r="AK1917" s="569"/>
      <c r="AL1917" s="569"/>
      <c r="AM1917" s="569"/>
      <c r="AN1917" s="589"/>
      <c r="AO1917" s="84"/>
      <c r="AP1917" s="5"/>
    </row>
    <row r="1918" spans="1:42" ht="13.5" customHeight="1" x14ac:dyDescent="0.35">
      <c r="A1918" s="4"/>
      <c r="B1918" s="614"/>
      <c r="C1918" s="71"/>
      <c r="D1918" s="71"/>
      <c r="E1918" s="71"/>
      <c r="F1918" s="71"/>
      <c r="G1918" s="71"/>
      <c r="H1918" s="87"/>
      <c r="I1918" s="71"/>
      <c r="J1918" s="71"/>
      <c r="K1918" s="71"/>
      <c r="L1918" s="87"/>
      <c r="M1918" s="71"/>
      <c r="N1918" s="71"/>
      <c r="O1918" s="71"/>
      <c r="P1918" s="311"/>
      <c r="Q1918" s="312"/>
      <c r="R1918" s="312"/>
      <c r="S1918" s="569"/>
      <c r="T1918" s="569"/>
      <c r="U1918" s="569"/>
      <c r="V1918" s="341"/>
      <c r="W1918" s="311"/>
      <c r="X1918" s="71"/>
      <c r="Y1918" s="71"/>
      <c r="Z1918" s="71"/>
      <c r="AA1918" s="456"/>
      <c r="AB1918" s="104"/>
      <c r="AC1918" s="485"/>
      <c r="AD1918" s="486"/>
      <c r="AE1918" s="485"/>
      <c r="AF1918" s="634"/>
      <c r="AG1918" s="97"/>
      <c r="AH1918" s="223"/>
      <c r="AI1918" s="569"/>
      <c r="AJ1918" s="569"/>
      <c r="AK1918" s="569"/>
      <c r="AL1918" s="569"/>
      <c r="AM1918" s="569"/>
      <c r="AN1918" s="589"/>
      <c r="AO1918" s="84"/>
      <c r="AP1918" s="5"/>
    </row>
    <row r="1919" spans="1:42" ht="13.5" customHeight="1" x14ac:dyDescent="0.35">
      <c r="A1919" s="4"/>
      <c r="B1919" s="614"/>
      <c r="C1919" s="71"/>
      <c r="D1919" s="71"/>
      <c r="E1919" s="71"/>
      <c r="F1919" s="71"/>
      <c r="G1919" s="71"/>
      <c r="H1919" s="87"/>
      <c r="I1919" s="71"/>
      <c r="J1919" s="71"/>
      <c r="K1919" s="71"/>
      <c r="L1919" s="87"/>
      <c r="M1919" s="71"/>
      <c r="N1919" s="71"/>
      <c r="O1919" s="71"/>
      <c r="P1919" s="311"/>
      <c r="Q1919" s="312"/>
      <c r="R1919" s="312"/>
      <c r="S1919" s="569"/>
      <c r="T1919" s="569"/>
      <c r="U1919" s="569"/>
      <c r="V1919" s="341"/>
      <c r="W1919" s="311"/>
      <c r="X1919" s="71"/>
      <c r="Y1919" s="71"/>
      <c r="Z1919" s="71"/>
      <c r="AA1919" s="456"/>
      <c r="AB1919" s="104"/>
      <c r="AC1919" s="485"/>
      <c r="AD1919" s="486"/>
      <c r="AE1919" s="485"/>
      <c r="AF1919" s="634"/>
      <c r="AG1919" s="97"/>
      <c r="AH1919" s="223"/>
      <c r="AI1919" s="569"/>
      <c r="AJ1919" s="569"/>
      <c r="AK1919" s="569"/>
      <c r="AL1919" s="569"/>
      <c r="AM1919" s="569"/>
      <c r="AN1919" s="589"/>
      <c r="AO1919" s="84"/>
      <c r="AP1919" s="5"/>
    </row>
    <row r="1920" spans="1:42" ht="13.5" customHeight="1" x14ac:dyDescent="0.35">
      <c r="A1920" s="4"/>
      <c r="B1920" s="614"/>
      <c r="C1920" s="71"/>
      <c r="D1920" s="71"/>
      <c r="E1920" s="71"/>
      <c r="F1920" s="71"/>
      <c r="G1920" s="71"/>
      <c r="H1920" s="87"/>
      <c r="I1920" s="71"/>
      <c r="J1920" s="71"/>
      <c r="K1920" s="71"/>
      <c r="L1920" s="87"/>
      <c r="M1920" s="71"/>
      <c r="N1920" s="71"/>
      <c r="O1920" s="71"/>
      <c r="P1920" s="311"/>
      <c r="Q1920" s="312"/>
      <c r="R1920" s="312"/>
      <c r="S1920" s="569"/>
      <c r="T1920" s="569"/>
      <c r="U1920" s="569"/>
      <c r="V1920" s="341"/>
      <c r="W1920" s="311"/>
      <c r="X1920" s="71"/>
      <c r="Y1920" s="71"/>
      <c r="Z1920" s="71"/>
      <c r="AA1920" s="456"/>
      <c r="AB1920" s="104"/>
      <c r="AC1920" s="485"/>
      <c r="AD1920" s="486"/>
      <c r="AE1920" s="485"/>
      <c r="AF1920" s="634"/>
      <c r="AG1920" s="97"/>
      <c r="AH1920" s="223"/>
      <c r="AI1920" s="569"/>
      <c r="AJ1920" s="569"/>
      <c r="AK1920" s="569"/>
      <c r="AL1920" s="569"/>
      <c r="AM1920" s="569"/>
      <c r="AN1920" s="589"/>
      <c r="AO1920" s="84"/>
      <c r="AP1920" s="5"/>
    </row>
    <row r="1921" spans="1:42" ht="13.5" customHeight="1" x14ac:dyDescent="0.35">
      <c r="A1921" s="4"/>
      <c r="B1921" s="614"/>
      <c r="C1921" s="71"/>
      <c r="D1921" s="71"/>
      <c r="E1921" s="71"/>
      <c r="F1921" s="71"/>
      <c r="G1921" s="71"/>
      <c r="H1921" s="87"/>
      <c r="I1921" s="71"/>
      <c r="J1921" s="71"/>
      <c r="K1921" s="71"/>
      <c r="L1921" s="87"/>
      <c r="M1921" s="71"/>
      <c r="N1921" s="71"/>
      <c r="O1921" s="71"/>
      <c r="P1921" s="311"/>
      <c r="Q1921" s="312"/>
      <c r="R1921" s="312"/>
      <c r="S1921" s="569"/>
      <c r="T1921" s="569"/>
      <c r="U1921" s="569"/>
      <c r="V1921" s="341"/>
      <c r="W1921" s="311"/>
      <c r="X1921" s="71"/>
      <c r="Y1921" s="71"/>
      <c r="Z1921" s="71"/>
      <c r="AA1921" s="456"/>
      <c r="AB1921" s="104"/>
      <c r="AC1921" s="485"/>
      <c r="AD1921" s="486"/>
      <c r="AE1921" s="485"/>
      <c r="AF1921" s="634"/>
      <c r="AG1921" s="97"/>
      <c r="AH1921" s="223"/>
      <c r="AI1921" s="569"/>
      <c r="AJ1921" s="569"/>
      <c r="AK1921" s="569"/>
      <c r="AL1921" s="569"/>
      <c r="AM1921" s="569"/>
      <c r="AN1921" s="589"/>
      <c r="AO1921" s="84"/>
      <c r="AP1921" s="5"/>
    </row>
    <row r="1922" spans="1:42" ht="13.5" customHeight="1" x14ac:dyDescent="0.35">
      <c r="A1922" s="4"/>
      <c r="B1922" s="614"/>
      <c r="C1922" s="71"/>
      <c r="D1922" s="71"/>
      <c r="E1922" s="71"/>
      <c r="F1922" s="71"/>
      <c r="G1922" s="71"/>
      <c r="H1922" s="87"/>
      <c r="I1922" s="71"/>
      <c r="J1922" s="71"/>
      <c r="K1922" s="71"/>
      <c r="L1922" s="87"/>
      <c r="M1922" s="71"/>
      <c r="N1922" s="71"/>
      <c r="O1922" s="71"/>
      <c r="P1922" s="311"/>
      <c r="Q1922" s="312"/>
      <c r="R1922" s="312"/>
      <c r="S1922" s="569"/>
      <c r="T1922" s="569"/>
      <c r="U1922" s="569"/>
      <c r="V1922" s="341"/>
      <c r="W1922" s="311"/>
      <c r="X1922" s="71"/>
      <c r="Y1922" s="71"/>
      <c r="Z1922" s="71"/>
      <c r="AA1922" s="456"/>
      <c r="AB1922" s="104"/>
      <c r="AC1922" s="485"/>
      <c r="AD1922" s="486"/>
      <c r="AE1922" s="485"/>
      <c r="AF1922" s="634"/>
      <c r="AG1922" s="97"/>
      <c r="AH1922" s="223"/>
      <c r="AI1922" s="569"/>
      <c r="AJ1922" s="569"/>
      <c r="AK1922" s="569"/>
      <c r="AL1922" s="569"/>
      <c r="AM1922" s="569"/>
      <c r="AN1922" s="589"/>
      <c r="AO1922" s="84"/>
      <c r="AP1922" s="5"/>
    </row>
    <row r="1923" spans="1:42" ht="13.5" customHeight="1" x14ac:dyDescent="0.35">
      <c r="A1923" s="4"/>
      <c r="B1923" s="614"/>
      <c r="C1923" s="71"/>
      <c r="D1923" s="71"/>
      <c r="E1923" s="71"/>
      <c r="F1923" s="71"/>
      <c r="G1923" s="71"/>
      <c r="H1923" s="87"/>
      <c r="I1923" s="71"/>
      <c r="J1923" s="71"/>
      <c r="K1923" s="71"/>
      <c r="L1923" s="87"/>
      <c r="M1923" s="71"/>
      <c r="N1923" s="71"/>
      <c r="O1923" s="71"/>
      <c r="P1923" s="311"/>
      <c r="Q1923" s="312"/>
      <c r="R1923" s="312"/>
      <c r="S1923" s="569"/>
      <c r="T1923" s="569"/>
      <c r="U1923" s="569"/>
      <c r="V1923" s="341"/>
      <c r="W1923" s="311"/>
      <c r="X1923" s="71"/>
      <c r="Y1923" s="71"/>
      <c r="Z1923" s="71"/>
      <c r="AA1923" s="456"/>
      <c r="AB1923" s="104"/>
      <c r="AC1923" s="485"/>
      <c r="AD1923" s="486"/>
      <c r="AE1923" s="485"/>
      <c r="AF1923" s="634"/>
      <c r="AG1923" s="97"/>
      <c r="AH1923" s="223"/>
      <c r="AI1923" s="569"/>
      <c r="AJ1923" s="569"/>
      <c r="AK1923" s="569"/>
      <c r="AL1923" s="569"/>
      <c r="AM1923" s="569"/>
      <c r="AN1923" s="589"/>
      <c r="AO1923" s="84"/>
      <c r="AP1923" s="5"/>
    </row>
    <row r="1924" spans="1:42" ht="13.5" customHeight="1" x14ac:dyDescent="0.35">
      <c r="A1924" s="4"/>
      <c r="B1924" s="614"/>
      <c r="C1924" s="71"/>
      <c r="D1924" s="71"/>
      <c r="E1924" s="71"/>
      <c r="F1924" s="71"/>
      <c r="G1924" s="71"/>
      <c r="H1924" s="87"/>
      <c r="I1924" s="71"/>
      <c r="J1924" s="71"/>
      <c r="K1924" s="71"/>
      <c r="L1924" s="87"/>
      <c r="M1924" s="71"/>
      <c r="N1924" s="71"/>
      <c r="O1924" s="71"/>
      <c r="P1924" s="311"/>
      <c r="Q1924" s="312"/>
      <c r="R1924" s="312"/>
      <c r="S1924" s="569"/>
      <c r="T1924" s="569"/>
      <c r="U1924" s="569"/>
      <c r="V1924" s="341"/>
      <c r="W1924" s="311"/>
      <c r="X1924" s="71"/>
      <c r="Y1924" s="71"/>
      <c r="Z1924" s="71"/>
      <c r="AA1924" s="456"/>
      <c r="AB1924" s="104"/>
      <c r="AC1924" s="485"/>
      <c r="AD1924" s="486"/>
      <c r="AE1924" s="485"/>
      <c r="AF1924" s="634"/>
      <c r="AG1924" s="97"/>
      <c r="AH1924" s="223"/>
      <c r="AI1924" s="569"/>
      <c r="AJ1924" s="569"/>
      <c r="AK1924" s="569"/>
      <c r="AL1924" s="569"/>
      <c r="AM1924" s="569"/>
      <c r="AN1924" s="589"/>
      <c r="AO1924" s="84"/>
      <c r="AP1924" s="5"/>
    </row>
    <row r="1925" spans="1:42" ht="13.5" customHeight="1" x14ac:dyDescent="0.35">
      <c r="A1925" s="4"/>
      <c r="B1925" s="614"/>
      <c r="C1925" s="71"/>
      <c r="D1925" s="71"/>
      <c r="E1925" s="71"/>
      <c r="F1925" s="71"/>
      <c r="G1925" s="71"/>
      <c r="H1925" s="87"/>
      <c r="I1925" s="71"/>
      <c r="J1925" s="71"/>
      <c r="K1925" s="71"/>
      <c r="L1925" s="87"/>
      <c r="M1925" s="71"/>
      <c r="N1925" s="71"/>
      <c r="O1925" s="71"/>
      <c r="P1925" s="311"/>
      <c r="Q1925" s="312"/>
      <c r="R1925" s="312"/>
      <c r="S1925" s="569"/>
      <c r="T1925" s="569"/>
      <c r="U1925" s="569"/>
      <c r="V1925" s="341"/>
      <c r="W1925" s="311"/>
      <c r="X1925" s="71"/>
      <c r="Y1925" s="71"/>
      <c r="Z1925" s="71"/>
      <c r="AA1925" s="456"/>
      <c r="AB1925" s="104"/>
      <c r="AC1925" s="485"/>
      <c r="AD1925" s="486"/>
      <c r="AE1925" s="485"/>
      <c r="AF1925" s="634"/>
      <c r="AG1925" s="97"/>
      <c r="AH1925" s="223"/>
      <c r="AI1925" s="569"/>
      <c r="AJ1925" s="569"/>
      <c r="AK1925" s="569"/>
      <c r="AL1925" s="569"/>
      <c r="AM1925" s="569"/>
      <c r="AN1925" s="589"/>
      <c r="AO1925" s="84"/>
      <c r="AP1925" s="5"/>
    </row>
    <row r="1926" spans="1:42" ht="13.5" customHeight="1" x14ac:dyDescent="0.35">
      <c r="A1926" s="4"/>
      <c r="B1926" s="614"/>
      <c r="C1926" s="71"/>
      <c r="D1926" s="71"/>
      <c r="E1926" s="71"/>
      <c r="F1926" s="71"/>
      <c r="G1926" s="71"/>
      <c r="H1926" s="87"/>
      <c r="I1926" s="71"/>
      <c r="J1926" s="71"/>
      <c r="K1926" s="71"/>
      <c r="L1926" s="87"/>
      <c r="M1926" s="71"/>
      <c r="N1926" s="71"/>
      <c r="O1926" s="71"/>
      <c r="P1926" s="311"/>
      <c r="Q1926" s="312"/>
      <c r="R1926" s="312"/>
      <c r="S1926" s="569"/>
      <c r="T1926" s="569"/>
      <c r="U1926" s="569"/>
      <c r="V1926" s="341"/>
      <c r="W1926" s="311"/>
      <c r="X1926" s="71"/>
      <c r="Y1926" s="71"/>
      <c r="Z1926" s="71"/>
      <c r="AA1926" s="456"/>
      <c r="AB1926" s="104"/>
      <c r="AC1926" s="485"/>
      <c r="AD1926" s="486"/>
      <c r="AE1926" s="485"/>
      <c r="AF1926" s="634"/>
      <c r="AG1926" s="97"/>
      <c r="AH1926" s="223"/>
      <c r="AI1926" s="569"/>
      <c r="AJ1926" s="569"/>
      <c r="AK1926" s="569"/>
      <c r="AL1926" s="569"/>
      <c r="AM1926" s="569"/>
      <c r="AN1926" s="589"/>
      <c r="AO1926" s="84"/>
      <c r="AP1926" s="5"/>
    </row>
    <row r="1927" spans="1:42" ht="13.5" customHeight="1" x14ac:dyDescent="0.35">
      <c r="A1927" s="4"/>
      <c r="B1927" s="614"/>
      <c r="C1927" s="71"/>
      <c r="D1927" s="71"/>
      <c r="E1927" s="71"/>
      <c r="F1927" s="71"/>
      <c r="G1927" s="71"/>
      <c r="H1927" s="87"/>
      <c r="I1927" s="71"/>
      <c r="J1927" s="71"/>
      <c r="K1927" s="71"/>
      <c r="L1927" s="87"/>
      <c r="M1927" s="71"/>
      <c r="N1927" s="71"/>
      <c r="O1927" s="71"/>
      <c r="P1927" s="311"/>
      <c r="Q1927" s="312"/>
      <c r="R1927" s="312"/>
      <c r="S1927" s="569"/>
      <c r="T1927" s="569"/>
      <c r="U1927" s="569"/>
      <c r="V1927" s="341"/>
      <c r="W1927" s="311"/>
      <c r="X1927" s="71"/>
      <c r="Y1927" s="71"/>
      <c r="Z1927" s="71"/>
      <c r="AA1927" s="456"/>
      <c r="AB1927" s="104"/>
      <c r="AC1927" s="485"/>
      <c r="AD1927" s="486"/>
      <c r="AE1927" s="485"/>
      <c r="AF1927" s="634"/>
      <c r="AG1927" s="97"/>
      <c r="AH1927" s="223"/>
      <c r="AI1927" s="569"/>
      <c r="AJ1927" s="569"/>
      <c r="AK1927" s="569"/>
      <c r="AL1927" s="569"/>
      <c r="AM1927" s="569"/>
      <c r="AN1927" s="589"/>
      <c r="AO1927" s="84"/>
      <c r="AP1927" s="5"/>
    </row>
    <row r="1928" spans="1:42" ht="13.5" customHeight="1" x14ac:dyDescent="0.35">
      <c r="A1928" s="4"/>
      <c r="B1928" s="614"/>
      <c r="C1928" s="71"/>
      <c r="D1928" s="71"/>
      <c r="E1928" s="71"/>
      <c r="F1928" s="71"/>
      <c r="G1928" s="71"/>
      <c r="H1928" s="87"/>
      <c r="I1928" s="71"/>
      <c r="J1928" s="71"/>
      <c r="K1928" s="71"/>
      <c r="L1928" s="87"/>
      <c r="M1928" s="71"/>
      <c r="N1928" s="71"/>
      <c r="O1928" s="71"/>
      <c r="P1928" s="311"/>
      <c r="Q1928" s="312"/>
      <c r="R1928" s="312"/>
      <c r="S1928" s="569"/>
      <c r="T1928" s="569"/>
      <c r="U1928" s="569"/>
      <c r="V1928" s="341"/>
      <c r="W1928" s="311"/>
      <c r="X1928" s="71"/>
      <c r="Y1928" s="71"/>
      <c r="Z1928" s="71"/>
      <c r="AA1928" s="456"/>
      <c r="AB1928" s="104"/>
      <c r="AC1928" s="485"/>
      <c r="AD1928" s="486"/>
      <c r="AE1928" s="485"/>
      <c r="AF1928" s="634"/>
      <c r="AG1928" s="97"/>
      <c r="AH1928" s="223"/>
      <c r="AI1928" s="569"/>
      <c r="AJ1928" s="569"/>
      <c r="AK1928" s="569"/>
      <c r="AL1928" s="569"/>
      <c r="AM1928" s="569"/>
      <c r="AN1928" s="589"/>
      <c r="AO1928" s="84"/>
      <c r="AP1928" s="5"/>
    </row>
    <row r="1929" spans="1:42" ht="13.5" customHeight="1" x14ac:dyDescent="0.35">
      <c r="A1929" s="4"/>
      <c r="B1929" s="614"/>
      <c r="C1929" s="71"/>
      <c r="D1929" s="71"/>
      <c r="E1929" s="71"/>
      <c r="F1929" s="71"/>
      <c r="G1929" s="71"/>
      <c r="H1929" s="87"/>
      <c r="I1929" s="71"/>
      <c r="J1929" s="71"/>
      <c r="K1929" s="71"/>
      <c r="L1929" s="87"/>
      <c r="M1929" s="71"/>
      <c r="N1929" s="71"/>
      <c r="O1929" s="71"/>
      <c r="P1929" s="311"/>
      <c r="Q1929" s="312"/>
      <c r="R1929" s="312"/>
      <c r="S1929" s="569"/>
      <c r="T1929" s="569"/>
      <c r="U1929" s="569"/>
      <c r="V1929" s="341"/>
      <c r="W1929" s="311"/>
      <c r="X1929" s="71"/>
      <c r="Y1929" s="71"/>
      <c r="Z1929" s="71"/>
      <c r="AA1929" s="456"/>
      <c r="AB1929" s="104"/>
      <c r="AC1929" s="485"/>
      <c r="AD1929" s="486"/>
      <c r="AE1929" s="485"/>
      <c r="AF1929" s="634"/>
      <c r="AG1929" s="97"/>
      <c r="AH1929" s="223"/>
      <c r="AI1929" s="569"/>
      <c r="AJ1929" s="569"/>
      <c r="AK1929" s="569"/>
      <c r="AL1929" s="569"/>
      <c r="AM1929" s="569"/>
      <c r="AN1929" s="589"/>
      <c r="AO1929" s="84"/>
      <c r="AP1929" s="5"/>
    </row>
    <row r="1930" spans="1:42" ht="13.5" customHeight="1" x14ac:dyDescent="0.35">
      <c r="A1930" s="4"/>
      <c r="B1930" s="614"/>
      <c r="C1930" s="71"/>
      <c r="D1930" s="71"/>
      <c r="E1930" s="71"/>
      <c r="F1930" s="71"/>
      <c r="G1930" s="71"/>
      <c r="H1930" s="87"/>
      <c r="I1930" s="71"/>
      <c r="J1930" s="71"/>
      <c r="K1930" s="71"/>
      <c r="L1930" s="87"/>
      <c r="M1930" s="71"/>
      <c r="N1930" s="71"/>
      <c r="O1930" s="71"/>
      <c r="P1930" s="311"/>
      <c r="Q1930" s="312"/>
      <c r="R1930" s="312"/>
      <c r="S1930" s="569"/>
      <c r="T1930" s="569"/>
      <c r="U1930" s="569"/>
      <c r="V1930" s="341"/>
      <c r="W1930" s="311"/>
      <c r="X1930" s="71"/>
      <c r="Y1930" s="71"/>
      <c r="Z1930" s="71"/>
      <c r="AA1930" s="456"/>
      <c r="AB1930" s="104"/>
      <c r="AC1930" s="485"/>
      <c r="AD1930" s="486"/>
      <c r="AE1930" s="485"/>
      <c r="AF1930" s="634"/>
      <c r="AG1930" s="97"/>
      <c r="AH1930" s="223"/>
      <c r="AI1930" s="569"/>
      <c r="AJ1930" s="569"/>
      <c r="AK1930" s="569"/>
      <c r="AL1930" s="569"/>
      <c r="AM1930" s="569"/>
      <c r="AN1930" s="589"/>
      <c r="AO1930" s="84"/>
      <c r="AP1930" s="5"/>
    </row>
    <row r="1931" spans="1:42" ht="13.5" customHeight="1" x14ac:dyDescent="0.35">
      <c r="A1931" s="4"/>
      <c r="B1931" s="614"/>
      <c r="C1931" s="71"/>
      <c r="D1931" s="71"/>
      <c r="E1931" s="71"/>
      <c r="F1931" s="71"/>
      <c r="G1931" s="71"/>
      <c r="H1931" s="87"/>
      <c r="I1931" s="71"/>
      <c r="J1931" s="71"/>
      <c r="K1931" s="71"/>
      <c r="L1931" s="87"/>
      <c r="M1931" s="71"/>
      <c r="N1931" s="71"/>
      <c r="O1931" s="71"/>
      <c r="P1931" s="311"/>
      <c r="Q1931" s="312"/>
      <c r="R1931" s="312"/>
      <c r="S1931" s="569"/>
      <c r="T1931" s="569"/>
      <c r="U1931" s="569"/>
      <c r="V1931" s="341"/>
      <c r="W1931" s="311"/>
      <c r="X1931" s="71"/>
      <c r="Y1931" s="71"/>
      <c r="Z1931" s="71"/>
      <c r="AA1931" s="456"/>
      <c r="AB1931" s="104"/>
      <c r="AC1931" s="485"/>
      <c r="AD1931" s="486"/>
      <c r="AE1931" s="485"/>
      <c r="AF1931" s="634"/>
      <c r="AG1931" s="97"/>
      <c r="AH1931" s="223"/>
      <c r="AI1931" s="569"/>
      <c r="AJ1931" s="569"/>
      <c r="AK1931" s="569"/>
      <c r="AL1931" s="569"/>
      <c r="AM1931" s="569"/>
      <c r="AN1931" s="589"/>
      <c r="AO1931" s="84"/>
      <c r="AP1931" s="5"/>
    </row>
    <row r="1932" spans="1:42" ht="13.5" customHeight="1" x14ac:dyDescent="0.35">
      <c r="A1932" s="4"/>
      <c r="B1932" s="614"/>
      <c r="C1932" s="71"/>
      <c r="D1932" s="71"/>
      <c r="E1932" s="71"/>
      <c r="F1932" s="71"/>
      <c r="G1932" s="71"/>
      <c r="H1932" s="87"/>
      <c r="I1932" s="71"/>
      <c r="J1932" s="71"/>
      <c r="K1932" s="71"/>
      <c r="L1932" s="87"/>
      <c r="M1932" s="71"/>
      <c r="N1932" s="71"/>
      <c r="O1932" s="71"/>
      <c r="P1932" s="311"/>
      <c r="Q1932" s="312"/>
      <c r="R1932" s="312"/>
      <c r="S1932" s="569"/>
      <c r="T1932" s="569"/>
      <c r="U1932" s="569"/>
      <c r="V1932" s="341"/>
      <c r="W1932" s="311"/>
      <c r="X1932" s="71"/>
      <c r="Y1932" s="71"/>
      <c r="Z1932" s="71"/>
      <c r="AA1932" s="456"/>
      <c r="AB1932" s="104"/>
      <c r="AC1932" s="485"/>
      <c r="AD1932" s="486"/>
      <c r="AE1932" s="485"/>
      <c r="AF1932" s="634"/>
      <c r="AG1932" s="97"/>
      <c r="AH1932" s="223"/>
      <c r="AI1932" s="569"/>
      <c r="AJ1932" s="569"/>
      <c r="AK1932" s="569"/>
      <c r="AL1932" s="569"/>
      <c r="AM1932" s="569"/>
      <c r="AN1932" s="589"/>
      <c r="AO1932" s="84"/>
      <c r="AP1932" s="5"/>
    </row>
    <row r="1933" spans="1:42" ht="13.5" customHeight="1" x14ac:dyDescent="0.35">
      <c r="A1933" s="4"/>
      <c r="B1933" s="614"/>
      <c r="C1933" s="71"/>
      <c r="D1933" s="71"/>
      <c r="E1933" s="71"/>
      <c r="F1933" s="71"/>
      <c r="G1933" s="71"/>
      <c r="H1933" s="87"/>
      <c r="I1933" s="71"/>
      <c r="J1933" s="71"/>
      <c r="K1933" s="71"/>
      <c r="L1933" s="87"/>
      <c r="M1933" s="71"/>
      <c r="N1933" s="71"/>
      <c r="O1933" s="71"/>
      <c r="P1933" s="311"/>
      <c r="Q1933" s="312"/>
      <c r="R1933" s="312"/>
      <c r="S1933" s="569"/>
      <c r="T1933" s="569"/>
      <c r="U1933" s="569"/>
      <c r="V1933" s="341"/>
      <c r="W1933" s="311"/>
      <c r="X1933" s="71"/>
      <c r="Y1933" s="71"/>
      <c r="Z1933" s="71"/>
      <c r="AA1933" s="456"/>
      <c r="AB1933" s="104"/>
      <c r="AC1933" s="485"/>
      <c r="AD1933" s="486"/>
      <c r="AE1933" s="485"/>
      <c r="AF1933" s="634"/>
      <c r="AG1933" s="97"/>
      <c r="AH1933" s="223"/>
      <c r="AI1933" s="569"/>
      <c r="AJ1933" s="569"/>
      <c r="AK1933" s="569"/>
      <c r="AL1933" s="569"/>
      <c r="AM1933" s="569"/>
      <c r="AN1933" s="589"/>
      <c r="AO1933" s="84"/>
      <c r="AP1933" s="5"/>
    </row>
    <row r="1934" spans="1:42" ht="13.5" customHeight="1" x14ac:dyDescent="0.35">
      <c r="A1934" s="4"/>
      <c r="B1934" s="614"/>
      <c r="C1934" s="71"/>
      <c r="D1934" s="71"/>
      <c r="E1934" s="71"/>
      <c r="F1934" s="71"/>
      <c r="G1934" s="71"/>
      <c r="H1934" s="87"/>
      <c r="I1934" s="71"/>
      <c r="J1934" s="71"/>
      <c r="K1934" s="71"/>
      <c r="L1934" s="87"/>
      <c r="M1934" s="71"/>
      <c r="N1934" s="71"/>
      <c r="O1934" s="71"/>
      <c r="P1934" s="311"/>
      <c r="Q1934" s="312"/>
      <c r="R1934" s="312"/>
      <c r="S1934" s="569"/>
      <c r="T1934" s="569"/>
      <c r="U1934" s="569"/>
      <c r="V1934" s="341"/>
      <c r="W1934" s="311"/>
      <c r="X1934" s="71"/>
      <c r="Y1934" s="71"/>
      <c r="Z1934" s="71"/>
      <c r="AA1934" s="456"/>
      <c r="AB1934" s="104"/>
      <c r="AC1934" s="485"/>
      <c r="AD1934" s="486"/>
      <c r="AE1934" s="485"/>
      <c r="AF1934" s="634"/>
      <c r="AG1934" s="97"/>
      <c r="AH1934" s="223"/>
      <c r="AI1934" s="569"/>
      <c r="AJ1934" s="569"/>
      <c r="AK1934" s="569"/>
      <c r="AL1934" s="569"/>
      <c r="AM1934" s="569"/>
      <c r="AN1934" s="589"/>
      <c r="AO1934" s="84"/>
      <c r="AP1934" s="5"/>
    </row>
    <row r="1935" spans="1:42" ht="13.5" customHeight="1" x14ac:dyDescent="0.35">
      <c r="A1935" s="4"/>
      <c r="B1935" s="614"/>
      <c r="C1935" s="71"/>
      <c r="D1935" s="71"/>
      <c r="E1935" s="71"/>
      <c r="F1935" s="71"/>
      <c r="G1935" s="71"/>
      <c r="H1935" s="87"/>
      <c r="I1935" s="71"/>
      <c r="J1935" s="71"/>
      <c r="K1935" s="71"/>
      <c r="L1935" s="87"/>
      <c r="M1935" s="71"/>
      <c r="N1935" s="71"/>
      <c r="O1935" s="71"/>
      <c r="P1935" s="311"/>
      <c r="Q1935" s="312"/>
      <c r="R1935" s="312"/>
      <c r="S1935" s="569"/>
      <c r="T1935" s="569"/>
      <c r="U1935" s="569"/>
      <c r="V1935" s="341"/>
      <c r="W1935" s="311"/>
      <c r="X1935" s="71"/>
      <c r="Y1935" s="71"/>
      <c r="Z1935" s="71"/>
      <c r="AA1935" s="456"/>
      <c r="AB1935" s="104"/>
      <c r="AC1935" s="485"/>
      <c r="AD1935" s="486"/>
      <c r="AE1935" s="485"/>
      <c r="AF1935" s="634"/>
      <c r="AG1935" s="97"/>
      <c r="AH1935" s="223"/>
      <c r="AI1935" s="569"/>
      <c r="AJ1935" s="569"/>
      <c r="AK1935" s="569"/>
      <c r="AL1935" s="569"/>
      <c r="AM1935" s="569"/>
      <c r="AN1935" s="589"/>
      <c r="AO1935" s="84"/>
      <c r="AP1935" s="5"/>
    </row>
    <row r="1936" spans="1:42" ht="13.5" customHeight="1" x14ac:dyDescent="0.35">
      <c r="A1936" s="4"/>
      <c r="B1936" s="614"/>
      <c r="C1936" s="71"/>
      <c r="D1936" s="71"/>
      <c r="E1936" s="71"/>
      <c r="F1936" s="71"/>
      <c r="G1936" s="71"/>
      <c r="H1936" s="87"/>
      <c r="I1936" s="71"/>
      <c r="J1936" s="71"/>
      <c r="K1936" s="71"/>
      <c r="L1936" s="87"/>
      <c r="M1936" s="71"/>
      <c r="N1936" s="71"/>
      <c r="O1936" s="71"/>
      <c r="P1936" s="311"/>
      <c r="Q1936" s="312"/>
      <c r="R1936" s="312"/>
      <c r="S1936" s="569"/>
      <c r="T1936" s="569"/>
      <c r="U1936" s="569"/>
      <c r="V1936" s="341"/>
      <c r="W1936" s="311"/>
      <c r="X1936" s="71"/>
      <c r="Y1936" s="71"/>
      <c r="Z1936" s="71"/>
      <c r="AA1936" s="456"/>
      <c r="AB1936" s="104"/>
      <c r="AC1936" s="485"/>
      <c r="AD1936" s="486"/>
      <c r="AE1936" s="485"/>
      <c r="AF1936" s="634"/>
      <c r="AG1936" s="97"/>
      <c r="AH1936" s="223"/>
      <c r="AI1936" s="569"/>
      <c r="AJ1936" s="569"/>
      <c r="AK1936" s="569"/>
      <c r="AL1936" s="569"/>
      <c r="AM1936" s="569"/>
      <c r="AN1936" s="589"/>
      <c r="AO1936" s="84"/>
      <c r="AP1936" s="5"/>
    </row>
    <row r="1937" spans="1:42" ht="13.5" customHeight="1" x14ac:dyDescent="0.35">
      <c r="A1937" s="4"/>
      <c r="B1937" s="614"/>
      <c r="C1937" s="71"/>
      <c r="D1937" s="71"/>
      <c r="E1937" s="71"/>
      <c r="F1937" s="71"/>
      <c r="G1937" s="71"/>
      <c r="H1937" s="87"/>
      <c r="I1937" s="71"/>
      <c r="J1937" s="71"/>
      <c r="K1937" s="71"/>
      <c r="L1937" s="87"/>
      <c r="M1937" s="71"/>
      <c r="N1937" s="71"/>
      <c r="O1937" s="71"/>
      <c r="P1937" s="311"/>
      <c r="Q1937" s="312"/>
      <c r="R1937" s="312"/>
      <c r="S1937" s="569"/>
      <c r="T1937" s="569"/>
      <c r="U1937" s="569"/>
      <c r="V1937" s="341"/>
      <c r="W1937" s="311"/>
      <c r="X1937" s="71"/>
      <c r="Y1937" s="71"/>
      <c r="Z1937" s="71"/>
      <c r="AA1937" s="456"/>
      <c r="AB1937" s="104"/>
      <c r="AC1937" s="485"/>
      <c r="AD1937" s="486"/>
      <c r="AE1937" s="485"/>
      <c r="AF1937" s="634"/>
      <c r="AG1937" s="97"/>
      <c r="AH1937" s="223"/>
      <c r="AI1937" s="569"/>
      <c r="AJ1937" s="569"/>
      <c r="AK1937" s="569"/>
      <c r="AL1937" s="569"/>
      <c r="AM1937" s="569"/>
      <c r="AN1937" s="589"/>
      <c r="AO1937" s="84"/>
      <c r="AP1937" s="5"/>
    </row>
    <row r="1938" spans="1:42" ht="13.5" customHeight="1" x14ac:dyDescent="0.35">
      <c r="A1938" s="4"/>
      <c r="B1938" s="614"/>
      <c r="C1938" s="71"/>
      <c r="D1938" s="71"/>
      <c r="E1938" s="71"/>
      <c r="F1938" s="71"/>
      <c r="G1938" s="71"/>
      <c r="H1938" s="87"/>
      <c r="I1938" s="71"/>
      <c r="J1938" s="71"/>
      <c r="K1938" s="71"/>
      <c r="L1938" s="87"/>
      <c r="M1938" s="71"/>
      <c r="N1938" s="71"/>
      <c r="O1938" s="71"/>
      <c r="P1938" s="311"/>
      <c r="Q1938" s="312"/>
      <c r="R1938" s="312"/>
      <c r="S1938" s="569"/>
      <c r="T1938" s="569"/>
      <c r="U1938" s="569"/>
      <c r="V1938" s="341"/>
      <c r="W1938" s="311"/>
      <c r="X1938" s="71"/>
      <c r="Y1938" s="71"/>
      <c r="Z1938" s="71"/>
      <c r="AA1938" s="456"/>
      <c r="AB1938" s="104"/>
      <c r="AC1938" s="485"/>
      <c r="AD1938" s="486"/>
      <c r="AE1938" s="485"/>
      <c r="AF1938" s="634"/>
      <c r="AG1938" s="97"/>
      <c r="AH1938" s="223"/>
      <c r="AI1938" s="569"/>
      <c r="AJ1938" s="569"/>
      <c r="AK1938" s="569"/>
      <c r="AL1938" s="569"/>
      <c r="AM1938" s="569"/>
      <c r="AN1938" s="589"/>
      <c r="AO1938" s="84"/>
      <c r="AP1938" s="5"/>
    </row>
    <row r="1939" spans="1:42" ht="13.5" customHeight="1" x14ac:dyDescent="0.35">
      <c r="A1939" s="4"/>
      <c r="B1939" s="614"/>
      <c r="C1939" s="71"/>
      <c r="D1939" s="71"/>
      <c r="E1939" s="71"/>
      <c r="F1939" s="71"/>
      <c r="G1939" s="71"/>
      <c r="H1939" s="87"/>
      <c r="I1939" s="71"/>
      <c r="J1939" s="71"/>
      <c r="K1939" s="71"/>
      <c r="L1939" s="87"/>
      <c r="M1939" s="71"/>
      <c r="N1939" s="71"/>
      <c r="O1939" s="71"/>
      <c r="P1939" s="311"/>
      <c r="Q1939" s="312"/>
      <c r="R1939" s="312"/>
      <c r="S1939" s="569"/>
      <c r="T1939" s="569"/>
      <c r="U1939" s="569"/>
      <c r="V1939" s="341"/>
      <c r="W1939" s="311"/>
      <c r="X1939" s="71"/>
      <c r="Y1939" s="71"/>
      <c r="Z1939" s="71"/>
      <c r="AA1939" s="456"/>
      <c r="AB1939" s="104"/>
      <c r="AC1939" s="485"/>
      <c r="AD1939" s="486"/>
      <c r="AE1939" s="485"/>
      <c r="AF1939" s="634"/>
      <c r="AG1939" s="97"/>
      <c r="AH1939" s="223"/>
      <c r="AI1939" s="569"/>
      <c r="AJ1939" s="569"/>
      <c r="AK1939" s="569"/>
      <c r="AL1939" s="569"/>
      <c r="AM1939" s="569"/>
      <c r="AN1939" s="589"/>
      <c r="AO1939" s="84"/>
      <c r="AP1939" s="5"/>
    </row>
    <row r="1940" spans="1:42" ht="13.5" customHeight="1" x14ac:dyDescent="0.35">
      <c r="A1940" s="4"/>
      <c r="B1940" s="614"/>
      <c r="C1940" s="71"/>
      <c r="D1940" s="71"/>
      <c r="E1940" s="71"/>
      <c r="F1940" s="71"/>
      <c r="G1940" s="71"/>
      <c r="H1940" s="87"/>
      <c r="I1940" s="71"/>
      <c r="J1940" s="71"/>
      <c r="K1940" s="71"/>
      <c r="L1940" s="87"/>
      <c r="M1940" s="71"/>
      <c r="N1940" s="71"/>
      <c r="O1940" s="71"/>
      <c r="P1940" s="311"/>
      <c r="Q1940" s="312"/>
      <c r="R1940" s="312"/>
      <c r="S1940" s="569"/>
      <c r="T1940" s="569"/>
      <c r="U1940" s="569"/>
      <c r="V1940" s="341"/>
      <c r="W1940" s="311"/>
      <c r="X1940" s="71"/>
      <c r="Y1940" s="71"/>
      <c r="Z1940" s="71"/>
      <c r="AA1940" s="456"/>
      <c r="AB1940" s="104"/>
      <c r="AC1940" s="485"/>
      <c r="AD1940" s="486"/>
      <c r="AE1940" s="485"/>
      <c r="AF1940" s="634"/>
      <c r="AG1940" s="97"/>
      <c r="AH1940" s="223"/>
      <c r="AI1940" s="569"/>
      <c r="AJ1940" s="569"/>
      <c r="AK1940" s="569"/>
      <c r="AL1940" s="569"/>
      <c r="AM1940" s="569"/>
      <c r="AN1940" s="589"/>
      <c r="AO1940" s="84"/>
      <c r="AP1940" s="5"/>
    </row>
    <row r="1941" spans="1:42" ht="13.5" customHeight="1" x14ac:dyDescent="0.35">
      <c r="A1941" s="4"/>
      <c r="B1941" s="614"/>
      <c r="C1941" s="71"/>
      <c r="D1941" s="71"/>
      <c r="E1941" s="71"/>
      <c r="F1941" s="71"/>
      <c r="G1941" s="71"/>
      <c r="H1941" s="87"/>
      <c r="I1941" s="71"/>
      <c r="J1941" s="71"/>
      <c r="K1941" s="71"/>
      <c r="L1941" s="87"/>
      <c r="M1941" s="71"/>
      <c r="N1941" s="71"/>
      <c r="O1941" s="71"/>
      <c r="P1941" s="311"/>
      <c r="Q1941" s="312"/>
      <c r="R1941" s="312"/>
      <c r="S1941" s="569"/>
      <c r="T1941" s="569"/>
      <c r="U1941" s="569"/>
      <c r="V1941" s="341"/>
      <c r="W1941" s="311"/>
      <c r="X1941" s="71"/>
      <c r="Y1941" s="71"/>
      <c r="Z1941" s="71"/>
      <c r="AA1941" s="456"/>
      <c r="AB1941" s="104"/>
      <c r="AC1941" s="485"/>
      <c r="AD1941" s="486"/>
      <c r="AE1941" s="485"/>
      <c r="AF1941" s="634"/>
      <c r="AG1941" s="97"/>
      <c r="AH1941" s="223"/>
      <c r="AI1941" s="569"/>
      <c r="AJ1941" s="569"/>
      <c r="AK1941" s="569"/>
      <c r="AL1941" s="569"/>
      <c r="AM1941" s="569"/>
      <c r="AN1941" s="589"/>
      <c r="AO1941" s="84"/>
      <c r="AP1941" s="5"/>
    </row>
    <row r="1942" spans="1:42" ht="13.5" customHeight="1" x14ac:dyDescent="0.35">
      <c r="A1942" s="4"/>
      <c r="B1942" s="614"/>
      <c r="C1942" s="71"/>
      <c r="D1942" s="71"/>
      <c r="E1942" s="71"/>
      <c r="F1942" s="71"/>
      <c r="G1942" s="71"/>
      <c r="H1942" s="87"/>
      <c r="I1942" s="71"/>
      <c r="J1942" s="71"/>
      <c r="K1942" s="71"/>
      <c r="L1942" s="87"/>
      <c r="M1942" s="71"/>
      <c r="N1942" s="71"/>
      <c r="O1942" s="71"/>
      <c r="P1942" s="311"/>
      <c r="Q1942" s="312"/>
      <c r="R1942" s="312"/>
      <c r="S1942" s="569"/>
      <c r="T1942" s="569"/>
      <c r="U1942" s="569"/>
      <c r="V1942" s="341"/>
      <c r="W1942" s="311"/>
      <c r="X1942" s="71"/>
      <c r="Y1942" s="71"/>
      <c r="Z1942" s="71"/>
      <c r="AA1942" s="456"/>
      <c r="AB1942" s="104"/>
      <c r="AC1942" s="485"/>
      <c r="AD1942" s="486"/>
      <c r="AE1942" s="485"/>
      <c r="AF1942" s="634"/>
      <c r="AG1942" s="97"/>
      <c r="AH1942" s="223"/>
      <c r="AI1942" s="569"/>
      <c r="AJ1942" s="569"/>
      <c r="AK1942" s="569"/>
      <c r="AL1942" s="569"/>
      <c r="AM1942" s="569"/>
      <c r="AN1942" s="589"/>
      <c r="AO1942" s="84"/>
      <c r="AP1942" s="5"/>
    </row>
    <row r="1943" spans="1:42" ht="13.5" customHeight="1" x14ac:dyDescent="0.35">
      <c r="A1943" s="4"/>
      <c r="B1943" s="614"/>
      <c r="C1943" s="71"/>
      <c r="D1943" s="71"/>
      <c r="E1943" s="71"/>
      <c r="F1943" s="71"/>
      <c r="G1943" s="71"/>
      <c r="H1943" s="87"/>
      <c r="I1943" s="71"/>
      <c r="J1943" s="71"/>
      <c r="K1943" s="71"/>
      <c r="L1943" s="87"/>
      <c r="M1943" s="71"/>
      <c r="N1943" s="71"/>
      <c r="O1943" s="71"/>
      <c r="P1943" s="311"/>
      <c r="Q1943" s="312"/>
      <c r="R1943" s="312"/>
      <c r="S1943" s="569"/>
      <c r="T1943" s="569"/>
      <c r="U1943" s="569"/>
      <c r="V1943" s="341"/>
      <c r="W1943" s="311"/>
      <c r="X1943" s="71"/>
      <c r="Y1943" s="71"/>
      <c r="Z1943" s="71"/>
      <c r="AA1943" s="456"/>
      <c r="AB1943" s="104"/>
      <c r="AC1943" s="485"/>
      <c r="AD1943" s="486"/>
      <c r="AE1943" s="485"/>
      <c r="AF1943" s="634"/>
      <c r="AG1943" s="97"/>
      <c r="AH1943" s="223"/>
      <c r="AI1943" s="569"/>
      <c r="AJ1943" s="569"/>
      <c r="AK1943" s="569"/>
      <c r="AL1943" s="569"/>
      <c r="AM1943" s="569"/>
      <c r="AN1943" s="589"/>
      <c r="AO1943" s="84"/>
      <c r="AP1943" s="5"/>
    </row>
    <row r="1944" spans="1:42" ht="13.5" customHeight="1" x14ac:dyDescent="0.35">
      <c r="A1944" s="4"/>
      <c r="B1944" s="614"/>
      <c r="C1944" s="71"/>
      <c r="D1944" s="71"/>
      <c r="E1944" s="71"/>
      <c r="F1944" s="71"/>
      <c r="G1944" s="71"/>
      <c r="H1944" s="87"/>
      <c r="I1944" s="71"/>
      <c r="J1944" s="71"/>
      <c r="K1944" s="71"/>
      <c r="L1944" s="87"/>
      <c r="M1944" s="71"/>
      <c r="N1944" s="71"/>
      <c r="O1944" s="71"/>
      <c r="P1944" s="311"/>
      <c r="Q1944" s="312"/>
      <c r="R1944" s="312"/>
      <c r="S1944" s="569"/>
      <c r="T1944" s="569"/>
      <c r="U1944" s="569"/>
      <c r="V1944" s="341"/>
      <c r="W1944" s="311"/>
      <c r="X1944" s="71"/>
      <c r="Y1944" s="71"/>
      <c r="Z1944" s="71"/>
      <c r="AA1944" s="456"/>
      <c r="AB1944" s="104"/>
      <c r="AC1944" s="485"/>
      <c r="AD1944" s="486"/>
      <c r="AE1944" s="485"/>
      <c r="AF1944" s="634"/>
      <c r="AG1944" s="97"/>
      <c r="AH1944" s="223"/>
      <c r="AI1944" s="569"/>
      <c r="AJ1944" s="569"/>
      <c r="AK1944" s="569"/>
      <c r="AL1944" s="569"/>
      <c r="AM1944" s="569"/>
      <c r="AN1944" s="589"/>
      <c r="AO1944" s="84"/>
      <c r="AP1944" s="5"/>
    </row>
    <row r="1945" spans="1:42" ht="13.5" customHeight="1" x14ac:dyDescent="0.35">
      <c r="A1945" s="4"/>
      <c r="B1945" s="614"/>
      <c r="C1945" s="71"/>
      <c r="D1945" s="71"/>
      <c r="E1945" s="71"/>
      <c r="F1945" s="71"/>
      <c r="G1945" s="71"/>
      <c r="H1945" s="87"/>
      <c r="I1945" s="71"/>
      <c r="J1945" s="71"/>
      <c r="K1945" s="71"/>
      <c r="L1945" s="87"/>
      <c r="M1945" s="71"/>
      <c r="N1945" s="71"/>
      <c r="O1945" s="71"/>
      <c r="P1945" s="311"/>
      <c r="Q1945" s="312"/>
      <c r="R1945" s="312"/>
      <c r="S1945" s="569"/>
      <c r="T1945" s="569"/>
      <c r="U1945" s="569"/>
      <c r="V1945" s="341"/>
      <c r="W1945" s="311"/>
      <c r="X1945" s="71"/>
      <c r="Y1945" s="71"/>
      <c r="Z1945" s="71"/>
      <c r="AA1945" s="456"/>
      <c r="AB1945" s="104"/>
      <c r="AC1945" s="485"/>
      <c r="AD1945" s="486"/>
      <c r="AE1945" s="485"/>
      <c r="AF1945" s="634"/>
      <c r="AG1945" s="97"/>
      <c r="AH1945" s="223"/>
      <c r="AI1945" s="569"/>
      <c r="AJ1945" s="569"/>
      <c r="AK1945" s="569"/>
      <c r="AL1945" s="569"/>
      <c r="AM1945" s="569"/>
      <c r="AN1945" s="589"/>
      <c r="AO1945" s="84"/>
      <c r="AP1945" s="5"/>
    </row>
    <row r="1946" spans="1:42" ht="13.5" customHeight="1" x14ac:dyDescent="0.35">
      <c r="A1946" s="4"/>
      <c r="B1946" s="614"/>
      <c r="C1946" s="71"/>
      <c r="D1946" s="71"/>
      <c r="E1946" s="71"/>
      <c r="F1946" s="71"/>
      <c r="G1946" s="71"/>
      <c r="H1946" s="87"/>
      <c r="I1946" s="71"/>
      <c r="J1946" s="71"/>
      <c r="K1946" s="71"/>
      <c r="L1946" s="87"/>
      <c r="M1946" s="71"/>
      <c r="N1946" s="71"/>
      <c r="O1946" s="71"/>
      <c r="P1946" s="311"/>
      <c r="Q1946" s="312"/>
      <c r="R1946" s="312"/>
      <c r="S1946" s="569"/>
      <c r="T1946" s="569"/>
      <c r="U1946" s="569"/>
      <c r="V1946" s="341"/>
      <c r="W1946" s="311"/>
      <c r="X1946" s="71"/>
      <c r="Y1946" s="71"/>
      <c r="Z1946" s="71"/>
      <c r="AA1946" s="456"/>
      <c r="AB1946" s="104"/>
      <c r="AC1946" s="485"/>
      <c r="AD1946" s="486"/>
      <c r="AE1946" s="485"/>
      <c r="AF1946" s="634"/>
      <c r="AG1946" s="97"/>
      <c r="AH1946" s="223"/>
      <c r="AI1946" s="569"/>
      <c r="AJ1946" s="569"/>
      <c r="AK1946" s="569"/>
      <c r="AL1946" s="569"/>
      <c r="AM1946" s="569"/>
      <c r="AN1946" s="589"/>
      <c r="AO1946" s="84"/>
      <c r="AP1946" s="5"/>
    </row>
    <row r="1947" spans="1:42" ht="13.5" customHeight="1" x14ac:dyDescent="0.35">
      <c r="A1947" s="4"/>
      <c r="B1947" s="614"/>
      <c r="C1947" s="71"/>
      <c r="D1947" s="71"/>
      <c r="E1947" s="71"/>
      <c r="F1947" s="71"/>
      <c r="G1947" s="71"/>
      <c r="H1947" s="87"/>
      <c r="I1947" s="71"/>
      <c r="J1947" s="71"/>
      <c r="K1947" s="71"/>
      <c r="L1947" s="87"/>
      <c r="M1947" s="71"/>
      <c r="N1947" s="71"/>
      <c r="O1947" s="71"/>
      <c r="P1947" s="311"/>
      <c r="Q1947" s="312"/>
      <c r="R1947" s="312"/>
      <c r="S1947" s="569"/>
      <c r="T1947" s="569"/>
      <c r="U1947" s="569"/>
      <c r="V1947" s="341"/>
      <c r="W1947" s="311"/>
      <c r="X1947" s="71"/>
      <c r="Y1947" s="71"/>
      <c r="Z1947" s="71"/>
      <c r="AA1947" s="456"/>
      <c r="AB1947" s="104"/>
      <c r="AC1947" s="485"/>
      <c r="AD1947" s="486"/>
      <c r="AE1947" s="485"/>
      <c r="AF1947" s="634"/>
      <c r="AG1947" s="97"/>
      <c r="AH1947" s="223"/>
      <c r="AI1947" s="569"/>
      <c r="AJ1947" s="569"/>
      <c r="AK1947" s="569"/>
      <c r="AL1947" s="569"/>
      <c r="AM1947" s="569"/>
      <c r="AN1947" s="589"/>
      <c r="AO1947" s="84"/>
      <c r="AP1947" s="5"/>
    </row>
    <row r="1948" spans="1:42" ht="13.5" customHeight="1" x14ac:dyDescent="0.35">
      <c r="A1948" s="4"/>
      <c r="B1948" s="614"/>
      <c r="C1948" s="71"/>
      <c r="D1948" s="71"/>
      <c r="E1948" s="71"/>
      <c r="F1948" s="71"/>
      <c r="G1948" s="71"/>
      <c r="H1948" s="87"/>
      <c r="I1948" s="71"/>
      <c r="J1948" s="71"/>
      <c r="K1948" s="71"/>
      <c r="L1948" s="87"/>
      <c r="M1948" s="71"/>
      <c r="N1948" s="71"/>
      <c r="O1948" s="71"/>
      <c r="P1948" s="311"/>
      <c r="Q1948" s="312"/>
      <c r="R1948" s="312"/>
      <c r="S1948" s="569"/>
      <c r="T1948" s="569"/>
      <c r="U1948" s="569"/>
      <c r="V1948" s="341"/>
      <c r="W1948" s="311"/>
      <c r="X1948" s="71"/>
      <c r="Y1948" s="71"/>
      <c r="Z1948" s="71"/>
      <c r="AA1948" s="456"/>
      <c r="AB1948" s="104"/>
      <c r="AC1948" s="485"/>
      <c r="AD1948" s="486"/>
      <c r="AE1948" s="485"/>
      <c r="AF1948" s="634"/>
      <c r="AG1948" s="97"/>
      <c r="AH1948" s="223"/>
      <c r="AI1948" s="569"/>
      <c r="AJ1948" s="569"/>
      <c r="AK1948" s="569"/>
      <c r="AL1948" s="569"/>
      <c r="AM1948" s="569"/>
      <c r="AN1948" s="589"/>
      <c r="AO1948" s="84"/>
      <c r="AP1948" s="5"/>
    </row>
    <row r="1949" spans="1:42" ht="13.5" customHeight="1" x14ac:dyDescent="0.35">
      <c r="A1949" s="4"/>
      <c r="B1949" s="614"/>
      <c r="C1949" s="71"/>
      <c r="D1949" s="71"/>
      <c r="E1949" s="71"/>
      <c r="F1949" s="71"/>
      <c r="G1949" s="71"/>
      <c r="H1949" s="87"/>
      <c r="I1949" s="71"/>
      <c r="J1949" s="71"/>
      <c r="K1949" s="71"/>
      <c r="L1949" s="87"/>
      <c r="M1949" s="71"/>
      <c r="N1949" s="71"/>
      <c r="O1949" s="71"/>
      <c r="P1949" s="311"/>
      <c r="Q1949" s="312"/>
      <c r="R1949" s="312"/>
      <c r="S1949" s="569"/>
      <c r="T1949" s="569"/>
      <c r="U1949" s="569"/>
      <c r="V1949" s="341"/>
      <c r="W1949" s="311"/>
      <c r="X1949" s="71"/>
      <c r="Y1949" s="71"/>
      <c r="Z1949" s="71"/>
      <c r="AA1949" s="456"/>
      <c r="AB1949" s="104"/>
      <c r="AC1949" s="485"/>
      <c r="AD1949" s="486"/>
      <c r="AE1949" s="485"/>
      <c r="AF1949" s="634"/>
      <c r="AG1949" s="97"/>
      <c r="AH1949" s="223"/>
      <c r="AI1949" s="569"/>
      <c r="AJ1949" s="569"/>
      <c r="AK1949" s="569"/>
      <c r="AL1949" s="569"/>
      <c r="AM1949" s="569"/>
      <c r="AN1949" s="589"/>
      <c r="AO1949" s="84"/>
      <c r="AP1949" s="5"/>
    </row>
    <row r="1950" spans="1:42" ht="13.5" customHeight="1" x14ac:dyDescent="0.35">
      <c r="A1950" s="4"/>
      <c r="B1950" s="614"/>
      <c r="C1950" s="71"/>
      <c r="D1950" s="71"/>
      <c r="E1950" s="71"/>
      <c r="F1950" s="71"/>
      <c r="G1950" s="71"/>
      <c r="H1950" s="87"/>
      <c r="I1950" s="71"/>
      <c r="J1950" s="71"/>
      <c r="K1950" s="71"/>
      <c r="L1950" s="87"/>
      <c r="M1950" s="71"/>
      <c r="N1950" s="71"/>
      <c r="O1950" s="71"/>
      <c r="P1950" s="311"/>
      <c r="Q1950" s="312"/>
      <c r="R1950" s="312"/>
      <c r="S1950" s="569"/>
      <c r="T1950" s="569"/>
      <c r="U1950" s="569"/>
      <c r="V1950" s="341"/>
      <c r="W1950" s="311"/>
      <c r="X1950" s="71"/>
      <c r="Y1950" s="71"/>
      <c r="Z1950" s="71"/>
      <c r="AA1950" s="456"/>
      <c r="AB1950" s="104"/>
      <c r="AC1950" s="485"/>
      <c r="AD1950" s="486"/>
      <c r="AE1950" s="485"/>
      <c r="AF1950" s="634"/>
      <c r="AG1950" s="97"/>
      <c r="AH1950" s="223"/>
      <c r="AI1950" s="569"/>
      <c r="AJ1950" s="569"/>
      <c r="AK1950" s="569"/>
      <c r="AL1950" s="569"/>
      <c r="AM1950" s="569"/>
      <c r="AN1950" s="589"/>
      <c r="AO1950" s="84"/>
      <c r="AP1950" s="5"/>
    </row>
    <row r="1951" spans="1:42" ht="13.5" customHeight="1" x14ac:dyDescent="0.35">
      <c r="A1951" s="4"/>
      <c r="B1951" s="614"/>
      <c r="C1951" s="71"/>
      <c r="D1951" s="71"/>
      <c r="E1951" s="71"/>
      <c r="F1951" s="71"/>
      <c r="G1951" s="71"/>
      <c r="H1951" s="87"/>
      <c r="I1951" s="71"/>
      <c r="J1951" s="71"/>
      <c r="K1951" s="71"/>
      <c r="L1951" s="87"/>
      <c r="M1951" s="71"/>
      <c r="N1951" s="71"/>
      <c r="O1951" s="71"/>
      <c r="P1951" s="311"/>
      <c r="Q1951" s="312"/>
      <c r="R1951" s="312"/>
      <c r="S1951" s="569"/>
      <c r="T1951" s="569"/>
      <c r="U1951" s="569"/>
      <c r="V1951" s="341"/>
      <c r="W1951" s="311"/>
      <c r="X1951" s="71"/>
      <c r="Y1951" s="71"/>
      <c r="Z1951" s="71"/>
      <c r="AA1951" s="456"/>
      <c r="AB1951" s="104"/>
      <c r="AC1951" s="485"/>
      <c r="AD1951" s="486"/>
      <c r="AE1951" s="485"/>
      <c r="AF1951" s="634"/>
      <c r="AG1951" s="97"/>
      <c r="AH1951" s="223"/>
      <c r="AI1951" s="569"/>
      <c r="AJ1951" s="569"/>
      <c r="AK1951" s="569"/>
      <c r="AL1951" s="569"/>
      <c r="AM1951" s="569"/>
      <c r="AN1951" s="589"/>
      <c r="AO1951" s="84"/>
      <c r="AP1951" s="5"/>
    </row>
    <row r="1952" spans="1:42" ht="13.5" customHeight="1" x14ac:dyDescent="0.35">
      <c r="A1952" s="4"/>
      <c r="B1952" s="614"/>
      <c r="C1952" s="71"/>
      <c r="D1952" s="71"/>
      <c r="E1952" s="71"/>
      <c r="F1952" s="71"/>
      <c r="G1952" s="71"/>
      <c r="H1952" s="87"/>
      <c r="I1952" s="71"/>
      <c r="J1952" s="71"/>
      <c r="K1952" s="71"/>
      <c r="L1952" s="87"/>
      <c r="M1952" s="71"/>
      <c r="N1952" s="71"/>
      <c r="O1952" s="71"/>
      <c r="P1952" s="311"/>
      <c r="Q1952" s="312"/>
      <c r="R1952" s="312"/>
      <c r="S1952" s="569"/>
      <c r="T1952" s="569"/>
      <c r="U1952" s="569"/>
      <c r="V1952" s="341"/>
      <c r="W1952" s="311"/>
      <c r="X1952" s="71"/>
      <c r="Y1952" s="71"/>
      <c r="Z1952" s="71"/>
      <c r="AA1952" s="456"/>
      <c r="AB1952" s="104"/>
      <c r="AC1952" s="485"/>
      <c r="AD1952" s="486"/>
      <c r="AE1952" s="485"/>
      <c r="AF1952" s="634"/>
      <c r="AG1952" s="97"/>
      <c r="AH1952" s="223"/>
      <c r="AI1952" s="569"/>
      <c r="AJ1952" s="569"/>
      <c r="AK1952" s="569"/>
      <c r="AL1952" s="569"/>
      <c r="AM1952" s="569"/>
      <c r="AN1952" s="589"/>
      <c r="AO1952" s="84"/>
      <c r="AP1952" s="5"/>
    </row>
    <row r="1953" spans="1:42" ht="13.5" customHeight="1" x14ac:dyDescent="0.35">
      <c r="A1953" s="4"/>
      <c r="B1953" s="614"/>
      <c r="C1953" s="71"/>
      <c r="D1953" s="71"/>
      <c r="E1953" s="71"/>
      <c r="F1953" s="71"/>
      <c r="G1953" s="71"/>
      <c r="H1953" s="87"/>
      <c r="I1953" s="71"/>
      <c r="J1953" s="71"/>
      <c r="K1953" s="71"/>
      <c r="L1953" s="87"/>
      <c r="M1953" s="71"/>
      <c r="N1953" s="71"/>
      <c r="O1953" s="71"/>
      <c r="P1953" s="311"/>
      <c r="Q1953" s="312"/>
      <c r="R1953" s="312"/>
      <c r="S1953" s="569"/>
      <c r="T1953" s="569"/>
      <c r="U1953" s="569"/>
      <c r="V1953" s="341"/>
      <c r="W1953" s="311"/>
      <c r="X1953" s="71"/>
      <c r="Y1953" s="71"/>
      <c r="Z1953" s="71"/>
      <c r="AA1953" s="456"/>
      <c r="AB1953" s="104"/>
      <c r="AC1953" s="485"/>
      <c r="AD1953" s="486"/>
      <c r="AE1953" s="485"/>
      <c r="AF1953" s="634"/>
      <c r="AG1953" s="97"/>
      <c r="AH1953" s="223"/>
      <c r="AI1953" s="569"/>
      <c r="AJ1953" s="569"/>
      <c r="AK1953" s="569"/>
      <c r="AL1953" s="569"/>
      <c r="AM1953" s="569"/>
      <c r="AN1953" s="589"/>
      <c r="AO1953" s="84"/>
      <c r="AP1953" s="5"/>
    </row>
    <row r="1954" spans="1:42" ht="13.5" customHeight="1" x14ac:dyDescent="0.35">
      <c r="A1954" s="4"/>
      <c r="B1954" s="614"/>
      <c r="C1954" s="71"/>
      <c r="D1954" s="71"/>
      <c r="E1954" s="71"/>
      <c r="F1954" s="71"/>
      <c r="G1954" s="71"/>
      <c r="H1954" s="87"/>
      <c r="I1954" s="71"/>
      <c r="J1954" s="71"/>
      <c r="K1954" s="71"/>
      <c r="L1954" s="87"/>
      <c r="M1954" s="71"/>
      <c r="N1954" s="71"/>
      <c r="O1954" s="71"/>
      <c r="P1954" s="311"/>
      <c r="Q1954" s="312"/>
      <c r="R1954" s="312"/>
      <c r="S1954" s="569"/>
      <c r="T1954" s="569"/>
      <c r="U1954" s="569"/>
      <c r="V1954" s="341"/>
      <c r="W1954" s="311"/>
      <c r="X1954" s="71"/>
      <c r="Y1954" s="71"/>
      <c r="Z1954" s="71"/>
      <c r="AA1954" s="456"/>
      <c r="AB1954" s="104"/>
      <c r="AC1954" s="485"/>
      <c r="AD1954" s="486"/>
      <c r="AE1954" s="485"/>
      <c r="AF1954" s="634"/>
      <c r="AG1954" s="97"/>
      <c r="AH1954" s="223"/>
      <c r="AI1954" s="569"/>
      <c r="AJ1954" s="569"/>
      <c r="AK1954" s="569"/>
      <c r="AL1954" s="569"/>
      <c r="AM1954" s="569"/>
      <c r="AN1954" s="589"/>
      <c r="AO1954" s="84"/>
      <c r="AP1954" s="5"/>
    </row>
    <row r="1955" spans="1:42" ht="13.5" customHeight="1" x14ac:dyDescent="0.35">
      <c r="A1955" s="4"/>
      <c r="B1955" s="614"/>
      <c r="C1955" s="71"/>
      <c r="D1955" s="71"/>
      <c r="E1955" s="71"/>
      <c r="F1955" s="71"/>
      <c r="G1955" s="71"/>
      <c r="H1955" s="87"/>
      <c r="I1955" s="71"/>
      <c r="J1955" s="71"/>
      <c r="K1955" s="71"/>
      <c r="L1955" s="87"/>
      <c r="M1955" s="71"/>
      <c r="N1955" s="71"/>
      <c r="O1955" s="71"/>
      <c r="P1955" s="311"/>
      <c r="Q1955" s="312"/>
      <c r="R1955" s="312"/>
      <c r="S1955" s="569"/>
      <c r="T1955" s="569"/>
      <c r="U1955" s="569"/>
      <c r="V1955" s="341"/>
      <c r="W1955" s="311"/>
      <c r="X1955" s="71"/>
      <c r="Y1955" s="71"/>
      <c r="Z1955" s="71"/>
      <c r="AA1955" s="456"/>
      <c r="AB1955" s="104"/>
      <c r="AC1955" s="485"/>
      <c r="AD1955" s="486"/>
      <c r="AE1955" s="485"/>
      <c r="AF1955" s="634"/>
      <c r="AG1955" s="97"/>
      <c r="AH1955" s="223"/>
      <c r="AI1955" s="569"/>
      <c r="AJ1955" s="569"/>
      <c r="AK1955" s="569"/>
      <c r="AL1955" s="569"/>
      <c r="AM1955" s="569"/>
      <c r="AN1955" s="589"/>
      <c r="AO1955" s="84"/>
      <c r="AP1955" s="5"/>
    </row>
    <row r="1956" spans="1:42" ht="13.5" customHeight="1" x14ac:dyDescent="0.35">
      <c r="A1956" s="4"/>
      <c r="B1956" s="614"/>
      <c r="C1956" s="71"/>
      <c r="D1956" s="71"/>
      <c r="E1956" s="71"/>
      <c r="F1956" s="71"/>
      <c r="G1956" s="71"/>
      <c r="H1956" s="87"/>
      <c r="I1956" s="71"/>
      <c r="J1956" s="71"/>
      <c r="K1956" s="71"/>
      <c r="L1956" s="87"/>
      <c r="M1956" s="71"/>
      <c r="N1956" s="71"/>
      <c r="O1956" s="71"/>
      <c r="P1956" s="311"/>
      <c r="Q1956" s="312"/>
      <c r="R1956" s="312"/>
      <c r="S1956" s="569"/>
      <c r="T1956" s="569"/>
      <c r="U1956" s="569"/>
      <c r="V1956" s="341"/>
      <c r="W1956" s="311"/>
      <c r="X1956" s="71"/>
      <c r="Y1956" s="71"/>
      <c r="Z1956" s="71"/>
      <c r="AA1956" s="456"/>
      <c r="AB1956" s="104"/>
      <c r="AC1956" s="485"/>
      <c r="AD1956" s="486"/>
      <c r="AE1956" s="485"/>
      <c r="AF1956" s="634"/>
      <c r="AG1956" s="97"/>
      <c r="AH1956" s="223"/>
      <c r="AI1956" s="569"/>
      <c r="AJ1956" s="569"/>
      <c r="AK1956" s="569"/>
      <c r="AL1956" s="569"/>
      <c r="AM1956" s="569"/>
      <c r="AN1956" s="589"/>
      <c r="AO1956" s="84"/>
      <c r="AP1956" s="5"/>
    </row>
    <row r="1957" spans="1:42" ht="13.5" customHeight="1" x14ac:dyDescent="0.35">
      <c r="A1957" s="4"/>
      <c r="B1957" s="614"/>
      <c r="C1957" s="71"/>
      <c r="D1957" s="71"/>
      <c r="E1957" s="71"/>
      <c r="F1957" s="71"/>
      <c r="G1957" s="71"/>
      <c r="H1957" s="87"/>
      <c r="I1957" s="71"/>
      <c r="J1957" s="71"/>
      <c r="K1957" s="71"/>
      <c r="L1957" s="87"/>
      <c r="M1957" s="71"/>
      <c r="N1957" s="71"/>
      <c r="O1957" s="71"/>
      <c r="P1957" s="311"/>
      <c r="Q1957" s="312"/>
      <c r="R1957" s="312"/>
      <c r="S1957" s="569"/>
      <c r="T1957" s="569"/>
      <c r="U1957" s="569"/>
      <c r="V1957" s="341"/>
      <c r="W1957" s="311"/>
      <c r="X1957" s="71"/>
      <c r="Y1957" s="71"/>
      <c r="Z1957" s="71"/>
      <c r="AA1957" s="456"/>
      <c r="AB1957" s="104"/>
      <c r="AC1957" s="485"/>
      <c r="AD1957" s="486"/>
      <c r="AE1957" s="485"/>
      <c r="AF1957" s="634"/>
      <c r="AG1957" s="97"/>
      <c r="AH1957" s="223"/>
      <c r="AI1957" s="569"/>
      <c r="AJ1957" s="569"/>
      <c r="AK1957" s="569"/>
      <c r="AL1957" s="569"/>
      <c r="AM1957" s="569"/>
      <c r="AN1957" s="589"/>
      <c r="AO1957" s="84"/>
      <c r="AP1957" s="5"/>
    </row>
    <row r="1958" spans="1:42" ht="13.5" customHeight="1" x14ac:dyDescent="0.35">
      <c r="A1958" s="4"/>
      <c r="B1958" s="614"/>
      <c r="C1958" s="71"/>
      <c r="D1958" s="71"/>
      <c r="E1958" s="71"/>
      <c r="F1958" s="71"/>
      <c r="G1958" s="71"/>
      <c r="H1958" s="87"/>
      <c r="I1958" s="71"/>
      <c r="J1958" s="71"/>
      <c r="K1958" s="71"/>
      <c r="L1958" s="87"/>
      <c r="M1958" s="71"/>
      <c r="N1958" s="71"/>
      <c r="O1958" s="71"/>
      <c r="P1958" s="311"/>
      <c r="Q1958" s="312"/>
      <c r="R1958" s="312"/>
      <c r="S1958" s="569"/>
      <c r="T1958" s="569"/>
      <c r="U1958" s="569"/>
      <c r="V1958" s="341"/>
      <c r="W1958" s="311"/>
      <c r="X1958" s="71"/>
      <c r="Y1958" s="71"/>
      <c r="Z1958" s="71"/>
      <c r="AA1958" s="456"/>
      <c r="AB1958" s="104"/>
      <c r="AC1958" s="485"/>
      <c r="AD1958" s="486"/>
      <c r="AE1958" s="485"/>
      <c r="AF1958" s="634"/>
      <c r="AG1958" s="97"/>
      <c r="AH1958" s="223"/>
      <c r="AI1958" s="569"/>
      <c r="AJ1958" s="569"/>
      <c r="AK1958" s="569"/>
      <c r="AL1958" s="569"/>
      <c r="AM1958" s="569"/>
      <c r="AN1958" s="589"/>
      <c r="AO1958" s="84"/>
      <c r="AP1958" s="5"/>
    </row>
    <row r="1959" spans="1:42" ht="13.5" customHeight="1" x14ac:dyDescent="0.35">
      <c r="A1959" s="4"/>
      <c r="B1959" s="614"/>
      <c r="C1959" s="71"/>
      <c r="D1959" s="71"/>
      <c r="E1959" s="71"/>
      <c r="F1959" s="71"/>
      <c r="G1959" s="71"/>
      <c r="H1959" s="87"/>
      <c r="I1959" s="71"/>
      <c r="J1959" s="71"/>
      <c r="K1959" s="71"/>
      <c r="L1959" s="87"/>
      <c r="M1959" s="71"/>
      <c r="N1959" s="71"/>
      <c r="O1959" s="71"/>
      <c r="P1959" s="311"/>
      <c r="Q1959" s="312"/>
      <c r="R1959" s="312"/>
      <c r="S1959" s="569"/>
      <c r="T1959" s="569"/>
      <c r="U1959" s="569"/>
      <c r="V1959" s="341"/>
      <c r="W1959" s="311"/>
      <c r="X1959" s="71"/>
      <c r="Y1959" s="71"/>
      <c r="Z1959" s="71"/>
      <c r="AA1959" s="456"/>
      <c r="AB1959" s="104"/>
      <c r="AC1959" s="485"/>
      <c r="AD1959" s="486"/>
      <c r="AE1959" s="485"/>
      <c r="AF1959" s="634"/>
      <c r="AG1959" s="97"/>
      <c r="AH1959" s="223"/>
      <c r="AI1959" s="569"/>
      <c r="AJ1959" s="569"/>
      <c r="AK1959" s="569"/>
      <c r="AL1959" s="569"/>
      <c r="AM1959" s="569"/>
      <c r="AN1959" s="589"/>
      <c r="AO1959" s="84"/>
      <c r="AP1959" s="5"/>
    </row>
    <row r="1960" spans="1:42" ht="13.5" customHeight="1" x14ac:dyDescent="0.35">
      <c r="A1960" s="4"/>
      <c r="B1960" s="614"/>
      <c r="C1960" s="71"/>
      <c r="D1960" s="71"/>
      <c r="E1960" s="71"/>
      <c r="F1960" s="71"/>
      <c r="G1960" s="71"/>
      <c r="H1960" s="87"/>
      <c r="I1960" s="71"/>
      <c r="J1960" s="71"/>
      <c r="K1960" s="71"/>
      <c r="L1960" s="87"/>
      <c r="M1960" s="71"/>
      <c r="N1960" s="71"/>
      <c r="O1960" s="71"/>
      <c r="P1960" s="311"/>
      <c r="Q1960" s="312"/>
      <c r="R1960" s="312"/>
      <c r="S1960" s="569"/>
      <c r="T1960" s="569"/>
      <c r="U1960" s="569"/>
      <c r="V1960" s="341"/>
      <c r="W1960" s="311"/>
      <c r="X1960" s="71"/>
      <c r="Y1960" s="71"/>
      <c r="Z1960" s="71"/>
      <c r="AA1960" s="456"/>
      <c r="AB1960" s="104"/>
      <c r="AC1960" s="485"/>
      <c r="AD1960" s="486"/>
      <c r="AE1960" s="485"/>
      <c r="AF1960" s="634"/>
      <c r="AG1960" s="97"/>
      <c r="AH1960" s="223"/>
      <c r="AI1960" s="569"/>
      <c r="AJ1960" s="569"/>
      <c r="AK1960" s="569"/>
      <c r="AL1960" s="569"/>
      <c r="AM1960" s="569"/>
      <c r="AN1960" s="589"/>
      <c r="AO1960" s="84"/>
      <c r="AP1960" s="5"/>
    </row>
    <row r="1961" spans="1:42" ht="13.5" customHeight="1" x14ac:dyDescent="0.35">
      <c r="A1961" s="4"/>
      <c r="B1961" s="614"/>
      <c r="C1961" s="71"/>
      <c r="D1961" s="71"/>
      <c r="E1961" s="71"/>
      <c r="F1961" s="71"/>
      <c r="G1961" s="71"/>
      <c r="H1961" s="87"/>
      <c r="I1961" s="71"/>
      <c r="J1961" s="71"/>
      <c r="K1961" s="71"/>
      <c r="L1961" s="87"/>
      <c r="M1961" s="71"/>
      <c r="N1961" s="71"/>
      <c r="O1961" s="71"/>
      <c r="P1961" s="311"/>
      <c r="Q1961" s="312"/>
      <c r="R1961" s="312"/>
      <c r="S1961" s="569"/>
      <c r="T1961" s="569"/>
      <c r="U1961" s="569"/>
      <c r="V1961" s="341"/>
      <c r="W1961" s="311"/>
      <c r="X1961" s="71"/>
      <c r="Y1961" s="71"/>
      <c r="Z1961" s="71"/>
      <c r="AA1961" s="456"/>
      <c r="AB1961" s="104"/>
      <c r="AC1961" s="485"/>
      <c r="AD1961" s="486"/>
      <c r="AE1961" s="485"/>
      <c r="AF1961" s="634"/>
      <c r="AG1961" s="97"/>
      <c r="AH1961" s="223"/>
      <c r="AI1961" s="569"/>
      <c r="AJ1961" s="569"/>
      <c r="AK1961" s="569"/>
      <c r="AL1961" s="569"/>
      <c r="AM1961" s="569"/>
      <c r="AN1961" s="589"/>
      <c r="AO1961" s="84"/>
      <c r="AP1961" s="5"/>
    </row>
    <row r="1962" spans="1:42" ht="13.5" customHeight="1" x14ac:dyDescent="0.35">
      <c r="A1962" s="4"/>
      <c r="B1962" s="614"/>
      <c r="C1962" s="71"/>
      <c r="D1962" s="71"/>
      <c r="E1962" s="71"/>
      <c r="F1962" s="71"/>
      <c r="G1962" s="71"/>
      <c r="H1962" s="87"/>
      <c r="I1962" s="71"/>
      <c r="J1962" s="71"/>
      <c r="K1962" s="71"/>
      <c r="L1962" s="87"/>
      <c r="M1962" s="71"/>
      <c r="N1962" s="71"/>
      <c r="O1962" s="71"/>
      <c r="P1962" s="311"/>
      <c r="Q1962" s="312"/>
      <c r="R1962" s="312"/>
      <c r="S1962" s="569"/>
      <c r="T1962" s="569"/>
      <c r="U1962" s="569"/>
      <c r="V1962" s="341"/>
      <c r="W1962" s="311"/>
      <c r="X1962" s="71"/>
      <c r="Y1962" s="71"/>
      <c r="Z1962" s="71"/>
      <c r="AA1962" s="456"/>
      <c r="AB1962" s="104"/>
      <c r="AC1962" s="485"/>
      <c r="AD1962" s="486"/>
      <c r="AE1962" s="485"/>
      <c r="AF1962" s="634"/>
      <c r="AG1962" s="97"/>
      <c r="AH1962" s="223"/>
      <c r="AI1962" s="569"/>
      <c r="AJ1962" s="569"/>
      <c r="AK1962" s="569"/>
      <c r="AL1962" s="569"/>
      <c r="AM1962" s="569"/>
      <c r="AN1962" s="589"/>
      <c r="AO1962" s="84"/>
      <c r="AP1962" s="5"/>
    </row>
    <row r="1963" spans="1:42" ht="13.5" customHeight="1" x14ac:dyDescent="0.35">
      <c r="A1963" s="4"/>
      <c r="B1963" s="614"/>
      <c r="C1963" s="71"/>
      <c r="D1963" s="71"/>
      <c r="E1963" s="71"/>
      <c r="F1963" s="71"/>
      <c r="G1963" s="71"/>
      <c r="H1963" s="87"/>
      <c r="I1963" s="71"/>
      <c r="J1963" s="71"/>
      <c r="K1963" s="71"/>
      <c r="L1963" s="87"/>
      <c r="M1963" s="71"/>
      <c r="N1963" s="71"/>
      <c r="O1963" s="71"/>
      <c r="P1963" s="311"/>
      <c r="Q1963" s="312"/>
      <c r="R1963" s="312"/>
      <c r="S1963" s="569"/>
      <c r="T1963" s="569"/>
      <c r="U1963" s="569"/>
      <c r="V1963" s="341"/>
      <c r="W1963" s="311"/>
      <c r="X1963" s="71"/>
      <c r="Y1963" s="71"/>
      <c r="Z1963" s="71"/>
      <c r="AA1963" s="456"/>
      <c r="AB1963" s="104"/>
      <c r="AC1963" s="485"/>
      <c r="AD1963" s="486"/>
      <c r="AE1963" s="485"/>
      <c r="AF1963" s="634"/>
      <c r="AG1963" s="97"/>
      <c r="AH1963" s="223"/>
      <c r="AI1963" s="569"/>
      <c r="AJ1963" s="569"/>
      <c r="AK1963" s="569"/>
      <c r="AL1963" s="569"/>
      <c r="AM1963" s="569"/>
      <c r="AN1963" s="589"/>
      <c r="AO1963" s="84"/>
      <c r="AP1963" s="5"/>
    </row>
    <row r="1964" spans="1:42" ht="13.5" customHeight="1" x14ac:dyDescent="0.35">
      <c r="A1964" s="4"/>
      <c r="B1964" s="614"/>
      <c r="C1964" s="71"/>
      <c r="D1964" s="71"/>
      <c r="E1964" s="71"/>
      <c r="F1964" s="71"/>
      <c r="G1964" s="71"/>
      <c r="H1964" s="87"/>
      <c r="I1964" s="71"/>
      <c r="J1964" s="71"/>
      <c r="K1964" s="71"/>
      <c r="L1964" s="87"/>
      <c r="M1964" s="71"/>
      <c r="N1964" s="71"/>
      <c r="O1964" s="71"/>
      <c r="P1964" s="311"/>
      <c r="Q1964" s="312"/>
      <c r="R1964" s="312"/>
      <c r="S1964" s="569"/>
      <c r="T1964" s="569"/>
      <c r="U1964" s="569"/>
      <c r="V1964" s="341"/>
      <c r="W1964" s="311"/>
      <c r="X1964" s="71"/>
      <c r="Y1964" s="71"/>
      <c r="Z1964" s="71"/>
      <c r="AA1964" s="456"/>
      <c r="AB1964" s="104"/>
      <c r="AC1964" s="485"/>
      <c r="AD1964" s="486"/>
      <c r="AE1964" s="485"/>
      <c r="AF1964" s="634"/>
      <c r="AG1964" s="97"/>
      <c r="AH1964" s="223"/>
      <c r="AI1964" s="569"/>
      <c r="AJ1964" s="569"/>
      <c r="AK1964" s="569"/>
      <c r="AL1964" s="569"/>
      <c r="AM1964" s="569"/>
      <c r="AN1964" s="589"/>
      <c r="AO1964" s="84"/>
      <c r="AP1964" s="5"/>
    </row>
    <row r="1965" spans="1:42" ht="13.5" customHeight="1" x14ac:dyDescent="0.35">
      <c r="A1965" s="4"/>
      <c r="B1965" s="614"/>
      <c r="C1965" s="71"/>
      <c r="D1965" s="71"/>
      <c r="E1965" s="71"/>
      <c r="F1965" s="71"/>
      <c r="G1965" s="71"/>
      <c r="H1965" s="87"/>
      <c r="I1965" s="71"/>
      <c r="J1965" s="71"/>
      <c r="K1965" s="71"/>
      <c r="L1965" s="87"/>
      <c r="M1965" s="71"/>
      <c r="N1965" s="71"/>
      <c r="O1965" s="71"/>
      <c r="P1965" s="311"/>
      <c r="Q1965" s="312"/>
      <c r="R1965" s="312"/>
      <c r="S1965" s="569"/>
      <c r="T1965" s="569"/>
      <c r="U1965" s="569"/>
      <c r="V1965" s="341"/>
      <c r="W1965" s="311"/>
      <c r="X1965" s="71"/>
      <c r="Y1965" s="71"/>
      <c r="Z1965" s="71"/>
      <c r="AA1965" s="456"/>
      <c r="AB1965" s="104"/>
      <c r="AC1965" s="485"/>
      <c r="AD1965" s="486"/>
      <c r="AE1965" s="485"/>
      <c r="AF1965" s="634"/>
      <c r="AG1965" s="97"/>
      <c r="AH1965" s="223"/>
      <c r="AI1965" s="569"/>
      <c r="AJ1965" s="569"/>
      <c r="AK1965" s="569"/>
      <c r="AL1965" s="569"/>
      <c r="AM1965" s="569"/>
      <c r="AN1965" s="589"/>
      <c r="AO1965" s="84"/>
      <c r="AP1965" s="5"/>
    </row>
    <row r="1966" spans="1:42" ht="13.5" customHeight="1" x14ac:dyDescent="0.35">
      <c r="A1966" s="4"/>
      <c r="B1966" s="614"/>
      <c r="C1966" s="71"/>
      <c r="D1966" s="71"/>
      <c r="E1966" s="71"/>
      <c r="F1966" s="71"/>
      <c r="G1966" s="71"/>
      <c r="H1966" s="87"/>
      <c r="I1966" s="71"/>
      <c r="J1966" s="71"/>
      <c r="K1966" s="71"/>
      <c r="L1966" s="87"/>
      <c r="M1966" s="71"/>
      <c r="N1966" s="71"/>
      <c r="O1966" s="71"/>
      <c r="P1966" s="311"/>
      <c r="Q1966" s="312"/>
      <c r="R1966" s="312"/>
      <c r="S1966" s="569"/>
      <c r="T1966" s="569"/>
      <c r="U1966" s="569"/>
      <c r="V1966" s="341"/>
      <c r="W1966" s="311"/>
      <c r="X1966" s="71"/>
      <c r="Y1966" s="71"/>
      <c r="Z1966" s="71"/>
      <c r="AA1966" s="456"/>
      <c r="AB1966" s="104"/>
      <c r="AC1966" s="485"/>
      <c r="AD1966" s="486"/>
      <c r="AE1966" s="485"/>
      <c r="AF1966" s="634"/>
      <c r="AG1966" s="97"/>
      <c r="AH1966" s="223"/>
      <c r="AI1966" s="569"/>
      <c r="AJ1966" s="569"/>
      <c r="AK1966" s="569"/>
      <c r="AL1966" s="569"/>
      <c r="AM1966" s="569"/>
      <c r="AN1966" s="589"/>
      <c r="AO1966" s="84"/>
      <c r="AP1966" s="5"/>
    </row>
    <row r="1967" spans="1:42" ht="13.5" customHeight="1" x14ac:dyDescent="0.35">
      <c r="A1967" s="4"/>
      <c r="B1967" s="614"/>
      <c r="C1967" s="71"/>
      <c r="D1967" s="71"/>
      <c r="E1967" s="71"/>
      <c r="F1967" s="71"/>
      <c r="G1967" s="71"/>
      <c r="H1967" s="87"/>
      <c r="I1967" s="71"/>
      <c r="J1967" s="71"/>
      <c r="K1967" s="71"/>
      <c r="L1967" s="87"/>
      <c r="M1967" s="71"/>
      <c r="N1967" s="71"/>
      <c r="O1967" s="71"/>
      <c r="P1967" s="311"/>
      <c r="Q1967" s="312"/>
      <c r="R1967" s="312"/>
      <c r="S1967" s="569"/>
      <c r="T1967" s="569"/>
      <c r="U1967" s="569"/>
      <c r="V1967" s="341"/>
      <c r="W1967" s="311"/>
      <c r="X1967" s="71"/>
      <c r="Y1967" s="71"/>
      <c r="Z1967" s="71"/>
      <c r="AA1967" s="456"/>
      <c r="AB1967" s="104"/>
      <c r="AC1967" s="485"/>
      <c r="AD1967" s="486"/>
      <c r="AE1967" s="485"/>
      <c r="AF1967" s="634"/>
      <c r="AG1967" s="97"/>
      <c r="AH1967" s="223"/>
      <c r="AI1967" s="569"/>
      <c r="AJ1967" s="569"/>
      <c r="AK1967" s="569"/>
      <c r="AL1967" s="569"/>
      <c r="AM1967" s="569"/>
      <c r="AN1967" s="589"/>
      <c r="AO1967" s="84"/>
      <c r="AP1967" s="5"/>
    </row>
    <row r="1968" spans="1:42" ht="13.5" customHeight="1" x14ac:dyDescent="0.35">
      <c r="A1968" s="4"/>
      <c r="B1968" s="614"/>
      <c r="C1968" s="71"/>
      <c r="D1968" s="71"/>
      <c r="E1968" s="71"/>
      <c r="F1968" s="71"/>
      <c r="G1968" s="71"/>
      <c r="H1968" s="87"/>
      <c r="I1968" s="71"/>
      <c r="J1968" s="71"/>
      <c r="K1968" s="71"/>
      <c r="L1968" s="87"/>
      <c r="M1968" s="71"/>
      <c r="N1968" s="71"/>
      <c r="O1968" s="71"/>
      <c r="P1968" s="311"/>
      <c r="Q1968" s="312"/>
      <c r="R1968" s="312"/>
      <c r="S1968" s="569"/>
      <c r="T1968" s="569"/>
      <c r="U1968" s="569"/>
      <c r="V1968" s="341"/>
      <c r="W1968" s="311"/>
      <c r="X1968" s="71"/>
      <c r="Y1968" s="71"/>
      <c r="Z1968" s="71"/>
      <c r="AA1968" s="456"/>
      <c r="AB1968" s="104"/>
      <c r="AC1968" s="485"/>
      <c r="AD1968" s="486"/>
      <c r="AE1968" s="485"/>
      <c r="AF1968" s="634"/>
      <c r="AG1968" s="97"/>
      <c r="AH1968" s="223"/>
      <c r="AI1968" s="569"/>
      <c r="AJ1968" s="569"/>
      <c r="AK1968" s="569"/>
      <c r="AL1968" s="569"/>
      <c r="AM1968" s="569"/>
      <c r="AN1968" s="589"/>
      <c r="AO1968" s="84"/>
      <c r="AP1968" s="5"/>
    </row>
    <row r="1969" spans="1:42" ht="13.5" customHeight="1" x14ac:dyDescent="0.35">
      <c r="A1969" s="4"/>
      <c r="B1969" s="614"/>
      <c r="C1969" s="71"/>
      <c r="D1969" s="71"/>
      <c r="E1969" s="71"/>
      <c r="F1969" s="71"/>
      <c r="G1969" s="71"/>
      <c r="H1969" s="87"/>
      <c r="I1969" s="71"/>
      <c r="J1969" s="71"/>
      <c r="K1969" s="71"/>
      <c r="L1969" s="87"/>
      <c r="M1969" s="71"/>
      <c r="N1969" s="71"/>
      <c r="O1969" s="71"/>
      <c r="P1969" s="311"/>
      <c r="Q1969" s="312"/>
      <c r="R1969" s="312"/>
      <c r="S1969" s="569"/>
      <c r="T1969" s="569"/>
      <c r="U1969" s="569"/>
      <c r="V1969" s="341"/>
      <c r="W1969" s="311"/>
      <c r="X1969" s="71"/>
      <c r="Y1969" s="71"/>
      <c r="Z1969" s="71"/>
      <c r="AA1969" s="456"/>
      <c r="AB1969" s="104"/>
      <c r="AC1969" s="485"/>
      <c r="AD1969" s="486"/>
      <c r="AE1969" s="485"/>
      <c r="AF1969" s="634"/>
      <c r="AG1969" s="97"/>
      <c r="AH1969" s="223"/>
      <c r="AI1969" s="569"/>
      <c r="AJ1969" s="569"/>
      <c r="AK1969" s="569"/>
      <c r="AL1969" s="569"/>
      <c r="AM1969" s="569"/>
      <c r="AN1969" s="589"/>
      <c r="AO1969" s="84"/>
      <c r="AP1969" s="5"/>
    </row>
    <row r="1970" spans="1:42" ht="13.5" customHeight="1" x14ac:dyDescent="0.35">
      <c r="A1970" s="4"/>
      <c r="B1970" s="614"/>
      <c r="C1970" s="71"/>
      <c r="D1970" s="71"/>
      <c r="E1970" s="71"/>
      <c r="F1970" s="71"/>
      <c r="G1970" s="71"/>
      <c r="H1970" s="87"/>
      <c r="I1970" s="71"/>
      <c r="J1970" s="71"/>
      <c r="K1970" s="71"/>
      <c r="L1970" s="87"/>
      <c r="M1970" s="71"/>
      <c r="N1970" s="71"/>
      <c r="O1970" s="71"/>
      <c r="P1970" s="311"/>
      <c r="Q1970" s="312"/>
      <c r="R1970" s="312"/>
      <c r="S1970" s="569"/>
      <c r="T1970" s="569"/>
      <c r="U1970" s="569"/>
      <c r="V1970" s="341"/>
      <c r="W1970" s="311"/>
      <c r="X1970" s="71"/>
      <c r="Y1970" s="71"/>
      <c r="Z1970" s="71"/>
      <c r="AA1970" s="456"/>
      <c r="AB1970" s="104"/>
      <c r="AC1970" s="485"/>
      <c r="AD1970" s="486"/>
      <c r="AE1970" s="485"/>
      <c r="AF1970" s="634"/>
      <c r="AG1970" s="97"/>
      <c r="AH1970" s="223"/>
      <c r="AI1970" s="569"/>
      <c r="AJ1970" s="569"/>
      <c r="AK1970" s="569"/>
      <c r="AL1970" s="569"/>
      <c r="AM1970" s="569"/>
      <c r="AN1970" s="589"/>
      <c r="AO1970" s="84"/>
      <c r="AP1970" s="5"/>
    </row>
    <row r="1971" spans="1:42" ht="13.5" customHeight="1" x14ac:dyDescent="0.35">
      <c r="A1971" s="4"/>
      <c r="B1971" s="614"/>
      <c r="C1971" s="71"/>
      <c r="D1971" s="71"/>
      <c r="E1971" s="71"/>
      <c r="F1971" s="71"/>
      <c r="G1971" s="71"/>
      <c r="H1971" s="87"/>
      <c r="I1971" s="71"/>
      <c r="J1971" s="71"/>
      <c r="K1971" s="71"/>
      <c r="L1971" s="87"/>
      <c r="M1971" s="71"/>
      <c r="N1971" s="71"/>
      <c r="O1971" s="71"/>
      <c r="P1971" s="311"/>
      <c r="Q1971" s="312"/>
      <c r="R1971" s="312"/>
      <c r="S1971" s="569"/>
      <c r="T1971" s="569"/>
      <c r="U1971" s="569"/>
      <c r="V1971" s="341"/>
      <c r="W1971" s="311"/>
      <c r="X1971" s="71"/>
      <c r="Y1971" s="71"/>
      <c r="Z1971" s="71"/>
      <c r="AA1971" s="456"/>
      <c r="AB1971" s="104"/>
      <c r="AC1971" s="485"/>
      <c r="AD1971" s="486"/>
      <c r="AE1971" s="485"/>
      <c r="AF1971" s="634"/>
      <c r="AG1971" s="97"/>
      <c r="AH1971" s="223"/>
      <c r="AI1971" s="569"/>
      <c r="AJ1971" s="569"/>
      <c r="AK1971" s="569"/>
      <c r="AL1971" s="569"/>
      <c r="AM1971" s="569"/>
      <c r="AN1971" s="589"/>
      <c r="AO1971" s="84"/>
      <c r="AP1971" s="5"/>
    </row>
    <row r="1972" spans="1:42" ht="13.5" customHeight="1" x14ac:dyDescent="0.35">
      <c r="A1972" s="4"/>
      <c r="B1972" s="614"/>
      <c r="C1972" s="71"/>
      <c r="D1972" s="71"/>
      <c r="E1972" s="71"/>
      <c r="F1972" s="71"/>
      <c r="G1972" s="71"/>
      <c r="H1972" s="87"/>
      <c r="I1972" s="71"/>
      <c r="J1972" s="71"/>
      <c r="K1972" s="71"/>
      <c r="L1972" s="87"/>
      <c r="M1972" s="71"/>
      <c r="N1972" s="71"/>
      <c r="O1972" s="71"/>
      <c r="P1972" s="311"/>
      <c r="Q1972" s="312"/>
      <c r="R1972" s="312"/>
      <c r="S1972" s="569"/>
      <c r="T1972" s="569"/>
      <c r="U1972" s="569"/>
      <c r="V1972" s="341"/>
      <c r="W1972" s="311"/>
      <c r="X1972" s="71"/>
      <c r="Y1972" s="71"/>
      <c r="Z1972" s="71"/>
      <c r="AA1972" s="456"/>
      <c r="AB1972" s="104"/>
      <c r="AC1972" s="485"/>
      <c r="AD1972" s="486"/>
      <c r="AE1972" s="485"/>
      <c r="AF1972" s="634"/>
      <c r="AG1972" s="97"/>
      <c r="AH1972" s="223"/>
      <c r="AI1972" s="569"/>
      <c r="AJ1972" s="569"/>
      <c r="AK1972" s="569"/>
      <c r="AL1972" s="569"/>
      <c r="AM1972" s="569"/>
      <c r="AN1972" s="589"/>
      <c r="AO1972" s="84"/>
      <c r="AP1972" s="5"/>
    </row>
    <row r="1973" spans="1:42" ht="13.5" customHeight="1" x14ac:dyDescent="0.35">
      <c r="A1973" s="4"/>
      <c r="B1973" s="614"/>
      <c r="C1973" s="71"/>
      <c r="D1973" s="71"/>
      <c r="E1973" s="71"/>
      <c r="F1973" s="71"/>
      <c r="G1973" s="71"/>
      <c r="H1973" s="87"/>
      <c r="I1973" s="71"/>
      <c r="J1973" s="71"/>
      <c r="K1973" s="71"/>
      <c r="L1973" s="87"/>
      <c r="M1973" s="71"/>
      <c r="N1973" s="71"/>
      <c r="O1973" s="71"/>
      <c r="P1973" s="311"/>
      <c r="Q1973" s="312"/>
      <c r="R1973" s="312"/>
      <c r="S1973" s="569"/>
      <c r="T1973" s="569"/>
      <c r="U1973" s="569"/>
      <c r="V1973" s="341"/>
      <c r="W1973" s="311"/>
      <c r="X1973" s="71"/>
      <c r="Y1973" s="71"/>
      <c r="Z1973" s="71"/>
      <c r="AA1973" s="456"/>
      <c r="AB1973" s="104"/>
      <c r="AC1973" s="485"/>
      <c r="AD1973" s="486"/>
      <c r="AE1973" s="485"/>
      <c r="AF1973" s="634"/>
      <c r="AG1973" s="97"/>
      <c r="AH1973" s="223"/>
      <c r="AI1973" s="569"/>
      <c r="AJ1973" s="569"/>
      <c r="AK1973" s="569"/>
      <c r="AL1973" s="569"/>
      <c r="AM1973" s="569"/>
      <c r="AN1973" s="589"/>
      <c r="AO1973" s="84"/>
      <c r="AP1973" s="5"/>
    </row>
    <row r="1974" spans="1:42" ht="13.5" customHeight="1" x14ac:dyDescent="0.35">
      <c r="A1974" s="4"/>
      <c r="B1974" s="614"/>
      <c r="C1974" s="71"/>
      <c r="D1974" s="71"/>
      <c r="E1974" s="71"/>
      <c r="F1974" s="71"/>
      <c r="G1974" s="71"/>
      <c r="H1974" s="87"/>
      <c r="I1974" s="71"/>
      <c r="J1974" s="71"/>
      <c r="K1974" s="71"/>
      <c r="L1974" s="87"/>
      <c r="M1974" s="71"/>
      <c r="N1974" s="71"/>
      <c r="O1974" s="71"/>
      <c r="P1974" s="311"/>
      <c r="Q1974" s="312"/>
      <c r="R1974" s="312"/>
      <c r="S1974" s="569"/>
      <c r="T1974" s="569"/>
      <c r="U1974" s="569"/>
      <c r="V1974" s="341"/>
      <c r="W1974" s="311"/>
      <c r="X1974" s="71"/>
      <c r="Y1974" s="71"/>
      <c r="Z1974" s="71"/>
      <c r="AA1974" s="456"/>
      <c r="AB1974" s="104"/>
      <c r="AC1974" s="485"/>
      <c r="AD1974" s="486"/>
      <c r="AE1974" s="485"/>
      <c r="AF1974" s="634"/>
      <c r="AG1974" s="97"/>
      <c r="AH1974" s="223"/>
      <c r="AI1974" s="569"/>
      <c r="AJ1974" s="569"/>
      <c r="AK1974" s="569"/>
      <c r="AL1974" s="569"/>
      <c r="AM1974" s="569"/>
      <c r="AN1974" s="589"/>
      <c r="AO1974" s="84"/>
      <c r="AP1974" s="5"/>
    </row>
    <row r="1975" spans="1:42" ht="13.5" customHeight="1" x14ac:dyDescent="0.35">
      <c r="A1975" s="4"/>
      <c r="B1975" s="614"/>
      <c r="C1975" s="71"/>
      <c r="D1975" s="71"/>
      <c r="E1975" s="71"/>
      <c r="F1975" s="71"/>
      <c r="G1975" s="71"/>
      <c r="H1975" s="87"/>
      <c r="I1975" s="71"/>
      <c r="J1975" s="71"/>
      <c r="K1975" s="71"/>
      <c r="L1975" s="87"/>
      <c r="M1975" s="71"/>
      <c r="N1975" s="71"/>
      <c r="O1975" s="71"/>
      <c r="P1975" s="311"/>
      <c r="Q1975" s="312"/>
      <c r="R1975" s="312"/>
      <c r="S1975" s="569"/>
      <c r="T1975" s="569"/>
      <c r="U1975" s="569"/>
      <c r="V1975" s="341"/>
      <c r="W1975" s="311"/>
      <c r="X1975" s="71"/>
      <c r="Y1975" s="71"/>
      <c r="Z1975" s="71"/>
      <c r="AA1975" s="456"/>
      <c r="AB1975" s="104"/>
      <c r="AC1975" s="485"/>
      <c r="AD1975" s="486"/>
      <c r="AE1975" s="485"/>
      <c r="AF1975" s="634"/>
      <c r="AG1975" s="97"/>
      <c r="AH1975" s="223"/>
      <c r="AI1975" s="569"/>
      <c r="AJ1975" s="569"/>
      <c r="AK1975" s="569"/>
      <c r="AL1975" s="569"/>
      <c r="AM1975" s="569"/>
      <c r="AN1975" s="589"/>
      <c r="AO1975" s="84"/>
      <c r="AP1975" s="5"/>
    </row>
    <row r="1976" spans="1:42" ht="13.5" customHeight="1" x14ac:dyDescent="0.35">
      <c r="A1976" s="4"/>
      <c r="B1976" s="614"/>
      <c r="C1976" s="71"/>
      <c r="D1976" s="71"/>
      <c r="E1976" s="71"/>
      <c r="F1976" s="71"/>
      <c r="G1976" s="71"/>
      <c r="H1976" s="87"/>
      <c r="I1976" s="71"/>
      <c r="J1976" s="71"/>
      <c r="K1976" s="71"/>
      <c r="L1976" s="87"/>
      <c r="M1976" s="71"/>
      <c r="N1976" s="71"/>
      <c r="O1976" s="71"/>
      <c r="P1976" s="311"/>
      <c r="Q1976" s="312"/>
      <c r="R1976" s="312"/>
      <c r="S1976" s="569"/>
      <c r="T1976" s="569"/>
      <c r="U1976" s="569"/>
      <c r="V1976" s="341"/>
      <c r="W1976" s="311"/>
      <c r="X1976" s="71"/>
      <c r="Y1976" s="71"/>
      <c r="Z1976" s="71"/>
      <c r="AA1976" s="456"/>
      <c r="AB1976" s="104"/>
      <c r="AC1976" s="485"/>
      <c r="AD1976" s="486"/>
      <c r="AE1976" s="485"/>
      <c r="AF1976" s="634"/>
      <c r="AG1976" s="97"/>
      <c r="AH1976" s="223"/>
      <c r="AI1976" s="569"/>
      <c r="AJ1976" s="569"/>
      <c r="AK1976" s="569"/>
      <c r="AL1976" s="569"/>
      <c r="AM1976" s="569"/>
      <c r="AN1976" s="589"/>
      <c r="AO1976" s="84"/>
      <c r="AP1976" s="5"/>
    </row>
    <row r="1977" spans="1:42" ht="13.5" customHeight="1" x14ac:dyDescent="0.35">
      <c r="A1977" s="4"/>
      <c r="B1977" s="614"/>
      <c r="C1977" s="71"/>
      <c r="D1977" s="71"/>
      <c r="E1977" s="71"/>
      <c r="F1977" s="71"/>
      <c r="G1977" s="71"/>
      <c r="H1977" s="87"/>
      <c r="I1977" s="71"/>
      <c r="J1977" s="71"/>
      <c r="K1977" s="71"/>
      <c r="L1977" s="87"/>
      <c r="M1977" s="71"/>
      <c r="N1977" s="71"/>
      <c r="O1977" s="71"/>
      <c r="P1977" s="311"/>
      <c r="Q1977" s="312"/>
      <c r="R1977" s="312"/>
      <c r="S1977" s="569"/>
      <c r="T1977" s="569"/>
      <c r="U1977" s="569"/>
      <c r="V1977" s="341"/>
      <c r="W1977" s="311"/>
      <c r="X1977" s="71"/>
      <c r="Y1977" s="71"/>
      <c r="Z1977" s="71"/>
      <c r="AA1977" s="456"/>
      <c r="AB1977" s="104"/>
      <c r="AC1977" s="485"/>
      <c r="AD1977" s="486"/>
      <c r="AE1977" s="485"/>
      <c r="AF1977" s="634"/>
      <c r="AG1977" s="97"/>
      <c r="AH1977" s="223"/>
      <c r="AI1977" s="569"/>
      <c r="AJ1977" s="569"/>
      <c r="AK1977" s="569"/>
      <c r="AL1977" s="569"/>
      <c r="AM1977" s="569"/>
      <c r="AN1977" s="589"/>
      <c r="AO1977" s="84"/>
      <c r="AP1977" s="5"/>
    </row>
    <row r="1978" spans="1:42" ht="13.5" customHeight="1" x14ac:dyDescent="0.35">
      <c r="A1978" s="4"/>
      <c r="B1978" s="614"/>
      <c r="C1978" s="71"/>
      <c r="D1978" s="71"/>
      <c r="E1978" s="71"/>
      <c r="F1978" s="71"/>
      <c r="G1978" s="71"/>
      <c r="H1978" s="87"/>
      <c r="I1978" s="71"/>
      <c r="J1978" s="71"/>
      <c r="K1978" s="71"/>
      <c r="L1978" s="87"/>
      <c r="M1978" s="71"/>
      <c r="N1978" s="71"/>
      <c r="O1978" s="71"/>
      <c r="P1978" s="311"/>
      <c r="Q1978" s="312"/>
      <c r="R1978" s="312"/>
      <c r="S1978" s="569"/>
      <c r="T1978" s="569"/>
      <c r="U1978" s="569"/>
      <c r="V1978" s="341"/>
      <c r="W1978" s="311"/>
      <c r="X1978" s="71"/>
      <c r="Y1978" s="71"/>
      <c r="Z1978" s="71"/>
      <c r="AA1978" s="456"/>
      <c r="AB1978" s="104"/>
      <c r="AC1978" s="485"/>
      <c r="AD1978" s="486"/>
      <c r="AE1978" s="485"/>
      <c r="AF1978" s="634"/>
      <c r="AG1978" s="97"/>
      <c r="AH1978" s="223"/>
      <c r="AI1978" s="569"/>
      <c r="AJ1978" s="569"/>
      <c r="AK1978" s="569"/>
      <c r="AL1978" s="569"/>
      <c r="AM1978" s="569"/>
      <c r="AN1978" s="589"/>
      <c r="AO1978" s="84"/>
      <c r="AP1978" s="5"/>
    </row>
    <row r="1979" spans="1:42" ht="13.5" customHeight="1" x14ac:dyDescent="0.35">
      <c r="A1979" s="4"/>
      <c r="B1979" s="614"/>
      <c r="C1979" s="71"/>
      <c r="D1979" s="71"/>
      <c r="E1979" s="71"/>
      <c r="F1979" s="71"/>
      <c r="G1979" s="71"/>
      <c r="H1979" s="87"/>
      <c r="I1979" s="71"/>
      <c r="J1979" s="71"/>
      <c r="K1979" s="71"/>
      <c r="L1979" s="87"/>
      <c r="M1979" s="71"/>
      <c r="N1979" s="71"/>
      <c r="O1979" s="71"/>
      <c r="P1979" s="311"/>
      <c r="Q1979" s="312"/>
      <c r="R1979" s="312"/>
      <c r="S1979" s="569"/>
      <c r="T1979" s="569"/>
      <c r="U1979" s="569"/>
      <c r="V1979" s="341"/>
      <c r="W1979" s="311"/>
      <c r="X1979" s="71"/>
      <c r="Y1979" s="71"/>
      <c r="Z1979" s="71"/>
      <c r="AA1979" s="456"/>
      <c r="AB1979" s="104"/>
      <c r="AC1979" s="485"/>
      <c r="AD1979" s="486"/>
      <c r="AE1979" s="485"/>
      <c r="AF1979" s="634"/>
      <c r="AG1979" s="97"/>
      <c r="AH1979" s="223"/>
      <c r="AI1979" s="569"/>
      <c r="AJ1979" s="569"/>
      <c r="AK1979" s="569"/>
      <c r="AL1979" s="569"/>
      <c r="AM1979" s="569"/>
      <c r="AN1979" s="589"/>
      <c r="AO1979" s="84"/>
      <c r="AP1979" s="5"/>
    </row>
    <row r="1980" spans="1:42" ht="13.5" customHeight="1" x14ac:dyDescent="0.35">
      <c r="A1980" s="4"/>
      <c r="B1980" s="614"/>
      <c r="C1980" s="71"/>
      <c r="D1980" s="71"/>
      <c r="E1980" s="71"/>
      <c r="F1980" s="71"/>
      <c r="G1980" s="71"/>
      <c r="H1980" s="87"/>
      <c r="I1980" s="71"/>
      <c r="J1980" s="71"/>
      <c r="K1980" s="71"/>
      <c r="L1980" s="87"/>
      <c r="M1980" s="71"/>
      <c r="N1980" s="71"/>
      <c r="O1980" s="71"/>
      <c r="P1980" s="311"/>
      <c r="Q1980" s="312"/>
      <c r="R1980" s="312"/>
      <c r="S1980" s="569"/>
      <c r="T1980" s="569"/>
      <c r="U1980" s="569"/>
      <c r="V1980" s="341"/>
      <c r="W1980" s="311"/>
      <c r="X1980" s="71"/>
      <c r="Y1980" s="71"/>
      <c r="Z1980" s="71"/>
      <c r="AA1980" s="456"/>
      <c r="AB1980" s="104"/>
      <c r="AC1980" s="485"/>
      <c r="AD1980" s="486"/>
      <c r="AE1980" s="485"/>
      <c r="AF1980" s="634"/>
      <c r="AG1980" s="97"/>
      <c r="AH1980" s="223"/>
      <c r="AI1980" s="569"/>
      <c r="AJ1980" s="569"/>
      <c r="AK1980" s="569"/>
      <c r="AL1980" s="569"/>
      <c r="AM1980" s="569"/>
      <c r="AN1980" s="589"/>
      <c r="AO1980" s="84"/>
      <c r="AP1980" s="5"/>
    </row>
    <row r="1981" spans="1:42" ht="13.5" customHeight="1" x14ac:dyDescent="0.35">
      <c r="A1981" s="4"/>
      <c r="B1981" s="614"/>
      <c r="C1981" s="71"/>
      <c r="D1981" s="71"/>
      <c r="E1981" s="71"/>
      <c r="F1981" s="71"/>
      <c r="G1981" s="71"/>
      <c r="H1981" s="87"/>
      <c r="I1981" s="71"/>
      <c r="J1981" s="71"/>
      <c r="K1981" s="71"/>
      <c r="L1981" s="87"/>
      <c r="M1981" s="71"/>
      <c r="N1981" s="71"/>
      <c r="O1981" s="71"/>
      <c r="P1981" s="311"/>
      <c r="Q1981" s="312"/>
      <c r="R1981" s="312"/>
      <c r="S1981" s="569"/>
      <c r="T1981" s="569"/>
      <c r="U1981" s="569"/>
      <c r="V1981" s="341"/>
      <c r="W1981" s="311"/>
      <c r="X1981" s="71"/>
      <c r="Y1981" s="71"/>
      <c r="Z1981" s="71"/>
      <c r="AA1981" s="456"/>
      <c r="AB1981" s="104"/>
      <c r="AC1981" s="485"/>
      <c r="AD1981" s="486"/>
      <c r="AE1981" s="485"/>
      <c r="AF1981" s="634"/>
      <c r="AG1981" s="97"/>
      <c r="AH1981" s="223"/>
      <c r="AI1981" s="569"/>
      <c r="AJ1981" s="569"/>
      <c r="AK1981" s="569"/>
      <c r="AL1981" s="569"/>
      <c r="AM1981" s="569"/>
      <c r="AN1981" s="589"/>
      <c r="AO1981" s="84"/>
      <c r="AP1981" s="5"/>
    </row>
    <row r="1982" spans="1:42" ht="13.5" customHeight="1" x14ac:dyDescent="0.35">
      <c r="A1982" s="4"/>
      <c r="B1982" s="614"/>
      <c r="C1982" s="71"/>
      <c r="D1982" s="71"/>
      <c r="E1982" s="71"/>
      <c r="F1982" s="71"/>
      <c r="G1982" s="71"/>
      <c r="H1982" s="87"/>
      <c r="I1982" s="71"/>
      <c r="J1982" s="71"/>
      <c r="K1982" s="71"/>
      <c r="L1982" s="87"/>
      <c r="M1982" s="71"/>
      <c r="N1982" s="71"/>
      <c r="O1982" s="71"/>
      <c r="P1982" s="311"/>
      <c r="Q1982" s="312"/>
      <c r="R1982" s="312"/>
      <c r="S1982" s="569"/>
      <c r="T1982" s="569"/>
      <c r="U1982" s="569"/>
      <c r="V1982" s="341"/>
      <c r="W1982" s="311"/>
      <c r="X1982" s="71"/>
      <c r="Y1982" s="71"/>
      <c r="Z1982" s="71"/>
      <c r="AA1982" s="456"/>
      <c r="AB1982" s="104"/>
      <c r="AC1982" s="485"/>
      <c r="AD1982" s="486"/>
      <c r="AE1982" s="485"/>
      <c r="AF1982" s="634"/>
      <c r="AG1982" s="97"/>
      <c r="AH1982" s="223"/>
      <c r="AI1982" s="569"/>
      <c r="AJ1982" s="569"/>
      <c r="AK1982" s="569"/>
      <c r="AL1982" s="569"/>
      <c r="AM1982" s="569"/>
      <c r="AN1982" s="589"/>
      <c r="AO1982" s="84"/>
      <c r="AP1982" s="5"/>
    </row>
    <row r="1983" spans="1:42" ht="13.5" customHeight="1" x14ac:dyDescent="0.35">
      <c r="A1983" s="4"/>
      <c r="B1983" s="614"/>
      <c r="C1983" s="71"/>
      <c r="D1983" s="71"/>
      <c r="E1983" s="71"/>
      <c r="F1983" s="71"/>
      <c r="G1983" s="71"/>
      <c r="H1983" s="87"/>
      <c r="I1983" s="71"/>
      <c r="J1983" s="71"/>
      <c r="K1983" s="71"/>
      <c r="L1983" s="87"/>
      <c r="M1983" s="71"/>
      <c r="N1983" s="71"/>
      <c r="O1983" s="71"/>
      <c r="P1983" s="311"/>
      <c r="Q1983" s="312"/>
      <c r="R1983" s="312"/>
      <c r="S1983" s="569"/>
      <c r="T1983" s="569"/>
      <c r="U1983" s="569"/>
      <c r="V1983" s="341"/>
      <c r="W1983" s="311"/>
      <c r="X1983" s="71"/>
      <c r="Y1983" s="71"/>
      <c r="Z1983" s="71"/>
      <c r="AA1983" s="456"/>
      <c r="AB1983" s="104"/>
      <c r="AC1983" s="485"/>
      <c r="AD1983" s="486"/>
      <c r="AE1983" s="485"/>
      <c r="AF1983" s="634"/>
      <c r="AG1983" s="97"/>
      <c r="AH1983" s="223"/>
      <c r="AI1983" s="569"/>
      <c r="AJ1983" s="569"/>
      <c r="AK1983" s="569"/>
      <c r="AL1983" s="569"/>
      <c r="AM1983" s="569"/>
      <c r="AN1983" s="589"/>
      <c r="AO1983" s="84"/>
      <c r="AP1983" s="5"/>
    </row>
    <row r="1984" spans="1:42" ht="13.5" customHeight="1" x14ac:dyDescent="0.35">
      <c r="A1984" s="4"/>
      <c r="B1984" s="614"/>
      <c r="C1984" s="71"/>
      <c r="D1984" s="71"/>
      <c r="E1984" s="71"/>
      <c r="F1984" s="71"/>
      <c r="G1984" s="71"/>
      <c r="H1984" s="87"/>
      <c r="I1984" s="71"/>
      <c r="J1984" s="71"/>
      <c r="K1984" s="71"/>
      <c r="L1984" s="87"/>
      <c r="M1984" s="71"/>
      <c r="N1984" s="71"/>
      <c r="O1984" s="71"/>
      <c r="P1984" s="311"/>
      <c r="Q1984" s="312"/>
      <c r="R1984" s="312"/>
      <c r="S1984" s="569"/>
      <c r="T1984" s="569"/>
      <c r="U1984" s="569"/>
      <c r="V1984" s="341"/>
      <c r="W1984" s="311"/>
      <c r="X1984" s="71"/>
      <c r="Y1984" s="71"/>
      <c r="Z1984" s="71"/>
      <c r="AA1984" s="456"/>
      <c r="AB1984" s="104"/>
      <c r="AC1984" s="485"/>
      <c r="AD1984" s="486"/>
      <c r="AE1984" s="485"/>
      <c r="AF1984" s="634"/>
      <c r="AG1984" s="97"/>
      <c r="AH1984" s="223"/>
      <c r="AI1984" s="569"/>
      <c r="AJ1984" s="569"/>
      <c r="AK1984" s="569"/>
      <c r="AL1984" s="569"/>
      <c r="AM1984" s="569"/>
      <c r="AN1984" s="589"/>
      <c r="AO1984" s="84"/>
      <c r="AP1984" s="5"/>
    </row>
    <row r="1985" spans="1:42" ht="13.5" customHeight="1" x14ac:dyDescent="0.35">
      <c r="A1985" s="4"/>
      <c r="B1985" s="614"/>
      <c r="C1985" s="71"/>
      <c r="D1985" s="71"/>
      <c r="E1985" s="71"/>
      <c r="F1985" s="71"/>
      <c r="G1985" s="71"/>
      <c r="H1985" s="87"/>
      <c r="I1985" s="71"/>
      <c r="J1985" s="71"/>
      <c r="K1985" s="71"/>
      <c r="L1985" s="87"/>
      <c r="M1985" s="71"/>
      <c r="N1985" s="71"/>
      <c r="O1985" s="71"/>
      <c r="P1985" s="311"/>
      <c r="Q1985" s="312"/>
      <c r="R1985" s="312"/>
      <c r="S1985" s="569"/>
      <c r="T1985" s="569"/>
      <c r="U1985" s="569"/>
      <c r="V1985" s="341"/>
      <c r="W1985" s="311"/>
      <c r="X1985" s="71"/>
      <c r="Y1985" s="71"/>
      <c r="Z1985" s="71"/>
      <c r="AA1985" s="456"/>
      <c r="AB1985" s="104"/>
      <c r="AC1985" s="485"/>
      <c r="AD1985" s="486"/>
      <c r="AE1985" s="485"/>
      <c r="AF1985" s="634"/>
      <c r="AG1985" s="97"/>
      <c r="AH1985" s="223"/>
      <c r="AI1985" s="569"/>
      <c r="AJ1985" s="569"/>
      <c r="AK1985" s="569"/>
      <c r="AL1985" s="569"/>
      <c r="AM1985" s="569"/>
      <c r="AN1985" s="589"/>
      <c r="AO1985" s="84"/>
      <c r="AP1985" s="5"/>
    </row>
    <row r="1986" spans="1:42" ht="13.5" customHeight="1" x14ac:dyDescent="0.35">
      <c r="A1986" s="4"/>
      <c r="B1986" s="614"/>
      <c r="C1986" s="71"/>
      <c r="D1986" s="71"/>
      <c r="E1986" s="71"/>
      <c r="F1986" s="71"/>
      <c r="G1986" s="71"/>
      <c r="H1986" s="87"/>
      <c r="I1986" s="71"/>
      <c r="J1986" s="71"/>
      <c r="K1986" s="71"/>
      <c r="L1986" s="87"/>
      <c r="M1986" s="71"/>
      <c r="N1986" s="71"/>
      <c r="O1986" s="71"/>
      <c r="P1986" s="311"/>
      <c r="Q1986" s="312"/>
      <c r="R1986" s="312"/>
      <c r="S1986" s="569"/>
      <c r="T1986" s="569"/>
      <c r="U1986" s="569"/>
      <c r="V1986" s="341"/>
      <c r="W1986" s="311"/>
      <c r="X1986" s="71"/>
      <c r="Y1986" s="71"/>
      <c r="Z1986" s="71"/>
      <c r="AA1986" s="456"/>
      <c r="AB1986" s="104"/>
      <c r="AC1986" s="485"/>
      <c r="AD1986" s="486"/>
      <c r="AE1986" s="485"/>
      <c r="AF1986" s="634"/>
      <c r="AG1986" s="97"/>
      <c r="AH1986" s="223"/>
      <c r="AI1986" s="569"/>
      <c r="AJ1986" s="569"/>
      <c r="AK1986" s="569"/>
      <c r="AL1986" s="569"/>
      <c r="AM1986" s="569"/>
      <c r="AN1986" s="589"/>
      <c r="AO1986" s="84"/>
      <c r="AP1986" s="5"/>
    </row>
    <row r="1987" spans="1:42" ht="13.5" customHeight="1" x14ac:dyDescent="0.35">
      <c r="A1987" s="4"/>
      <c r="B1987" s="614"/>
      <c r="C1987" s="71"/>
      <c r="D1987" s="71"/>
      <c r="E1987" s="71"/>
      <c r="F1987" s="71"/>
      <c r="G1987" s="71"/>
      <c r="H1987" s="87"/>
      <c r="I1987" s="71"/>
      <c r="J1987" s="71"/>
      <c r="K1987" s="71"/>
      <c r="L1987" s="87"/>
      <c r="M1987" s="71"/>
      <c r="N1987" s="71"/>
      <c r="O1987" s="71"/>
      <c r="P1987" s="311"/>
      <c r="Q1987" s="312"/>
      <c r="R1987" s="312"/>
      <c r="S1987" s="569"/>
      <c r="T1987" s="569"/>
      <c r="U1987" s="569"/>
      <c r="V1987" s="341"/>
      <c r="W1987" s="311"/>
      <c r="X1987" s="71"/>
      <c r="Y1987" s="71"/>
      <c r="Z1987" s="71"/>
      <c r="AA1987" s="456"/>
      <c r="AB1987" s="104"/>
      <c r="AC1987" s="485"/>
      <c r="AD1987" s="486"/>
      <c r="AE1987" s="485"/>
      <c r="AF1987" s="634"/>
      <c r="AG1987" s="97"/>
      <c r="AH1987" s="223"/>
      <c r="AI1987" s="569"/>
      <c r="AJ1987" s="569"/>
      <c r="AK1987" s="569"/>
      <c r="AL1987" s="569"/>
      <c r="AM1987" s="569"/>
      <c r="AN1987" s="589"/>
      <c r="AO1987" s="84"/>
      <c r="AP1987" s="5"/>
    </row>
    <row r="1988" spans="1:42" ht="13.5" customHeight="1" x14ac:dyDescent="0.35">
      <c r="A1988" s="4"/>
      <c r="B1988" s="614"/>
      <c r="C1988" s="71"/>
      <c r="D1988" s="71"/>
      <c r="E1988" s="71"/>
      <c r="F1988" s="71"/>
      <c r="G1988" s="71"/>
      <c r="H1988" s="87"/>
      <c r="I1988" s="71"/>
      <c r="J1988" s="71"/>
      <c r="K1988" s="71"/>
      <c r="L1988" s="87"/>
      <c r="M1988" s="71"/>
      <c r="N1988" s="71"/>
      <c r="O1988" s="71"/>
      <c r="P1988" s="311"/>
      <c r="Q1988" s="312"/>
      <c r="R1988" s="312"/>
      <c r="S1988" s="569"/>
      <c r="T1988" s="569"/>
      <c r="U1988" s="569"/>
      <c r="V1988" s="341"/>
      <c r="W1988" s="311"/>
      <c r="X1988" s="71"/>
      <c r="Y1988" s="71"/>
      <c r="Z1988" s="71"/>
      <c r="AA1988" s="456"/>
      <c r="AB1988" s="104"/>
      <c r="AC1988" s="485"/>
      <c r="AD1988" s="486"/>
      <c r="AE1988" s="485"/>
      <c r="AF1988" s="634"/>
      <c r="AG1988" s="97"/>
      <c r="AH1988" s="223"/>
      <c r="AI1988" s="569"/>
      <c r="AJ1988" s="569"/>
      <c r="AK1988" s="569"/>
      <c r="AL1988" s="569"/>
      <c r="AM1988" s="569"/>
      <c r="AN1988" s="589"/>
      <c r="AO1988" s="84"/>
      <c r="AP1988" s="5"/>
    </row>
    <row r="1989" spans="1:42" ht="13.5" customHeight="1" x14ac:dyDescent="0.35">
      <c r="A1989" s="4"/>
      <c r="B1989" s="614"/>
      <c r="C1989" s="71"/>
      <c r="D1989" s="71"/>
      <c r="E1989" s="71"/>
      <c r="F1989" s="71"/>
      <c r="G1989" s="71"/>
      <c r="H1989" s="87"/>
      <c r="I1989" s="71"/>
      <c r="J1989" s="71"/>
      <c r="K1989" s="71"/>
      <c r="L1989" s="87"/>
      <c r="M1989" s="71"/>
      <c r="N1989" s="71"/>
      <c r="O1989" s="71"/>
      <c r="P1989" s="311"/>
      <c r="Q1989" s="312"/>
      <c r="R1989" s="312"/>
      <c r="S1989" s="569"/>
      <c r="T1989" s="569"/>
      <c r="U1989" s="569"/>
      <c r="V1989" s="341"/>
      <c r="W1989" s="311"/>
      <c r="X1989" s="71"/>
      <c r="Y1989" s="71"/>
      <c r="Z1989" s="71"/>
      <c r="AA1989" s="456"/>
      <c r="AB1989" s="104"/>
      <c r="AC1989" s="485"/>
      <c r="AD1989" s="486"/>
      <c r="AE1989" s="485"/>
      <c r="AF1989" s="634"/>
      <c r="AG1989" s="97"/>
      <c r="AH1989" s="223"/>
      <c r="AI1989" s="569"/>
      <c r="AJ1989" s="569"/>
      <c r="AK1989" s="569"/>
      <c r="AL1989" s="569"/>
      <c r="AM1989" s="569"/>
      <c r="AN1989" s="589"/>
      <c r="AO1989" s="84"/>
      <c r="AP1989" s="5"/>
    </row>
    <row r="1990" spans="1:42" ht="13.5" customHeight="1" x14ac:dyDescent="0.35">
      <c r="A1990" s="4"/>
      <c r="B1990" s="614"/>
      <c r="C1990" s="71"/>
      <c r="D1990" s="71"/>
      <c r="E1990" s="71"/>
      <c r="F1990" s="71"/>
      <c r="G1990" s="71"/>
      <c r="H1990" s="87"/>
      <c r="I1990" s="71"/>
      <c r="J1990" s="71"/>
      <c r="K1990" s="71"/>
      <c r="L1990" s="87"/>
      <c r="M1990" s="71"/>
      <c r="N1990" s="71"/>
      <c r="O1990" s="71"/>
      <c r="P1990" s="311"/>
      <c r="Q1990" s="312"/>
      <c r="R1990" s="312"/>
      <c r="S1990" s="569"/>
      <c r="T1990" s="569"/>
      <c r="U1990" s="569"/>
      <c r="V1990" s="341"/>
      <c r="W1990" s="311"/>
      <c r="X1990" s="71"/>
      <c r="Y1990" s="71"/>
      <c r="Z1990" s="71"/>
      <c r="AA1990" s="456"/>
      <c r="AB1990" s="104"/>
      <c r="AC1990" s="485"/>
      <c r="AD1990" s="486"/>
      <c r="AE1990" s="485"/>
      <c r="AF1990" s="634"/>
      <c r="AG1990" s="97"/>
      <c r="AH1990" s="223"/>
      <c r="AI1990" s="569"/>
      <c r="AJ1990" s="569"/>
      <c r="AK1990" s="569"/>
      <c r="AL1990" s="569"/>
      <c r="AM1990" s="569"/>
      <c r="AN1990" s="589"/>
      <c r="AO1990" s="84"/>
      <c r="AP1990" s="5"/>
    </row>
    <row r="1991" spans="1:42" ht="13.5" customHeight="1" x14ac:dyDescent="0.35">
      <c r="A1991" s="4"/>
      <c r="B1991" s="614"/>
      <c r="C1991" s="71"/>
      <c r="D1991" s="71"/>
      <c r="E1991" s="71"/>
      <c r="F1991" s="71"/>
      <c r="G1991" s="71"/>
      <c r="H1991" s="87"/>
      <c r="I1991" s="71"/>
      <c r="J1991" s="71"/>
      <c r="K1991" s="71"/>
      <c r="L1991" s="87"/>
      <c r="M1991" s="71"/>
      <c r="N1991" s="71"/>
      <c r="O1991" s="71"/>
      <c r="P1991" s="311"/>
      <c r="Q1991" s="312"/>
      <c r="R1991" s="312"/>
      <c r="S1991" s="569"/>
      <c r="T1991" s="569"/>
      <c r="U1991" s="569"/>
      <c r="V1991" s="341"/>
      <c r="W1991" s="311"/>
      <c r="X1991" s="71"/>
      <c r="Y1991" s="71"/>
      <c r="Z1991" s="71"/>
      <c r="AA1991" s="456"/>
      <c r="AB1991" s="104"/>
      <c r="AC1991" s="485"/>
      <c r="AD1991" s="486"/>
      <c r="AE1991" s="485"/>
      <c r="AF1991" s="634"/>
      <c r="AG1991" s="97"/>
      <c r="AH1991" s="223"/>
      <c r="AI1991" s="569"/>
      <c r="AJ1991" s="569"/>
      <c r="AK1991" s="569"/>
      <c r="AL1991" s="569"/>
      <c r="AM1991" s="569"/>
      <c r="AN1991" s="589"/>
      <c r="AO1991" s="84"/>
      <c r="AP1991" s="5"/>
    </row>
    <row r="1992" spans="1:42" ht="13.5" customHeight="1" x14ac:dyDescent="0.35">
      <c r="A1992" s="4"/>
      <c r="B1992" s="614"/>
      <c r="C1992" s="71"/>
      <c r="D1992" s="71"/>
      <c r="E1992" s="71"/>
      <c r="F1992" s="71"/>
      <c r="G1992" s="71"/>
      <c r="H1992" s="87"/>
      <c r="I1992" s="71"/>
      <c r="J1992" s="71"/>
      <c r="K1992" s="71"/>
      <c r="L1992" s="87"/>
      <c r="M1992" s="71"/>
      <c r="N1992" s="71"/>
      <c r="O1992" s="71"/>
      <c r="P1992" s="311"/>
      <c r="Q1992" s="312"/>
      <c r="R1992" s="312"/>
      <c r="S1992" s="569"/>
      <c r="T1992" s="569"/>
      <c r="U1992" s="569"/>
      <c r="V1992" s="341"/>
      <c r="W1992" s="311"/>
      <c r="X1992" s="71"/>
      <c r="Y1992" s="71"/>
      <c r="Z1992" s="71"/>
      <c r="AA1992" s="456"/>
      <c r="AB1992" s="104"/>
      <c r="AC1992" s="485"/>
      <c r="AD1992" s="486"/>
      <c r="AE1992" s="485"/>
      <c r="AF1992" s="634"/>
      <c r="AG1992" s="97"/>
      <c r="AH1992" s="223"/>
      <c r="AI1992" s="569"/>
      <c r="AJ1992" s="569"/>
      <c r="AK1992" s="569"/>
      <c r="AL1992" s="569"/>
      <c r="AM1992" s="569"/>
      <c r="AN1992" s="589"/>
      <c r="AO1992" s="84"/>
      <c r="AP1992" s="5"/>
    </row>
    <row r="1993" spans="1:42" ht="13.5" customHeight="1" x14ac:dyDescent="0.35">
      <c r="A1993" s="4"/>
      <c r="B1993" s="614"/>
      <c r="C1993" s="71"/>
      <c r="D1993" s="71"/>
      <c r="E1993" s="71"/>
      <c r="F1993" s="71"/>
      <c r="G1993" s="71"/>
      <c r="H1993" s="87"/>
      <c r="I1993" s="71"/>
      <c r="J1993" s="71"/>
      <c r="K1993" s="71"/>
      <c r="L1993" s="87"/>
      <c r="M1993" s="71"/>
      <c r="N1993" s="71"/>
      <c r="O1993" s="71"/>
      <c r="P1993" s="311"/>
      <c r="Q1993" s="312"/>
      <c r="R1993" s="312"/>
      <c r="S1993" s="569"/>
      <c r="T1993" s="569"/>
      <c r="U1993" s="569"/>
      <c r="V1993" s="341"/>
      <c r="W1993" s="311"/>
      <c r="X1993" s="71"/>
      <c r="Y1993" s="71"/>
      <c r="Z1993" s="71"/>
      <c r="AA1993" s="456"/>
      <c r="AB1993" s="104"/>
      <c r="AC1993" s="485"/>
      <c r="AD1993" s="486"/>
      <c r="AE1993" s="485"/>
      <c r="AF1993" s="634"/>
      <c r="AG1993" s="97"/>
      <c r="AH1993" s="223"/>
      <c r="AI1993" s="569"/>
      <c r="AJ1993" s="569"/>
      <c r="AK1993" s="569"/>
      <c r="AL1993" s="569"/>
      <c r="AM1993" s="569"/>
      <c r="AN1993" s="589"/>
      <c r="AO1993" s="84"/>
      <c r="AP1993" s="5"/>
    </row>
    <row r="1994" spans="1:42" ht="13.5" customHeight="1" x14ac:dyDescent="0.35">
      <c r="A1994" s="4"/>
      <c r="B1994" s="614"/>
      <c r="C1994" s="71"/>
      <c r="D1994" s="71"/>
      <c r="E1994" s="71"/>
      <c r="F1994" s="71"/>
      <c r="G1994" s="71"/>
      <c r="H1994" s="87"/>
      <c r="I1994" s="71"/>
      <c r="J1994" s="71"/>
      <c r="K1994" s="71"/>
      <c r="L1994" s="87"/>
      <c r="M1994" s="71"/>
      <c r="N1994" s="71"/>
      <c r="O1994" s="71"/>
      <c r="P1994" s="311"/>
      <c r="Q1994" s="312"/>
      <c r="R1994" s="312"/>
      <c r="S1994" s="569"/>
      <c r="T1994" s="569"/>
      <c r="U1994" s="569"/>
      <c r="V1994" s="341"/>
      <c r="W1994" s="311"/>
      <c r="X1994" s="71"/>
      <c r="Y1994" s="71"/>
      <c r="Z1994" s="71"/>
      <c r="AA1994" s="456"/>
      <c r="AB1994" s="104"/>
      <c r="AC1994" s="485"/>
      <c r="AD1994" s="486"/>
      <c r="AE1994" s="485"/>
      <c r="AF1994" s="634"/>
      <c r="AG1994" s="97"/>
      <c r="AH1994" s="223"/>
      <c r="AI1994" s="569"/>
      <c r="AJ1994" s="569"/>
      <c r="AK1994" s="569"/>
      <c r="AL1994" s="569"/>
      <c r="AM1994" s="569"/>
      <c r="AN1994" s="589"/>
      <c r="AO1994" s="84"/>
      <c r="AP1994" s="5"/>
    </row>
    <row r="1995" spans="1:42" ht="13.5" customHeight="1" x14ac:dyDescent="0.35">
      <c r="A1995" s="4"/>
      <c r="B1995" s="614"/>
      <c r="C1995" s="71"/>
      <c r="D1995" s="71"/>
      <c r="E1995" s="71"/>
      <c r="F1995" s="71"/>
      <c r="G1995" s="71"/>
      <c r="H1995" s="87"/>
      <c r="I1995" s="71"/>
      <c r="J1995" s="71"/>
      <c r="K1995" s="71"/>
      <c r="L1995" s="87"/>
      <c r="M1995" s="71"/>
      <c r="N1995" s="71"/>
      <c r="O1995" s="71"/>
      <c r="P1995" s="311"/>
      <c r="Q1995" s="312"/>
      <c r="R1995" s="312"/>
      <c r="S1995" s="569"/>
      <c r="T1995" s="569"/>
      <c r="U1995" s="569"/>
      <c r="V1995" s="341"/>
      <c r="W1995" s="311"/>
      <c r="X1995" s="71"/>
      <c r="Y1995" s="71"/>
      <c r="Z1995" s="71"/>
      <c r="AA1995" s="456"/>
      <c r="AB1995" s="104"/>
      <c r="AC1995" s="485"/>
      <c r="AD1995" s="486"/>
      <c r="AE1995" s="485"/>
      <c r="AF1995" s="634"/>
      <c r="AG1995" s="97"/>
      <c r="AH1995" s="223"/>
      <c r="AI1995" s="569"/>
      <c r="AJ1995" s="569"/>
      <c r="AK1995" s="569"/>
      <c r="AL1995" s="569"/>
      <c r="AM1995" s="569"/>
      <c r="AN1995" s="589"/>
      <c r="AO1995" s="84"/>
      <c r="AP1995" s="5"/>
    </row>
    <row r="1996" spans="1:42" ht="13.5" customHeight="1" x14ac:dyDescent="0.35">
      <c r="A1996" s="4"/>
      <c r="B1996" s="614"/>
      <c r="C1996" s="71"/>
      <c r="D1996" s="71"/>
      <c r="E1996" s="71"/>
      <c r="F1996" s="71"/>
      <c r="G1996" s="71"/>
      <c r="H1996" s="87"/>
      <c r="I1996" s="71"/>
      <c r="J1996" s="71"/>
      <c r="K1996" s="71"/>
      <c r="L1996" s="87"/>
      <c r="M1996" s="71"/>
      <c r="N1996" s="71"/>
      <c r="O1996" s="71"/>
      <c r="P1996" s="311"/>
      <c r="Q1996" s="312"/>
      <c r="R1996" s="312"/>
      <c r="S1996" s="569"/>
      <c r="T1996" s="569"/>
      <c r="U1996" s="569"/>
      <c r="V1996" s="341"/>
      <c r="W1996" s="311"/>
      <c r="X1996" s="71"/>
      <c r="Y1996" s="71"/>
      <c r="Z1996" s="71"/>
      <c r="AA1996" s="456"/>
      <c r="AB1996" s="104"/>
      <c r="AC1996" s="485"/>
      <c r="AD1996" s="486"/>
      <c r="AE1996" s="485"/>
      <c r="AF1996" s="634"/>
      <c r="AG1996" s="97"/>
      <c r="AH1996" s="223"/>
      <c r="AI1996" s="569"/>
      <c r="AJ1996" s="569"/>
      <c r="AK1996" s="569"/>
      <c r="AL1996" s="569"/>
      <c r="AM1996" s="569"/>
      <c r="AN1996" s="589"/>
      <c r="AO1996" s="84"/>
      <c r="AP1996" s="5"/>
    </row>
    <row r="1997" spans="1:42" ht="13.5" customHeight="1" x14ac:dyDescent="0.35">
      <c r="A1997" s="4"/>
      <c r="B1997" s="614"/>
      <c r="C1997" s="71"/>
      <c r="D1997" s="71"/>
      <c r="E1997" s="71"/>
      <c r="F1997" s="71"/>
      <c r="G1997" s="71"/>
      <c r="H1997" s="87"/>
      <c r="I1997" s="71"/>
      <c r="J1997" s="71"/>
      <c r="K1997" s="71"/>
      <c r="L1997" s="87"/>
      <c r="M1997" s="71"/>
      <c r="N1997" s="71"/>
      <c r="O1997" s="71"/>
      <c r="P1997" s="311"/>
      <c r="Q1997" s="312"/>
      <c r="R1997" s="312"/>
      <c r="S1997" s="569"/>
      <c r="T1997" s="569"/>
      <c r="U1997" s="569"/>
      <c r="V1997" s="341"/>
      <c r="W1997" s="311"/>
      <c r="X1997" s="71"/>
      <c r="Y1997" s="71"/>
      <c r="Z1997" s="71"/>
      <c r="AA1997" s="456"/>
      <c r="AB1997" s="104"/>
      <c r="AC1997" s="485"/>
      <c r="AD1997" s="486"/>
      <c r="AE1997" s="485"/>
      <c r="AF1997" s="634"/>
      <c r="AG1997" s="97"/>
      <c r="AH1997" s="223"/>
      <c r="AI1997" s="569"/>
      <c r="AJ1997" s="569"/>
      <c r="AK1997" s="569"/>
      <c r="AL1997" s="569"/>
      <c r="AM1997" s="569"/>
      <c r="AN1997" s="589"/>
      <c r="AO1997" s="84"/>
      <c r="AP1997" s="5"/>
    </row>
    <row r="1998" spans="1:42" ht="13.5" customHeight="1" x14ac:dyDescent="0.35">
      <c r="A1998" s="4"/>
      <c r="B1998" s="614"/>
      <c r="C1998" s="71"/>
      <c r="D1998" s="71"/>
      <c r="E1998" s="71"/>
      <c r="F1998" s="71"/>
      <c r="G1998" s="71"/>
      <c r="H1998" s="87"/>
      <c r="I1998" s="71"/>
      <c r="J1998" s="71"/>
      <c r="K1998" s="71"/>
      <c r="L1998" s="87"/>
      <c r="M1998" s="71"/>
      <c r="N1998" s="71"/>
      <c r="O1998" s="71"/>
      <c r="P1998" s="311"/>
      <c r="Q1998" s="312"/>
      <c r="R1998" s="312"/>
      <c r="S1998" s="569"/>
      <c r="T1998" s="569"/>
      <c r="U1998" s="569"/>
      <c r="V1998" s="341"/>
      <c r="W1998" s="311"/>
      <c r="X1998" s="71"/>
      <c r="Y1998" s="71"/>
      <c r="Z1998" s="71"/>
      <c r="AA1998" s="456"/>
      <c r="AB1998" s="104"/>
      <c r="AC1998" s="485"/>
      <c r="AD1998" s="486"/>
      <c r="AE1998" s="485"/>
      <c r="AF1998" s="634"/>
      <c r="AG1998" s="97"/>
      <c r="AH1998" s="223"/>
      <c r="AI1998" s="569"/>
      <c r="AJ1998" s="569"/>
      <c r="AK1998" s="569"/>
      <c r="AL1998" s="569"/>
      <c r="AM1998" s="569"/>
      <c r="AN1998" s="589"/>
      <c r="AO1998" s="84"/>
      <c r="AP1998" s="5"/>
    </row>
    <row r="1999" spans="1:42" ht="13.5" customHeight="1" x14ac:dyDescent="0.35">
      <c r="A1999" s="4"/>
      <c r="B1999" s="614"/>
      <c r="C1999" s="71"/>
      <c r="D1999" s="71"/>
      <c r="E1999" s="71"/>
      <c r="F1999" s="71"/>
      <c r="G1999" s="71"/>
      <c r="H1999" s="87"/>
      <c r="I1999" s="71"/>
      <c r="J1999" s="71"/>
      <c r="K1999" s="71"/>
      <c r="L1999" s="87"/>
      <c r="M1999" s="71"/>
      <c r="N1999" s="71"/>
      <c r="O1999" s="71"/>
      <c r="P1999" s="311"/>
      <c r="Q1999" s="312"/>
      <c r="R1999" s="312"/>
      <c r="S1999" s="569"/>
      <c r="T1999" s="569"/>
      <c r="U1999" s="569"/>
      <c r="V1999" s="341"/>
      <c r="W1999" s="311"/>
      <c r="X1999" s="71"/>
      <c r="Y1999" s="71"/>
      <c r="Z1999" s="71"/>
      <c r="AA1999" s="456"/>
      <c r="AB1999" s="104"/>
      <c r="AC1999" s="485"/>
      <c r="AD1999" s="486"/>
      <c r="AE1999" s="485"/>
      <c r="AF1999" s="634"/>
      <c r="AG1999" s="97"/>
      <c r="AH1999" s="223"/>
      <c r="AI1999" s="569"/>
      <c r="AJ1999" s="569"/>
      <c r="AK1999" s="569"/>
      <c r="AL1999" s="569"/>
      <c r="AM1999" s="569"/>
      <c r="AN1999" s="589"/>
      <c r="AO1999" s="84"/>
      <c r="AP1999" s="5"/>
    </row>
    <row r="2000" spans="1:42" ht="13.5" customHeight="1" x14ac:dyDescent="0.35">
      <c r="A2000" s="4"/>
      <c r="B2000" s="614"/>
      <c r="C2000" s="71"/>
      <c r="D2000" s="71"/>
      <c r="E2000" s="71"/>
      <c r="F2000" s="71"/>
      <c r="G2000" s="71"/>
      <c r="H2000" s="87"/>
      <c r="I2000" s="71"/>
      <c r="J2000" s="71"/>
      <c r="K2000" s="71"/>
      <c r="L2000" s="87"/>
      <c r="M2000" s="71"/>
      <c r="N2000" s="71"/>
      <c r="O2000" s="71"/>
      <c r="P2000" s="311"/>
      <c r="Q2000" s="312"/>
      <c r="R2000" s="312"/>
      <c r="S2000" s="569"/>
      <c r="T2000" s="569"/>
      <c r="U2000" s="569"/>
      <c r="V2000" s="341"/>
      <c r="W2000" s="311"/>
      <c r="X2000" s="71"/>
      <c r="Y2000" s="71"/>
      <c r="Z2000" s="71"/>
      <c r="AA2000" s="456"/>
      <c r="AB2000" s="104"/>
      <c r="AC2000" s="485"/>
      <c r="AD2000" s="486"/>
      <c r="AE2000" s="485"/>
      <c r="AF2000" s="634"/>
      <c r="AG2000" s="97"/>
      <c r="AH2000" s="223"/>
      <c r="AI2000" s="569"/>
      <c r="AJ2000" s="569"/>
      <c r="AK2000" s="569"/>
      <c r="AL2000" s="569"/>
      <c r="AM2000" s="569"/>
      <c r="AN2000" s="589"/>
      <c r="AO2000" s="84"/>
      <c r="AP2000" s="5"/>
    </row>
    <row r="2001" spans="1:42" ht="13.5" customHeight="1" x14ac:dyDescent="0.35">
      <c r="A2001" s="4"/>
      <c r="B2001" s="614"/>
      <c r="C2001" s="71"/>
      <c r="D2001" s="71"/>
      <c r="E2001" s="71"/>
      <c r="F2001" s="71"/>
      <c r="G2001" s="71"/>
      <c r="H2001" s="87"/>
      <c r="I2001" s="71"/>
      <c r="J2001" s="71"/>
      <c r="K2001" s="71"/>
      <c r="L2001" s="87"/>
      <c r="M2001" s="71"/>
      <c r="N2001" s="71"/>
      <c r="O2001" s="71"/>
      <c r="P2001" s="311"/>
      <c r="Q2001" s="312"/>
      <c r="R2001" s="312"/>
      <c r="S2001" s="569"/>
      <c r="T2001" s="569"/>
      <c r="U2001" s="569"/>
      <c r="V2001" s="341"/>
      <c r="W2001" s="311"/>
      <c r="X2001" s="71"/>
      <c r="Y2001" s="71"/>
      <c r="Z2001" s="71"/>
      <c r="AA2001" s="456"/>
      <c r="AB2001" s="104"/>
      <c r="AC2001" s="485"/>
      <c r="AD2001" s="486"/>
      <c r="AE2001" s="485"/>
      <c r="AF2001" s="634"/>
      <c r="AG2001" s="97"/>
      <c r="AH2001" s="223"/>
      <c r="AI2001" s="569"/>
      <c r="AJ2001" s="569"/>
      <c r="AK2001" s="569"/>
      <c r="AL2001" s="569"/>
      <c r="AM2001" s="569"/>
      <c r="AN2001" s="589"/>
      <c r="AO2001" s="84"/>
      <c r="AP2001" s="5"/>
    </row>
    <row r="2002" spans="1:42" ht="13.5" customHeight="1" x14ac:dyDescent="0.35">
      <c r="A2002" s="4"/>
      <c r="B2002" s="614"/>
      <c r="C2002" s="71"/>
      <c r="D2002" s="71"/>
      <c r="E2002" s="71"/>
      <c r="F2002" s="71"/>
      <c r="G2002" s="71"/>
      <c r="H2002" s="87"/>
      <c r="I2002" s="71"/>
      <c r="J2002" s="71"/>
      <c r="K2002" s="71"/>
      <c r="L2002" s="87"/>
      <c r="M2002" s="71"/>
      <c r="N2002" s="71"/>
      <c r="O2002" s="71"/>
      <c r="P2002" s="311"/>
      <c r="Q2002" s="312"/>
      <c r="R2002" s="312"/>
      <c r="S2002" s="569"/>
      <c r="T2002" s="569"/>
      <c r="U2002" s="569"/>
      <c r="V2002" s="341"/>
      <c r="W2002" s="311"/>
      <c r="X2002" s="71"/>
      <c r="Y2002" s="71"/>
      <c r="Z2002" s="71"/>
      <c r="AA2002" s="456"/>
      <c r="AB2002" s="104"/>
      <c r="AC2002" s="485"/>
      <c r="AD2002" s="486"/>
      <c r="AE2002" s="485"/>
      <c r="AF2002" s="634"/>
      <c r="AG2002" s="97"/>
      <c r="AH2002" s="223"/>
      <c r="AI2002" s="569"/>
      <c r="AJ2002" s="569"/>
      <c r="AK2002" s="569"/>
      <c r="AL2002" s="569"/>
      <c r="AM2002" s="569"/>
      <c r="AN2002" s="589"/>
      <c r="AO2002" s="84"/>
      <c r="AP2002" s="5"/>
    </row>
    <row r="2003" spans="1:42" ht="13.5" customHeight="1" x14ac:dyDescent="0.35">
      <c r="A2003" s="4"/>
      <c r="B2003" s="614"/>
      <c r="C2003" s="71"/>
      <c r="D2003" s="71"/>
      <c r="E2003" s="71"/>
      <c r="F2003" s="71"/>
      <c r="G2003" s="71"/>
      <c r="H2003" s="87"/>
      <c r="I2003" s="71"/>
      <c r="J2003" s="71"/>
      <c r="K2003" s="71"/>
      <c r="L2003" s="87"/>
      <c r="M2003" s="71"/>
      <c r="N2003" s="71"/>
      <c r="O2003" s="71"/>
      <c r="P2003" s="311"/>
      <c r="Q2003" s="312"/>
      <c r="R2003" s="312"/>
      <c r="S2003" s="569"/>
      <c r="T2003" s="569"/>
      <c r="U2003" s="569"/>
      <c r="V2003" s="341"/>
      <c r="W2003" s="311"/>
      <c r="X2003" s="71"/>
      <c r="Y2003" s="71"/>
      <c r="Z2003" s="71"/>
      <c r="AA2003" s="456"/>
      <c r="AB2003" s="104"/>
      <c r="AC2003" s="485"/>
      <c r="AD2003" s="486"/>
      <c r="AE2003" s="485"/>
      <c r="AF2003" s="634"/>
      <c r="AG2003" s="97"/>
      <c r="AH2003" s="223"/>
      <c r="AI2003" s="569"/>
      <c r="AJ2003" s="569"/>
      <c r="AK2003" s="569"/>
      <c r="AL2003" s="569"/>
      <c r="AM2003" s="569"/>
      <c r="AN2003" s="589"/>
      <c r="AO2003" s="84"/>
      <c r="AP2003" s="5"/>
    </row>
    <row r="2004" spans="1:42" ht="13.5" customHeight="1" x14ac:dyDescent="0.35">
      <c r="A2004" s="4"/>
      <c r="B2004" s="614"/>
      <c r="C2004" s="71"/>
      <c r="D2004" s="71"/>
      <c r="E2004" s="71"/>
      <c r="F2004" s="71"/>
      <c r="G2004" s="71"/>
      <c r="H2004" s="87"/>
      <c r="I2004" s="71"/>
      <c r="J2004" s="71"/>
      <c r="K2004" s="71"/>
      <c r="L2004" s="87"/>
      <c r="M2004" s="71"/>
      <c r="N2004" s="71"/>
      <c r="O2004" s="71"/>
      <c r="P2004" s="311"/>
      <c r="Q2004" s="312"/>
      <c r="R2004" s="312"/>
      <c r="S2004" s="569"/>
      <c r="T2004" s="569"/>
      <c r="U2004" s="569"/>
      <c r="V2004" s="341"/>
      <c r="W2004" s="311"/>
      <c r="X2004" s="71"/>
      <c r="Y2004" s="71"/>
      <c r="Z2004" s="71"/>
      <c r="AA2004" s="456"/>
      <c r="AB2004" s="104"/>
      <c r="AC2004" s="485"/>
      <c r="AD2004" s="486"/>
      <c r="AE2004" s="485"/>
      <c r="AF2004" s="634"/>
      <c r="AG2004" s="97"/>
      <c r="AH2004" s="223"/>
      <c r="AI2004" s="569"/>
      <c r="AJ2004" s="569"/>
      <c r="AK2004" s="569"/>
      <c r="AL2004" s="569"/>
      <c r="AM2004" s="569"/>
      <c r="AN2004" s="589"/>
      <c r="AO2004" s="84"/>
      <c r="AP2004" s="5"/>
    </row>
    <row r="2005" spans="1:42" ht="13.5" customHeight="1" x14ac:dyDescent="0.35">
      <c r="A2005" s="4"/>
      <c r="B2005" s="614"/>
      <c r="C2005" s="71"/>
      <c r="D2005" s="71"/>
      <c r="E2005" s="71"/>
      <c r="F2005" s="71"/>
      <c r="G2005" s="71"/>
      <c r="H2005" s="87"/>
      <c r="I2005" s="71"/>
      <c r="J2005" s="71"/>
      <c r="K2005" s="71"/>
      <c r="L2005" s="87"/>
      <c r="M2005" s="71"/>
      <c r="N2005" s="71"/>
      <c r="O2005" s="71"/>
      <c r="P2005" s="311"/>
      <c r="Q2005" s="312"/>
      <c r="R2005" s="312"/>
      <c r="S2005" s="569"/>
      <c r="T2005" s="569"/>
      <c r="U2005" s="569"/>
      <c r="V2005" s="341"/>
      <c r="W2005" s="311"/>
      <c r="X2005" s="71"/>
      <c r="Y2005" s="71"/>
      <c r="Z2005" s="71"/>
      <c r="AA2005" s="456"/>
      <c r="AB2005" s="104"/>
      <c r="AC2005" s="485"/>
      <c r="AD2005" s="486"/>
      <c r="AE2005" s="485"/>
      <c r="AF2005" s="634"/>
      <c r="AG2005" s="97"/>
      <c r="AH2005" s="223"/>
      <c r="AI2005" s="569"/>
      <c r="AJ2005" s="569"/>
      <c r="AK2005" s="569"/>
      <c r="AL2005" s="569"/>
      <c r="AM2005" s="569"/>
      <c r="AN2005" s="589"/>
      <c r="AO2005" s="84"/>
      <c r="AP2005" s="5"/>
    </row>
    <row r="2006" spans="1:42" ht="13.5" customHeight="1" x14ac:dyDescent="0.35">
      <c r="A2006" s="4"/>
      <c r="B2006" s="614"/>
      <c r="C2006" s="71"/>
      <c r="D2006" s="71"/>
      <c r="E2006" s="71"/>
      <c r="F2006" s="71"/>
      <c r="G2006" s="71"/>
      <c r="H2006" s="87"/>
      <c r="I2006" s="71"/>
      <c r="J2006" s="71"/>
      <c r="K2006" s="71"/>
      <c r="L2006" s="87"/>
      <c r="M2006" s="71"/>
      <c r="N2006" s="71"/>
      <c r="O2006" s="71"/>
      <c r="P2006" s="311"/>
      <c r="Q2006" s="312"/>
      <c r="R2006" s="312"/>
      <c r="S2006" s="569"/>
      <c r="T2006" s="569"/>
      <c r="U2006" s="569"/>
      <c r="V2006" s="341"/>
      <c r="W2006" s="311"/>
      <c r="X2006" s="71"/>
      <c r="Y2006" s="71"/>
      <c r="Z2006" s="71"/>
      <c r="AA2006" s="456"/>
      <c r="AB2006" s="104"/>
      <c r="AC2006" s="485"/>
      <c r="AD2006" s="486"/>
      <c r="AE2006" s="485"/>
      <c r="AF2006" s="634"/>
      <c r="AG2006" s="97"/>
      <c r="AH2006" s="223"/>
      <c r="AI2006" s="569"/>
      <c r="AJ2006" s="569"/>
      <c r="AK2006" s="569"/>
      <c r="AL2006" s="569"/>
      <c r="AM2006" s="569"/>
      <c r="AN2006" s="589"/>
      <c r="AO2006" s="84"/>
      <c r="AP2006" s="5"/>
    </row>
    <row r="2007" spans="1:42" ht="13.5" customHeight="1" x14ac:dyDescent="0.35">
      <c r="A2007" s="4"/>
      <c r="B2007" s="614"/>
      <c r="C2007" s="71"/>
      <c r="D2007" s="71"/>
      <c r="E2007" s="71"/>
      <c r="F2007" s="71"/>
      <c r="G2007" s="71"/>
      <c r="H2007" s="87"/>
      <c r="I2007" s="71"/>
      <c r="J2007" s="71"/>
      <c r="K2007" s="71"/>
      <c r="L2007" s="87"/>
      <c r="M2007" s="71"/>
      <c r="N2007" s="71"/>
      <c r="O2007" s="71"/>
      <c r="P2007" s="311"/>
      <c r="Q2007" s="312"/>
      <c r="R2007" s="312"/>
      <c r="S2007" s="569"/>
      <c r="T2007" s="569"/>
      <c r="U2007" s="569"/>
      <c r="V2007" s="341"/>
      <c r="W2007" s="311"/>
      <c r="X2007" s="71"/>
      <c r="Y2007" s="71"/>
      <c r="Z2007" s="71"/>
      <c r="AA2007" s="456"/>
      <c r="AB2007" s="104"/>
      <c r="AC2007" s="485"/>
      <c r="AD2007" s="486"/>
      <c r="AE2007" s="485"/>
      <c r="AF2007" s="634"/>
      <c r="AG2007" s="97"/>
      <c r="AH2007" s="223"/>
      <c r="AI2007" s="569"/>
      <c r="AJ2007" s="569"/>
      <c r="AK2007" s="569"/>
      <c r="AL2007" s="569"/>
      <c r="AM2007" s="569"/>
      <c r="AN2007" s="589"/>
      <c r="AO2007" s="84"/>
      <c r="AP2007" s="5"/>
    </row>
    <row r="2008" spans="1:42" ht="13.5" customHeight="1" x14ac:dyDescent="0.35">
      <c r="A2008" s="4"/>
      <c r="B2008" s="614"/>
      <c r="C2008" s="71"/>
      <c r="D2008" s="71"/>
      <c r="E2008" s="71"/>
      <c r="F2008" s="71"/>
      <c r="G2008" s="71"/>
      <c r="H2008" s="87"/>
      <c r="I2008" s="71"/>
      <c r="J2008" s="71"/>
      <c r="K2008" s="71"/>
      <c r="L2008" s="87"/>
      <c r="M2008" s="71"/>
      <c r="N2008" s="71"/>
      <c r="O2008" s="71"/>
      <c r="P2008" s="311"/>
      <c r="Q2008" s="312"/>
      <c r="R2008" s="312"/>
      <c r="S2008" s="569"/>
      <c r="T2008" s="569"/>
      <c r="U2008" s="569"/>
      <c r="V2008" s="341"/>
      <c r="W2008" s="311"/>
      <c r="X2008" s="71"/>
      <c r="Y2008" s="71"/>
      <c r="Z2008" s="71"/>
      <c r="AA2008" s="456"/>
      <c r="AB2008" s="104"/>
      <c r="AC2008" s="485"/>
      <c r="AD2008" s="486"/>
      <c r="AE2008" s="485"/>
      <c r="AF2008" s="634"/>
      <c r="AG2008" s="97"/>
      <c r="AH2008" s="223"/>
      <c r="AI2008" s="569"/>
      <c r="AJ2008" s="569"/>
      <c r="AK2008" s="569"/>
      <c r="AL2008" s="569"/>
      <c r="AM2008" s="569"/>
      <c r="AN2008" s="589"/>
      <c r="AO2008" s="84"/>
      <c r="AP2008" s="5"/>
    </row>
    <row r="2009" spans="1:42" ht="13.5" customHeight="1" x14ac:dyDescent="0.35">
      <c r="A2009" s="4"/>
      <c r="B2009" s="614"/>
      <c r="C2009" s="71"/>
      <c r="D2009" s="71"/>
      <c r="E2009" s="71"/>
      <c r="F2009" s="71"/>
      <c r="G2009" s="71"/>
      <c r="H2009" s="87"/>
      <c r="I2009" s="71"/>
      <c r="J2009" s="71"/>
      <c r="K2009" s="71"/>
      <c r="L2009" s="87"/>
      <c r="M2009" s="71"/>
      <c r="N2009" s="71"/>
      <c r="O2009" s="71"/>
      <c r="P2009" s="311"/>
      <c r="Q2009" s="312"/>
      <c r="R2009" s="312"/>
      <c r="S2009" s="569"/>
      <c r="T2009" s="569"/>
      <c r="U2009" s="569"/>
      <c r="V2009" s="341"/>
      <c r="W2009" s="311"/>
      <c r="X2009" s="71"/>
      <c r="Y2009" s="71"/>
      <c r="Z2009" s="71"/>
      <c r="AA2009" s="456"/>
      <c r="AB2009" s="104"/>
      <c r="AC2009" s="485"/>
      <c r="AD2009" s="486"/>
      <c r="AE2009" s="485"/>
      <c r="AF2009" s="634"/>
      <c r="AG2009" s="97"/>
      <c r="AH2009" s="223"/>
      <c r="AI2009" s="569"/>
      <c r="AJ2009" s="569"/>
      <c r="AK2009" s="569"/>
      <c r="AL2009" s="569"/>
      <c r="AM2009" s="569"/>
      <c r="AN2009" s="589"/>
      <c r="AO2009" s="84"/>
      <c r="AP2009" s="5"/>
    </row>
    <row r="2010" spans="1:42" ht="13.5" customHeight="1" x14ac:dyDescent="0.35">
      <c r="A2010" s="4"/>
      <c r="B2010" s="614"/>
      <c r="C2010" s="71"/>
      <c r="D2010" s="71"/>
      <c r="E2010" s="71"/>
      <c r="F2010" s="71"/>
      <c r="G2010" s="71"/>
      <c r="H2010" s="87"/>
      <c r="I2010" s="71"/>
      <c r="J2010" s="71"/>
      <c r="K2010" s="71"/>
      <c r="L2010" s="87"/>
      <c r="M2010" s="71"/>
      <c r="N2010" s="71"/>
      <c r="O2010" s="71"/>
      <c r="P2010" s="311"/>
      <c r="Q2010" s="312"/>
      <c r="R2010" s="312"/>
      <c r="S2010" s="569"/>
      <c r="T2010" s="569"/>
      <c r="U2010" s="569"/>
      <c r="V2010" s="341"/>
      <c r="W2010" s="311"/>
      <c r="X2010" s="71"/>
      <c r="Y2010" s="71"/>
      <c r="Z2010" s="71"/>
      <c r="AA2010" s="456"/>
      <c r="AB2010" s="104"/>
      <c r="AC2010" s="485"/>
      <c r="AD2010" s="486"/>
      <c r="AE2010" s="485"/>
      <c r="AF2010" s="634"/>
      <c r="AG2010" s="97"/>
      <c r="AH2010" s="223"/>
      <c r="AI2010" s="569"/>
      <c r="AJ2010" s="569"/>
      <c r="AK2010" s="569"/>
      <c r="AL2010" s="569"/>
      <c r="AM2010" s="569"/>
      <c r="AN2010" s="589"/>
      <c r="AO2010" s="84"/>
      <c r="AP2010" s="5"/>
    </row>
    <row r="2011" spans="1:42" ht="13.5" customHeight="1" x14ac:dyDescent="0.35">
      <c r="A2011" s="4"/>
      <c r="B2011" s="614"/>
      <c r="C2011" s="71"/>
      <c r="D2011" s="71"/>
      <c r="E2011" s="71"/>
      <c r="F2011" s="71"/>
      <c r="G2011" s="71"/>
      <c r="H2011" s="87"/>
      <c r="I2011" s="71"/>
      <c r="J2011" s="71"/>
      <c r="K2011" s="71"/>
      <c r="L2011" s="87"/>
      <c r="M2011" s="71"/>
      <c r="N2011" s="71"/>
      <c r="O2011" s="71"/>
      <c r="P2011" s="311"/>
      <c r="Q2011" s="312"/>
      <c r="R2011" s="312"/>
      <c r="S2011" s="569"/>
      <c r="T2011" s="569"/>
      <c r="U2011" s="569"/>
      <c r="V2011" s="341"/>
      <c r="W2011" s="311"/>
      <c r="X2011" s="71"/>
      <c r="Y2011" s="71"/>
      <c r="Z2011" s="71"/>
      <c r="AA2011" s="456"/>
      <c r="AB2011" s="104"/>
      <c r="AC2011" s="485"/>
      <c r="AD2011" s="486"/>
      <c r="AE2011" s="485"/>
      <c r="AF2011" s="634"/>
      <c r="AG2011" s="97"/>
      <c r="AH2011" s="223"/>
      <c r="AI2011" s="569"/>
      <c r="AJ2011" s="569"/>
      <c r="AK2011" s="569"/>
      <c r="AL2011" s="569"/>
      <c r="AM2011" s="569"/>
      <c r="AN2011" s="589"/>
      <c r="AO2011" s="84"/>
      <c r="AP2011" s="5"/>
    </row>
    <row r="2012" spans="1:42" ht="13.5" customHeight="1" x14ac:dyDescent="0.35">
      <c r="A2012" s="4"/>
      <c r="B2012" s="614"/>
      <c r="C2012" s="71"/>
      <c r="D2012" s="71"/>
      <c r="E2012" s="71"/>
      <c r="F2012" s="71"/>
      <c r="G2012" s="71"/>
      <c r="H2012" s="87"/>
      <c r="I2012" s="71"/>
      <c r="J2012" s="71"/>
      <c r="K2012" s="71"/>
      <c r="L2012" s="87"/>
      <c r="M2012" s="71"/>
      <c r="N2012" s="71"/>
      <c r="O2012" s="71"/>
      <c r="P2012" s="311"/>
      <c r="Q2012" s="312"/>
      <c r="R2012" s="312"/>
      <c r="S2012" s="569"/>
      <c r="T2012" s="569"/>
      <c r="U2012" s="569"/>
      <c r="V2012" s="341"/>
      <c r="W2012" s="311"/>
      <c r="X2012" s="71"/>
      <c r="Y2012" s="71"/>
      <c r="Z2012" s="71"/>
      <c r="AA2012" s="456"/>
      <c r="AB2012" s="104"/>
      <c r="AC2012" s="485"/>
      <c r="AD2012" s="486"/>
      <c r="AE2012" s="485"/>
      <c r="AF2012" s="634"/>
      <c r="AG2012" s="97"/>
      <c r="AH2012" s="223"/>
      <c r="AI2012" s="569"/>
      <c r="AJ2012" s="569"/>
      <c r="AK2012" s="569"/>
      <c r="AL2012" s="569"/>
      <c r="AM2012" s="569"/>
      <c r="AN2012" s="589"/>
      <c r="AO2012" s="84"/>
    </row>
    <row r="2013" spans="1:42" ht="15" customHeight="1" x14ac:dyDescent="0.35">
      <c r="A2013" s="4"/>
      <c r="B2013" s="614"/>
      <c r="C2013" s="71"/>
      <c r="D2013" s="71"/>
      <c r="E2013" s="71"/>
      <c r="F2013" s="71"/>
      <c r="G2013" s="71"/>
      <c r="H2013" s="87"/>
      <c r="I2013" s="71"/>
      <c r="J2013" s="71"/>
      <c r="K2013" s="71"/>
      <c r="L2013" s="87"/>
      <c r="M2013" s="71"/>
      <c r="N2013" s="71"/>
      <c r="O2013" s="71"/>
      <c r="P2013" s="311"/>
      <c r="Q2013" s="312"/>
      <c r="R2013" s="312"/>
      <c r="S2013" s="569"/>
      <c r="T2013" s="569"/>
      <c r="U2013" s="569"/>
      <c r="V2013" s="341"/>
      <c r="W2013" s="311"/>
      <c r="X2013" s="71"/>
      <c r="Y2013" s="71"/>
      <c r="Z2013" s="71"/>
      <c r="AA2013" s="456"/>
      <c r="AB2013" s="104"/>
      <c r="AC2013" s="485"/>
      <c r="AD2013" s="486"/>
      <c r="AE2013" s="485"/>
      <c r="AF2013" s="634"/>
      <c r="AG2013" s="97"/>
      <c r="AH2013" s="223"/>
      <c r="AI2013" s="569"/>
      <c r="AJ2013" s="569"/>
      <c r="AK2013" s="569"/>
      <c r="AL2013" s="569"/>
      <c r="AM2013" s="569"/>
      <c r="AN2013" s="589"/>
      <c r="AO2013" s="84"/>
    </row>
  </sheetData>
  <sheetProtection algorithmName="SHA-512" hashValue="pkTMjh+UxSDoweGuzYkhxDeo3nGBAluGSWNkF7pCNntyifJrhRQvsJ/DVNBG6JMphaA7l8KtA42XuNf1WGfVNQ==" saltValue="E5aHXwiRW2/4uwER0MiOPg==" spinCount="100000" sheet="1" objects="1" scenarios="1" formatCells="0" formatRows="0" insertRows="0" deleteRows="0" autoFilter="0"/>
  <mergeCells count="3">
    <mergeCell ref="AA4:AC4"/>
    <mergeCell ref="AD4:AF4"/>
    <mergeCell ref="AI4:AN4"/>
  </mergeCells>
  <phoneticPr fontId="46" type="noConversion"/>
  <conditionalFormatting sqref="A550:A584 A586:A1246">
    <cfRule type="expression" dxfId="281" priority="74" stopIfTrue="1">
      <formula>#REF!="Failed"</formula>
    </cfRule>
  </conditionalFormatting>
  <conditionalFormatting sqref="A545:Z545 AH545:AO546 AB545:AC547 AE545:AF547 A546:E546 D547 G546:Y546 H547 L547 P547:R547 AO547 V547:W547 A547:C584 B585:C585 X547:Y696 G547:G696 I547:K696 A586:C696 E547:E696 M547:O696 S547:U696 AI547:AN551 G710:G1247 I710:K1247 X705:Y707 M710:O1247 E710:E1247 A710:C1247 S710:U1247 A705:C707 E705:E707 G705:G707 I705:K707 M705:O707 S705:U707 AI705:AM707 AH547:AH1247 AI961:AN1247 AI710:AM960 AI552:AM696 AN552:AN960 X710:Y1247">
    <cfRule type="expression" dxfId="280" priority="79" stopIfTrue="1">
      <formula>$AQ543="Failed"</formula>
    </cfRule>
  </conditionalFormatting>
  <conditionalFormatting sqref="A549 AB549:AC549 AE549:AF549 H549 D549 L549 P549:R549 V549:W549">
    <cfRule type="expression" dxfId="279" priority="96" stopIfTrue="1">
      <formula>#REF!="Failed"</formula>
    </cfRule>
  </conditionalFormatting>
  <conditionalFormatting sqref="Z1248:Z1249 A550:A584 H550:H1246 L550:L1246 P550:R1246 Z1239:Z1246 V550:W1246 A586:A1246 AB550:AC1246 AE550:AF1246 D550:D1246 AO551:AO1246">
    <cfRule type="expression" dxfId="278" priority="18" stopIfTrue="1">
      <formula>#REF!="Failed"</formula>
    </cfRule>
  </conditionalFormatting>
  <conditionalFormatting sqref="B538:AO538 AI8:AM16 AI18:AM535 AN8:AO535 B7:Y537 AA7:AO7 AA8:AH537 AI536:AO537">
    <cfRule type="expression" dxfId="277" priority="75" stopIfTrue="1">
      <formula>$AQ7="Failed"</formula>
    </cfRule>
  </conditionalFormatting>
  <conditionalFormatting sqref="A539:AO539">
    <cfRule type="expression" dxfId="276" priority="110" stopIfTrue="1">
      <formula>#REF!="Failed"</formula>
    </cfRule>
  </conditionalFormatting>
  <conditionalFormatting sqref="D7:D538">
    <cfRule type="containsText" dxfId="275" priority="17" stopIfTrue="1" operator="containsText" text="Yes">
      <formula>NOT(ISERROR(SEARCH("Yes",D7)))</formula>
    </cfRule>
  </conditionalFormatting>
  <conditionalFormatting sqref="A540:AO542">
    <cfRule type="expression" dxfId="274" priority="85" stopIfTrue="1">
      <formula>$AQ539="Failed"</formula>
    </cfRule>
  </conditionalFormatting>
  <conditionalFormatting sqref="AD7:AE538 AE545:AE1246">
    <cfRule type="expression" dxfId="273" priority="26" stopIfTrue="1">
      <formula>AD7&gt;AA7</formula>
    </cfRule>
  </conditionalFormatting>
  <conditionalFormatting sqref="AF545:AF1246 AF7:AF538">
    <cfRule type="expression" dxfId="272" priority="24" stopIfTrue="1">
      <formula>$AF7&gt;$AC7</formula>
    </cfRule>
  </conditionalFormatting>
  <conditionalFormatting sqref="AF1311:AF2013">
    <cfRule type="cellIs" dxfId="271" priority="34" stopIfTrue="1" operator="equal">
      <formula>0</formula>
    </cfRule>
  </conditionalFormatting>
  <conditionalFormatting sqref="A548 AB548:AC548 AE548:AF548 H548 D548 L548 P548:R548 V548:W548 X702:Y702 A702">
    <cfRule type="expression" dxfId="270" priority="112" stopIfTrue="1">
      <formula>$AQ544="Failed"</formula>
    </cfRule>
  </conditionalFormatting>
  <conditionalFormatting sqref="A539:A584 A1:A4 A586:A1048576">
    <cfRule type="duplicateValues" dxfId="269" priority="16"/>
  </conditionalFormatting>
  <conditionalFormatting sqref="A1:A4 A6:A584 A586:A1048576">
    <cfRule type="duplicateValues" dxfId="268" priority="14"/>
  </conditionalFormatting>
  <conditionalFormatting sqref="AI17:AM17">
    <cfRule type="expression" dxfId="267" priority="13" stopIfTrue="1">
      <formula>#REF!="Failed"</formula>
    </cfRule>
  </conditionalFormatting>
  <conditionalFormatting sqref="AO548:AO550">
    <cfRule type="expression" dxfId="266" priority="11" stopIfTrue="1">
      <formula>$AQ546="Failed"</formula>
    </cfRule>
  </conditionalFormatting>
  <conditionalFormatting sqref="A585">
    <cfRule type="duplicateValues" dxfId="265" priority="7"/>
  </conditionalFormatting>
  <conditionalFormatting sqref="A585">
    <cfRule type="duplicateValues" dxfId="264" priority="8"/>
    <cfRule type="duplicateValues" dxfId="263" priority="9"/>
  </conditionalFormatting>
  <conditionalFormatting sqref="A585">
    <cfRule type="duplicateValues" dxfId="262" priority="6"/>
  </conditionalFormatting>
  <conditionalFormatting sqref="A585">
    <cfRule type="expression" dxfId="261" priority="10" stopIfTrue="1">
      <formula>#REF!="Failed"</formula>
    </cfRule>
  </conditionalFormatting>
  <conditionalFormatting sqref="G703:G704 X703:Y704 AI703:AM704 M703:O704 E703:E704 A703:C704 S703:U704 I703:K704">
    <cfRule type="expression" dxfId="260" priority="114" stopIfTrue="1">
      <formula>$AQ693="Failed"</formula>
    </cfRule>
  </conditionalFormatting>
  <conditionalFormatting sqref="G708:G709 I708:K709 X708:Y709 AI708:AM709 M708:O709 E708:E709 A708:C709 S708:U709 X697:Y701 E697:E700 A697:C700 B702 A701:B701 C701:C702 G697:G702 I697:K702 M697:O702 S697:U702 AI697:AM702">
    <cfRule type="expression" dxfId="259" priority="116" stopIfTrue="1">
      <formula>$AQ694="Failed"</formula>
    </cfRule>
  </conditionalFormatting>
  <conditionalFormatting sqref="E701:E702">
    <cfRule type="expression" dxfId="258" priority="5" stopIfTrue="1">
      <formula>$AQ698="Failed"</formula>
    </cfRule>
  </conditionalFormatting>
  <conditionalFormatting sqref="Z7">
    <cfRule type="expression" dxfId="257" priority="4" stopIfTrue="1">
      <formula>$AQ7="Failed"</formula>
    </cfRule>
  </conditionalFormatting>
  <conditionalFormatting sqref="Z8:Z537">
    <cfRule type="expression" dxfId="256" priority="3" stopIfTrue="1">
      <formula>$AQ8="Failed"</formula>
    </cfRule>
  </conditionalFormatting>
  <conditionalFormatting sqref="Z546:Z1238">
    <cfRule type="expression" dxfId="255" priority="2" stopIfTrue="1">
      <formula>$AQ546="Failed"</formula>
    </cfRule>
  </conditionalFormatting>
  <conditionalFormatting sqref="A1:A4 A6:A1048576">
    <cfRule type="duplicateValues" dxfId="254" priority="1"/>
  </conditionalFormatting>
  <dataValidations xWindow="954" yWindow="577" count="11">
    <dataValidation type="list" allowBlank="1" showErrorMessage="1" sqref="D544:D1247 D6:D538">
      <formula1>"Yes,No"</formula1>
    </dataValidation>
    <dataValidation type="date" allowBlank="1" showInputMessage="1" showErrorMessage="1" sqref="T1258:U1259 I5:K5 F1:G1 O1 F5:G5 M5:O5 I1:K1 M1 S1:U1 S1260:U1048576 I1258:K1048576 S5:U5 X5:Y5 M1258:O1048576 X1258:Y1048576 S1250:U1250 AI1258:AN1048576 S3:U3 AI1:AN4 I3:K3 M3:O3 F3 G2:G3 AI539:AN542 X1:Y3 F539:G542 I539:K542 S539:U542 M539:O542 X539:Y542 AI1250:AN1251 X1250:Y1251 M1250:O1251 F1250:G1251 I1250:K1251 T1251:U1251 G1258:G1048576 F1258:F1260 F1262:F1048576">
      <formula1>36526</formula1>
      <formula2>54789</formula2>
    </dataValidation>
    <dataValidation allowBlank="1" showInputMessage="1" showErrorMessage="1" prompt="Input the applicable date using the following format: DD-MM-YYYY. If the procurement stage does not apply, indicate &quot;N/A&quot;. Do not indicate dates in ranges or other additional information in this field." sqref="V545:W1246 H545:H1246 L545:L1246 P545:R1246 V7:W538 P7:R538 L7:L538 H7:H538"/>
    <dataValidation allowBlank="1" showInputMessage="1" showErrorMessage="1" prompt="or HoPE's duly designated second ranking official." sqref="AD1258:AD1259"/>
    <dataValidation allowBlank="1" showInputMessage="1" showErrorMessage="1" prompt="Input the applicable date using following format: DD-MMM-YYYY. If the procurement stage does not apply, indicate &quot;N/A&quot;." sqref="H539:H542 H544"/>
    <dataValidation allowBlank="1" showInputMessage="1" showErrorMessage="1" prompt="This shall include Procurement Projects that are successfully implemented and final payment to supplier/contractor has been made, as well as those procurement projects that are declared as failed within the period covered." sqref="A6"/>
    <dataValidation allowBlank="1" showInputMessage="1" showErrorMessage="1" prompt="This shall include procurement projects that has already begun its procurement process but no signed Contract and/or NTP (if needed), yet or where the Notice of Award(s) is/are issued, but the contract is not yet perfected." sqref="A544"/>
    <dataValidation allowBlank="1" showInputMessage="1" promptTitle="Name of Agency" prompt="Please indicate the complete name of your agency, do not abbreviate. " sqref="A2"/>
    <dataValidation allowBlank="1" showInputMessage="1" promptTitle="Inserting Row" prompt="Please insert row above if needing additional row. If you need to insert hundred rows, simply highlight multiple Row numbers, then right-click, insert rows." sqref="B549:B1246 B7:B538"/>
    <dataValidation type="date" errorStyle="information" allowBlank="1" showInputMessage="1" showErrorMessage="1" error="Input the applicable date using the following format: DD-MM-YYYY. If the procurement stage does not apply, indicate &quot;N/A&quot;. Do not indicate dates in ranges or other additional information in this field." prompt="Input the applicable date using the following format: DD-MM-YYYY. If the procurement stage does not apply, indicate &quot;N/A&quot;. Do not indicate dates in ranges or other additional information in this field." sqref="AI544:AN1247 I544:K1247 M544:O1247 S544:U1247 X544:Y1247 S6:U538 M6:O538 I6:K538 F6:G538 AI6:AN538 X6:Y538 E546 F544:G545 F547:G1247 G546">
      <formula1>36526</formula1>
      <formula2>58806</formula2>
    </dataValidation>
    <dataValidation allowBlank="1" showInputMessage="1" sqref="A1252:XFD1257"/>
  </dataValidations>
  <printOptions horizontalCentered="1"/>
  <pageMargins left="0" right="0" top="0.5" bottom="0.25" header="0" footer="0"/>
  <pageSetup paperSize="14" scale="23" fitToHeight="0" pageOrder="overThenDown" orientation="landscape" r:id="rId1"/>
  <headerFooter>
    <oddFooter>&amp;L&amp;"Verdana,Regular"&amp;24&amp;F&amp;R&amp;"Verdana,Regular"&amp;26Page &amp;P of &amp;N</oddFooter>
  </headerFooter>
  <ignoredErrors>
    <ignoredError sqref="F5:G5 I5 J5:K5 M5:O5 S5:T5 U5 X5:Y5" listDataValidation="1"/>
  </ignoredErrors>
  <tableParts count="2"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xWindow="954" yWindow="577" count="3">
        <x14:dataValidation type="list" allowBlank="1" showErrorMessage="1">
          <x14:formula1>
            <xm:f>'Tool 1-Processing'!$B$22:$B$44</xm:f>
          </x14:formula1>
          <xm:sqref>E6:E538 E544:E545 E547:E1247</xm:sqref>
        </x14:dataValidation>
        <x14:dataValidation type="list" allowBlank="1" showInputMessage="1">
          <x14:formula1>
            <xm:f>'Validation Menu'!$D$2:$D$6</xm:f>
          </x14:formula1>
          <xm:sqref>Z544:Z1247 Z6:Z538</xm:sqref>
        </x14:dataValidation>
        <x14:dataValidation type="list" allowBlank="1" showInputMessage="1" prompt="You may choose from the dropdown menu fro the status of your procurement or directly encode any changes from the APP on this section.">
          <x14:formula1>
            <xm:f>'Validation Menu'!$A$2:$A$14</xm:f>
          </x14:formula1>
          <xm:sqref>AO544:AO1247 AO6:AO538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37"/>
  <sheetViews>
    <sheetView showGridLines="0" topLeftCell="A40" zoomScale="85" zoomScaleNormal="85" workbookViewId="0">
      <selection activeCell="C69" sqref="C69"/>
    </sheetView>
  </sheetViews>
  <sheetFormatPr defaultColWidth="14.42578125" defaultRowHeight="15" customHeight="1" x14ac:dyDescent="0.25"/>
  <cols>
    <col min="1" max="1" width="1.7109375" customWidth="1"/>
    <col min="2" max="2" width="45" customWidth="1"/>
    <col min="3" max="3" width="35.7109375" customWidth="1"/>
    <col min="4" max="4" width="26.5703125" customWidth="1"/>
    <col min="5" max="5" width="25.28515625" customWidth="1"/>
    <col min="6" max="6" width="24.42578125" customWidth="1"/>
    <col min="7" max="7" width="19.7109375" customWidth="1"/>
    <col min="8" max="8" width="26.28515625" customWidth="1"/>
    <col min="9" max="9" width="15.5703125" customWidth="1"/>
    <col min="10" max="10" width="16.7109375" customWidth="1"/>
    <col min="11" max="11" width="14" customWidth="1"/>
    <col min="12" max="13" width="16.42578125" customWidth="1"/>
    <col min="14" max="14" width="13.85546875" customWidth="1"/>
    <col min="15" max="15" width="15.42578125" customWidth="1"/>
    <col min="16" max="16" width="15.7109375" customWidth="1"/>
    <col min="17" max="17" width="12.7109375" customWidth="1"/>
    <col min="18" max="18" width="11.5703125" style="158" customWidth="1"/>
    <col min="19" max="19" width="14.140625" style="158" customWidth="1"/>
    <col min="20" max="20" width="13.42578125" style="158" customWidth="1"/>
    <col min="21" max="21" width="14.42578125" style="158"/>
  </cols>
  <sheetData>
    <row r="1" spans="1:20" ht="38.450000000000003" customHeight="1" x14ac:dyDescent="0.25">
      <c r="A1" s="1"/>
      <c r="B1" s="14" t="s">
        <v>52</v>
      </c>
      <c r="C1" s="1"/>
      <c r="D1" s="1"/>
      <c r="E1" s="1"/>
      <c r="F1" s="5"/>
      <c r="G1" s="5"/>
      <c r="H1" s="1"/>
      <c r="I1" s="7"/>
      <c r="J1" s="7"/>
      <c r="K1" s="7"/>
      <c r="L1" s="8"/>
      <c r="M1" s="8"/>
      <c r="N1" s="1"/>
      <c r="O1" s="5"/>
      <c r="P1" s="5"/>
      <c r="Q1" s="1"/>
      <c r="R1" s="156"/>
      <c r="S1" s="156"/>
      <c r="T1" s="157"/>
    </row>
    <row r="2" spans="1:20" ht="13.5" customHeight="1" x14ac:dyDescent="0.25">
      <c r="A2" s="1"/>
      <c r="B2" s="1"/>
      <c r="C2" s="1"/>
      <c r="D2" s="1"/>
      <c r="E2" s="1"/>
      <c r="F2" s="5"/>
      <c r="G2" s="5"/>
      <c r="H2" s="1"/>
      <c r="I2" s="1"/>
      <c r="J2" s="1"/>
      <c r="K2" s="1"/>
      <c r="L2" s="5"/>
      <c r="M2" s="5"/>
      <c r="N2" s="1"/>
      <c r="O2" s="5"/>
      <c r="P2" s="5"/>
      <c r="Q2" s="1"/>
      <c r="R2" s="156"/>
      <c r="S2" s="156"/>
      <c r="T2" s="157"/>
    </row>
    <row r="3" spans="1:20" ht="13.5" customHeight="1" x14ac:dyDescent="0.25">
      <c r="A3" s="7"/>
      <c r="B3" s="8"/>
      <c r="C3" s="664"/>
      <c r="D3" s="665"/>
      <c r="E3" s="8"/>
      <c r="F3" s="8"/>
      <c r="G3" s="8"/>
      <c r="H3" s="7"/>
      <c r="I3" s="7"/>
      <c r="J3" s="7"/>
      <c r="K3" s="7"/>
      <c r="L3" s="8"/>
      <c r="M3" s="8"/>
      <c r="N3" s="7"/>
      <c r="O3" s="8"/>
      <c r="P3" s="8"/>
      <c r="Q3" s="7"/>
      <c r="R3" s="159"/>
      <c r="S3" s="159"/>
      <c r="T3" s="160"/>
    </row>
    <row r="4" spans="1:20" ht="13.5" customHeight="1" x14ac:dyDescent="0.25">
      <c r="A4" s="13"/>
      <c r="B4" s="11" t="s">
        <v>53</v>
      </c>
      <c r="C4" s="13"/>
      <c r="D4" s="15" t="e">
        <f>IF(C7,C8/C7,0)</f>
        <v>#REF!</v>
      </c>
      <c r="E4" s="13"/>
      <c r="F4" s="12"/>
      <c r="G4" s="12"/>
      <c r="H4" s="13"/>
      <c r="I4" s="13"/>
      <c r="J4" s="13"/>
      <c r="K4" s="13"/>
      <c r="L4" s="12"/>
      <c r="M4" s="12"/>
      <c r="N4" s="13"/>
      <c r="O4" s="12"/>
      <c r="P4" s="12"/>
      <c r="Q4" s="13"/>
      <c r="R4" s="161"/>
      <c r="S4" s="161"/>
      <c r="T4" s="162"/>
    </row>
    <row r="5" spans="1:20" ht="13.5" customHeight="1" x14ac:dyDescent="0.25">
      <c r="A5" s="1"/>
      <c r="B5" s="3"/>
      <c r="C5" s="3"/>
      <c r="D5" s="3"/>
      <c r="E5" s="1"/>
      <c r="F5" s="5"/>
      <c r="G5" s="5"/>
      <c r="H5" s="1"/>
      <c r="I5" s="1"/>
      <c r="J5" s="1"/>
      <c r="K5" s="1"/>
      <c r="L5" s="5"/>
      <c r="M5" s="5"/>
      <c r="N5" s="1"/>
      <c r="O5" s="5"/>
      <c r="P5" s="5"/>
      <c r="Q5" s="1"/>
      <c r="R5" s="156"/>
      <c r="S5" s="156"/>
      <c r="T5" s="157"/>
    </row>
    <row r="6" spans="1:20" ht="13.5" customHeight="1" x14ac:dyDescent="0.25">
      <c r="A6" s="7"/>
      <c r="B6" s="59" t="s">
        <v>54</v>
      </c>
      <c r="C6" s="60" t="s">
        <v>55</v>
      </c>
      <c r="D6" s="59" t="s">
        <v>56</v>
      </c>
      <c r="E6" s="7"/>
      <c r="F6" s="8"/>
      <c r="G6" s="8"/>
      <c r="H6" s="7"/>
      <c r="I6" s="7"/>
      <c r="J6" s="7"/>
      <c r="K6" s="7"/>
      <c r="L6" s="8"/>
      <c r="M6" s="8"/>
      <c r="N6" s="7"/>
      <c r="O6" s="8"/>
      <c r="P6" s="8"/>
      <c r="Q6" s="7"/>
      <c r="R6" s="159"/>
      <c r="S6" s="159"/>
      <c r="T6" s="160"/>
    </row>
    <row r="7" spans="1:20" ht="24" customHeight="1" x14ac:dyDescent="0.25">
      <c r="A7" s="1"/>
      <c r="B7" s="61" t="s">
        <v>57</v>
      </c>
      <c r="C7" s="62" t="e">
        <f>PMR!#REF!</f>
        <v>#REF!</v>
      </c>
      <c r="D7" s="61"/>
      <c r="E7" s="1"/>
      <c r="F7" s="5"/>
      <c r="G7" s="5"/>
      <c r="H7" s="1"/>
      <c r="I7" s="1"/>
      <c r="J7" s="1"/>
      <c r="K7" s="1"/>
      <c r="L7" s="5"/>
      <c r="M7" s="5"/>
      <c r="N7" s="1"/>
      <c r="O7" s="5"/>
      <c r="P7" s="5"/>
      <c r="Q7" s="1"/>
      <c r="R7" s="156"/>
      <c r="S7" s="156"/>
      <c r="T7" s="157"/>
    </row>
    <row r="8" spans="1:20" ht="55.15" customHeight="1" x14ac:dyDescent="0.25">
      <c r="A8" s="1"/>
      <c r="B8" s="61" t="s">
        <v>58</v>
      </c>
      <c r="C8" s="62" t="e">
        <f>SUM(Complete[[#Totals],[Total ]],Table13[[#Totals],[Column27]])-E95</f>
        <v>#REF!</v>
      </c>
      <c r="D8" s="63" t="s">
        <v>59</v>
      </c>
      <c r="E8" s="1"/>
      <c r="F8" s="5"/>
      <c r="G8" s="5"/>
      <c r="H8" s="1"/>
      <c r="I8" s="1"/>
      <c r="J8" s="1"/>
      <c r="K8" s="1"/>
      <c r="L8" s="5"/>
      <c r="M8" s="5"/>
      <c r="N8" s="1"/>
      <c r="O8" s="5"/>
      <c r="P8" s="5"/>
      <c r="Q8" s="1"/>
      <c r="R8" s="156"/>
      <c r="S8" s="156"/>
      <c r="T8" s="157"/>
    </row>
    <row r="9" spans="1:20" ht="13.5" customHeight="1" x14ac:dyDescent="0.25">
      <c r="A9" s="1"/>
      <c r="B9" s="3"/>
      <c r="C9" s="3"/>
      <c r="D9" s="3"/>
      <c r="E9" s="1"/>
      <c r="F9" s="5"/>
      <c r="G9" s="5"/>
      <c r="H9" s="1"/>
      <c r="I9" s="1"/>
      <c r="J9" s="1"/>
      <c r="K9" s="1"/>
      <c r="L9" s="5"/>
      <c r="M9" s="5"/>
      <c r="N9" s="1"/>
      <c r="O9" s="5"/>
      <c r="P9" s="5"/>
      <c r="Q9" s="1"/>
      <c r="R9" s="156"/>
      <c r="S9" s="156"/>
      <c r="T9" s="157"/>
    </row>
    <row r="10" spans="1:20" ht="40.9" customHeight="1" x14ac:dyDescent="0.25">
      <c r="A10" s="13"/>
      <c r="B10" s="11" t="s">
        <v>60</v>
      </c>
      <c r="C10" s="13"/>
      <c r="D10" s="15" t="e">
        <f>IF(C16,C15/C16,0)</f>
        <v>#REF!</v>
      </c>
      <c r="E10" s="16"/>
      <c r="F10" s="12"/>
      <c r="G10" s="12"/>
      <c r="H10" s="13"/>
      <c r="I10" s="13"/>
      <c r="J10" s="13"/>
      <c r="K10" s="13"/>
      <c r="L10" s="12"/>
      <c r="M10" s="12"/>
      <c r="N10" s="13"/>
      <c r="O10" s="12"/>
      <c r="P10" s="12"/>
      <c r="Q10" s="13"/>
      <c r="R10" s="161"/>
      <c r="S10" s="161"/>
      <c r="T10" s="162"/>
    </row>
    <row r="11" spans="1:20" ht="13.5" customHeight="1" x14ac:dyDescent="0.25">
      <c r="A11" s="1"/>
      <c r="B11" s="3"/>
      <c r="C11" s="3"/>
      <c r="D11" s="3"/>
      <c r="E11" s="1"/>
      <c r="F11" s="5"/>
      <c r="G11" s="5"/>
      <c r="H11" s="1"/>
      <c r="I11" s="1"/>
      <c r="J11" s="1"/>
      <c r="K11" s="1"/>
      <c r="L11" s="5"/>
      <c r="M11" s="5"/>
      <c r="N11" s="1"/>
      <c r="O11" s="5"/>
      <c r="P11" s="5"/>
      <c r="Q11" s="1"/>
      <c r="R11" s="156"/>
      <c r="S11" s="156"/>
      <c r="T11" s="157"/>
    </row>
    <row r="12" spans="1:20" ht="13.5" customHeight="1" x14ac:dyDescent="0.25">
      <c r="A12" s="7"/>
      <c r="B12" s="59" t="s">
        <v>61</v>
      </c>
      <c r="C12" s="60" t="s">
        <v>55</v>
      </c>
      <c r="D12" s="59" t="s">
        <v>56</v>
      </c>
      <c r="E12" s="7"/>
      <c r="F12" s="8"/>
      <c r="G12" s="8"/>
      <c r="H12" s="7"/>
      <c r="I12" s="7"/>
      <c r="J12" s="7"/>
      <c r="K12" s="7"/>
      <c r="L12" s="8"/>
      <c r="M12" s="8"/>
      <c r="N12" s="7"/>
      <c r="O12" s="8"/>
      <c r="P12" s="8"/>
      <c r="Q12" s="7"/>
      <c r="R12" s="159"/>
      <c r="S12" s="159"/>
      <c r="T12" s="160"/>
    </row>
    <row r="13" spans="1:20" ht="40.9" customHeight="1" x14ac:dyDescent="0.25">
      <c r="A13" s="7"/>
      <c r="B13" s="64" t="s">
        <v>62</v>
      </c>
      <c r="C13" s="62" t="e">
        <f>C8</f>
        <v>#REF!</v>
      </c>
      <c r="D13" s="59"/>
      <c r="E13" s="7"/>
      <c r="F13" s="8"/>
      <c r="G13" s="8"/>
      <c r="H13" s="7"/>
      <c r="I13" s="7"/>
      <c r="J13" s="7"/>
      <c r="K13" s="7"/>
      <c r="L13" s="8"/>
      <c r="M13" s="8"/>
      <c r="N13" s="7"/>
      <c r="O13" s="8"/>
      <c r="P13" s="8"/>
      <c r="Q13" s="7"/>
      <c r="R13" s="159"/>
      <c r="S13" s="159"/>
      <c r="T13" s="160"/>
    </row>
    <row r="14" spans="1:20" ht="16.899999999999999" customHeight="1" x14ac:dyDescent="0.25">
      <c r="A14" s="7"/>
      <c r="B14" s="64" t="s">
        <v>63</v>
      </c>
      <c r="C14" s="62">
        <f>SUM(SUMIF(Complete[Notice of Award],"&gt;1",Complete[Total2]),SUMIF(Table13[Column19],"&gt;1",Table13[Column30]))</f>
        <v>186274065.54000002</v>
      </c>
      <c r="D14" s="59"/>
      <c r="E14" s="7"/>
      <c r="F14" s="8"/>
      <c r="G14" s="8"/>
      <c r="H14" s="7"/>
      <c r="I14" s="7"/>
      <c r="J14" s="7"/>
      <c r="K14" s="7"/>
      <c r="L14" s="8"/>
      <c r="M14" s="8"/>
      <c r="N14" s="7"/>
      <c r="O14" s="8"/>
      <c r="P14" s="8"/>
      <c r="Q14" s="7"/>
      <c r="R14" s="159"/>
      <c r="S14" s="159"/>
      <c r="T14" s="160"/>
    </row>
    <row r="15" spans="1:20" ht="41.45" customHeight="1" x14ac:dyDescent="0.25">
      <c r="A15" s="1"/>
      <c r="B15" s="64" t="s">
        <v>64</v>
      </c>
      <c r="C15" s="105" t="e">
        <f>IF(C13,(C13-C14)/C13,0)</f>
        <v>#REF!</v>
      </c>
      <c r="D15" s="61" t="s">
        <v>65</v>
      </c>
      <c r="E15" s="17"/>
      <c r="F15" s="5"/>
      <c r="G15" s="5"/>
      <c r="H15" s="1"/>
      <c r="I15" s="1"/>
      <c r="J15" s="1"/>
      <c r="K15" s="1"/>
      <c r="L15" s="5"/>
      <c r="M15" s="5"/>
      <c r="N15" s="1"/>
      <c r="O15" s="5"/>
      <c r="P15" s="5"/>
      <c r="Q15" s="1"/>
      <c r="R15" s="156"/>
      <c r="S15" s="156"/>
      <c r="T15" s="157"/>
    </row>
    <row r="16" spans="1:20" ht="13.5" customHeight="1" x14ac:dyDescent="0.25">
      <c r="A16" s="1"/>
      <c r="B16" s="61" t="s">
        <v>66</v>
      </c>
      <c r="C16" s="65">
        <f>SUM(COUNTIF(Complete[Notice of Award],"&gt;1"),COUNTIF(Table13[Column19],"&gt;1"))</f>
        <v>329</v>
      </c>
      <c r="D16" s="61"/>
      <c r="E16" s="1"/>
      <c r="F16" s="5"/>
      <c r="G16" s="5"/>
      <c r="H16" s="1"/>
      <c r="I16" s="1"/>
      <c r="J16" s="1"/>
      <c r="K16" s="1"/>
      <c r="L16" s="5"/>
      <c r="M16" s="5"/>
      <c r="N16" s="1"/>
      <c r="O16" s="5"/>
      <c r="P16" s="5"/>
      <c r="Q16" s="1"/>
      <c r="R16" s="156"/>
      <c r="S16" s="156"/>
      <c r="T16" s="157"/>
    </row>
    <row r="17" spans="1:21" ht="13.5" customHeight="1" x14ac:dyDescent="0.25">
      <c r="A17" s="1"/>
      <c r="B17" s="18"/>
      <c r="C17" s="19"/>
      <c r="D17" s="18"/>
      <c r="E17" s="1"/>
      <c r="F17" s="5"/>
      <c r="G17" s="5"/>
      <c r="H17" s="1"/>
      <c r="I17" s="1"/>
      <c r="J17" s="1"/>
      <c r="K17" s="1"/>
      <c r="L17" s="5"/>
      <c r="M17" s="5"/>
      <c r="N17" s="1"/>
      <c r="O17" s="5"/>
      <c r="P17" s="5"/>
      <c r="Q17" s="1"/>
      <c r="S17" s="156"/>
      <c r="T17" s="157"/>
    </row>
    <row r="18" spans="1:21" ht="13.5" customHeight="1" x14ac:dyDescent="0.25">
      <c r="A18" s="1"/>
      <c r="B18" s="145" t="s">
        <v>67</v>
      </c>
      <c r="C18" s="19"/>
      <c r="D18" s="18"/>
      <c r="E18" s="1"/>
      <c r="F18" s="5"/>
      <c r="G18" s="5"/>
      <c r="H18" s="1"/>
      <c r="I18" s="1"/>
      <c r="J18" s="1"/>
      <c r="K18" s="1"/>
      <c r="L18" s="5"/>
      <c r="M18" s="5"/>
      <c r="N18" s="1"/>
      <c r="O18" s="5"/>
      <c r="P18" s="5"/>
      <c r="Q18" s="1"/>
      <c r="R18" s="156"/>
      <c r="S18" s="156"/>
      <c r="T18" s="157"/>
    </row>
    <row r="19" spans="1:21" ht="13.5" customHeight="1" thickBot="1" x14ac:dyDescent="0.3">
      <c r="A19" s="1"/>
      <c r="B19" s="18"/>
      <c r="C19" s="18"/>
      <c r="D19" s="18"/>
      <c r="E19" s="1"/>
      <c r="F19" s="5"/>
      <c r="G19" s="5"/>
      <c r="H19" s="1"/>
      <c r="I19" s="1"/>
      <c r="J19" s="1"/>
      <c r="K19" s="1"/>
      <c r="L19" s="5"/>
      <c r="M19" s="5"/>
      <c r="N19" s="1"/>
      <c r="O19" s="5"/>
      <c r="P19" s="5"/>
      <c r="Q19" s="1"/>
      <c r="R19" s="156"/>
      <c r="S19" s="156"/>
      <c r="T19" s="157"/>
    </row>
    <row r="20" spans="1:21" ht="60" customHeight="1" thickTop="1" thickBot="1" x14ac:dyDescent="0.3">
      <c r="A20" s="3"/>
      <c r="B20" s="168"/>
      <c r="C20" s="169"/>
      <c r="D20" s="147" t="s">
        <v>68</v>
      </c>
      <c r="E20" s="170"/>
      <c r="F20" s="173" t="s">
        <v>69</v>
      </c>
      <c r="G20" s="174"/>
      <c r="H20" s="670" t="s">
        <v>70</v>
      </c>
      <c r="I20" s="671"/>
      <c r="J20" s="669" t="s">
        <v>71</v>
      </c>
      <c r="K20" s="667"/>
      <c r="L20" s="667" t="s">
        <v>72</v>
      </c>
      <c r="M20" s="668"/>
      <c r="N20" s="666" t="s">
        <v>73</v>
      </c>
      <c r="O20" s="667"/>
      <c r="P20" s="150"/>
      <c r="R20" s="144"/>
      <c r="T20" s="144"/>
      <c r="U20" s="144"/>
    </row>
    <row r="21" spans="1:21" ht="54.6" customHeight="1" thickTop="1" x14ac:dyDescent="0.25">
      <c r="A21" s="3"/>
      <c r="B21" s="151" t="s">
        <v>8</v>
      </c>
      <c r="C21" s="42" t="s">
        <v>74</v>
      </c>
      <c r="D21" s="148" t="s">
        <v>75</v>
      </c>
      <c r="E21" s="171" t="s">
        <v>76</v>
      </c>
      <c r="F21" s="175" t="s">
        <v>77</v>
      </c>
      <c r="G21" s="176" t="s">
        <v>78</v>
      </c>
      <c r="H21" s="41" t="s">
        <v>79</v>
      </c>
      <c r="I21" s="52" t="s">
        <v>80</v>
      </c>
      <c r="J21" s="41" t="s">
        <v>81</v>
      </c>
      <c r="K21" s="52" t="s">
        <v>82</v>
      </c>
      <c r="L21" s="41" t="s">
        <v>83</v>
      </c>
      <c r="M21" s="52" t="s">
        <v>84</v>
      </c>
      <c r="N21" s="41" t="s">
        <v>85</v>
      </c>
      <c r="O21" s="153" t="s">
        <v>86</v>
      </c>
      <c r="Q21" s="158"/>
      <c r="U21"/>
    </row>
    <row r="22" spans="1:21" ht="13.5" customHeight="1" x14ac:dyDescent="0.25">
      <c r="A22" s="1"/>
      <c r="B22" s="152" t="s">
        <v>87</v>
      </c>
      <c r="C22" s="42">
        <f>COUNTIF(PMR!$E$7:$E$551,B22)</f>
        <v>55</v>
      </c>
      <c r="D22" s="148" t="e">
        <f>SUMIFS(PMR!$H$7:$H$550,PMR!$E$7:$E$550,Table2[[#This Row],[Mode of Procurement]])</f>
        <v>#N/A</v>
      </c>
      <c r="E22" s="172" t="e">
        <f>IF(Table2[[#This Row],[Total No. of Activities under subject modality]],Table2[[#This Row],[Total No. of Days from PreProc to IB]]/Table2[[#This Row],[Total No. of Activities under subject modality]],"")</f>
        <v>#N/A</v>
      </c>
      <c r="F22" s="177">
        <f>SUMIFS(PMR!$L$7:$L$551,PMR!$E$7:$E$551,B22)</f>
        <v>-543</v>
      </c>
      <c r="G22" s="178" t="e">
        <f>IF(Table2[[#This Row],[Total No. of Activities under subject modality]],Table2[[#This Row],[Total No. of Days from PreProc to IB]]/Table2[[#This Row],[Total No. of Activities under subject modality]],"")</f>
        <v>#N/A</v>
      </c>
      <c r="H22" s="51">
        <f>SUMIFS(PMR!$Q$7:$Q$551,PMR!$E$7:$E$551,B22)</f>
        <v>230</v>
      </c>
      <c r="I22" s="53">
        <f>IF(Table2[[#This Row],[Total No. of Activities under subject modality]],Table2[[#This Row],[Total No. of Days Opening to Recommend Award)]]/Table2[[#This Row],[Total No. of Activities under subject modality]],"")</f>
        <v>4.1818181818181817</v>
      </c>
      <c r="J22" s="49">
        <f>SUMIFS(PMR!$R$7:$R$551,PMR!$E$7:$E$551,B22)</f>
        <v>-313</v>
      </c>
      <c r="K22" s="53">
        <f>IF(Table2[[#This Row],[Total No. of Activities under subject modality]],Table2[[#This Row],[Total No. of Days
from Posting of IB to Recommend Award]]/Table2[[#This Row],[Total No. of Activities under subject modality]],"")</f>
        <v>-5.6909090909090905</v>
      </c>
      <c r="L22" s="49">
        <f>SUMIFS(PMR!$V$7:$V$551,PMR!$E$7:$E$551,B22)</f>
        <v>102</v>
      </c>
      <c r="M22" s="53">
        <f>IF(Table2[[#This Row],[Total No. of Activities under subject modality]],Table2[[#This Row],[Total No. of Days 
from Issuance of NOA to Issue NTP]]/Table2[[#This Row],[Total No. of Activities under subject modality]],"")</f>
        <v>1.8545454545454545</v>
      </c>
      <c r="N22" s="49">
        <f>SUMIFS(PMR!W7:W550,PMR!E7:E550,Table2[[#This Row],[Mode of Procurement]])</f>
        <v>-275</v>
      </c>
      <c r="O22" s="154">
        <f>IF(Table2[[#This Row],[Total No. of Activities under subject modality]],Table2[[#This Row],[Total No. of Days 
from Posting of IB to Issue NTP]]/Table2[[#This Row],[Total No. of Activities under subject modality]],"")</f>
        <v>-5</v>
      </c>
      <c r="Q22" s="158"/>
      <c r="U22"/>
    </row>
    <row r="23" spans="1:21" ht="13.5" customHeight="1" x14ac:dyDescent="0.25">
      <c r="A23" s="1"/>
      <c r="B23" s="152" t="s">
        <v>88</v>
      </c>
      <c r="C23" s="42">
        <f>COUNTIF(PMR!$E$7:$E$551,B23)</f>
        <v>0</v>
      </c>
      <c r="D23" s="148">
        <f>SUMIFS(PMR!$H$7:$H$550,PMR!$E$7:$E$550,Table2[[#This Row],[Mode of Procurement]])</f>
        <v>0</v>
      </c>
      <c r="E23" s="172" t="str">
        <f>IF(Table2[[#This Row],[Total No. of Activities under subject modality]],Table2[[#This Row],[Total No. of Days from PreProc to IB]]/Table2[[#This Row],[Total No. of Activities under subject modality]],"")</f>
        <v/>
      </c>
      <c r="F23" s="177">
        <f>SUMIFS(PMR!$L$7:$L$551,PMR!$E$7:$E$551,B23)</f>
        <v>0</v>
      </c>
      <c r="G23" s="178" t="str">
        <f>IF(Table2[[#This Row],[Total No. of Activities under subject modality]],Table2[[#This Row],[Total No. of Days from PreProc to IB]]/Table2[[#This Row],[Total No. of Activities under subject modality]],"")</f>
        <v/>
      </c>
      <c r="H23" s="51">
        <f>SUMIFS(PMR!$Q$7:$Q$551,PMR!$E$7:$E$551,B23)</f>
        <v>0</v>
      </c>
      <c r="I23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23" s="49">
        <f>SUMIFS(PMR!$R$7:$R$551,PMR!$E$7:$E$551,B23)</f>
        <v>0</v>
      </c>
      <c r="K23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23" s="49">
        <f>SUMIFS(PMR!$V$7:$V$551,PMR!$E$7:$E$551,B23)</f>
        <v>0</v>
      </c>
      <c r="M23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23" s="49">
        <f>SUMIFS(PMR!W23:W551,PMR!E23:E551,Table2[[#This Row],[Mode of Procurement]])</f>
        <v>0</v>
      </c>
      <c r="O23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23" s="158"/>
      <c r="U23"/>
    </row>
    <row r="24" spans="1:21" ht="13.5" customHeight="1" x14ac:dyDescent="0.25">
      <c r="A24" s="1"/>
      <c r="B24" s="152" t="s">
        <v>89</v>
      </c>
      <c r="C24" s="42">
        <f>COUNTIF(PMR!$E$7:$E$551,B24)</f>
        <v>24</v>
      </c>
      <c r="D24" s="148">
        <f>SUMIFS(PMR!$H$7:$H$550,PMR!$E$7:$E$550,Table2[[#This Row],[Mode of Procurement]])</f>
        <v>0</v>
      </c>
      <c r="E24" s="172">
        <f>IF(Table2[[#This Row],[Total No. of Activities under subject modality]],Table2[[#This Row],[Total No. of Days from PreProc to IB]]/Table2[[#This Row],[Total No. of Activities under subject modality]],"")</f>
        <v>0</v>
      </c>
      <c r="F24" s="177">
        <f>SUMIFS(PMR!$L$7:$L$551,PMR!$E$7:$E$551,B24)</f>
        <v>0</v>
      </c>
      <c r="G24" s="178">
        <f>IF(Table2[[#This Row],[Total No. of Activities under subject modality]],Table2[[#This Row],[Total No. of Days from PreProc to IB]]/Table2[[#This Row],[Total No. of Activities under subject modality]],"")</f>
        <v>0</v>
      </c>
      <c r="H24" s="51">
        <f>SUMIFS(PMR!$Q$7:$Q$551,PMR!$E$7:$E$551,B24)</f>
        <v>0</v>
      </c>
      <c r="I24" s="53">
        <f>IF(Table2[[#This Row],[Total No. of Activities under subject modality]],Table2[[#This Row],[Total No. of Days Opening to Recommend Award)]]/Table2[[#This Row],[Total No. of Activities under subject modality]],"")</f>
        <v>0</v>
      </c>
      <c r="J24" s="49">
        <f>SUMIFS(PMR!$R$7:$R$551,PMR!$E$7:$E$551,B24)</f>
        <v>0</v>
      </c>
      <c r="K24" s="53">
        <f>IF(Table2[[#This Row],[Total No. of Activities under subject modality]],Table2[[#This Row],[Total No. of Days
from Posting of IB to Recommend Award]]/Table2[[#This Row],[Total No. of Activities under subject modality]],"")</f>
        <v>0</v>
      </c>
      <c r="L24" s="49">
        <f>SUMIFS(PMR!$V$7:$V$551,PMR!$E$7:$E$551,B24)</f>
        <v>0</v>
      </c>
      <c r="M24" s="53">
        <f>IF(Table2[[#This Row],[Total No. of Activities under subject modality]],Table2[[#This Row],[Total No. of Days 
from Issuance of NOA to Issue NTP]]/Table2[[#This Row],[Total No. of Activities under subject modality]],"")</f>
        <v>0</v>
      </c>
      <c r="N24" s="49">
        <f>SUMIFS(PMR!W23:W1249,PMR!E23:E1249,Table2[[#This Row],[Mode of Procurement]])</f>
        <v>0</v>
      </c>
      <c r="O24" s="154">
        <f>IF(Table2[[#This Row],[Total No. of Activities under subject modality]],Table2[[#This Row],[Total No. of Days 
from Posting of IB to Issue NTP]]/Table2[[#This Row],[Total No. of Activities under subject modality]],"")</f>
        <v>0</v>
      </c>
      <c r="Q24" s="158"/>
      <c r="U24"/>
    </row>
    <row r="25" spans="1:21" ht="13.5" customHeight="1" x14ac:dyDescent="0.25">
      <c r="A25" s="1"/>
      <c r="B25" s="152" t="s">
        <v>90</v>
      </c>
      <c r="C25" s="42">
        <f>COUNTIF(PMR!$E$7:$E$551,B25)</f>
        <v>0</v>
      </c>
      <c r="D25" s="148">
        <f>SUMIFS(PMR!$H$7:$H$550,PMR!$E$7:$E$550,Table2[[#This Row],[Mode of Procurement]])</f>
        <v>0</v>
      </c>
      <c r="E25" s="172" t="str">
        <f>IF(Table2[[#This Row],[Total No. of Activities under subject modality]],Table2[[#This Row],[Total No. of Days from PreProc to IB]]/Table2[[#This Row],[Total No. of Activities under subject modality]],"")</f>
        <v/>
      </c>
      <c r="F25" s="177">
        <f>SUMIFS(PMR!$L$7:$L$551,PMR!$E$7:$E$551,B25)</f>
        <v>0</v>
      </c>
      <c r="G25" s="178" t="str">
        <f>IF(Table2[[#This Row],[Total No. of Activities under subject modality]],Table2[[#This Row],[Total No. of Days from PreProc to IB]]/Table2[[#This Row],[Total No. of Activities under subject modality]],"")</f>
        <v/>
      </c>
      <c r="H25" s="51">
        <f>SUMIFS(PMR!$Q$7:$Q$551,PMR!$E$7:$E$551,B25)</f>
        <v>0</v>
      </c>
      <c r="I25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25" s="49">
        <f>SUMIFS(PMR!$R$7:$R$551,PMR!$E$7:$E$551,B25)</f>
        <v>0</v>
      </c>
      <c r="K25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25" s="49">
        <f>SUMIFS(PMR!$V$7:$V$551,PMR!$E$7:$E$551,B25)</f>
        <v>0</v>
      </c>
      <c r="M25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25" s="49">
        <f>SUMIFS(PMR!W23:W1251,PMR!E23:E1251,Table2[[#This Row],[Mode of Procurement]])</f>
        <v>0</v>
      </c>
      <c r="O25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25" s="158"/>
      <c r="U25"/>
    </row>
    <row r="26" spans="1:21" ht="13.5" customHeight="1" x14ac:dyDescent="0.25">
      <c r="A26" s="1"/>
      <c r="B26" s="152" t="s">
        <v>91</v>
      </c>
      <c r="C26" s="42">
        <f>COUNTIF(PMR!$E$7:$E$551,B26)</f>
        <v>65</v>
      </c>
      <c r="D26" s="148">
        <f>SUMIFS(PMR!$H$7:$H$550,PMR!$E$7:$E$550,Table2[[#This Row],[Mode of Procurement]])</f>
        <v>0</v>
      </c>
      <c r="E26" s="172">
        <f>IF(Table2[[#This Row],[Total No. of Activities under subject modality]],Table2[[#This Row],[Total No. of Days from PreProc to IB]]/Table2[[#This Row],[Total No. of Activities under subject modality]],"")</f>
        <v>0</v>
      </c>
      <c r="F26" s="177">
        <f>SUMIFS(PMR!$L$7:$L$551,PMR!$E$7:$E$551,B26)</f>
        <v>0</v>
      </c>
      <c r="G26" s="178">
        <f>IF(Table2[[#This Row],[Total No. of Activities under subject modality]],Table2[[#This Row],[Total No. of Days from PreProc to IB]]/Table2[[#This Row],[Total No. of Activities under subject modality]],"")</f>
        <v>0</v>
      </c>
      <c r="H26" s="51">
        <f>SUMIFS(PMR!$Q$7:$Q$551,PMR!$E$7:$E$551,B26)</f>
        <v>0</v>
      </c>
      <c r="I26" s="53">
        <f>IF(Table2[[#This Row],[Total No. of Activities under subject modality]],Table2[[#This Row],[Total No. of Days Opening to Recommend Award)]]/Table2[[#This Row],[Total No. of Activities under subject modality]],"")</f>
        <v>0</v>
      </c>
      <c r="J26" s="49">
        <f>SUMIFS(PMR!$R$7:$R$551,PMR!$E$7:$E$551,B26)</f>
        <v>0</v>
      </c>
      <c r="K26" s="53">
        <f>IF(Table2[[#This Row],[Total No. of Activities under subject modality]],Table2[[#This Row],[Total No. of Days
from Posting of IB to Recommend Award]]/Table2[[#This Row],[Total No. of Activities under subject modality]],"")</f>
        <v>0</v>
      </c>
      <c r="L26" s="49">
        <f>SUMIFS(PMR!$V$7:$V$551,PMR!$E$7:$E$551,B26)</f>
        <v>0</v>
      </c>
      <c r="M26" s="53">
        <f>IF(Table2[[#This Row],[Total No. of Activities under subject modality]],Table2[[#This Row],[Total No. of Days 
from Issuance of NOA to Issue NTP]]/Table2[[#This Row],[Total No. of Activities under subject modality]],"")</f>
        <v>0</v>
      </c>
      <c r="N26" s="49">
        <f>SUMIFS(PMR!W538:W1252,PMR!E538:E1252,Table2[[#This Row],[Mode of Procurement]])</f>
        <v>0</v>
      </c>
      <c r="O26" s="154">
        <f>IF(Table2[[#This Row],[Total No. of Activities under subject modality]],Table2[[#This Row],[Total No. of Days 
from Posting of IB to Issue NTP]]/Table2[[#This Row],[Total No. of Activities under subject modality]],"")</f>
        <v>0</v>
      </c>
      <c r="Q26" s="158"/>
      <c r="U26"/>
    </row>
    <row r="27" spans="1:21" ht="13.5" customHeight="1" x14ac:dyDescent="0.25">
      <c r="A27" s="1"/>
      <c r="B27" s="152" t="s">
        <v>92</v>
      </c>
      <c r="C27" s="42">
        <f>COUNTIF(PMR!$E$7:$E$551,B27)</f>
        <v>49</v>
      </c>
      <c r="D27" s="148">
        <f>SUMIFS(PMR!$H$7:$H$550,PMR!$E$7:$E$550,Table2[[#This Row],[Mode of Procurement]])</f>
        <v>0</v>
      </c>
      <c r="E27" s="172">
        <f>IF(Table2[[#This Row],[Total No. of Activities under subject modality]],Table2[[#This Row],[Total No. of Days from PreProc to IB]]/Table2[[#This Row],[Total No. of Activities under subject modality]],"")</f>
        <v>0</v>
      </c>
      <c r="F27" s="177">
        <f>SUMIFS(PMR!$L$7:$L$551,PMR!$E$7:$E$551,B27)</f>
        <v>0</v>
      </c>
      <c r="G27" s="178">
        <f>IF(Table2[[#This Row],[Total No. of Activities under subject modality]],Table2[[#This Row],[Total No. of Days from PreProc to IB]]/Table2[[#This Row],[Total No. of Activities under subject modality]],"")</f>
        <v>0</v>
      </c>
      <c r="H27" s="51">
        <f>SUMIFS(PMR!$Q$7:$Q$551,PMR!$E$7:$E$551,B27)</f>
        <v>0</v>
      </c>
      <c r="I27" s="53">
        <f>IF(Table2[[#This Row],[Total No. of Activities under subject modality]],Table2[[#This Row],[Total No. of Days Opening to Recommend Award)]]/Table2[[#This Row],[Total No. of Activities under subject modality]],"")</f>
        <v>0</v>
      </c>
      <c r="J27" s="49">
        <f>SUMIFS(PMR!$R$7:$R$551,PMR!$E$7:$E$551,B27)</f>
        <v>0</v>
      </c>
      <c r="K27" s="53">
        <f>IF(Table2[[#This Row],[Total No. of Activities under subject modality]],Table2[[#This Row],[Total No. of Days
from Posting of IB to Recommend Award]]/Table2[[#This Row],[Total No. of Activities under subject modality]],"")</f>
        <v>0</v>
      </c>
      <c r="L27" s="49">
        <f>SUMIFS(PMR!$V$7:$V$551,PMR!$E$7:$E$551,B27)</f>
        <v>0</v>
      </c>
      <c r="M27" s="53">
        <f>IF(Table2[[#This Row],[Total No. of Activities under subject modality]],Table2[[#This Row],[Total No. of Days 
from Issuance of NOA to Issue NTP]]/Table2[[#This Row],[Total No. of Activities under subject modality]],"")</f>
        <v>0</v>
      </c>
      <c r="N27" s="49">
        <f>SUMIFS(PMR!W540:W1253,PMR!E540:E1253,Table2[[#This Row],[Mode of Procurement]])</f>
        <v>0</v>
      </c>
      <c r="O27" s="154">
        <f>IF(Table2[[#This Row],[Total No. of Activities under subject modality]],Table2[[#This Row],[Total No. of Days 
from Posting of IB to Issue NTP]]/Table2[[#This Row],[Total No. of Activities under subject modality]],"")</f>
        <v>0</v>
      </c>
      <c r="Q27" s="158"/>
      <c r="U27"/>
    </row>
    <row r="28" spans="1:21" ht="13.5" customHeight="1" x14ac:dyDescent="0.25">
      <c r="A28" s="1"/>
      <c r="B28" s="152" t="s">
        <v>93</v>
      </c>
      <c r="C28" s="42">
        <f>COUNTIF(PMR!$E$7:$E$551,B28)</f>
        <v>4</v>
      </c>
      <c r="D28" s="148">
        <f>SUMIFS(PMR!$H$7:$H$550,PMR!$E$7:$E$550,Table2[[#This Row],[Mode of Procurement]])</f>
        <v>44</v>
      </c>
      <c r="E28" s="172">
        <f>IF(Table2[[#This Row],[Total No. of Activities under subject modality]],Table2[[#This Row],[Total No. of Days from PreProc to IB]]/Table2[[#This Row],[Total No. of Activities under subject modality]],"")</f>
        <v>11</v>
      </c>
      <c r="F28" s="177">
        <f>SUMIFS(PMR!$L$7:$L$551,PMR!$E$7:$E$551,B28)</f>
        <v>33</v>
      </c>
      <c r="G28" s="178">
        <f>IF(Table2[[#This Row],[Total No. of Activities under subject modality]],Table2[[#This Row],[Total No. of Days from PreProc to IB]]/Table2[[#This Row],[Total No. of Activities under subject modality]],"")</f>
        <v>11</v>
      </c>
      <c r="H28" s="51">
        <f>SUMIFS(PMR!$Q$7:$Q$551,PMR!$E$7:$E$551,B28)</f>
        <v>1</v>
      </c>
      <c r="I28" s="53">
        <f>IF(Table2[[#This Row],[Total No. of Activities under subject modality]],Table2[[#This Row],[Total No. of Days Opening to Recommend Award)]]/Table2[[#This Row],[Total No. of Activities under subject modality]],"")</f>
        <v>0.25</v>
      </c>
      <c r="J28" s="49">
        <f>SUMIFS(PMR!$R$7:$R$551,PMR!$E$7:$E$551,B28)</f>
        <v>34</v>
      </c>
      <c r="K28" s="53">
        <f>IF(Table2[[#This Row],[Total No. of Activities under subject modality]],Table2[[#This Row],[Total No. of Days
from Posting of IB to Recommend Award]]/Table2[[#This Row],[Total No. of Activities under subject modality]],"")</f>
        <v>8.5</v>
      </c>
      <c r="L28" s="49">
        <f>SUMIFS(PMR!$V$7:$V$551,PMR!$E$7:$E$551,B28)</f>
        <v>32</v>
      </c>
      <c r="M28" s="53">
        <f>IF(Table2[[#This Row],[Total No. of Activities under subject modality]],Table2[[#This Row],[Total No. of Days 
from Issuance of NOA to Issue NTP]]/Table2[[#This Row],[Total No. of Activities under subject modality]],"")</f>
        <v>8</v>
      </c>
      <c r="N28" s="49">
        <f>SUMIFS(PMR!W540:W1258,PMR!E540:E1258,Table2[[#This Row],[Mode of Procurement]])</f>
        <v>0</v>
      </c>
      <c r="O28" s="154">
        <f>IF(Table2[[#This Row],[Total No. of Activities under subject modality]],Table2[[#This Row],[Total No. of Days 
from Posting of IB to Issue NTP]]/Table2[[#This Row],[Total No. of Activities under subject modality]],"")</f>
        <v>0</v>
      </c>
      <c r="Q28" s="158"/>
      <c r="U28"/>
    </row>
    <row r="29" spans="1:21" ht="13.5" customHeight="1" x14ac:dyDescent="0.25">
      <c r="A29" s="1"/>
      <c r="B29" s="152" t="s">
        <v>94</v>
      </c>
      <c r="C29" s="42">
        <f>COUNTIF(PMR!$E$7:$E$551,B29)</f>
        <v>16</v>
      </c>
      <c r="D29" s="148">
        <f>SUMIFS(PMR!$H$7:$H$550,PMR!$E$7:$E$550,Table2[[#This Row],[Mode of Procurement]])</f>
        <v>0</v>
      </c>
      <c r="E29" s="172">
        <f>IF(Table2[[#This Row],[Total No. of Activities under subject modality]],Table2[[#This Row],[Total No. of Days from PreProc to IB]]/Table2[[#This Row],[Total No. of Activities under subject modality]],"")</f>
        <v>0</v>
      </c>
      <c r="F29" s="177">
        <f>SUMIFS(PMR!$L$7:$L$551,PMR!$E$7:$E$551,B29)</f>
        <v>1</v>
      </c>
      <c r="G29" s="178">
        <f>IF(Table2[[#This Row],[Total No. of Activities under subject modality]],Table2[[#This Row],[Total No. of Days from PreProc to IB]]/Table2[[#This Row],[Total No. of Activities under subject modality]],"")</f>
        <v>0</v>
      </c>
      <c r="H29" s="51">
        <f>SUMIFS(PMR!$Q$7:$Q$551,PMR!$E$7:$E$551,B29)</f>
        <v>0</v>
      </c>
      <c r="I29" s="53">
        <f>IF(Table2[[#This Row],[Total No. of Activities under subject modality]],Table2[[#This Row],[Total No. of Days Opening to Recommend Award)]]/Table2[[#This Row],[Total No. of Activities under subject modality]],"")</f>
        <v>0</v>
      </c>
      <c r="J29" s="49">
        <f>SUMIFS(PMR!$R$7:$R$551,PMR!$E$7:$E$551,B29)</f>
        <v>1</v>
      </c>
      <c r="K29" s="53">
        <f>IF(Table2[[#This Row],[Total No. of Activities under subject modality]],Table2[[#This Row],[Total No. of Days
from Posting of IB to Recommend Award]]/Table2[[#This Row],[Total No. of Activities under subject modality]],"")</f>
        <v>6.25E-2</v>
      </c>
      <c r="L29" s="49">
        <f>SUMIFS(PMR!$V$7:$V$551,PMR!$E$7:$E$551,B29)</f>
        <v>8</v>
      </c>
      <c r="M29" s="53">
        <f>IF(Table2[[#This Row],[Total No. of Activities under subject modality]],Table2[[#This Row],[Total No. of Days 
from Issuance of NOA to Issue NTP]]/Table2[[#This Row],[Total No. of Activities under subject modality]],"")</f>
        <v>0.5</v>
      </c>
      <c r="N29" s="49">
        <f>SUMIFS(PMR!W541:W1260,PMR!E541:E1260,Table2[[#This Row],[Mode of Procurement]])</f>
        <v>9</v>
      </c>
      <c r="O29" s="154">
        <f>IF(Table2[[#This Row],[Total No. of Activities under subject modality]],Table2[[#This Row],[Total No. of Days 
from Posting of IB to Issue NTP]]/Table2[[#This Row],[Total No. of Activities under subject modality]],"")</f>
        <v>0.5625</v>
      </c>
      <c r="Q29" s="158"/>
      <c r="U29"/>
    </row>
    <row r="30" spans="1:21" ht="13.5" customHeight="1" x14ac:dyDescent="0.25">
      <c r="A30" s="1"/>
      <c r="B30" s="152" t="s">
        <v>95</v>
      </c>
      <c r="C30" s="42">
        <f>COUNTIF(PMR!$E$7:$E$551,B30)</f>
        <v>0</v>
      </c>
      <c r="D30" s="148">
        <f>SUMIFS(PMR!$H$7:$H$550,PMR!$E$7:$E$550,Table2[[#This Row],[Mode of Procurement]])</f>
        <v>0</v>
      </c>
      <c r="E30" s="172" t="str">
        <f>IF(Table2[[#This Row],[Total No. of Activities under subject modality]],Table2[[#This Row],[Total No. of Days from PreProc to IB]]/Table2[[#This Row],[Total No. of Activities under subject modality]],"")</f>
        <v/>
      </c>
      <c r="F30" s="177">
        <f>SUMIFS(PMR!$L$7:$L$551,PMR!$E$7:$E$551,B30)</f>
        <v>0</v>
      </c>
      <c r="G30" s="178" t="str">
        <f>IF(Table2[[#This Row],[Total No. of Activities under subject modality]],Table2[[#This Row],[Total No. of Days from PreProc to IB]]/Table2[[#This Row],[Total No. of Activities under subject modality]],"")</f>
        <v/>
      </c>
      <c r="H30" s="51">
        <f>SUMIFS(PMR!$Q$7:$Q$551,PMR!$E$7:$E$551,B30)</f>
        <v>0</v>
      </c>
      <c r="I30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30" s="49">
        <f>SUMIFS(PMR!$R$7:$R$551,PMR!$E$7:$E$551,B30)</f>
        <v>0</v>
      </c>
      <c r="K30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30" s="49">
        <f>SUMIFS(PMR!$V$7:$V$551,PMR!$E$7:$E$551,B30)</f>
        <v>0</v>
      </c>
      <c r="M30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30" s="49">
        <f>SUMIFS(PMR!W542:W1261,PMR!E542:E1261,Table2[[#This Row],[Mode of Procurement]])</f>
        <v>0</v>
      </c>
      <c r="O30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30" s="158"/>
      <c r="U30"/>
    </row>
    <row r="31" spans="1:21" ht="13.5" customHeight="1" x14ac:dyDescent="0.25">
      <c r="A31" s="1"/>
      <c r="B31" s="152" t="s">
        <v>96</v>
      </c>
      <c r="C31" s="42">
        <f>COUNTIF(PMR!$E$7:$E$551,B31)</f>
        <v>0</v>
      </c>
      <c r="D31" s="148">
        <f>SUMIFS(PMR!$H$7:$H$550,PMR!$E$7:$E$550,Table2[[#This Row],[Mode of Procurement]])</f>
        <v>0</v>
      </c>
      <c r="E31" s="172" t="str">
        <f>IF(Table2[[#This Row],[Total No. of Activities under subject modality]],Table2[[#This Row],[Total No. of Days from PreProc to IB]]/Table2[[#This Row],[Total No. of Activities under subject modality]],"")</f>
        <v/>
      </c>
      <c r="F31" s="177">
        <f>SUMIFS(PMR!$L$7:$L$551,PMR!$E$7:$E$551,B31)</f>
        <v>0</v>
      </c>
      <c r="G31" s="178" t="str">
        <f>IF(Table2[[#This Row],[Total No. of Activities under subject modality]],Table2[[#This Row],[Total No. of Days from PreProc to IB]]/Table2[[#This Row],[Total No. of Activities under subject modality]],"")</f>
        <v/>
      </c>
      <c r="H31" s="51">
        <f>SUMIFS(PMR!$Q$7:$Q$551,PMR!$E$7:$E$551,B31)</f>
        <v>0</v>
      </c>
      <c r="I31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31" s="49">
        <f>SUMIFS(PMR!$R$7:$R$551,PMR!$E$7:$E$551,B31)</f>
        <v>0</v>
      </c>
      <c r="K31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31" s="49">
        <f>SUMIFS(PMR!$V$7:$V$551,PMR!$E$7:$E$551,B31)</f>
        <v>0</v>
      </c>
      <c r="M31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31" s="49">
        <f>SUMIFS(PMR!W543:W1262,PMR!E543:E1262,Table2[[#This Row],[Mode of Procurement]])</f>
        <v>0</v>
      </c>
      <c r="O31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31" s="158"/>
      <c r="U31"/>
    </row>
    <row r="32" spans="1:21" ht="13.5" customHeight="1" x14ac:dyDescent="0.25">
      <c r="A32" s="1"/>
      <c r="B32" s="152" t="s">
        <v>97</v>
      </c>
      <c r="C32" s="42">
        <f>COUNTIF(PMR!$E$7:$E$551,B32)</f>
        <v>0</v>
      </c>
      <c r="D32" s="148">
        <f>SUMIFS(PMR!$H$7:$H$550,PMR!$E$7:$E$550,Table2[[#This Row],[Mode of Procurement]])</f>
        <v>0</v>
      </c>
      <c r="E32" s="172" t="str">
        <f>IF(Table2[[#This Row],[Total No. of Activities under subject modality]],Table2[[#This Row],[Total No. of Days from PreProc to IB]]/Table2[[#This Row],[Total No. of Activities under subject modality]],"")</f>
        <v/>
      </c>
      <c r="F32" s="177">
        <f>SUMIFS(PMR!$L$7:$L$551,PMR!$E$7:$E$551,B32)</f>
        <v>0</v>
      </c>
      <c r="G32" s="178" t="str">
        <f>IF(Table2[[#This Row],[Total No. of Activities under subject modality]],Table2[[#This Row],[Total No. of Days from PreProc to IB]]/Table2[[#This Row],[Total No. of Activities under subject modality]],"")</f>
        <v/>
      </c>
      <c r="H32" s="51">
        <f>SUMIFS(PMR!$Q$7:$Q$551,PMR!$E$7:$E$551,B32)</f>
        <v>0</v>
      </c>
      <c r="I32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32" s="49">
        <f>SUMIFS(PMR!$R$7:$R$551,PMR!$E$7:$E$551,B32)</f>
        <v>0</v>
      </c>
      <c r="K32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32" s="49">
        <f>SUMIFS(PMR!$V$7:$V$551,PMR!$E$7:$E$551,B32)</f>
        <v>0</v>
      </c>
      <c r="M32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32" s="49">
        <f>SUMIFS(PMR!W544:W1263,PMR!E544:E1263,Table2[[#This Row],[Mode of Procurement]])</f>
        <v>0</v>
      </c>
      <c r="O32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32" s="158"/>
      <c r="U32"/>
    </row>
    <row r="33" spans="1:21" ht="30" customHeight="1" x14ac:dyDescent="0.25">
      <c r="A33" s="1"/>
      <c r="B33" s="152" t="s">
        <v>98</v>
      </c>
      <c r="C33" s="42">
        <f>COUNTIF(PMR!$E$7:$E$551,B33)</f>
        <v>0</v>
      </c>
      <c r="D33" s="148">
        <f>SUMIFS(PMR!$H$7:$H$550,PMR!$E$7:$E$550,Table2[[#This Row],[Mode of Procurement]])</f>
        <v>0</v>
      </c>
      <c r="E33" s="172" t="str">
        <f>IF(Table2[[#This Row],[Total No. of Activities under subject modality]],Table2[[#This Row],[Total No. of Days from PreProc to IB]]/Table2[[#This Row],[Total No. of Activities under subject modality]],"")</f>
        <v/>
      </c>
      <c r="F33" s="177">
        <f>SUMIFS(PMR!$L$7:$L$551,PMR!$E$7:$E$551,B33)</f>
        <v>0</v>
      </c>
      <c r="G33" s="178" t="str">
        <f>IF(Table2[[#This Row],[Total No. of Activities under subject modality]],Table2[[#This Row],[Total No. of Days from PreProc to IB]]/Table2[[#This Row],[Total No. of Activities under subject modality]],"")</f>
        <v/>
      </c>
      <c r="H33" s="51">
        <f>SUMIFS(PMR!$Q$7:$Q$551,PMR!$E$7:$E$551,B33)</f>
        <v>0</v>
      </c>
      <c r="I33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33" s="49">
        <f>SUMIFS(PMR!$R$7:$R$551,PMR!$E$7:$E$551,B33)</f>
        <v>0</v>
      </c>
      <c r="K33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33" s="49">
        <f>SUMIFS(PMR!$V$7:$V$551,PMR!$E$7:$E$551,B33)</f>
        <v>0</v>
      </c>
      <c r="M33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33" s="49">
        <f>SUMIFS(PMR!W545:W1265,PMR!E545:E1265,Table2[[#This Row],[Mode of Procurement]])</f>
        <v>0</v>
      </c>
      <c r="O33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33" s="158"/>
      <c r="U33"/>
    </row>
    <row r="34" spans="1:21" ht="13.5" customHeight="1" x14ac:dyDescent="0.25">
      <c r="A34" s="1"/>
      <c r="B34" s="152" t="s">
        <v>99</v>
      </c>
      <c r="C34" s="42">
        <f>COUNTIF(PMR!$E$7:$E$551,B34)</f>
        <v>0</v>
      </c>
      <c r="D34" s="148">
        <f>SUMIFS(PMR!$H$7:$H$550,PMR!$E$7:$E$550,Table2[[#This Row],[Mode of Procurement]])</f>
        <v>0</v>
      </c>
      <c r="E34" s="172" t="str">
        <f>IF(Table2[[#This Row],[Total No. of Activities under subject modality]],Table2[[#This Row],[Total No. of Days from PreProc to IB]]/Table2[[#This Row],[Total No. of Activities under subject modality]],"")</f>
        <v/>
      </c>
      <c r="F34" s="177">
        <f>SUMIFS(PMR!$L$7:$L$551,PMR!$E$7:$E$551,B34)</f>
        <v>0</v>
      </c>
      <c r="G34" s="178" t="str">
        <f>IF(Table2[[#This Row],[Total No. of Activities under subject modality]],Table2[[#This Row],[Total No. of Days from PreProc to IB]]/Table2[[#This Row],[Total No. of Activities under subject modality]],"")</f>
        <v/>
      </c>
      <c r="H34" s="51">
        <f>SUMIFS(PMR!$Q$7:$Q$551,PMR!$E$7:$E$551,B34)</f>
        <v>0</v>
      </c>
      <c r="I34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34" s="49">
        <f>SUMIFS(PMR!$R$7:$R$551,PMR!$E$7:$E$551,B34)</f>
        <v>0</v>
      </c>
      <c r="K34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34" s="49">
        <f>SUMIFS(PMR!$V$7:$V$551,PMR!$E$7:$E$551,B34)</f>
        <v>0</v>
      </c>
      <c r="M34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34" s="49">
        <f>SUMIFS(PMR!W546:W1266,PMR!E546:E1266,Table2[[#This Row],[Mode of Procurement]])</f>
        <v>0</v>
      </c>
      <c r="O34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34" s="158"/>
      <c r="U34"/>
    </row>
    <row r="35" spans="1:21" ht="13.5" customHeight="1" x14ac:dyDescent="0.25">
      <c r="A35" s="1"/>
      <c r="B35" s="152" t="s">
        <v>100</v>
      </c>
      <c r="C35" s="42">
        <f>COUNTIF(PMR!$E$7:$E$551,B35)</f>
        <v>0</v>
      </c>
      <c r="D35" s="148">
        <f>SUMIFS(PMR!$H$7:$H$550,PMR!$E$7:$E$550,Table2[[#This Row],[Mode of Procurement]])</f>
        <v>0</v>
      </c>
      <c r="E35" s="172" t="str">
        <f>IF(Table2[[#This Row],[Total No. of Activities under subject modality]],Table2[[#This Row],[Total No. of Days from PreProc to IB]]/Table2[[#This Row],[Total No. of Activities under subject modality]],"")</f>
        <v/>
      </c>
      <c r="F35" s="177">
        <f>SUMIFS(PMR!$L$7:$L$551,PMR!$E$7:$E$551,B35)</f>
        <v>0</v>
      </c>
      <c r="G35" s="178" t="str">
        <f>IF(Table2[[#This Row],[Total No. of Activities under subject modality]],Table2[[#This Row],[Total No. of Days from PreProc to IB]]/Table2[[#This Row],[Total No. of Activities under subject modality]],"")</f>
        <v/>
      </c>
      <c r="H35" s="51">
        <f>SUMIFS(PMR!$Q$7:$Q$551,PMR!$E$7:$E$551,B35)</f>
        <v>0</v>
      </c>
      <c r="I35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35" s="49">
        <f>SUMIFS(PMR!$R$7:$R$551,PMR!$E$7:$E$551,B35)</f>
        <v>0</v>
      </c>
      <c r="K35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35" s="49">
        <f>SUMIFS(PMR!$V$7:$V$551,PMR!$E$7:$E$551,B35)</f>
        <v>0</v>
      </c>
      <c r="M35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35" s="49">
        <f>SUMIFS(PMR!W551:W1267,PMR!E551:E1267,Table2[[#This Row],[Mode of Procurement]])</f>
        <v>0</v>
      </c>
      <c r="O35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35" s="158"/>
      <c r="U35"/>
    </row>
    <row r="36" spans="1:21" ht="13.5" customHeight="1" x14ac:dyDescent="0.25">
      <c r="A36" s="1"/>
      <c r="B36" s="152" t="s">
        <v>101</v>
      </c>
      <c r="C36" s="42">
        <f>COUNTIF(PMR!$E$7:$E$551,B36)</f>
        <v>323</v>
      </c>
      <c r="D36" s="148">
        <f>SUMIFS(PMR!$H$7:$H$550,PMR!$E$7:$E$550,Table2[[#This Row],[Mode of Procurement]])</f>
        <v>8</v>
      </c>
      <c r="E36" s="172">
        <f>IF(Table2[[#This Row],[Total No. of Activities under subject modality]],Table2[[#This Row],[Total No. of Days from PreProc to IB]]/Table2[[#This Row],[Total No. of Activities under subject modality]],"")</f>
        <v>2.4767801857585141E-2</v>
      </c>
      <c r="F36" s="177">
        <f>SUMIFS(PMR!$L$7:$L$551,PMR!$E$7:$E$551,B36)</f>
        <v>55</v>
      </c>
      <c r="G36" s="178">
        <f>IF(Table2[[#This Row],[Total No. of Activities under subject modality]],Table2[[#This Row],[Total No. of Days from PreProc to IB]]/Table2[[#This Row],[Total No. of Activities under subject modality]],"")</f>
        <v>2.4767801857585141E-2</v>
      </c>
      <c r="H36" s="51">
        <f>SUMIFS(PMR!$Q$7:$Q$551,PMR!$E$7:$E$551,B36)</f>
        <v>50</v>
      </c>
      <c r="I36" s="53">
        <f>IF(Table2[[#This Row],[Total No. of Activities under subject modality]],Table2[[#This Row],[Total No. of Days Opening to Recommend Award)]]/Table2[[#This Row],[Total No. of Activities under subject modality]],"")</f>
        <v>0.15479876160990713</v>
      </c>
      <c r="J36" s="49">
        <f>SUMIFS(PMR!$R$7:$R$551,PMR!$E$7:$E$551,B36)</f>
        <v>105</v>
      </c>
      <c r="K36" s="53">
        <f>IF(Table2[[#This Row],[Total No. of Activities under subject modality]],Table2[[#This Row],[Total No. of Days
from Posting of IB to Recommend Award]]/Table2[[#This Row],[Total No. of Activities under subject modality]],"")</f>
        <v>0.32507739938080493</v>
      </c>
      <c r="L36" s="49">
        <f>SUMIFS(PMR!$V$7:$V$551,PMR!$E$7:$E$551,B36)</f>
        <v>87</v>
      </c>
      <c r="M36" s="53">
        <f>IF(Table2[[#This Row],[Total No. of Activities under subject modality]],Table2[[#This Row],[Total No. of Days 
from Issuance of NOA to Issue NTP]]/Table2[[#This Row],[Total No. of Activities under subject modality]],"")</f>
        <v>0.26934984520123839</v>
      </c>
      <c r="N36" s="49">
        <f>SUMIFS(PMR!W551:W1269,PMR!E551:E1269,Table2[[#This Row],[Mode of Procurement]])</f>
        <v>0</v>
      </c>
      <c r="O36" s="154">
        <f>IF(Table2[[#This Row],[Total No. of Activities under subject modality]],Table2[[#This Row],[Total No. of Days 
from Posting of IB to Issue NTP]]/Table2[[#This Row],[Total No. of Activities under subject modality]],"")</f>
        <v>0</v>
      </c>
      <c r="Q36" s="158"/>
      <c r="U36"/>
    </row>
    <row r="37" spans="1:21" ht="13.5" customHeight="1" x14ac:dyDescent="0.25">
      <c r="A37" s="1"/>
      <c r="B37" s="152" t="s">
        <v>102</v>
      </c>
      <c r="C37" s="42">
        <f>COUNTIF(PMR!$E$7:$E$551,B37)</f>
        <v>0</v>
      </c>
      <c r="D37" s="148">
        <f>SUMIFS(PMR!$H$7:$H$550,PMR!$E$7:$E$550,Table2[[#This Row],[Mode of Procurement]])</f>
        <v>0</v>
      </c>
      <c r="E37" s="172" t="str">
        <f>IF(Table2[[#This Row],[Total No. of Activities under subject modality]],Table2[[#This Row],[Total No. of Days from PreProc to IB]]/Table2[[#This Row],[Total No. of Activities under subject modality]],"")</f>
        <v/>
      </c>
      <c r="F37" s="177">
        <f>SUMIFS(PMR!$L$7:$L$551,PMR!$E$7:$E$551,B37)</f>
        <v>0</v>
      </c>
      <c r="G37" s="178" t="str">
        <f>IF(Table2[[#This Row],[Total No. of Activities under subject modality]],Table2[[#This Row],[Total No. of Days from PreProc to IB]]/Table2[[#This Row],[Total No. of Activities under subject modality]],"")</f>
        <v/>
      </c>
      <c r="H37" s="51">
        <f>SUMIFS(PMR!$Q$7:$Q$551,PMR!$E$7:$E$551,B37)</f>
        <v>0</v>
      </c>
      <c r="I37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37" s="49">
        <f>SUMIFS(PMR!$R$7:$R$551,PMR!$E$7:$E$551,B37)</f>
        <v>0</v>
      </c>
      <c r="K37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37" s="49">
        <f>SUMIFS(PMR!$V$7:$V$551,PMR!$E$7:$E$551,B37)</f>
        <v>0</v>
      </c>
      <c r="M37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37" s="49">
        <f>SUMIFS(PMR!W551:W1270,PMR!E551:E1270,Table2[[#This Row],[Mode of Procurement]])</f>
        <v>0</v>
      </c>
      <c r="O37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37" s="158"/>
      <c r="U37"/>
    </row>
    <row r="38" spans="1:21" ht="13.5" customHeight="1" x14ac:dyDescent="0.25">
      <c r="A38" s="1"/>
      <c r="B38" s="152" t="s">
        <v>103</v>
      </c>
      <c r="C38" s="42">
        <f>COUNTIF(PMR!$E$7:$E$551,B38)</f>
        <v>0</v>
      </c>
      <c r="D38" s="148">
        <f>SUMIFS(PMR!$H$7:$H$550,PMR!$E$7:$E$550,Table2[[#This Row],[Mode of Procurement]])</f>
        <v>0</v>
      </c>
      <c r="E38" s="172" t="str">
        <f>IF(Table2[[#This Row],[Total No. of Activities under subject modality]],Table2[[#This Row],[Total No. of Days from PreProc to IB]]/Table2[[#This Row],[Total No. of Activities under subject modality]],"")</f>
        <v/>
      </c>
      <c r="F38" s="177">
        <f>SUMIFS(PMR!$L$7:$L$551,PMR!$E$7:$E$551,B38)</f>
        <v>0</v>
      </c>
      <c r="G38" s="178" t="str">
        <f>IF(Table2[[#This Row],[Total No. of Activities under subject modality]],Table2[[#This Row],[Total No. of Days from PreProc to IB]]/Table2[[#This Row],[Total No. of Activities under subject modality]],"")</f>
        <v/>
      </c>
      <c r="H38" s="51">
        <f>SUMIFS(PMR!$Q$7:$Q$551,PMR!$E$7:$E$551,B38)</f>
        <v>0</v>
      </c>
      <c r="I38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38" s="49">
        <f>SUMIFS(PMR!$R$7:$R$551,PMR!$E$7:$E$551,B38)</f>
        <v>0</v>
      </c>
      <c r="K38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38" s="49">
        <f>SUMIFS(PMR!$V$7:$V$551,PMR!$E$7:$E$551,B38)</f>
        <v>0</v>
      </c>
      <c r="M38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38" s="49">
        <f>SUMIFS(PMR!W551:W1271,PMR!E551:E1271,Table2[[#This Row],[Mode of Procurement]])</f>
        <v>0</v>
      </c>
      <c r="O38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38" s="158"/>
      <c r="U38"/>
    </row>
    <row r="39" spans="1:21" ht="13.5" customHeight="1" x14ac:dyDescent="0.25">
      <c r="A39" s="1"/>
      <c r="B39" s="152" t="s">
        <v>104</v>
      </c>
      <c r="C39" s="42">
        <f>COUNTIF(PMR!$E$7:$E$551,B39)</f>
        <v>0</v>
      </c>
      <c r="D39" s="148">
        <f>SUMIFS(PMR!$H$7:$H$550,PMR!$E$7:$E$550,Table2[[#This Row],[Mode of Procurement]])</f>
        <v>0</v>
      </c>
      <c r="E39" s="172" t="str">
        <f>IF(Table2[[#This Row],[Total No. of Activities under subject modality]],Table2[[#This Row],[Total No. of Days from PreProc to IB]]/Table2[[#This Row],[Total No. of Activities under subject modality]],"")</f>
        <v/>
      </c>
      <c r="F39" s="177">
        <f>SUMIFS(PMR!$L$7:$L$551,PMR!$E$7:$E$551,B39)</f>
        <v>0</v>
      </c>
      <c r="G39" s="178" t="str">
        <f>IF(Table2[[#This Row],[Total No. of Activities under subject modality]],Table2[[#This Row],[Total No. of Days from PreProc to IB]]/Table2[[#This Row],[Total No. of Activities under subject modality]],"")</f>
        <v/>
      </c>
      <c r="H39" s="51">
        <f>SUMIFS(PMR!$Q$7:$Q$551,PMR!$E$7:$E$551,B39)</f>
        <v>0</v>
      </c>
      <c r="I39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39" s="49">
        <f>SUMIFS(PMR!$R$7:$R$551,PMR!$E$7:$E$551,B39)</f>
        <v>0</v>
      </c>
      <c r="K39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39" s="49">
        <f>SUMIFS(PMR!$V$7:$V$551,PMR!$E$7:$E$551,B39)</f>
        <v>0</v>
      </c>
      <c r="M39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39" s="49">
        <f>SUMIFS(PMR!W1249:W1272,PMR!E1249:E1272,Table2[[#This Row],[Mode of Procurement]])</f>
        <v>0</v>
      </c>
      <c r="O39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39" s="158"/>
      <c r="U39"/>
    </row>
    <row r="40" spans="1:21" ht="31.5" customHeight="1" x14ac:dyDescent="0.25">
      <c r="A40" s="1"/>
      <c r="B40" s="152" t="s">
        <v>105</v>
      </c>
      <c r="C40" s="42">
        <f>COUNTIF(PMR!$E$7:$E$551,B40)</f>
        <v>0</v>
      </c>
      <c r="D40" s="148">
        <f>SUMIFS(PMR!$H$7:$H$550,PMR!$E$7:$E$550,Table2[[#This Row],[Mode of Procurement]])</f>
        <v>0</v>
      </c>
      <c r="E40" s="172" t="str">
        <f>IF(Table2[[#This Row],[Total No. of Activities under subject modality]],Table2[[#This Row],[Total No. of Days from PreProc to IB]]/Table2[[#This Row],[Total No. of Activities under subject modality]],"")</f>
        <v/>
      </c>
      <c r="F40" s="177">
        <f>SUMIFS(PMR!$L$7:$L$551,PMR!$E$7:$E$551,B40)</f>
        <v>0</v>
      </c>
      <c r="G40" s="178" t="str">
        <f>IF(Table2[[#This Row],[Total No. of Activities under subject modality]],Table2[[#This Row],[Total No. of Days from PreProc to IB]]/Table2[[#This Row],[Total No. of Activities under subject modality]],"")</f>
        <v/>
      </c>
      <c r="H40" s="51">
        <f>SUMIFS(PMR!$Q$7:$Q$551,PMR!$E$7:$E$551,B40)</f>
        <v>0</v>
      </c>
      <c r="I40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40" s="49">
        <f>SUMIFS(PMR!$R$7:$R$551,PMR!$E$7:$E$551,B40)</f>
        <v>0</v>
      </c>
      <c r="K40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40" s="49">
        <f>SUMIFS(PMR!$V$7:$V$551,PMR!$E$7:$E$551,B40)</f>
        <v>0</v>
      </c>
      <c r="M40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40" s="49">
        <f>SUMIFS(PMR!W1251:W1273,PMR!E1251:E1273,Table2[[#This Row],[Mode of Procurement]])</f>
        <v>0</v>
      </c>
      <c r="O40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40" s="158"/>
      <c r="U40"/>
    </row>
    <row r="41" spans="1:21" ht="13.5" customHeight="1" x14ac:dyDescent="0.25">
      <c r="A41" s="1"/>
      <c r="B41" s="255" t="s">
        <v>106</v>
      </c>
      <c r="C41" s="42">
        <f>COUNTIF(PMR!$E$7:$E$551,B41)</f>
        <v>0</v>
      </c>
      <c r="D41" s="148">
        <f>SUMIFS(PMR!$H$7:$H$550,PMR!$E$7:$E$550,Table2[[#This Row],[Mode of Procurement]])</f>
        <v>0</v>
      </c>
      <c r="E41" s="172" t="str">
        <f>IF(Table2[[#This Row],[Total No. of Activities under subject modality]],Table2[[#This Row],[Total No. of Days from PreProc to IB]]/Table2[[#This Row],[Total No. of Activities under subject modality]],"")</f>
        <v/>
      </c>
      <c r="F41" s="177">
        <f>SUMIFS(PMR!$L$7:$L$551,PMR!$E$7:$E$551,B41)</f>
        <v>0</v>
      </c>
      <c r="G41" s="178" t="str">
        <f>IF(Table2[[#This Row],[Total No. of Activities under subject modality]],Table2[[#This Row],[Total No. of Days from PreProc to IB]]/Table2[[#This Row],[Total No. of Activities under subject modality]],"")</f>
        <v/>
      </c>
      <c r="H41" s="51">
        <f>SUMIFS(PMR!$Q$7:$Q$551,PMR!$E$7:$E$551,B41)</f>
        <v>0</v>
      </c>
      <c r="I41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41" s="49">
        <f>SUMIFS(PMR!$R$7:$R$551,PMR!$E$7:$E$551,B41)</f>
        <v>0</v>
      </c>
      <c r="K41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41" s="49">
        <f>SUMIFS(PMR!$V$7:$V$551,PMR!$E$7:$E$551,B41)</f>
        <v>0</v>
      </c>
      <c r="M41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41" s="49">
        <f>SUMIFS(PMR!W1252:W1274,PMR!E1252:E1274,Table2[[#This Row],[Mode of Procurement]])</f>
        <v>0</v>
      </c>
      <c r="O41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41" s="158"/>
      <c r="U41"/>
    </row>
    <row r="42" spans="1:21" ht="13.5" customHeight="1" x14ac:dyDescent="0.25">
      <c r="A42" s="1"/>
      <c r="B42" s="152" t="s">
        <v>107</v>
      </c>
      <c r="C42" s="42">
        <f>COUNTIF(PMR!$E$7:$E$551,B42)</f>
        <v>0</v>
      </c>
      <c r="D42" s="148">
        <f>SUMIFS(PMR!$H$7:$H$550,PMR!$E$7:$E$550,Table2[[#This Row],[Mode of Procurement]])</f>
        <v>0</v>
      </c>
      <c r="E42" s="172" t="str">
        <f>IF(Table2[[#This Row],[Total No. of Activities under subject modality]],Table2[[#This Row],[Total No. of Days from PreProc to IB]]/Table2[[#This Row],[Total No. of Activities under subject modality]],"")</f>
        <v/>
      </c>
      <c r="F42" s="177">
        <f>SUMIFS(PMR!$L$7:$L$551,PMR!$E$7:$E$551,B42)</f>
        <v>0</v>
      </c>
      <c r="G42" s="178" t="str">
        <f>IF(Table2[[#This Row],[Total No. of Activities under subject modality]],Table2[[#This Row],[Total No. of Days from PreProc to IB]]/Table2[[#This Row],[Total No. of Activities under subject modality]],"")</f>
        <v/>
      </c>
      <c r="H42" s="51">
        <f>SUMIFS(PMR!$Q$7:$Q$551,PMR!$E$7:$E$551,B42)</f>
        <v>0</v>
      </c>
      <c r="I42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42" s="49">
        <f>SUMIFS(PMR!$R$7:$R$551,PMR!$E$7:$E$551,B42)</f>
        <v>0</v>
      </c>
      <c r="K42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42" s="49">
        <f>SUMIFS(PMR!$V$7:$V$551,PMR!$E$7:$E$551,B42)</f>
        <v>0</v>
      </c>
      <c r="M42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42" s="49">
        <f>SUMIFS(PMR!W1253:W1275,PMR!E1253:E1275,Table2[[#This Row],[Mode of Procurement]])</f>
        <v>0</v>
      </c>
      <c r="O42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42" s="158"/>
      <c r="U42"/>
    </row>
    <row r="43" spans="1:21" ht="13.5" customHeight="1" x14ac:dyDescent="0.25">
      <c r="A43" s="1"/>
      <c r="B43" s="152" t="s">
        <v>108</v>
      </c>
      <c r="C43" s="42">
        <f>COUNTIF(PMR!$E$7:$E$551,B43)</f>
        <v>0</v>
      </c>
      <c r="D43" s="148">
        <f>SUMIFS(PMR!$H$7:$H$550,PMR!$E$7:$E$550,Table2[[#This Row],[Mode of Procurement]])</f>
        <v>0</v>
      </c>
      <c r="E43" s="172" t="str">
        <f>IF(Table2[[#This Row],[Total No. of Activities under subject modality]],Table2[[#This Row],[Total No. of Days from PreProc to IB]]/Table2[[#This Row],[Total No. of Activities under subject modality]],"")</f>
        <v/>
      </c>
      <c r="F43" s="177">
        <f>SUMIFS(PMR!$L$7:$L$551,PMR!$E$7:$E$551,B43)</f>
        <v>0</v>
      </c>
      <c r="G43" s="178" t="str">
        <f>IF(Table2[[#This Row],[Total No. of Activities under subject modality]],Table2[[#This Row],[Total No. of Days from PreProc to IB]]/Table2[[#This Row],[Total No. of Activities under subject modality]],"")</f>
        <v/>
      </c>
      <c r="H43" s="51">
        <f>SUMIFS(PMR!$Q$7:$Q$551,PMR!$E$7:$E$551,B43)</f>
        <v>0</v>
      </c>
      <c r="I43" s="53" t="str">
        <f>IF(Table2[[#This Row],[Total No. of Activities under subject modality]],Table2[[#This Row],[Total No. of Days Opening to Recommend Award)]]/Table2[[#This Row],[Total No. of Activities under subject modality]],"")</f>
        <v/>
      </c>
      <c r="J43" s="49">
        <f>SUMIFS(PMR!$R$7:$R$551,PMR!$E$7:$E$551,B43)</f>
        <v>0</v>
      </c>
      <c r="K43" s="53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43" s="49">
        <f>SUMIFS(PMR!$V$7:$V$551,PMR!$E$7:$E$551,B43)</f>
        <v>0</v>
      </c>
      <c r="M43" s="53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43" s="49">
        <f>SUMIFS(PMR!W1258:W1276,PMR!E1258:E1276,Table2[[#This Row],[Mode of Procurement]])</f>
        <v>0</v>
      </c>
      <c r="O43" s="154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43" s="158"/>
      <c r="U43"/>
    </row>
    <row r="44" spans="1:21" ht="13.5" customHeight="1" thickBot="1" x14ac:dyDescent="0.3">
      <c r="A44" s="1"/>
      <c r="B44" s="179" t="s">
        <v>109</v>
      </c>
      <c r="C44" s="28">
        <f>COUNTIF(PMR!$E$7:$E$551,B44)</f>
        <v>0</v>
      </c>
      <c r="D44" s="149">
        <f>SUMIFS(PMR!$H$7:$H$550,PMR!$E$7:$E$550,Table2[[#This Row],[Mode of Procurement]])</f>
        <v>0</v>
      </c>
      <c r="E44" s="48" t="str">
        <f>IF(Table2[[#This Row],[Total No. of Activities under subject modality]],Table2[[#This Row],[Total No. of Days from PreProc to IB]]/Table2[[#This Row],[Total No. of Activities under subject modality]],"")</f>
        <v/>
      </c>
      <c r="F44" s="180">
        <f>SUMIFS(PMR!$L$7:$L$551,PMR!$E$7:$E$551,B44)</f>
        <v>0</v>
      </c>
      <c r="G44" s="181" t="str">
        <f>IF(Table2[[#This Row],[Total No. of Activities under subject modality]],Table2[[#This Row],[Total No. of Days from PreProc to IB]]/Table2[[#This Row],[Total No. of Activities under subject modality]],"")</f>
        <v/>
      </c>
      <c r="H44" s="182">
        <f>SUMIFS(PMR!$Q$7:$Q$551,PMR!$E$7:$E$551,B44)</f>
        <v>0</v>
      </c>
      <c r="I44" s="54" t="str">
        <f>IF(Table2[[#This Row],[Total No. of Activities under subject modality]],Table2[[#This Row],[Total No. of Days Opening to Recommend Award)]]/Table2[[#This Row],[Total No. of Activities under subject modality]],"")</f>
        <v/>
      </c>
      <c r="J44" s="50">
        <f>SUMIFS(PMR!$R$7:$R$551,PMR!$E$7:$E$551,B44)</f>
        <v>0</v>
      </c>
      <c r="K44" s="54" t="str">
        <f>IF(Table2[[#This Row],[Total No. of Activities under subject modality]],Table2[[#This Row],[Total No. of Days
from Posting of IB to Recommend Award]]/Table2[[#This Row],[Total No. of Activities under subject modality]],"")</f>
        <v/>
      </c>
      <c r="L44" s="50">
        <f>SUMIFS(PMR!$V$7:$V$551,PMR!$E$7:$E$551,B44)</f>
        <v>0</v>
      </c>
      <c r="M44" s="54" t="str">
        <f>IF(Table2[[#This Row],[Total No. of Activities under subject modality]],Table2[[#This Row],[Total No. of Days 
from Issuance of NOA to Issue NTP]]/Table2[[#This Row],[Total No. of Activities under subject modality]],"")</f>
        <v/>
      </c>
      <c r="N44" s="49">
        <f>SUMIFS(PMR!W1260:W1277,PMR!E1260:E1277,Table2[[#This Row],[Mode of Procurement]])</f>
        <v>0</v>
      </c>
      <c r="O44" s="155" t="str">
        <f>IF(Table2[[#This Row],[Total No. of Activities under subject modality]],Table2[[#This Row],[Total No. of Days 
from Posting of IB to Issue NTP]]/Table2[[#This Row],[Total No. of Activities under subject modality]],"")</f>
        <v/>
      </c>
      <c r="Q44" s="158"/>
      <c r="U44"/>
    </row>
    <row r="45" spans="1:21" ht="13.5" customHeight="1" thickTop="1" thickBot="1" x14ac:dyDescent="0.3">
      <c r="A45" s="1"/>
      <c r="B45" s="183" t="s">
        <v>42</v>
      </c>
      <c r="C45" s="184">
        <f>SUBTOTAL(109,Table2[Total No. of Activities under subject modality])</f>
        <v>536</v>
      </c>
      <c r="D45" s="185" t="e">
        <f>SUBTOTAL(101,Table2[Total No. of Days from PreProc to IB])</f>
        <v>#N/A</v>
      </c>
      <c r="E45" s="189" t="e">
        <f>SUBTOTAL(101,Table2[Average Days from Pre-Proc to Posting of IB])</f>
        <v>#N/A</v>
      </c>
      <c r="F45" s="186">
        <f>SUBTOTAL(101,Table2[Total No. of Days from IB  to Opening])</f>
        <v>-19.739130434782609</v>
      </c>
      <c r="G45" s="190" t="e">
        <f>SUBTOTAL(101,Table2[Average
Days from Posting of IB to Opening of Bids])</f>
        <v>#N/A</v>
      </c>
      <c r="H45" s="187">
        <f>SUBTOTAL(101,Table2[Total No. of Days Opening to Recommend Award)])</f>
        <v>12.217391304347826</v>
      </c>
      <c r="I45" s="191">
        <f>SUBTOTAL(101,Table2[Average
Days from Opening of Bids to Recommend Award])</f>
        <v>0.65523099191829837</v>
      </c>
      <c r="J45" s="188">
        <f>SUBTOTAL(101,Table2[Total No. of Days
from Posting of IB to Recommend Award])</f>
        <v>-7.5217391304347823</v>
      </c>
      <c r="K45" s="191">
        <f>SUBTOTAL(101,Table2[Average
Days from Posting of IB to Recommend Award])</f>
        <v>0.45666690121024495</v>
      </c>
      <c r="L45" s="188">
        <f>SUBTOTAL(101,Table2[Total No. of Days 
from Issuance of NOA to Issue NTP])</f>
        <v>9.9565217391304355</v>
      </c>
      <c r="M45" s="191">
        <f>SUBTOTAL(101,Table2[Average
Days from NOA to NTP])</f>
        <v>1.517699328535242</v>
      </c>
      <c r="N45" s="188">
        <f>SUBTOTAL(101,Table2[Total No. of Days 
from Posting of IB to Issue NTP])</f>
        <v>-11.565217391304348</v>
      </c>
      <c r="O45" s="192">
        <f>SUBTOTAL(101,Table2[Average
Days from Posting of IB to NTP])</f>
        <v>-0.6339285714285714</v>
      </c>
      <c r="P45" s="5"/>
      <c r="Q45" s="1"/>
      <c r="R45" s="156"/>
      <c r="S45" s="156"/>
      <c r="T45" s="157"/>
    </row>
    <row r="46" spans="1:21" ht="13.5" customHeight="1" thickTop="1" x14ac:dyDescent="0.25">
      <c r="A46" s="1"/>
      <c r="B46" s="13"/>
      <c r="C46" s="18"/>
      <c r="D46" s="13"/>
      <c r="E46" s="1"/>
      <c r="F46" s="5"/>
      <c r="G46" s="5"/>
      <c r="H46" s="1"/>
      <c r="I46" s="1"/>
      <c r="J46" s="1"/>
      <c r="K46" s="1"/>
      <c r="L46" s="5"/>
      <c r="M46" s="5"/>
      <c r="N46" s="1"/>
      <c r="O46" s="5"/>
      <c r="P46" s="5"/>
      <c r="Q46" s="1"/>
      <c r="R46" s="156"/>
      <c r="S46" s="156"/>
      <c r="T46" s="157"/>
    </row>
    <row r="47" spans="1:21" ht="13.5" customHeight="1" x14ac:dyDescent="0.25">
      <c r="A47" s="13"/>
      <c r="B47" s="20" t="s">
        <v>110</v>
      </c>
      <c r="C47" s="18"/>
      <c r="D47" s="18"/>
      <c r="E47" s="1"/>
      <c r="F47" s="5"/>
      <c r="G47" s="5"/>
      <c r="H47" s="1"/>
      <c r="I47" s="1"/>
      <c r="J47" s="1"/>
      <c r="K47" s="1"/>
      <c r="L47" s="5"/>
      <c r="M47" s="5"/>
      <c r="N47" s="1"/>
      <c r="O47" s="5"/>
      <c r="P47" s="5"/>
      <c r="Q47" s="1"/>
      <c r="R47" s="161"/>
      <c r="S47" s="161"/>
      <c r="T47" s="162"/>
    </row>
    <row r="48" spans="1:21" ht="13.5" customHeight="1" x14ac:dyDescent="0.25">
      <c r="A48" s="13"/>
      <c r="B48" s="20"/>
      <c r="C48" s="18"/>
      <c r="D48" s="18"/>
      <c r="E48" s="1"/>
      <c r="F48" s="5"/>
      <c r="G48" s="5"/>
      <c r="H48" s="1"/>
      <c r="I48" s="1"/>
      <c r="J48" s="1"/>
      <c r="K48" s="1"/>
      <c r="L48" s="5"/>
      <c r="M48" s="5"/>
      <c r="N48" s="1"/>
      <c r="O48" s="5"/>
      <c r="P48" s="5"/>
      <c r="Q48" s="1"/>
      <c r="R48" s="161"/>
      <c r="S48" s="161"/>
      <c r="T48" s="162"/>
    </row>
    <row r="49" spans="1:20" ht="13.5" customHeight="1" x14ac:dyDescent="0.25">
      <c r="A49" s="13"/>
      <c r="B49" s="198" t="s">
        <v>111</v>
      </c>
      <c r="C49" s="18"/>
      <c r="D49" s="18"/>
      <c r="E49" s="1"/>
      <c r="F49" s="5"/>
      <c r="G49" s="5"/>
      <c r="H49" s="1"/>
      <c r="I49" s="1"/>
      <c r="J49" s="1"/>
      <c r="K49" s="1"/>
      <c r="L49" s="5"/>
      <c r="M49" s="5"/>
      <c r="N49" s="1"/>
      <c r="O49" s="5"/>
      <c r="P49" s="5"/>
      <c r="Q49" s="1"/>
      <c r="R49" s="161"/>
      <c r="S49" s="161"/>
      <c r="T49" s="162"/>
    </row>
    <row r="50" spans="1:20" ht="13.5" customHeight="1" x14ac:dyDescent="0.25">
      <c r="A50" s="13"/>
      <c r="B50" s="8" t="s">
        <v>8</v>
      </c>
      <c r="C50" s="196" t="s">
        <v>112</v>
      </c>
      <c r="D50" s="2" t="s">
        <v>113</v>
      </c>
      <c r="E50" s="8" t="s">
        <v>114</v>
      </c>
      <c r="F50" s="8" t="s">
        <v>115</v>
      </c>
      <c r="G50" s="8" t="s">
        <v>116</v>
      </c>
      <c r="H50" s="8" t="s">
        <v>117</v>
      </c>
      <c r="I50" s="8" t="s">
        <v>118</v>
      </c>
      <c r="J50" s="8" t="s">
        <v>119</v>
      </c>
      <c r="K50" s="1"/>
      <c r="L50" s="5"/>
      <c r="M50" s="5"/>
      <c r="N50" s="1"/>
      <c r="O50" s="5"/>
      <c r="P50" s="5"/>
      <c r="Q50" s="1"/>
      <c r="R50" s="161"/>
      <c r="S50" s="161"/>
      <c r="T50" s="162"/>
    </row>
    <row r="51" spans="1:20" ht="13.5" customHeight="1" x14ac:dyDescent="0.25">
      <c r="A51" s="13"/>
      <c r="B51" s="24" t="s">
        <v>87</v>
      </c>
      <c r="C51" s="42">
        <f>SUM(COUNTIF(Complete[Mode of Procurement],Table14[[#This Row],[Mode of Procurement]]),COUNTIF(Table13[Column5],Table14[[#This Row],[Mode of Procurement]]))</f>
        <v>179</v>
      </c>
      <c r="D51" s="18">
        <f>SUM(COUNTIFS(Complete[Mode of Procurement],Table14[[#This Row],[Mode of Procurement]],Complete[Notice of Award],"&gt;1"),COUNTIFS(Table13[Column5],Table14[[#This Row],[Mode of Procurement]],Table13[Column19],"&gt;1"))</f>
        <v>83</v>
      </c>
      <c r="E51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135518659.69999999</v>
      </c>
      <c r="F51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119496386.01000001</v>
      </c>
      <c r="G51" s="199">
        <f>IF(Table14[[#This Row],[Total No. of Activities ]],Table14[[#This Row],[Total Number of Awarded]]/Table14[[#This Row],[Total No. of Activities ]],"")</f>
        <v>0.46368715083798884</v>
      </c>
      <c r="H51" s="200">
        <f>IF(Table14[[#This Row],[Total ABC]],Table14[[#This Row],[Total Contract Cost]]/Table14[[#This Row],[Total ABC]],"")</f>
        <v>0.88177071906209248</v>
      </c>
      <c r="I51" s="5">
        <f>COUNTIFS(Complete[Mode of Procurement],Table14[[#This Row],[Mode of Procurement]],Complete[Column2],"Failed")</f>
        <v>0</v>
      </c>
      <c r="J51" s="197" t="e">
        <f>SUMIFS(Complete[[Total ]],PMR!$AQ$6:$AQ$538,"Failed",PMR!$E$6:$E$538,'Tool 1-Processing'!B51)</f>
        <v>#VALUE!</v>
      </c>
      <c r="K51" s="1"/>
      <c r="L51" s="5"/>
      <c r="M51" s="5"/>
      <c r="N51" s="1"/>
      <c r="O51" s="5"/>
      <c r="P51" s="5"/>
      <c r="Q51" s="1"/>
      <c r="R51" s="161"/>
      <c r="S51" s="161"/>
      <c r="T51" s="162"/>
    </row>
    <row r="52" spans="1:20" ht="13.5" customHeight="1" x14ac:dyDescent="0.25">
      <c r="A52" s="13"/>
      <c r="B52" s="24" t="s">
        <v>88</v>
      </c>
      <c r="C52" s="42">
        <f>SUM(COUNTIF(Complete[Mode of Procurement],Table14[[#This Row],[Mode of Procurement]]),COUNTIF(Table13[Column5],Table14[[#This Row],[Mode of Procurement]]))</f>
        <v>0</v>
      </c>
      <c r="D52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52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52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52" s="199" t="str">
        <f>IF(Table14[[#This Row],[Total No. of Activities ]],Table14[[#This Row],[Total Number of Awarded]]/Table14[[#This Row],[Total No. of Activities ]],"")</f>
        <v/>
      </c>
      <c r="H52" s="200" t="str">
        <f>IF(Table14[[#This Row],[Total ABC]],Table14[[#This Row],[Total Contract Cost]]/Table14[[#This Row],[Total ABC]],"")</f>
        <v/>
      </c>
      <c r="I52" s="5">
        <f>COUNTIFS(Complete[Mode of Procurement],Table14[[#This Row],[Mode of Procurement]],Complete[Column2],"Failed")</f>
        <v>0</v>
      </c>
      <c r="J52" s="197" t="e">
        <f>SUMIFS(Complete[[Total ]],PMR!$AQ$6:$AQ$538,"Failed",PMR!$E$6:$E$538,'Tool 1-Processing'!B52)</f>
        <v>#VALUE!</v>
      </c>
      <c r="K52" s="1"/>
      <c r="L52" s="5"/>
      <c r="M52" s="5"/>
      <c r="N52" s="1"/>
      <c r="O52" s="5"/>
      <c r="P52" s="5"/>
      <c r="Q52" s="1"/>
      <c r="R52" s="161"/>
      <c r="S52" s="161"/>
      <c r="T52" s="162"/>
    </row>
    <row r="53" spans="1:20" ht="13.5" customHeight="1" x14ac:dyDescent="0.25">
      <c r="A53" s="13"/>
      <c r="B53" s="24" t="s">
        <v>89</v>
      </c>
      <c r="C53" s="42">
        <f>SUM(COUNTIF(Complete[Mode of Procurement],Table14[[#This Row],[Mode of Procurement]]),COUNTIF(Table13[Column5],Table14[[#This Row],[Mode of Procurement]]))</f>
        <v>48</v>
      </c>
      <c r="D53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53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53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53" s="199">
        <f>IF(Table14[[#This Row],[Total No. of Activities ]],Table14[[#This Row],[Total Number of Awarded]]/Table14[[#This Row],[Total No. of Activities ]],"")</f>
        <v>0</v>
      </c>
      <c r="H53" s="200" t="str">
        <f>IF(Table14[[#This Row],[Total ABC]],Table14[[#This Row],[Total Contract Cost]]/Table14[[#This Row],[Total ABC]],"")</f>
        <v/>
      </c>
      <c r="I53" s="5">
        <f>COUNTIFS(Complete[Mode of Procurement],Table14[[#This Row],[Mode of Procurement]],Complete[Column2],"Failed")</f>
        <v>0</v>
      </c>
      <c r="J53" s="197" t="e">
        <f>SUMIFS(Complete[[Total ]],PMR!$AQ$6:$AQ$538,"Failed",PMR!$E$6:$E$538,'Tool 1-Processing'!B53)</f>
        <v>#VALUE!</v>
      </c>
      <c r="K53" s="1"/>
      <c r="L53" s="5"/>
      <c r="M53" s="5"/>
      <c r="N53" s="1"/>
      <c r="O53" s="5"/>
      <c r="P53" s="5"/>
      <c r="Q53" s="1"/>
      <c r="R53" s="161"/>
      <c r="S53" s="161"/>
      <c r="T53" s="162"/>
    </row>
    <row r="54" spans="1:20" ht="13.5" customHeight="1" x14ac:dyDescent="0.25">
      <c r="A54" s="13"/>
      <c r="B54" s="24" t="s">
        <v>90</v>
      </c>
      <c r="C54" s="42">
        <f>SUM(COUNTIF(Complete[Mode of Procurement],Table14[[#This Row],[Mode of Procurement]]),COUNTIF(Table13[Column5],Table14[[#This Row],[Mode of Procurement]]))</f>
        <v>0</v>
      </c>
      <c r="D54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54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54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54" s="199" t="str">
        <f>IF(Table14[[#This Row],[Total No. of Activities ]],Table14[[#This Row],[Total Number of Awarded]]/Table14[[#This Row],[Total No. of Activities ]],"")</f>
        <v/>
      </c>
      <c r="H54" s="200" t="str">
        <f>IF(Table14[[#This Row],[Total ABC]],Table14[[#This Row],[Total Contract Cost]]/Table14[[#This Row],[Total ABC]],"")</f>
        <v/>
      </c>
      <c r="I54" s="5">
        <f>COUNTIFS(Complete[Mode of Procurement],Table14[[#This Row],[Mode of Procurement]],Complete[Column2],"Failed")</f>
        <v>0</v>
      </c>
      <c r="J54" s="197" t="e">
        <f>SUMIFS(Complete[[Total ]],PMR!$AQ$6:$AQ$538,"Failed",PMR!$E$6:$E$538,'Tool 1-Processing'!B54)</f>
        <v>#VALUE!</v>
      </c>
      <c r="K54" s="1"/>
      <c r="L54" s="5"/>
      <c r="M54" s="5"/>
      <c r="N54" s="1"/>
      <c r="O54" s="5"/>
      <c r="P54" s="5"/>
      <c r="Q54" s="1"/>
      <c r="R54" s="161"/>
      <c r="S54" s="161"/>
      <c r="T54" s="162"/>
    </row>
    <row r="55" spans="1:20" ht="13.5" customHeight="1" x14ac:dyDescent="0.25">
      <c r="A55" s="13"/>
      <c r="B55" s="24" t="s">
        <v>91</v>
      </c>
      <c r="C55" s="42">
        <f>SUM(COUNTIF(Complete[Mode of Procurement],Table14[[#This Row],[Mode of Procurement]]),COUNTIF(Table13[Column5],Table14[[#This Row],[Mode of Procurement]]))</f>
        <v>149</v>
      </c>
      <c r="D55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55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55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55" s="199">
        <f>IF(Table14[[#This Row],[Total No. of Activities ]],Table14[[#This Row],[Total Number of Awarded]]/Table14[[#This Row],[Total No. of Activities ]],"")</f>
        <v>0</v>
      </c>
      <c r="H55" s="200" t="str">
        <f>IF(Table14[[#This Row],[Total ABC]],Table14[[#This Row],[Total Contract Cost]]/Table14[[#This Row],[Total ABC]],"")</f>
        <v/>
      </c>
      <c r="I55" s="5">
        <f>COUNTIFS(Complete[Mode of Procurement],Table14[[#This Row],[Mode of Procurement]],Complete[Column2],"Failed")</f>
        <v>0</v>
      </c>
      <c r="J55" s="197" t="e">
        <f>SUMIFS(Complete[[Total ]],PMR!$AQ$6:$AQ$538,"Failed",PMR!$E$6:$E$538,'Tool 1-Processing'!B55)</f>
        <v>#VALUE!</v>
      </c>
      <c r="K55" s="1"/>
      <c r="L55" s="5"/>
      <c r="M55" s="5"/>
      <c r="N55" s="1"/>
      <c r="O55" s="5"/>
      <c r="P55" s="5"/>
      <c r="Q55" s="1"/>
      <c r="R55" s="161"/>
      <c r="S55" s="161"/>
      <c r="T55" s="162"/>
    </row>
    <row r="56" spans="1:20" ht="13.5" customHeight="1" x14ac:dyDescent="0.25">
      <c r="A56" s="13"/>
      <c r="B56" s="24" t="s">
        <v>92</v>
      </c>
      <c r="C56" s="42">
        <f>SUM(COUNTIF(Complete[Mode of Procurement],Table14[[#This Row],[Mode of Procurement]]),COUNTIF(Table13[Column5],Table14[[#This Row],[Mode of Procurement]]))</f>
        <v>87</v>
      </c>
      <c r="D56" s="18">
        <f>SUM(COUNTIFS(Complete[Mode of Procurement],Table14[[#This Row],[Mode of Procurement]],Complete[Notice of Award],"&gt;1"),COUNTIFS(Table13[Column5],Table14[[#This Row],[Mode of Procurement]],Table13[Column19],"&gt;1"))</f>
        <v>29</v>
      </c>
      <c r="E56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3272470.9</v>
      </c>
      <c r="F56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3215454.5500000003</v>
      </c>
      <c r="G56" s="199">
        <f>IF(Table14[[#This Row],[Total No. of Activities ]],Table14[[#This Row],[Total Number of Awarded]]/Table14[[#This Row],[Total No. of Activities ]],"")</f>
        <v>0.33333333333333331</v>
      </c>
      <c r="H56" s="200">
        <f>IF(Table14[[#This Row],[Total ABC]],Table14[[#This Row],[Total Contract Cost]]/Table14[[#This Row],[Total ABC]],"")</f>
        <v>0.98257697264779353</v>
      </c>
      <c r="I56" s="5">
        <f>COUNTIFS(Complete[Mode of Procurement],Table14[[#This Row],[Mode of Procurement]],Complete[Column2],"Failed")</f>
        <v>0</v>
      </c>
      <c r="J56" s="197" t="e">
        <f>SUMIFS(Complete[[Total ]],PMR!$AQ$6:$AQ$538,"Failed",PMR!$E$6:$E$538,'Tool 1-Processing'!B56)</f>
        <v>#VALUE!</v>
      </c>
      <c r="K56" s="1"/>
      <c r="L56" s="5"/>
      <c r="M56" s="5"/>
      <c r="N56" s="1"/>
      <c r="O56" s="5"/>
      <c r="P56" s="5"/>
      <c r="Q56" s="1"/>
      <c r="R56" s="161"/>
      <c r="S56" s="161"/>
      <c r="T56" s="162"/>
    </row>
    <row r="57" spans="1:20" ht="13.5" customHeight="1" x14ac:dyDescent="0.25">
      <c r="A57" s="13"/>
      <c r="B57" s="24" t="s">
        <v>93</v>
      </c>
      <c r="C57" s="42">
        <f>SUM(COUNTIF(Complete[Mode of Procurement],Table14[[#This Row],[Mode of Procurement]]),COUNTIF(Table13[Column5],Table14[[#This Row],[Mode of Procurement]]))</f>
        <v>26</v>
      </c>
      <c r="D57" s="18">
        <f>SUM(COUNTIFS(Complete[Mode of Procurement],Table14[[#This Row],[Mode of Procurement]],Complete[Notice of Award],"&gt;1"),COUNTIFS(Table13[Column5],Table14[[#This Row],[Mode of Procurement]],Table13[Column19],"&gt;1"))</f>
        <v>21</v>
      </c>
      <c r="E57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13474945.200000001</v>
      </c>
      <c r="F57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8237679</v>
      </c>
      <c r="G57" s="199">
        <f>IF(Table14[[#This Row],[Total No. of Activities ]],Table14[[#This Row],[Total Number of Awarded]]/Table14[[#This Row],[Total No. of Activities ]],"")</f>
        <v>0.80769230769230771</v>
      </c>
      <c r="H57" s="200">
        <f>IF(Table14[[#This Row],[Total ABC]],Table14[[#This Row],[Total Contract Cost]]/Table14[[#This Row],[Total ABC]],"")</f>
        <v>0.61133302419664015</v>
      </c>
      <c r="I57" s="5">
        <f>COUNTIFS(Complete[Mode of Procurement],Table14[[#This Row],[Mode of Procurement]],Complete[Column2],"Failed")</f>
        <v>0</v>
      </c>
      <c r="J57" s="197" t="e">
        <f>SUMIFS(Complete[[Total ]],PMR!$AQ$6:$AQ$538,"Failed",PMR!$E$6:$E$538,'Tool 1-Processing'!B57)</f>
        <v>#VALUE!</v>
      </c>
      <c r="K57" s="1"/>
      <c r="L57" s="5"/>
      <c r="M57" s="5"/>
      <c r="N57" s="1"/>
      <c r="O57" s="5"/>
      <c r="P57" s="5"/>
      <c r="Q57" s="1"/>
      <c r="R57" s="161"/>
      <c r="S57" s="161"/>
      <c r="T57" s="162"/>
    </row>
    <row r="58" spans="1:20" ht="13.5" customHeight="1" x14ac:dyDescent="0.25">
      <c r="A58" s="13"/>
      <c r="B58" s="24" t="s">
        <v>94</v>
      </c>
      <c r="C58" s="42">
        <f>SUM(COUNTIF(Complete[Mode of Procurement],Table14[[#This Row],[Mode of Procurement]]),COUNTIF(Table13[Column5],Table14[[#This Row],[Mode of Procurement]]))</f>
        <v>16</v>
      </c>
      <c r="D58" s="18">
        <f>SUM(COUNTIFS(Complete[Mode of Procurement],Table14[[#This Row],[Mode of Procurement]],Complete[Notice of Award],"&gt;1"),COUNTIFS(Table13[Column5],Table14[[#This Row],[Mode of Procurement]],Table13[Column19],"&gt;1"))</f>
        <v>16</v>
      </c>
      <c r="E58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24998616.850000001</v>
      </c>
      <c r="F58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24838102.75</v>
      </c>
      <c r="G58" s="199">
        <f>IF(Table14[[#This Row],[Total No. of Activities ]],Table14[[#This Row],[Total Number of Awarded]]/Table14[[#This Row],[Total No. of Activities ]],"")</f>
        <v>1</v>
      </c>
      <c r="H58" s="200">
        <f>IF(Table14[[#This Row],[Total ABC]],Table14[[#This Row],[Total Contract Cost]]/Table14[[#This Row],[Total ABC]],"")</f>
        <v>0.99357908075622181</v>
      </c>
      <c r="I58" s="5">
        <f>COUNTIFS(Complete[Mode of Procurement],Table14[[#This Row],[Mode of Procurement]],Complete[Column2],"Failed")</f>
        <v>0</v>
      </c>
      <c r="J58" s="197" t="e">
        <f>SUMIFS(Complete[[Total ]],PMR!$AQ$6:$AQ$538,"Failed",PMR!$E$6:$E$538,'Tool 1-Processing'!B58)</f>
        <v>#VALUE!</v>
      </c>
      <c r="K58" s="1"/>
      <c r="L58" s="5"/>
      <c r="M58" s="5"/>
      <c r="N58" s="1"/>
      <c r="O58" s="5"/>
      <c r="P58" s="5"/>
      <c r="Q58" s="1"/>
      <c r="R58" s="161"/>
      <c r="S58" s="161"/>
      <c r="T58" s="162"/>
    </row>
    <row r="59" spans="1:20" ht="13.5" customHeight="1" x14ac:dyDescent="0.25">
      <c r="A59" s="13"/>
      <c r="B59" s="24" t="s">
        <v>95</v>
      </c>
      <c r="C59" s="42">
        <f>SUM(COUNTIF(Complete[Mode of Procurement],Table14[[#This Row],[Mode of Procurement]]),COUNTIF(Table13[Column5],Table14[[#This Row],[Mode of Procurement]]))</f>
        <v>0</v>
      </c>
      <c r="D59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59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59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59" s="199" t="str">
        <f>IF(Table14[[#This Row],[Total No. of Activities ]],Table14[[#This Row],[Total Number of Awarded]]/Table14[[#This Row],[Total No. of Activities ]],"")</f>
        <v/>
      </c>
      <c r="H59" s="200" t="str">
        <f>IF(Table14[[#This Row],[Total ABC]],Table14[[#This Row],[Total Contract Cost]]/Table14[[#This Row],[Total ABC]],"")</f>
        <v/>
      </c>
      <c r="I59" s="5">
        <f>COUNTIFS(Complete[Mode of Procurement],Table14[[#This Row],[Mode of Procurement]],Complete[Column2],"Failed")</f>
        <v>0</v>
      </c>
      <c r="J59" s="197" t="e">
        <f>SUMIFS(Complete[[Total ]],PMR!$AQ$6:$AQ$538,"Failed",PMR!$E$6:$E$538,'Tool 1-Processing'!B59)</f>
        <v>#VALUE!</v>
      </c>
      <c r="K59" s="1"/>
      <c r="L59" s="5"/>
      <c r="M59" s="5"/>
      <c r="N59" s="1"/>
      <c r="O59" s="5"/>
      <c r="P59" s="5"/>
      <c r="Q59" s="1"/>
      <c r="R59" s="161"/>
      <c r="S59" s="161"/>
      <c r="T59" s="162"/>
    </row>
    <row r="60" spans="1:20" ht="13.5" customHeight="1" x14ac:dyDescent="0.25">
      <c r="A60" s="13"/>
      <c r="B60" s="24" t="s">
        <v>96</v>
      </c>
      <c r="C60" s="42">
        <f>SUM(COUNTIF(Complete[Mode of Procurement],Table14[[#This Row],[Mode of Procurement]]),COUNTIF(Table13[Column5],Table14[[#This Row],[Mode of Procurement]]))</f>
        <v>0</v>
      </c>
      <c r="D60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60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60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60" s="199" t="str">
        <f>IF(Table14[[#This Row],[Total No. of Activities ]],Table14[[#This Row],[Total Number of Awarded]]/Table14[[#This Row],[Total No. of Activities ]],"")</f>
        <v/>
      </c>
      <c r="H60" s="200" t="str">
        <f>IF(Table14[[#This Row],[Total ABC]],Table14[[#This Row],[Total Contract Cost]]/Table14[[#This Row],[Total ABC]],"")</f>
        <v/>
      </c>
      <c r="I60" s="5">
        <f>COUNTIFS(Complete[Mode of Procurement],Table14[[#This Row],[Mode of Procurement]],Complete[Column2],"Failed")</f>
        <v>0</v>
      </c>
      <c r="J60" s="197" t="e">
        <f>SUMIFS(Complete[[Total ]],PMR!$AQ$6:$AQ$538,"Failed",PMR!$E$6:$E$538,'Tool 1-Processing'!B60)</f>
        <v>#VALUE!</v>
      </c>
      <c r="K60" s="1"/>
      <c r="L60" s="5"/>
      <c r="M60" s="5"/>
      <c r="N60" s="1"/>
      <c r="O60" s="5"/>
      <c r="P60" s="5"/>
      <c r="Q60" s="1"/>
      <c r="R60" s="161"/>
      <c r="S60" s="161"/>
      <c r="T60" s="162"/>
    </row>
    <row r="61" spans="1:20" ht="13.5" customHeight="1" x14ac:dyDescent="0.25">
      <c r="A61" s="13"/>
      <c r="B61" s="24" t="s">
        <v>97</v>
      </c>
      <c r="C61" s="42">
        <f>SUM(COUNTIF(Complete[Mode of Procurement],Table14[[#This Row],[Mode of Procurement]]),COUNTIF(Table13[Column5],Table14[[#This Row],[Mode of Procurement]]))</f>
        <v>3</v>
      </c>
      <c r="D61" s="18">
        <f>SUM(COUNTIFS(Complete[Mode of Procurement],Table14[[#This Row],[Mode of Procurement]],Complete[Notice of Award],"&gt;1"),COUNTIFS(Table13[Column5],Table14[[#This Row],[Mode of Procurement]],Table13[Column19],"&gt;1"))</f>
        <v>3</v>
      </c>
      <c r="E61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6097365</v>
      </c>
      <c r="F61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4971040.25</v>
      </c>
      <c r="G61" s="199">
        <f>IF(Table14[[#This Row],[Total No. of Activities ]],Table14[[#This Row],[Total Number of Awarded]]/Table14[[#This Row],[Total No. of Activities ]],"")</f>
        <v>1</v>
      </c>
      <c r="H61" s="200">
        <f>IF(Table14[[#This Row],[Total ABC]],Table14[[#This Row],[Total Contract Cost]]/Table14[[#This Row],[Total ABC]],"")</f>
        <v>0.81527680399648039</v>
      </c>
      <c r="I61" s="5">
        <f>COUNTIFS(Complete[Mode of Procurement],Table14[[#This Row],[Mode of Procurement]],Complete[Column2],"Failed")</f>
        <v>0</v>
      </c>
      <c r="J61" s="197" t="e">
        <f>SUMIFS(Complete[[Total ]],PMR!$AQ$6:$AQ$538,"Failed",PMR!$E$6:$E$538,'Tool 1-Processing'!B61)</f>
        <v>#VALUE!</v>
      </c>
      <c r="K61" s="1"/>
      <c r="L61" s="5"/>
      <c r="M61" s="5"/>
      <c r="N61" s="1"/>
      <c r="O61" s="5"/>
      <c r="P61" s="5"/>
      <c r="Q61" s="1"/>
      <c r="R61" s="161"/>
      <c r="S61" s="161"/>
      <c r="T61" s="162"/>
    </row>
    <row r="62" spans="1:20" ht="13.5" customHeight="1" x14ac:dyDescent="0.25">
      <c r="A62" s="13"/>
      <c r="B62" s="24" t="s">
        <v>98</v>
      </c>
      <c r="C62" s="42">
        <f>SUM(COUNTIF(Complete[Mode of Procurement],Table14[[#This Row],[Mode of Procurement]]),COUNTIF(Table13[Column5],Table14[[#This Row],[Mode of Procurement]]))</f>
        <v>0</v>
      </c>
      <c r="D62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62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62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62" s="199" t="str">
        <f>IF(Table14[[#This Row],[Total No. of Activities ]],Table14[[#This Row],[Total Number of Awarded]]/Table14[[#This Row],[Total No. of Activities ]],"")</f>
        <v/>
      </c>
      <c r="H62" s="200" t="str">
        <f>IF(Table14[[#This Row],[Total ABC]],Table14[[#This Row],[Total Contract Cost]]/Table14[[#This Row],[Total ABC]],"")</f>
        <v/>
      </c>
      <c r="I62" s="5">
        <f>COUNTIFS(Complete[Mode of Procurement],Table14[[#This Row],[Mode of Procurement]],Complete[Column2],"Failed")</f>
        <v>0</v>
      </c>
      <c r="J62" s="197" t="e">
        <f>SUMIFS(Complete[[Total ]],PMR!$AQ$6:$AQ$538,"Failed",PMR!$E$6:$E$538,'Tool 1-Processing'!B62)</f>
        <v>#VALUE!</v>
      </c>
      <c r="K62" s="1"/>
      <c r="L62" s="5"/>
      <c r="M62" s="5"/>
      <c r="N62" s="1"/>
      <c r="O62" s="5"/>
      <c r="P62" s="5"/>
      <c r="Q62" s="1"/>
      <c r="R62" s="161"/>
      <c r="S62" s="161"/>
      <c r="T62" s="162"/>
    </row>
    <row r="63" spans="1:20" ht="13.5" customHeight="1" x14ac:dyDescent="0.25">
      <c r="A63" s="13"/>
      <c r="B63" s="24" t="s">
        <v>99</v>
      </c>
      <c r="C63" s="42">
        <f>SUM(COUNTIF(Complete[Mode of Procurement],Table14[[#This Row],[Mode of Procurement]]),COUNTIF(Table13[Column5],Table14[[#This Row],[Mode of Procurement]]))</f>
        <v>0</v>
      </c>
      <c r="D63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63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63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63" s="199" t="str">
        <f>IF(Table14[[#This Row],[Total No. of Activities ]],Table14[[#This Row],[Total Number of Awarded]]/Table14[[#This Row],[Total No. of Activities ]],"")</f>
        <v/>
      </c>
      <c r="H63" s="200" t="str">
        <f>IF(Table14[[#This Row],[Total ABC]],Table14[[#This Row],[Total Contract Cost]]/Table14[[#This Row],[Total ABC]],"")</f>
        <v/>
      </c>
      <c r="I63" s="5">
        <f>COUNTIFS(Complete[Mode of Procurement],Table14[[#This Row],[Mode of Procurement]],Complete[Column2],"Failed")</f>
        <v>0</v>
      </c>
      <c r="J63" s="197" t="e">
        <f>SUMIFS(Complete[[Total ]],PMR!$AQ$6:$AQ$538,"Failed",PMR!$E$6:$E$538,'Tool 1-Processing'!B63)</f>
        <v>#VALUE!</v>
      </c>
      <c r="K63" s="1"/>
      <c r="L63" s="5"/>
      <c r="M63" s="5"/>
      <c r="N63" s="1"/>
      <c r="O63" s="5"/>
      <c r="P63" s="5"/>
      <c r="Q63" s="1"/>
      <c r="R63" s="161"/>
      <c r="S63" s="161"/>
      <c r="T63" s="162"/>
    </row>
    <row r="64" spans="1:20" ht="13.5" customHeight="1" x14ac:dyDescent="0.25">
      <c r="A64" s="13"/>
      <c r="B64" s="24" t="s">
        <v>100</v>
      </c>
      <c r="C64" s="42">
        <f>SUM(COUNTIF(Complete[Mode of Procurement],Table14[[#This Row],[Mode of Procurement]]),COUNTIF(Table13[Column5],Table14[[#This Row],[Mode of Procurement]]))</f>
        <v>0</v>
      </c>
      <c r="D64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64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64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64" s="199" t="str">
        <f>IF(Table14[[#This Row],[Total No. of Activities ]],Table14[[#This Row],[Total Number of Awarded]]/Table14[[#This Row],[Total No. of Activities ]],"")</f>
        <v/>
      </c>
      <c r="H64" s="200" t="str">
        <f>IF(Table14[[#This Row],[Total ABC]],Table14[[#This Row],[Total Contract Cost]]/Table14[[#This Row],[Total ABC]],"")</f>
        <v/>
      </c>
      <c r="I64" s="5">
        <f>COUNTIFS(Complete[Mode of Procurement],Table14[[#This Row],[Mode of Procurement]],Complete[Column2],"Failed")</f>
        <v>0</v>
      </c>
      <c r="J64" s="197" t="e">
        <f>SUMIFS(Complete[[Total ]],PMR!$AQ$6:$AQ$538,"Failed",PMR!$E$6:$E$538,'Tool 1-Processing'!B64)</f>
        <v>#VALUE!</v>
      </c>
      <c r="K64" s="1"/>
      <c r="L64" s="5"/>
      <c r="M64" s="5"/>
      <c r="N64" s="1"/>
      <c r="O64" s="5"/>
      <c r="P64" s="5"/>
      <c r="Q64" s="1"/>
      <c r="R64" s="161"/>
      <c r="S64" s="161"/>
      <c r="T64" s="162"/>
    </row>
    <row r="65" spans="1:20" ht="13.5" customHeight="1" x14ac:dyDescent="0.25">
      <c r="A65" s="13"/>
      <c r="B65" s="24" t="s">
        <v>101</v>
      </c>
      <c r="C65" s="42">
        <f>SUM(COUNTIF(Complete[Mode of Procurement],Table14[[#This Row],[Mode of Procurement]]),COUNTIF(Table13[Column5],Table14[[#This Row],[Mode of Procurement]]))</f>
        <v>715</v>
      </c>
      <c r="D65" s="18">
        <f>SUM(COUNTIFS(Complete[Mode of Procurement],Table14[[#This Row],[Mode of Procurement]],Complete[Notice of Award],"&gt;1"),COUNTIFS(Table13[Column5],Table14[[#This Row],[Mode of Procurement]],Table13[Column19],"&gt;1"))</f>
        <v>177</v>
      </c>
      <c r="E65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27029992.41</v>
      </c>
      <c r="F65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25515402.98</v>
      </c>
      <c r="G65" s="199">
        <f>IF(Table14[[#This Row],[Total No. of Activities ]],Table14[[#This Row],[Total Number of Awarded]]/Table14[[#This Row],[Total No. of Activities ]],"")</f>
        <v>0.24755244755244754</v>
      </c>
      <c r="H65" s="200">
        <f>IF(Table14[[#This Row],[Total ABC]],Table14[[#This Row],[Total Contract Cost]]/Table14[[#This Row],[Total ABC]],"")</f>
        <v>0.94396633905677074</v>
      </c>
      <c r="I65" s="5">
        <f>COUNTIFS(Complete[Mode of Procurement],Table14[[#This Row],[Mode of Procurement]],Complete[Column2],"Failed")</f>
        <v>0</v>
      </c>
      <c r="J65" s="197" t="e">
        <f>SUMIFS(Complete[[Total ]],PMR!$AQ$6:$AQ$538,"Failed",PMR!$E$6:$E$538,'Tool 1-Processing'!B65)</f>
        <v>#VALUE!</v>
      </c>
      <c r="K65" s="1"/>
      <c r="L65" s="5"/>
      <c r="M65" s="5"/>
      <c r="N65" s="1"/>
      <c r="O65" s="5"/>
      <c r="P65" s="5"/>
      <c r="Q65" s="1"/>
      <c r="R65" s="161"/>
      <c r="S65" s="161"/>
      <c r="T65" s="162"/>
    </row>
    <row r="66" spans="1:20" ht="13.5" customHeight="1" x14ac:dyDescent="0.25">
      <c r="A66" s="13"/>
      <c r="B66" s="24" t="s">
        <v>102</v>
      </c>
      <c r="C66" s="42">
        <f>SUM(COUNTIF(Complete[Mode of Procurement],Table14[[#This Row],[Mode of Procurement]]),COUNTIF(Table13[Column5],Table14[[#This Row],[Mode of Procurement]]))</f>
        <v>0</v>
      </c>
      <c r="D66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66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66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66" s="199" t="str">
        <f>IF(Table14[[#This Row],[Total No. of Activities ]],Table14[[#This Row],[Total Number of Awarded]]/Table14[[#This Row],[Total No. of Activities ]],"")</f>
        <v/>
      </c>
      <c r="H66" s="200" t="str">
        <f>IF(Table14[[#This Row],[Total ABC]],Table14[[#This Row],[Total Contract Cost]]/Table14[[#This Row],[Total ABC]],"")</f>
        <v/>
      </c>
      <c r="I66" s="5">
        <f>COUNTIFS(Complete[Mode of Procurement],Table14[[#This Row],[Mode of Procurement]],Complete[Column2],"Failed")</f>
        <v>0</v>
      </c>
      <c r="J66" s="197" t="e">
        <f>SUMIFS(Complete[[Total ]],PMR!$AQ$6:$AQ$538,"Failed",PMR!$E$6:$E$538,'Tool 1-Processing'!B66)</f>
        <v>#VALUE!</v>
      </c>
      <c r="K66" s="1"/>
      <c r="L66" s="5"/>
      <c r="M66" s="5"/>
      <c r="N66" s="1"/>
      <c r="O66" s="5"/>
      <c r="P66" s="5"/>
      <c r="Q66" s="1"/>
      <c r="R66" s="161"/>
      <c r="S66" s="161"/>
      <c r="T66" s="162"/>
    </row>
    <row r="67" spans="1:20" ht="13.5" customHeight="1" x14ac:dyDescent="0.25">
      <c r="A67" s="13"/>
      <c r="B67" s="24" t="s">
        <v>103</v>
      </c>
      <c r="C67" s="42">
        <f>SUM(COUNTIF(Complete[Mode of Procurement],Table14[[#This Row],[Mode of Procurement]]),COUNTIF(Table13[Column5],Table14[[#This Row],[Mode of Procurement]]))</f>
        <v>0</v>
      </c>
      <c r="D67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67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67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67" s="199" t="str">
        <f>IF(Table14[[#This Row],[Total No. of Activities ]],Table14[[#This Row],[Total Number of Awarded]]/Table14[[#This Row],[Total No. of Activities ]],"")</f>
        <v/>
      </c>
      <c r="H67" s="200" t="str">
        <f>IF(Table14[[#This Row],[Total ABC]],Table14[[#This Row],[Total Contract Cost]]/Table14[[#This Row],[Total ABC]],"")</f>
        <v/>
      </c>
      <c r="I67" s="5">
        <f>COUNTIFS(Complete[Mode of Procurement],Table14[[#This Row],[Mode of Procurement]],Complete[Column2],"Failed")</f>
        <v>0</v>
      </c>
      <c r="J67" s="197" t="e">
        <f>SUMIFS(Complete[[Total ]],PMR!$AQ$6:$AQ$538,"Failed",PMR!$E$6:$E$538,'Tool 1-Processing'!B67)</f>
        <v>#VALUE!</v>
      </c>
      <c r="K67" s="1"/>
      <c r="L67" s="5"/>
      <c r="M67" s="5"/>
      <c r="N67" s="1"/>
      <c r="O67" s="5"/>
      <c r="P67" s="5"/>
      <c r="Q67" s="1"/>
      <c r="R67" s="161"/>
      <c r="S67" s="161"/>
      <c r="T67" s="162"/>
    </row>
    <row r="68" spans="1:20" ht="13.5" customHeight="1" x14ac:dyDescent="0.25">
      <c r="A68" s="13"/>
      <c r="B68" s="24" t="s">
        <v>104</v>
      </c>
      <c r="C68" s="42">
        <f>SUM(COUNTIF(Complete[Mode of Procurement],Table14[[#This Row],[Mode of Procurement]]),COUNTIF(Table13[Column5],Table14[[#This Row],[Mode of Procurement]]))</f>
        <v>0</v>
      </c>
      <c r="D68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68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68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68" s="199" t="str">
        <f>IF(Table14[[#This Row],[Total No. of Activities ]],Table14[[#This Row],[Total Number of Awarded]]/Table14[[#This Row],[Total No. of Activities ]],"")</f>
        <v/>
      </c>
      <c r="H68" s="200" t="str">
        <f>IF(Table14[[#This Row],[Total ABC]],Table14[[#This Row],[Total Contract Cost]]/Table14[[#This Row],[Total ABC]],"")</f>
        <v/>
      </c>
      <c r="I68" s="5">
        <f>COUNTIFS(Complete[Mode of Procurement],Table14[[#This Row],[Mode of Procurement]],Complete[Column2],"Failed")</f>
        <v>0</v>
      </c>
      <c r="J68" s="197" t="e">
        <f>SUMIFS(Complete[[Total ]],PMR!$AQ$6:$AQ$538,"Failed",PMR!$E$6:$E$538,'Tool 1-Processing'!B68)</f>
        <v>#VALUE!</v>
      </c>
      <c r="K68" s="1"/>
      <c r="L68" s="5"/>
      <c r="M68" s="5"/>
      <c r="N68" s="1"/>
      <c r="O68" s="5"/>
      <c r="P68" s="5"/>
      <c r="Q68" s="1"/>
      <c r="R68" s="161"/>
      <c r="S68" s="161"/>
      <c r="T68" s="162"/>
    </row>
    <row r="69" spans="1:20" ht="13.5" customHeight="1" x14ac:dyDescent="0.25">
      <c r="A69" s="13"/>
      <c r="B69" s="24" t="s">
        <v>105</v>
      </c>
      <c r="C69" s="42">
        <f>SUM(COUNTIF(Complete[Mode of Procurement],Table14[[#This Row],[Mode of Procurement]]),COUNTIF(Table13[Column5],Table14[[#This Row],[Mode of Procurement]]))</f>
        <v>0</v>
      </c>
      <c r="D69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69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69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69" s="199" t="str">
        <f>IF(Table14[[#This Row],[Total No. of Activities ]],Table14[[#This Row],[Total Number of Awarded]]/Table14[[#This Row],[Total No. of Activities ]],"")</f>
        <v/>
      </c>
      <c r="H69" s="200" t="str">
        <f>IF(Table14[[#This Row],[Total ABC]],Table14[[#This Row],[Total Contract Cost]]/Table14[[#This Row],[Total ABC]],"")</f>
        <v/>
      </c>
      <c r="I69" s="5">
        <f>COUNTIFS(Complete[Mode of Procurement],Table14[[#This Row],[Mode of Procurement]],Complete[Column2],"Failed")</f>
        <v>0</v>
      </c>
      <c r="J69" s="197" t="e">
        <f>SUMIFS(Complete[[Total ]],PMR!$AQ$6:$AQ$538,"Failed",PMR!$E$6:$E$538,'Tool 1-Processing'!B69)</f>
        <v>#VALUE!</v>
      </c>
      <c r="K69" s="1"/>
      <c r="L69" s="5"/>
      <c r="M69" s="5"/>
      <c r="N69" s="1"/>
      <c r="O69" s="5"/>
      <c r="P69" s="5"/>
      <c r="Q69" s="1"/>
      <c r="R69" s="161"/>
      <c r="S69" s="161"/>
      <c r="T69" s="162"/>
    </row>
    <row r="70" spans="1:20" ht="13.5" customHeight="1" x14ac:dyDescent="0.25">
      <c r="A70" s="13"/>
      <c r="B70" s="24" t="s">
        <v>106</v>
      </c>
      <c r="C70" s="42">
        <f>SUM(COUNTIF(Complete[Mode of Procurement],Table14[[#This Row],[Mode of Procurement]]),COUNTIF(Table13[Column5],Table14[[#This Row],[Mode of Procurement]]))</f>
        <v>0</v>
      </c>
      <c r="D70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70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70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70" s="199" t="str">
        <f>IF(Table14[[#This Row],[Total No. of Activities ]],Table14[[#This Row],[Total Number of Awarded]]/Table14[[#This Row],[Total No. of Activities ]],"")</f>
        <v/>
      </c>
      <c r="H70" s="200" t="str">
        <f>IF(Table14[[#This Row],[Total ABC]],Table14[[#This Row],[Total Contract Cost]]/Table14[[#This Row],[Total ABC]],"")</f>
        <v/>
      </c>
      <c r="I70" s="5">
        <f>COUNTIFS(Complete[Mode of Procurement],Table14[[#This Row],[Mode of Procurement]],Complete[Column2],"Failed")</f>
        <v>0</v>
      </c>
      <c r="J70" s="197" t="e">
        <f>SUMIFS(Complete[[Total ]],PMR!$AQ$6:$AQ$538,"Failed",PMR!$E$6:$E$538,'Tool 1-Processing'!B70)</f>
        <v>#VALUE!</v>
      </c>
      <c r="K70" s="1"/>
      <c r="L70" s="5"/>
      <c r="M70" s="5"/>
      <c r="N70" s="1"/>
      <c r="O70" s="5"/>
      <c r="P70" s="5"/>
      <c r="Q70" s="1"/>
      <c r="R70" s="161"/>
      <c r="S70" s="161"/>
      <c r="T70" s="162"/>
    </row>
    <row r="71" spans="1:20" ht="13.5" customHeight="1" x14ac:dyDescent="0.25">
      <c r="A71" s="13"/>
      <c r="B71" s="24" t="s">
        <v>107</v>
      </c>
      <c r="C71" s="42">
        <f>SUM(COUNTIF(Complete[Mode of Procurement],Table14[[#This Row],[Mode of Procurement]]),COUNTIF(Table13[Column5],Table14[[#This Row],[Mode of Procurement]]))</f>
        <v>0</v>
      </c>
      <c r="D71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71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71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71" s="199" t="str">
        <f>IF(Table14[[#This Row],[Total No. of Activities ]],Table14[[#This Row],[Total Number of Awarded]]/Table14[[#This Row],[Total No. of Activities ]],"")</f>
        <v/>
      </c>
      <c r="H71" s="200" t="str">
        <f>IF(Table14[[#This Row],[Total ABC]],Table14[[#This Row],[Total Contract Cost]]/Table14[[#This Row],[Total ABC]],"")</f>
        <v/>
      </c>
      <c r="I71" s="5">
        <f>COUNTIFS(Complete[Mode of Procurement],Table14[[#This Row],[Mode of Procurement]],Complete[Column2],"Failed")</f>
        <v>0</v>
      </c>
      <c r="J71" s="197" t="e">
        <f>SUMIFS(Complete[[Total ]],PMR!$AQ$6:$AQ$538,"Failed",PMR!$E$6:$E$538,'Tool 1-Processing'!B71)</f>
        <v>#VALUE!</v>
      </c>
      <c r="K71" s="1"/>
      <c r="L71" s="5"/>
      <c r="M71" s="5"/>
      <c r="N71" s="1"/>
      <c r="O71" s="5"/>
      <c r="P71" s="5"/>
      <c r="Q71" s="1"/>
      <c r="R71" s="161"/>
      <c r="S71" s="161"/>
      <c r="T71" s="162"/>
    </row>
    <row r="72" spans="1:20" ht="13.5" customHeight="1" x14ac:dyDescent="0.25">
      <c r="A72" s="13"/>
      <c r="B72" s="24" t="s">
        <v>108</v>
      </c>
      <c r="C72" s="42">
        <f>SUM(COUNTIF(Complete[Mode of Procurement],Table14[[#This Row],[Mode of Procurement]]),COUNTIF(Table13[Column5],Table14[[#This Row],[Mode of Procurement]]))</f>
        <v>0</v>
      </c>
      <c r="D72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72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72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72" s="199" t="str">
        <f>IF(Table14[[#This Row],[Total No. of Activities ]],Table14[[#This Row],[Total Number of Awarded]]/Table14[[#This Row],[Total No. of Activities ]],"")</f>
        <v/>
      </c>
      <c r="H72" s="200" t="str">
        <f>IF(Table14[[#This Row],[Total ABC]],Table14[[#This Row],[Total Contract Cost]]/Table14[[#This Row],[Total ABC]],"")</f>
        <v/>
      </c>
      <c r="I72" s="5">
        <f>COUNTIFS(Complete[Mode of Procurement],Table14[[#This Row],[Mode of Procurement]],Complete[Column2],"Failed")</f>
        <v>0</v>
      </c>
      <c r="J72" s="197" t="e">
        <f>SUMIFS(Complete[[Total ]],PMR!$AQ$6:$AQ$538,"Failed",PMR!$E$6:$E$538,'Tool 1-Processing'!B72)</f>
        <v>#VALUE!</v>
      </c>
      <c r="K72" s="1"/>
      <c r="L72" s="5"/>
      <c r="M72" s="5"/>
      <c r="N72" s="1"/>
      <c r="O72" s="5"/>
      <c r="P72" s="5"/>
      <c r="Q72" s="1"/>
      <c r="R72" s="161"/>
      <c r="S72" s="161"/>
      <c r="T72" s="162"/>
    </row>
    <row r="73" spans="1:20" ht="13.5" customHeight="1" x14ac:dyDescent="0.25">
      <c r="A73" s="13"/>
      <c r="B73" s="24" t="s">
        <v>109</v>
      </c>
      <c r="C73" s="42">
        <f>SUM(COUNTIF(Complete[Mode of Procurement],Table14[[#This Row],[Mode of Procurement]]),COUNTIF(Table13[Column5],Table14[[#This Row],[Mode of Procurement]]))</f>
        <v>0</v>
      </c>
      <c r="D73" s="18">
        <f>SUM(COUNTIFS(Complete[Mode of Procurement],Table14[[#This Row],[Mode of Procurement]],Complete[Notice of Award],"&gt;1"),COUNTIFS(Table13[Column5],Table14[[#This Row],[Mode of Procurement]],Table13[Column19],"&gt;1"))</f>
        <v>0</v>
      </c>
      <c r="E73" s="197">
        <f>SUM(SUMIFS(Complete[[Total ]],Complete[Notice of Award],"&gt;1",Complete[Mode of Procurement],Table14[[#This Row],[Mode of Procurement]]),SUMIFS(Table13[Column27],Table13[Column19],"&gt;1",Table13[Column5],Table14[[#This Row],[Mode of Procurement]]))</f>
        <v>0</v>
      </c>
      <c r="F73" s="197">
        <f>SUM(SUMIFS(Complete[Total2],Complete[Notice of Award],"&gt;1",Complete[Mode of Procurement],Table14[[#This Row],[Mode of Procurement]]),SUMIFS(Table13[Column30],Table13[Column19],"&gt;1",Table13[Column5],Table14[[#This Row],[Mode of Procurement]]))</f>
        <v>0</v>
      </c>
      <c r="G73" s="199" t="str">
        <f>IF(Table14[[#This Row],[Total No. of Activities ]],Table14[[#This Row],[Total Number of Awarded]]/Table14[[#This Row],[Total No. of Activities ]],"")</f>
        <v/>
      </c>
      <c r="H73" s="200" t="str">
        <f>IF(Table14[[#This Row],[Total ABC]],Table14[[#This Row],[Total Contract Cost]]/Table14[[#This Row],[Total ABC]],"")</f>
        <v/>
      </c>
      <c r="I73" s="5">
        <f>COUNTIFS(Complete[Mode of Procurement],Table14[[#This Row],[Mode of Procurement]],Complete[Column2],"Failed")</f>
        <v>0</v>
      </c>
      <c r="J73" s="197" t="e">
        <f>SUMIFS(Complete[[Total ]],PMR!$AQ$6:$AQ$538,"Failed",PMR!$E$6:$E$538,'Tool 1-Processing'!B73)</f>
        <v>#VALUE!</v>
      </c>
      <c r="K73" s="1"/>
      <c r="L73" s="5"/>
      <c r="M73" s="5"/>
      <c r="N73" s="1"/>
      <c r="O73" s="5"/>
      <c r="P73" s="5"/>
      <c r="Q73" s="1"/>
      <c r="R73" s="161"/>
      <c r="S73" s="161"/>
      <c r="T73" s="162"/>
    </row>
    <row r="74" spans="1:20" ht="13.5" customHeight="1" x14ac:dyDescent="0.25">
      <c r="A74" s="13"/>
      <c r="B74" s="201" t="s">
        <v>42</v>
      </c>
      <c r="C74" s="202">
        <f>SUBTOTAL(109,Table14[Total No. of Activities ])</f>
        <v>1223</v>
      </c>
      <c r="D74" s="203">
        <f>SUBTOTAL(109,Table14[Total Number of Awarded])</f>
        <v>329</v>
      </c>
      <c r="E74" s="204">
        <f>SUBTOTAL(109,Table14[Total ABC])</f>
        <v>210392050.05999997</v>
      </c>
      <c r="F74" s="204">
        <f>SUBTOTAL(109,Table14[Total ABC])</f>
        <v>210392050.05999997</v>
      </c>
      <c r="G74" s="206">
        <f>SUBTOTAL(101,Table14[%Vol of Awarded])</f>
        <v>0.48153315492700965</v>
      </c>
      <c r="H74" s="206">
        <f>SUBTOTAL(101,Table14[%ABC of Awarded])</f>
        <v>0.87141715661933317</v>
      </c>
      <c r="I74" s="208">
        <f>SUBTOTAL(109,Table14[Total Number of Failed])</f>
        <v>0</v>
      </c>
      <c r="J74" s="218" t="e">
        <f>SUBTOTAL(109,Table14[ABC of Failed])</f>
        <v>#VALUE!</v>
      </c>
      <c r="K74" s="1"/>
      <c r="L74" s="5"/>
      <c r="M74" s="5"/>
      <c r="N74" s="1"/>
      <c r="O74" s="5"/>
      <c r="P74" s="5"/>
      <c r="Q74" s="1"/>
      <c r="R74" s="161"/>
      <c r="S74" s="161"/>
      <c r="T74" s="162"/>
    </row>
    <row r="75" spans="1:20" ht="13.5" customHeight="1" x14ac:dyDescent="0.25">
      <c r="A75" s="13"/>
      <c r="B75" s="20"/>
      <c r="C75" s="18"/>
      <c r="D75" s="18"/>
      <c r="E75" s="1"/>
      <c r="F75" s="5"/>
      <c r="G75" s="5"/>
      <c r="H75" s="1"/>
      <c r="I75" s="1"/>
      <c r="J75" s="1"/>
      <c r="K75" s="1"/>
      <c r="L75" s="5"/>
      <c r="M75" s="5"/>
      <c r="N75" s="1"/>
      <c r="O75" s="5"/>
      <c r="P75" s="5"/>
      <c r="Q75" s="1"/>
      <c r="R75" s="161"/>
      <c r="S75" s="161"/>
      <c r="T75" s="162"/>
    </row>
    <row r="76" spans="1:20" ht="13.5" customHeight="1" x14ac:dyDescent="0.25">
      <c r="A76" s="13"/>
      <c r="B76" s="20" t="s">
        <v>120</v>
      </c>
      <c r="C76" s="18">
        <f>SUM(C52:C73)</f>
        <v>1044</v>
      </c>
      <c r="D76" s="18">
        <f>SUM(D52:D73)</f>
        <v>246</v>
      </c>
      <c r="E76" s="207">
        <f>SUM(E52:E73)</f>
        <v>74873390.359999999</v>
      </c>
      <c r="F76" s="207">
        <f>SUM(F52:F73)</f>
        <v>66777679.530000001</v>
      </c>
      <c r="G76" s="205">
        <f>AVERAGE(G52:G73)</f>
        <v>0.48408258408258409</v>
      </c>
      <c r="H76" s="205">
        <f>AVERAGE(H52:H73)</f>
        <v>0.86934644413078144</v>
      </c>
      <c r="I76" s="18">
        <f>SUM(I52:I73)</f>
        <v>0</v>
      </c>
      <c r="J76" s="207" t="e">
        <f>SUM(J52:J73)</f>
        <v>#VALUE!</v>
      </c>
      <c r="K76" s="1"/>
      <c r="L76" s="5"/>
      <c r="M76" s="5"/>
      <c r="N76" s="1"/>
      <c r="O76" s="5"/>
      <c r="P76" s="5"/>
      <c r="Q76" s="1"/>
      <c r="R76" s="161"/>
      <c r="S76" s="161"/>
      <c r="T76" s="162"/>
    </row>
    <row r="77" spans="1:20" ht="13.5" customHeight="1" x14ac:dyDescent="0.25">
      <c r="A77" s="13"/>
      <c r="B77" s="20"/>
      <c r="C77" s="18"/>
      <c r="D77" s="18"/>
      <c r="E77" s="1"/>
      <c r="F77" s="5"/>
      <c r="G77" s="5"/>
      <c r="H77" s="1"/>
      <c r="I77" s="1"/>
      <c r="J77" s="1"/>
      <c r="K77" s="1"/>
      <c r="L77" s="5"/>
      <c r="M77" s="5"/>
      <c r="N77" s="1"/>
      <c r="O77" s="5"/>
      <c r="P77" s="5"/>
      <c r="Q77" s="1"/>
      <c r="R77" s="161"/>
      <c r="S77" s="161"/>
      <c r="T77" s="162"/>
    </row>
    <row r="78" spans="1:20" ht="13.5" customHeight="1" x14ac:dyDescent="0.25">
      <c r="A78" s="13"/>
      <c r="B78" s="20"/>
      <c r="C78" s="18"/>
      <c r="D78" s="18"/>
      <c r="E78" s="1"/>
      <c r="F78" s="5"/>
      <c r="G78" s="5"/>
      <c r="H78" s="1"/>
      <c r="I78" s="1"/>
      <c r="J78" s="1"/>
      <c r="K78" s="1"/>
      <c r="L78" s="5"/>
      <c r="M78" s="5"/>
      <c r="N78" s="1"/>
      <c r="O78" s="5"/>
      <c r="P78" s="5"/>
      <c r="Q78" s="1"/>
      <c r="R78" s="161"/>
      <c r="S78" s="161"/>
      <c r="T78" s="162"/>
    </row>
    <row r="79" spans="1:20" ht="15" customHeight="1" x14ac:dyDescent="0.25">
      <c r="A79" s="1"/>
      <c r="B79" s="21"/>
      <c r="C79" s="18"/>
      <c r="D79" s="18"/>
      <c r="E79" s="1"/>
      <c r="F79" s="5"/>
      <c r="G79" s="5"/>
      <c r="H79" s="1"/>
      <c r="I79" s="1"/>
      <c r="J79" s="1"/>
      <c r="K79" s="1"/>
      <c r="L79" s="5"/>
      <c r="M79" s="5"/>
      <c r="N79" s="1"/>
      <c r="O79" s="5"/>
      <c r="P79" s="12"/>
      <c r="Q79" s="13"/>
      <c r="R79" s="156"/>
      <c r="S79" s="156"/>
      <c r="T79" s="157"/>
    </row>
    <row r="80" spans="1:20" ht="13.5" customHeight="1" x14ac:dyDescent="0.25">
      <c r="A80" s="9"/>
      <c r="B80" s="672" t="s">
        <v>121</v>
      </c>
      <c r="C80" s="663"/>
      <c r="D80" s="663"/>
      <c r="E80" s="663"/>
      <c r="F80" s="12"/>
      <c r="G80" s="12"/>
      <c r="H80" s="13"/>
      <c r="I80" s="13"/>
      <c r="J80" s="13"/>
      <c r="K80" s="13"/>
      <c r="L80" s="12"/>
      <c r="M80" s="12"/>
      <c r="N80" s="13"/>
      <c r="O80" s="12"/>
      <c r="P80" s="5"/>
      <c r="Q80" s="1"/>
      <c r="R80" s="163"/>
      <c r="S80" s="163"/>
      <c r="T80" s="164"/>
    </row>
    <row r="81" spans="1:21" x14ac:dyDescent="0.25">
      <c r="A81" s="256"/>
      <c r="B81" s="3"/>
      <c r="C81" s="3"/>
      <c r="D81" s="3"/>
      <c r="E81" s="1"/>
      <c r="F81" s="5"/>
      <c r="G81" s="5"/>
      <c r="H81" s="1"/>
      <c r="I81" s="1"/>
      <c r="J81" s="1"/>
      <c r="K81" s="1"/>
      <c r="L81" s="5"/>
      <c r="M81" s="5"/>
      <c r="N81" s="1"/>
      <c r="O81" s="5"/>
      <c r="P81" s="10"/>
      <c r="Q81" s="9"/>
      <c r="R81" s="257"/>
      <c r="S81" s="257"/>
      <c r="T81" s="258"/>
    </row>
    <row r="82" spans="1:21" ht="13.5" customHeight="1" x14ac:dyDescent="0.25">
      <c r="A82" s="256"/>
      <c r="B82" s="44" t="s">
        <v>122</v>
      </c>
      <c r="C82" s="44" t="s">
        <v>123</v>
      </c>
      <c r="D82" s="22" t="s">
        <v>124</v>
      </c>
      <c r="E82" s="9"/>
      <c r="F82" s="10"/>
      <c r="G82" s="10"/>
      <c r="H82" s="9"/>
      <c r="I82" s="9"/>
      <c r="J82" s="9"/>
      <c r="K82" s="9"/>
      <c r="L82" s="10"/>
      <c r="M82" s="10"/>
      <c r="N82" s="9"/>
      <c r="O82" s="10"/>
      <c r="P82" s="259"/>
      <c r="Q82" s="256"/>
      <c r="R82" s="257"/>
      <c r="S82" s="257"/>
      <c r="T82" s="258"/>
    </row>
    <row r="83" spans="1:21" ht="13.5" customHeight="1" x14ac:dyDescent="0.25">
      <c r="A83" s="256"/>
      <c r="B83" s="260" t="s">
        <v>125</v>
      </c>
      <c r="C83" s="261">
        <f>COUNTIFS(Table13[Column41],"Ongoing Procurement Process",Table13[Column42],"&gt;180")</f>
        <v>0</v>
      </c>
      <c r="D83" s="262">
        <f t="shared" ref="D83:D86" si="0">IF($C$87,C83/$C$87,0)</f>
        <v>0</v>
      </c>
      <c r="E83" s="256"/>
      <c r="F83" s="259"/>
      <c r="G83" s="259"/>
      <c r="H83" s="256"/>
      <c r="I83" s="256"/>
      <c r="J83" s="256"/>
      <c r="K83" s="256"/>
      <c r="L83" s="259"/>
      <c r="M83" s="259"/>
      <c r="N83" s="256"/>
      <c r="O83" s="259"/>
      <c r="P83" s="259"/>
      <c r="Q83" s="256"/>
      <c r="R83" s="257"/>
      <c r="S83" s="257"/>
      <c r="T83" s="258"/>
    </row>
    <row r="84" spans="1:21" ht="13.5" customHeight="1" x14ac:dyDescent="0.25">
      <c r="A84" s="256"/>
      <c r="B84" s="260" t="s">
        <v>126</v>
      </c>
      <c r="C84" s="261">
        <f>COUNTIFS(Table13[Column41],"Ongoing Procurement Process",Table13[Column42],"&lt;180",Table13[Column42],"&gt;90")</f>
        <v>0</v>
      </c>
      <c r="D84" s="262">
        <f t="shared" si="0"/>
        <v>0</v>
      </c>
      <c r="E84" s="256"/>
      <c r="F84" s="259"/>
      <c r="G84" s="259"/>
      <c r="H84" s="256"/>
      <c r="I84" s="256"/>
      <c r="J84" s="256"/>
      <c r="K84" s="256"/>
      <c r="L84" s="259"/>
      <c r="M84" s="259"/>
      <c r="N84" s="256"/>
      <c r="O84" s="259"/>
      <c r="P84" s="259"/>
      <c r="Q84" s="256"/>
      <c r="R84" s="257"/>
      <c r="S84" s="257"/>
      <c r="T84" s="258"/>
    </row>
    <row r="85" spans="1:21" ht="13.5" customHeight="1" x14ac:dyDescent="0.25">
      <c r="A85" s="256"/>
      <c r="B85" s="260" t="s">
        <v>127</v>
      </c>
      <c r="C85" s="261">
        <f>COUNTIFS(Table13[Column41],"Ongoing Procurement Process",Table13[Column42],"&lt;91",Table13[Column42],"&gt;44")</f>
        <v>0</v>
      </c>
      <c r="D85" s="262">
        <f t="shared" si="0"/>
        <v>0</v>
      </c>
      <c r="E85" s="256"/>
      <c r="F85" s="259"/>
      <c r="G85" s="259"/>
      <c r="H85" s="256"/>
      <c r="I85" s="256"/>
      <c r="J85" s="256"/>
      <c r="K85" s="256"/>
      <c r="L85" s="259"/>
      <c r="M85" s="259"/>
      <c r="N85" s="256"/>
      <c r="O85" s="259"/>
      <c r="P85" s="259"/>
      <c r="Q85" s="256"/>
      <c r="R85" s="257"/>
      <c r="S85" s="257"/>
      <c r="T85" s="258"/>
    </row>
    <row r="86" spans="1:21" ht="13.5" customHeight="1" x14ac:dyDescent="0.25">
      <c r="A86" s="1"/>
      <c r="B86" s="260" t="s">
        <v>128</v>
      </c>
      <c r="C86" s="261">
        <f>COUNTIFS(Table13[Column41],"Ongoing Procurement Process",Table13[Column42],"&lt;45",Table13[Column42],"&gt;0")</f>
        <v>0</v>
      </c>
      <c r="D86" s="262">
        <f t="shared" si="0"/>
        <v>0</v>
      </c>
      <c r="E86" s="256"/>
      <c r="F86" s="259"/>
      <c r="G86" s="259"/>
      <c r="H86" s="256"/>
      <c r="I86" s="256"/>
      <c r="J86" s="256"/>
      <c r="K86" s="256"/>
      <c r="L86" s="259"/>
      <c r="M86" s="259"/>
      <c r="N86" s="256"/>
      <c r="O86" s="259"/>
      <c r="P86" s="259"/>
      <c r="Q86" s="256"/>
      <c r="R86" s="156"/>
      <c r="S86" s="156"/>
      <c r="T86" s="157"/>
    </row>
    <row r="87" spans="1:21" ht="13.5" customHeight="1" x14ac:dyDescent="0.25">
      <c r="A87" s="1"/>
      <c r="B87" s="43" t="s">
        <v>42</v>
      </c>
      <c r="C87" s="261">
        <f>SUM(C83,C84,C85,C86)</f>
        <v>0</v>
      </c>
      <c r="D87" s="23">
        <f>SUBTOTAL(109,'Tool 1-Processing'!$D$83:$D$86)</f>
        <v>0</v>
      </c>
      <c r="E87" s="256"/>
      <c r="F87" s="259"/>
      <c r="G87" s="259"/>
      <c r="H87" s="256"/>
      <c r="I87" s="256"/>
      <c r="J87" s="256"/>
      <c r="K87" s="256"/>
      <c r="L87" s="259"/>
      <c r="M87" s="259"/>
      <c r="N87" s="256"/>
      <c r="O87" s="259"/>
      <c r="P87" s="5"/>
      <c r="Q87" s="1"/>
      <c r="R87" s="156"/>
      <c r="S87" s="156"/>
      <c r="T87" s="157"/>
    </row>
    <row r="88" spans="1:21" ht="13.5" customHeight="1" x14ac:dyDescent="0.25">
      <c r="A88" s="1"/>
      <c r="B88" s="24" t="s">
        <v>129</v>
      </c>
      <c r="C88" s="18"/>
      <c r="D88" s="18"/>
      <c r="E88" s="1"/>
      <c r="F88" s="5"/>
      <c r="G88" s="5"/>
      <c r="H88" s="1"/>
      <c r="I88" s="1"/>
      <c r="J88" s="1"/>
      <c r="K88" s="1"/>
      <c r="L88" s="5"/>
      <c r="M88" s="5"/>
      <c r="N88" s="1"/>
      <c r="O88" s="5"/>
      <c r="P88" s="5"/>
      <c r="Q88" s="1"/>
      <c r="R88" s="156"/>
      <c r="S88" s="156"/>
      <c r="T88" s="157"/>
    </row>
    <row r="89" spans="1:21" ht="15" customHeight="1" x14ac:dyDescent="0.25">
      <c r="A89" s="1"/>
      <c r="B89" s="18"/>
      <c r="C89" s="1"/>
      <c r="D89" s="1"/>
      <c r="E89" s="1"/>
      <c r="F89" s="5"/>
      <c r="G89" s="5"/>
      <c r="H89" s="1"/>
      <c r="I89" s="1"/>
      <c r="J89" s="1"/>
      <c r="K89" s="1"/>
      <c r="L89" s="5"/>
      <c r="M89" s="5"/>
      <c r="N89" s="1"/>
      <c r="O89" s="5"/>
      <c r="P89" s="5"/>
      <c r="Q89" s="1"/>
      <c r="R89" s="156"/>
      <c r="S89" s="156"/>
      <c r="T89" s="157"/>
    </row>
    <row r="90" spans="1:21" ht="13.5" customHeight="1" x14ac:dyDescent="0.25">
      <c r="A90" s="9"/>
      <c r="B90" s="662" t="s">
        <v>130</v>
      </c>
      <c r="C90" s="663"/>
      <c r="D90" s="663"/>
      <c r="E90" s="663"/>
      <c r="F90" s="5"/>
      <c r="G90" s="5"/>
      <c r="H90" s="1"/>
      <c r="I90" s="1"/>
      <c r="J90" s="1"/>
      <c r="K90" s="1"/>
      <c r="L90" s="5"/>
      <c r="M90" s="5"/>
      <c r="N90" s="1"/>
      <c r="O90" s="5"/>
      <c r="P90" s="5"/>
      <c r="Q90" s="1"/>
      <c r="R90" s="163"/>
      <c r="S90" s="163"/>
      <c r="T90" s="164"/>
    </row>
    <row r="91" spans="1:21" ht="39" customHeight="1" x14ac:dyDescent="0.25">
      <c r="A91" s="256"/>
      <c r="B91" s="3"/>
      <c r="C91" s="3"/>
      <c r="D91" s="3"/>
      <c r="E91" s="1"/>
      <c r="F91" s="5"/>
      <c r="G91" s="5"/>
      <c r="H91" s="1"/>
      <c r="I91" s="1"/>
      <c r="J91" s="1"/>
      <c r="K91" s="1"/>
      <c r="L91" s="5"/>
      <c r="M91" s="5"/>
      <c r="N91" s="1"/>
      <c r="O91" s="5"/>
      <c r="P91" s="10"/>
      <c r="Q91" s="9"/>
      <c r="R91" s="257"/>
      <c r="S91" s="257"/>
      <c r="T91" s="258"/>
    </row>
    <row r="92" spans="1:21" ht="28.9" customHeight="1" x14ac:dyDescent="0.25">
      <c r="A92" s="256"/>
      <c r="B92" s="55" t="s">
        <v>131</v>
      </c>
      <c r="C92" s="56" t="s">
        <v>123</v>
      </c>
      <c r="D92" s="57" t="s">
        <v>132</v>
      </c>
      <c r="E92" s="56" t="s">
        <v>133</v>
      </c>
      <c r="F92" s="58" t="s">
        <v>134</v>
      </c>
      <c r="G92" s="56" t="s">
        <v>135</v>
      </c>
      <c r="H92" s="58" t="s">
        <v>136</v>
      </c>
      <c r="I92" s="122" t="s">
        <v>137</v>
      </c>
      <c r="J92" s="9"/>
      <c r="K92" s="9"/>
      <c r="L92" s="10"/>
      <c r="M92" s="10"/>
      <c r="N92" s="9"/>
      <c r="O92" s="10"/>
      <c r="P92" s="259"/>
      <c r="Q92" s="256"/>
      <c r="R92" s="257"/>
      <c r="S92" s="257"/>
      <c r="T92" s="258"/>
    </row>
    <row r="93" spans="1:21" ht="13.5" customHeight="1" x14ac:dyDescent="0.25">
      <c r="A93" s="256"/>
      <c r="B93" s="263" t="s">
        <v>138</v>
      </c>
      <c r="C93" s="264">
        <f>COUNTIF(PMR!$AO$7:$AO$550, "Awarded with issued Notice of Award")</f>
        <v>0</v>
      </c>
      <c r="D93" s="265">
        <f>IF($C$97,Table_1[[#This Row],[No. of Procurement Activities]]/$C$97,"")</f>
        <v>0</v>
      </c>
      <c r="E93" s="266">
        <f>SUMIF(PMR!$AO$7:$AO$1249, "Awarded with issued Notice of Award",PMR!$AA$7:$AA$1249)</f>
        <v>0</v>
      </c>
      <c r="F93" s="113">
        <f>IF($E$97,Table_1[[#This Row],[ABC Amount of Activities]]/$E$97,"")</f>
        <v>0</v>
      </c>
      <c r="G93" s="266">
        <f>SUMIF(PMR!$AO$7:$AO$1249, "Awarded with issued Notice of Award",PMR!$AD$7:$AD$1249)</f>
        <v>0</v>
      </c>
      <c r="H93" s="267">
        <f>Table_1[[#This Row],[Contract Cost]]/$G$97</f>
        <v>0</v>
      </c>
      <c r="I93" s="268" t="e">
        <f>(Table_1[[#This Row],[ABC Amount of Activities]]-Table_1[[#This Row],[Contract Cost]])/Table_1[[#This Row],[ABC Amount of Activities]]</f>
        <v>#DIV/0!</v>
      </c>
      <c r="J93" s="256"/>
      <c r="K93" s="256"/>
      <c r="L93" s="259"/>
      <c r="M93" s="259"/>
      <c r="N93" s="256"/>
      <c r="O93" s="259"/>
      <c r="P93" s="259"/>
      <c r="Q93" s="256"/>
      <c r="R93" s="257"/>
      <c r="S93" s="257"/>
      <c r="T93" s="258"/>
    </row>
    <row r="94" spans="1:21" ht="13.5" customHeight="1" x14ac:dyDescent="0.25">
      <c r="A94" s="256"/>
      <c r="B94" s="263" t="s">
        <v>139</v>
      </c>
      <c r="C94" s="264">
        <f>COUNTIF(PMR!$AO$7:$AO$550, B94)</f>
        <v>530</v>
      </c>
      <c r="D94" s="265">
        <f>IF($C$97,Table_1[[#This Row],[No. of Procurement Activities]]/$C$97,"")</f>
        <v>1</v>
      </c>
      <c r="E94" s="266">
        <f>SUMIF(PMR!$AO$7:$AO$551, B94,PMR!$AA$7:$AA$551)</f>
        <v>160861639.62</v>
      </c>
      <c r="F94" s="113">
        <f>IF($E$97,Table_1[[#This Row],[ABC Amount of Activities]]/$E$97,"")</f>
        <v>1</v>
      </c>
      <c r="G94" s="266">
        <f>SUMIF(PMR!$AO$7:$AO$551,B94,PMR!$AD$7:$AD$551)</f>
        <v>148778961.98000002</v>
      </c>
      <c r="H94" s="269">
        <f>Table_1[[#This Row],[Contract Cost]]/$G$97</f>
        <v>1</v>
      </c>
      <c r="I94" s="268">
        <f>(Table_1[[#This Row],[ABC Amount of Activities]]-Table_1[[#This Row],[Contract Cost]])/Table_1[[#This Row],[ABC Amount of Activities]]</f>
        <v>7.5112237252726227E-2</v>
      </c>
      <c r="J94" s="256"/>
      <c r="K94" s="256"/>
      <c r="L94" s="259"/>
      <c r="M94" s="259"/>
      <c r="N94" s="256"/>
      <c r="O94" s="259"/>
      <c r="P94" s="259"/>
      <c r="Q94" s="256"/>
      <c r="R94" s="257"/>
      <c r="S94" s="257"/>
      <c r="T94" s="258"/>
    </row>
    <row r="95" spans="1:21" ht="13.5" customHeight="1" x14ac:dyDescent="0.25">
      <c r="A95" s="256"/>
      <c r="B95" s="263" t="s">
        <v>140</v>
      </c>
      <c r="C95" s="264">
        <f>COUNTIF(PMR!$AQ$7:$AQ$538, "Failed")</f>
        <v>0</v>
      </c>
      <c r="D95" s="265">
        <f>IF($C$97,Table_1[[#This Row],[No. of Procurement Activities]]/$C$97,"")</f>
        <v>0</v>
      </c>
      <c r="E95" s="266">
        <f>SUMIF(PMR!$AQ$7:$AQ$538, $B$95,PMR!$AA$7:$AA$551)</f>
        <v>0</v>
      </c>
      <c r="F95" s="113">
        <f>IF($E$97,Table_1[[#This Row],[ABC Amount of Activities]]/$E$97,"")</f>
        <v>0</v>
      </c>
      <c r="G95" s="266">
        <f>SUMIF(PMR!$AQ$7:$AQ$538, $B$95,PMR!$AD$7:$AD$551)</f>
        <v>0</v>
      </c>
      <c r="H95" s="269">
        <f>Table_1[[#This Row],[Contract Cost]]/$G$97</f>
        <v>0</v>
      </c>
      <c r="I95" s="268" t="e">
        <f>(Table_1[[#This Row],[ABC Amount of Activities]]-Table_1[[#This Row],[Contract Cost]])/Table_1[[#This Row],[ABC Amount of Activities]]</f>
        <v>#DIV/0!</v>
      </c>
      <c r="J95" s="256"/>
      <c r="K95" s="256"/>
      <c r="L95" s="259"/>
      <c r="M95" s="259"/>
      <c r="N95" s="256"/>
      <c r="O95" s="259"/>
      <c r="P95" s="259"/>
      <c r="Q95" s="256"/>
      <c r="R95" s="257"/>
      <c r="S95" s="257"/>
      <c r="T95" s="258"/>
    </row>
    <row r="96" spans="1:21" s="66" customFormat="1" ht="13.5" customHeight="1" x14ac:dyDescent="0.25">
      <c r="A96" s="7"/>
      <c r="B96" s="263" t="s">
        <v>141</v>
      </c>
      <c r="C96" s="264">
        <f>COUNTIF(PMR!$AO$7:$AO$551, "Ongoing Procurement Process")</f>
        <v>0</v>
      </c>
      <c r="D96" s="265">
        <f>IF($C$97,Table_1[[#This Row],[No. of Procurement Activities]]/$C$97,"")</f>
        <v>0</v>
      </c>
      <c r="E96" s="266">
        <f>SUMIF(PMR!$AO$7:$AO$551, "Ongoing Procurement Process",PMR!$AA$7:$AA$551)</f>
        <v>0</v>
      </c>
      <c r="F96" s="113">
        <f>IF($E$97,Table_1[[#This Row],[ABC Amount of Activities]]/$E$97,"")</f>
        <v>0</v>
      </c>
      <c r="G96" s="266">
        <f>SUMIF(PMR!$AO$7:$AO$551, "Ongoing Procurement Process",PMR!$AD$7:$AD$551)</f>
        <v>0</v>
      </c>
      <c r="H96" s="269">
        <f>Table_1[[#This Row],[Contract Cost]]/$G$97</f>
        <v>0</v>
      </c>
      <c r="I96" s="268" t="e">
        <f>(Table_1[[#This Row],[ABC Amount of Activities]]-Table_1[[#This Row],[Contract Cost]])/Table_1[[#This Row],[ABC Amount of Activities]]</f>
        <v>#DIV/0!</v>
      </c>
      <c r="J96" s="256"/>
      <c r="K96" s="256"/>
      <c r="L96" s="259"/>
      <c r="M96" s="259"/>
      <c r="N96" s="256"/>
      <c r="O96" s="259"/>
      <c r="P96" s="8"/>
      <c r="Q96" s="7"/>
      <c r="R96" s="159"/>
      <c r="S96" s="159"/>
      <c r="T96" s="160"/>
      <c r="U96" s="165"/>
    </row>
    <row r="97" spans="1:20" ht="13.5" customHeight="1" x14ac:dyDescent="0.25">
      <c r="A97" s="13"/>
      <c r="B97" s="106" t="s">
        <v>42</v>
      </c>
      <c r="C97" s="107">
        <f>SUBTOTAL(109,C93:C96)</f>
        <v>530</v>
      </c>
      <c r="D97" s="108">
        <f>SUBTOTAL(109,D93:D96)</f>
        <v>1</v>
      </c>
      <c r="E97" s="109">
        <f>SUBTOTAL(109,E93:E96)</f>
        <v>160861639.62</v>
      </c>
      <c r="F97" s="110">
        <f>SUBTOTAL(109,F93:F96)</f>
        <v>1</v>
      </c>
      <c r="G97" s="109">
        <f>SUBTOTAL(109,G93:G96)</f>
        <v>148778961.98000002</v>
      </c>
      <c r="H97" s="114">
        <f>Table_1[[#This Row],[Contract Cost]]/$G$97</f>
        <v>1</v>
      </c>
      <c r="I97" s="123">
        <f>(Table_1[[#This Row],[ABC Amount of Activities]]-Table_1[[#This Row],[Contract Cost]])/Table_1[[#This Row],[ABC Amount of Activities]]</f>
        <v>7.5112237252726227E-2</v>
      </c>
      <c r="J97" s="7"/>
      <c r="K97" s="7"/>
      <c r="L97" s="8"/>
      <c r="M97" s="8"/>
      <c r="N97" s="7"/>
      <c r="O97" s="8"/>
      <c r="P97" s="5"/>
      <c r="Q97" s="1"/>
      <c r="R97" s="161"/>
      <c r="S97" s="161"/>
      <c r="T97" s="162"/>
    </row>
    <row r="98" spans="1:20" ht="13.5" customHeight="1" x14ac:dyDescent="0.25">
      <c r="A98" s="1"/>
      <c r="B98" s="25" t="s">
        <v>129</v>
      </c>
      <c r="C98" s="18"/>
      <c r="D98" s="18"/>
      <c r="E98" s="1"/>
      <c r="F98" s="5"/>
      <c r="G98" s="5"/>
      <c r="H98" s="1"/>
      <c r="I98" s="1"/>
      <c r="J98" s="1"/>
      <c r="K98" s="1"/>
      <c r="L98" s="5"/>
      <c r="M98" s="5"/>
      <c r="N98" s="1"/>
      <c r="O98" s="5"/>
      <c r="P98" s="12"/>
      <c r="Q98" s="13"/>
      <c r="R98" s="156"/>
      <c r="S98" s="156"/>
      <c r="T98" s="157"/>
    </row>
    <row r="99" spans="1:20" ht="32.25" customHeight="1" x14ac:dyDescent="0.25">
      <c r="A99" s="7"/>
      <c r="B99" s="18"/>
      <c r="C99" s="18"/>
      <c r="D99" s="18"/>
      <c r="E99" s="1"/>
      <c r="F99" s="12"/>
      <c r="G99" s="12"/>
      <c r="H99" s="13"/>
      <c r="I99" s="13"/>
      <c r="J99" s="13"/>
      <c r="K99" s="13"/>
      <c r="L99" s="12"/>
      <c r="M99" s="12"/>
      <c r="N99" s="13"/>
      <c r="O99" s="12"/>
      <c r="P99" s="5"/>
      <c r="Q99" s="1"/>
      <c r="R99" s="159"/>
      <c r="S99" s="159"/>
      <c r="T99" s="160"/>
    </row>
    <row r="100" spans="1:20" ht="32.25" customHeight="1" x14ac:dyDescent="0.25">
      <c r="A100" s="7"/>
      <c r="B100" s="662" t="s">
        <v>142</v>
      </c>
      <c r="C100" s="663"/>
      <c r="D100" s="663"/>
      <c r="E100" s="26">
        <f>IF(C106,C104/C106,0)</f>
        <v>0</v>
      </c>
      <c r="F100" s="5"/>
      <c r="G100" s="5"/>
      <c r="H100" s="1"/>
      <c r="I100" s="1"/>
      <c r="J100" s="1"/>
      <c r="K100" s="1"/>
      <c r="L100" s="5"/>
      <c r="M100" s="5"/>
      <c r="N100" s="1"/>
      <c r="O100" s="5"/>
      <c r="P100" s="5"/>
      <c r="Q100" s="1"/>
      <c r="R100" s="159"/>
      <c r="S100" s="159"/>
      <c r="T100" s="160"/>
    </row>
    <row r="101" spans="1:20" ht="13.5" customHeight="1" x14ac:dyDescent="0.25">
      <c r="A101" s="1"/>
      <c r="B101" s="662" t="s">
        <v>143</v>
      </c>
      <c r="C101" s="663"/>
      <c r="D101" s="663"/>
      <c r="E101" s="26">
        <f>IF(D106,D104/D106,0)</f>
        <v>0</v>
      </c>
      <c r="F101" s="5"/>
      <c r="G101" s="5"/>
      <c r="H101" s="1"/>
      <c r="I101" s="1"/>
      <c r="J101" s="1"/>
      <c r="K101" s="1"/>
      <c r="L101" s="5"/>
      <c r="M101" s="5"/>
      <c r="N101" s="1"/>
      <c r="O101" s="5"/>
      <c r="P101" s="8"/>
      <c r="Q101" s="7"/>
      <c r="R101" s="156"/>
      <c r="S101" s="156"/>
      <c r="T101" s="157"/>
    </row>
    <row r="102" spans="1:20" ht="25.9" customHeight="1" x14ac:dyDescent="0.25">
      <c r="A102" s="1"/>
      <c r="B102" s="3"/>
      <c r="C102" s="3"/>
      <c r="D102" s="3"/>
      <c r="E102" s="1"/>
      <c r="F102" s="8"/>
      <c r="G102" s="8"/>
      <c r="H102" s="7"/>
      <c r="I102" s="7"/>
      <c r="J102" s="7"/>
      <c r="K102" s="7"/>
      <c r="L102" s="8"/>
      <c r="M102" s="8"/>
      <c r="N102" s="7"/>
      <c r="O102" s="8"/>
      <c r="P102" s="1"/>
      <c r="Q102" s="5"/>
      <c r="R102" s="156"/>
      <c r="S102" s="157"/>
    </row>
    <row r="103" spans="1:20" ht="13.5" customHeight="1" x14ac:dyDescent="0.25">
      <c r="A103" s="1"/>
      <c r="B103" s="44" t="s">
        <v>61</v>
      </c>
      <c r="C103" s="44" t="s">
        <v>123</v>
      </c>
      <c r="D103" s="22" t="s">
        <v>133</v>
      </c>
      <c r="E103" s="5"/>
      <c r="F103" s="5"/>
      <c r="G103" s="1"/>
      <c r="H103" s="1"/>
      <c r="I103" s="1"/>
      <c r="J103" s="1"/>
      <c r="K103" s="5"/>
      <c r="L103" s="5"/>
      <c r="M103" s="1"/>
      <c r="N103" s="5"/>
      <c r="O103" s="5"/>
      <c r="P103" s="1"/>
      <c r="Q103" s="5"/>
      <c r="R103" s="156"/>
      <c r="S103" s="157"/>
    </row>
    <row r="104" spans="1:20" ht="13.5" customHeight="1" x14ac:dyDescent="0.25">
      <c r="A104" s="1"/>
      <c r="B104" s="45" t="s">
        <v>144</v>
      </c>
      <c r="C104" s="45">
        <f>COUNTIF(PMR!$D$7:$D$551,"Yes")</f>
        <v>0</v>
      </c>
      <c r="D104" s="270">
        <f>SUMIF(PMR!$D$7:$D$538,"Yes",PMR!$AA$7:$AA$538)+SUMIF(PMR!$D$546:$D$551,"Yes",PMR!$AA$546:$AA$551)</f>
        <v>0</v>
      </c>
      <c r="E104" s="5"/>
      <c r="F104" s="5"/>
      <c r="G104" s="1"/>
      <c r="H104" s="1"/>
      <c r="I104" s="1"/>
      <c r="J104" s="1"/>
      <c r="K104" s="5"/>
      <c r="L104" s="5"/>
      <c r="M104" s="1"/>
      <c r="N104" s="5"/>
      <c r="O104" s="5"/>
      <c r="P104" s="1"/>
      <c r="Q104" s="5"/>
      <c r="R104" s="156"/>
      <c r="S104" s="157"/>
    </row>
    <row r="105" spans="1:20" ht="13.5" customHeight="1" x14ac:dyDescent="0.25">
      <c r="A105" s="1"/>
      <c r="B105" s="27" t="s">
        <v>145</v>
      </c>
      <c r="C105" s="27">
        <f>COUNTIF(PMR!$D$7:$D$551,"No")</f>
        <v>532</v>
      </c>
      <c r="D105" s="270">
        <f>SUMIF(PMR!$D$7:$D$538,"No",PMR!$AA$7:$AA$538)+SUMIF(PMR!$D$546:$D$551,"No",PMR!$AA$546:$AA$551)</f>
        <v>164613655</v>
      </c>
      <c r="E105" s="5"/>
      <c r="F105" s="5"/>
      <c r="G105" s="1"/>
      <c r="H105" s="1"/>
      <c r="I105" s="1"/>
      <c r="J105" s="1"/>
      <c r="K105" s="5"/>
      <c r="L105" s="5"/>
      <c r="M105" s="1"/>
      <c r="N105" s="5"/>
      <c r="O105" s="5"/>
      <c r="P105" s="1"/>
      <c r="Q105" s="5"/>
      <c r="R105" s="156"/>
      <c r="S105" s="157"/>
    </row>
    <row r="106" spans="1:20" ht="17.25" customHeight="1" x14ac:dyDescent="0.25">
      <c r="A106" s="1"/>
      <c r="B106" s="46" t="s">
        <v>42</v>
      </c>
      <c r="C106" s="46">
        <f>SUBTOTAL(109,'Tool 1-Processing'!$C$104:$C$105)</f>
        <v>532</v>
      </c>
      <c r="D106" s="29">
        <f>SUM(D104:D105)</f>
        <v>164613655</v>
      </c>
      <c r="E106" s="5"/>
      <c r="F106" s="5"/>
      <c r="G106" s="1"/>
      <c r="H106" s="1"/>
      <c r="I106" s="1"/>
      <c r="J106" s="1"/>
      <c r="K106" s="5"/>
      <c r="L106" s="5"/>
      <c r="M106" s="1"/>
      <c r="N106" s="5"/>
      <c r="O106" s="5"/>
      <c r="P106" s="5"/>
      <c r="Q106" s="1"/>
      <c r="R106" s="156"/>
      <c r="S106" s="156"/>
      <c r="T106" s="157"/>
    </row>
    <row r="107" spans="1:20" ht="17.25" customHeight="1" x14ac:dyDescent="0.25">
      <c r="A107" s="7"/>
      <c r="B107" s="30"/>
      <c r="C107" s="30"/>
      <c r="D107" s="2"/>
      <c r="E107" s="31"/>
      <c r="F107" s="5"/>
      <c r="G107" s="5"/>
      <c r="H107" s="1"/>
      <c r="I107" s="1"/>
      <c r="J107" s="1"/>
      <c r="K107" s="1"/>
      <c r="L107" s="5"/>
      <c r="M107" s="5"/>
      <c r="N107" s="1"/>
      <c r="O107" s="5"/>
      <c r="P107" s="5"/>
      <c r="Q107" s="1"/>
      <c r="R107" s="159"/>
      <c r="S107" s="159"/>
      <c r="T107" s="160"/>
    </row>
    <row r="108" spans="1:20" ht="27.75" customHeight="1" x14ac:dyDescent="0.25">
      <c r="A108" s="3"/>
      <c r="B108" s="21"/>
      <c r="C108" s="1"/>
      <c r="D108" s="1"/>
      <c r="E108" s="1"/>
      <c r="F108" s="5"/>
      <c r="G108" s="5"/>
      <c r="H108" s="1"/>
      <c r="I108" s="1"/>
      <c r="J108" s="1"/>
      <c r="K108" s="1"/>
      <c r="L108" s="5"/>
      <c r="M108" s="5"/>
      <c r="N108" s="1"/>
      <c r="O108" s="5"/>
      <c r="P108" s="8"/>
      <c r="Q108" s="7"/>
      <c r="R108" s="166"/>
      <c r="S108" s="166"/>
      <c r="T108" s="146"/>
    </row>
    <row r="109" spans="1:20" ht="13.5" customHeight="1" x14ac:dyDescent="0.25">
      <c r="A109" s="3"/>
      <c r="B109" s="32" t="s">
        <v>146</v>
      </c>
      <c r="C109" s="33"/>
      <c r="D109" s="34"/>
      <c r="E109" s="26">
        <f>IF(C118,(C114+C115)/C118,0)</f>
        <v>0</v>
      </c>
      <c r="F109" s="8"/>
      <c r="G109" s="8"/>
      <c r="H109" s="7"/>
      <c r="I109" s="7"/>
      <c r="J109" s="7"/>
      <c r="K109" s="7"/>
      <c r="L109" s="8"/>
      <c r="M109" s="8"/>
      <c r="N109" s="7"/>
      <c r="O109" s="8"/>
      <c r="P109" s="8"/>
      <c r="Q109" s="7"/>
      <c r="R109" s="166"/>
      <c r="S109" s="166"/>
      <c r="T109" s="146"/>
    </row>
    <row r="110" spans="1:20" ht="27.75" customHeight="1" x14ac:dyDescent="0.25">
      <c r="A110" s="3"/>
      <c r="B110" s="21"/>
      <c r="C110" s="24"/>
      <c r="D110" s="1"/>
      <c r="E110" s="47"/>
      <c r="F110" s="8"/>
      <c r="G110" s="8"/>
      <c r="H110" s="7"/>
      <c r="I110" s="7"/>
      <c r="J110" s="7"/>
      <c r="K110" s="7"/>
      <c r="L110" s="8"/>
      <c r="M110" s="8"/>
      <c r="N110" s="7"/>
      <c r="O110" s="8"/>
      <c r="P110" s="8"/>
      <c r="Q110" s="7"/>
      <c r="R110" s="166"/>
      <c r="S110" s="166"/>
      <c r="T110" s="146"/>
    </row>
    <row r="111" spans="1:20" ht="15.75" customHeight="1" x14ac:dyDescent="0.25">
      <c r="A111" s="3"/>
      <c r="B111" s="32" t="s">
        <v>147</v>
      </c>
      <c r="C111" s="33"/>
      <c r="D111" s="34"/>
      <c r="E111" s="26">
        <f>IF(D118,E118/D118,0)</f>
        <v>0</v>
      </c>
      <c r="F111" s="8"/>
      <c r="G111" s="8"/>
      <c r="H111" s="7"/>
      <c r="I111" s="7"/>
      <c r="J111" s="7"/>
      <c r="K111" s="7"/>
      <c r="L111" s="8"/>
      <c r="M111" s="8"/>
      <c r="N111" s="7"/>
      <c r="O111" s="8"/>
      <c r="P111" s="18"/>
      <c r="Q111" s="3"/>
      <c r="R111" s="166"/>
      <c r="S111" s="166"/>
      <c r="T111" s="146"/>
    </row>
    <row r="112" spans="1:20" ht="39.6" customHeight="1" x14ac:dyDescent="0.25">
      <c r="A112" s="1"/>
      <c r="B112" s="3"/>
      <c r="C112" s="3"/>
      <c r="D112" s="3"/>
      <c r="E112" s="1"/>
      <c r="F112" s="18"/>
      <c r="G112" s="18"/>
      <c r="H112" s="3"/>
      <c r="I112" s="3"/>
      <c r="J112" s="3"/>
      <c r="K112" s="3"/>
      <c r="L112" s="18"/>
      <c r="M112" s="18"/>
      <c r="N112" s="3"/>
      <c r="O112" s="18"/>
      <c r="P112" s="3"/>
      <c r="Q112" s="5"/>
      <c r="R112" s="156"/>
      <c r="S112" s="157"/>
    </row>
    <row r="113" spans="1:21" s="117" customFormat="1" ht="30" x14ac:dyDescent="0.25">
      <c r="A113" s="1"/>
      <c r="B113" s="35" t="s">
        <v>54</v>
      </c>
      <c r="C113" s="36" t="s">
        <v>123</v>
      </c>
      <c r="D113" s="36" t="s">
        <v>148</v>
      </c>
      <c r="E113" s="36" t="s">
        <v>149</v>
      </c>
      <c r="F113" s="36" t="s">
        <v>150</v>
      </c>
      <c r="G113" s="3"/>
      <c r="H113" s="3"/>
      <c r="I113" s="3"/>
      <c r="J113" s="3"/>
      <c r="K113" s="18"/>
      <c r="L113" s="18"/>
      <c r="M113" s="3"/>
      <c r="N113" s="18"/>
      <c r="O113" s="18"/>
      <c r="P113" s="1"/>
      <c r="Q113" s="5"/>
      <c r="R113" s="156"/>
      <c r="S113" s="157"/>
      <c r="T113" s="167"/>
      <c r="U113" s="167"/>
    </row>
    <row r="114" spans="1:21" s="117" customFormat="1" ht="15.75" x14ac:dyDescent="0.25">
      <c r="A114" s="1"/>
      <c r="B114" s="271" t="s">
        <v>151</v>
      </c>
      <c r="C114" s="37">
        <f>COUNTIFS(PMR!$D$7:$D$551,"Yes",PMR!$AO$7:$AO$551,"Awarded with issued Notice of Award")</f>
        <v>0</v>
      </c>
      <c r="D114" s="270">
        <f>SUMIFS(PMR!$AA$7:$AA$551,PMR!$D$7:$D$551,"Yes",PMR!$AO$7:$AO$551,"Awarded with issued Notice of Award")</f>
        <v>0</v>
      </c>
      <c r="E114" s="270">
        <f>SUMIFS(PMR!$AD$7:$AD$551,PMR!$D$7:$D$551,"Yes",PMR!$AO$7:$AO$551,"Awarded with issued Notice of Award")</f>
        <v>0</v>
      </c>
      <c r="F114" s="272">
        <f>IF(E114,(D114-E114)/E114,0)</f>
        <v>0</v>
      </c>
      <c r="G114" s="1"/>
      <c r="H114" s="1"/>
      <c r="I114" s="1"/>
      <c r="J114" s="1"/>
      <c r="K114" s="5"/>
      <c r="L114" s="5"/>
      <c r="M114" s="1"/>
      <c r="N114" s="5"/>
      <c r="O114" s="5"/>
      <c r="P114" s="1"/>
      <c r="Q114" s="5"/>
      <c r="R114" s="156"/>
      <c r="S114" s="157"/>
      <c r="T114" s="167"/>
      <c r="U114" s="167"/>
    </row>
    <row r="115" spans="1:21" s="117" customFormat="1" ht="15.75" x14ac:dyDescent="0.25">
      <c r="A115" s="1"/>
      <c r="B115" s="271" t="s">
        <v>152</v>
      </c>
      <c r="C115" s="37">
        <f>COUNTIFS(PMR!$D$7:$D$551,"Yes",PMR!$AO$7:$AO$551,"Completed")</f>
        <v>0</v>
      </c>
      <c r="D115" s="270">
        <f>SUMIFS(PMR!$AA$7:$AA$551,PMR!$D$7:$D$551,"Yes",PMR!$AO$7:$AO$551,"Completed")</f>
        <v>0</v>
      </c>
      <c r="E115" s="270">
        <f>SUMIFS(PMR!$AD$7:$AD$551,PMR!$D$7:$D$551,"Yes",PMR!$AO$7:$AO$551,"Completed")</f>
        <v>0</v>
      </c>
      <c r="F115" s="272">
        <f>IF(E115,(D115-E115)/E115,0)</f>
        <v>0</v>
      </c>
      <c r="G115" s="1"/>
      <c r="H115" s="1"/>
      <c r="I115" s="1"/>
      <c r="J115" s="1"/>
      <c r="K115" s="5"/>
      <c r="L115" s="5"/>
      <c r="M115" s="1"/>
      <c r="N115" s="5"/>
      <c r="O115" s="5"/>
      <c r="P115" s="1"/>
      <c r="Q115" s="5"/>
      <c r="R115" s="156"/>
      <c r="S115" s="157"/>
      <c r="T115" s="167"/>
      <c r="U115" s="167"/>
    </row>
    <row r="116" spans="1:21" s="117" customFormat="1" ht="15.75" x14ac:dyDescent="0.25">
      <c r="A116" s="1"/>
      <c r="B116" s="271" t="s">
        <v>153</v>
      </c>
      <c r="C116" s="37">
        <f>COUNTIFS(PMR!$D$7:$D$538,"Yes",PMR!AQ7:AQ538,"Failed")</f>
        <v>0</v>
      </c>
      <c r="D116" s="270">
        <f>SUMIFS(PMR!$AA$7:$AA$538,PMR!$D$7:$D$538,"Yes",PMR!AQ7:AQ538,"Failed")</f>
        <v>0</v>
      </c>
      <c r="E116" s="270">
        <f>SUMIFS(PMR!AD7:AD538,PMR!$D$7:$D$538,"Yes",PMR!AR7:AR538,"Failed")</f>
        <v>0</v>
      </c>
      <c r="F116" s="272">
        <f t="shared" ref="F116:F117" si="1">IF(E116,(D116-E116)/E116,0)</f>
        <v>0</v>
      </c>
      <c r="G116" s="1"/>
      <c r="H116" s="1"/>
      <c r="I116" s="1"/>
      <c r="J116" s="1"/>
      <c r="K116" s="5"/>
      <c r="L116" s="5"/>
      <c r="M116" s="1"/>
      <c r="N116" s="5"/>
      <c r="O116" s="5"/>
      <c r="P116" s="1"/>
      <c r="Q116" s="5"/>
      <c r="R116" s="156"/>
      <c r="S116" s="157"/>
      <c r="T116" s="167"/>
      <c r="U116" s="167"/>
    </row>
    <row r="117" spans="1:21" ht="13.5" customHeight="1" x14ac:dyDescent="0.25">
      <c r="A117" s="1"/>
      <c r="B117" s="271" t="s">
        <v>154</v>
      </c>
      <c r="C117" s="37">
        <f>COUNTIFS(PMR!$D$546:$D$551,"Yes",PMR!AO546:AO551,"Ongoing Procurement Process")</f>
        <v>0</v>
      </c>
      <c r="D117" s="270">
        <f>SUMIFS(PMR!$AA$545:$AA$551,PMR!$D$545:$D$551,"Yes",PMR!$AO$545:$AO$551,"Ongoing Procurement Process")</f>
        <v>0</v>
      </c>
      <c r="E117" s="270" t="e">
        <f>SUMIFS(PMR!AD545:AD551,PMR!E545:E551,"Yes",PMR!AP543:AP550,"Ongoing Procurement Process")</f>
        <v>#VALUE!</v>
      </c>
      <c r="F117" s="272" t="e">
        <f t="shared" si="1"/>
        <v>#VALUE!</v>
      </c>
      <c r="G117" s="1"/>
      <c r="H117" s="1"/>
      <c r="I117" s="1"/>
      <c r="J117" s="1"/>
      <c r="K117" s="5"/>
      <c r="L117" s="5"/>
      <c r="M117" s="1"/>
      <c r="N117" s="5"/>
      <c r="O117" s="5"/>
      <c r="P117" s="1"/>
      <c r="Q117" s="5"/>
      <c r="R117" s="156"/>
      <c r="S117" s="157"/>
    </row>
    <row r="118" spans="1:21" ht="13.5" customHeight="1" x14ac:dyDescent="0.25">
      <c r="A118" s="1"/>
      <c r="B118" s="115" t="s">
        <v>155</v>
      </c>
      <c r="C118" s="116">
        <f>C171+COUNTIF(PMR!D7:D551,"Yes")</f>
        <v>0</v>
      </c>
      <c r="D118" s="29">
        <f>SUM(D114:D117)</f>
        <v>0</v>
      </c>
      <c r="E118" s="29" t="e">
        <f>SUM(E114:E117)</f>
        <v>#VALUE!</v>
      </c>
      <c r="F118" s="5"/>
      <c r="G118" s="1"/>
      <c r="H118" s="1"/>
      <c r="I118" s="1"/>
      <c r="J118" s="1"/>
      <c r="K118" s="5"/>
      <c r="L118" s="5"/>
      <c r="M118" s="1"/>
      <c r="N118" s="5"/>
      <c r="O118" s="5"/>
      <c r="P118" s="5"/>
      <c r="Q118" s="1"/>
      <c r="R118" s="156"/>
      <c r="S118" s="156"/>
      <c r="T118" s="157"/>
    </row>
    <row r="119" spans="1:21" ht="15" customHeight="1" x14ac:dyDescent="0.25">
      <c r="A119" s="1"/>
      <c r="B119" s="25" t="s">
        <v>156</v>
      </c>
      <c r="C119" s="18"/>
      <c r="D119" s="18"/>
      <c r="E119" s="1"/>
      <c r="F119" s="5"/>
      <c r="G119" s="5"/>
      <c r="H119" s="1"/>
      <c r="I119" s="1"/>
      <c r="J119" s="1"/>
      <c r="K119" s="1"/>
      <c r="L119" s="5"/>
      <c r="M119" s="5"/>
      <c r="N119" s="1"/>
      <c r="O119" s="5"/>
      <c r="P119" s="5"/>
      <c r="Q119" s="1"/>
      <c r="R119" s="156"/>
      <c r="S119" s="156"/>
      <c r="T119" s="157"/>
    </row>
    <row r="120" spans="1:21" ht="17.25" customHeight="1" x14ac:dyDescent="0.25">
      <c r="A120" s="9"/>
      <c r="B120" s="25"/>
      <c r="C120" s="18"/>
      <c r="D120" s="18"/>
      <c r="E120" s="1"/>
      <c r="F120" s="5"/>
      <c r="G120" s="5"/>
      <c r="H120" s="1"/>
      <c r="I120" s="1"/>
      <c r="J120" s="1"/>
      <c r="K120" s="1"/>
      <c r="L120" s="5"/>
      <c r="M120" s="5"/>
      <c r="N120" s="1"/>
      <c r="O120" s="5"/>
      <c r="P120" s="5"/>
      <c r="Q120" s="1"/>
      <c r="R120" s="163"/>
      <c r="S120" s="163"/>
      <c r="T120" s="164"/>
    </row>
    <row r="121" spans="1:21" ht="17.25" customHeight="1" x14ac:dyDescent="0.25">
      <c r="A121" s="256"/>
      <c r="B121" s="18"/>
      <c r="C121" s="18"/>
      <c r="D121" s="18"/>
      <c r="E121" s="1"/>
      <c r="F121" s="5"/>
      <c r="G121" s="5"/>
      <c r="H121" s="1"/>
      <c r="I121" s="1"/>
      <c r="J121" s="1"/>
      <c r="K121" s="1"/>
      <c r="L121" s="5"/>
      <c r="M121" s="5"/>
      <c r="N121" s="1"/>
      <c r="O121" s="5"/>
      <c r="P121" s="10"/>
      <c r="Q121" s="9"/>
      <c r="R121" s="257"/>
      <c r="S121" s="257"/>
      <c r="T121" s="258"/>
    </row>
    <row r="122" spans="1:21" ht="17.25" customHeight="1" x14ac:dyDescent="0.25">
      <c r="A122" s="256"/>
      <c r="B122" s="32" t="s">
        <v>157</v>
      </c>
      <c r="C122" s="34"/>
      <c r="D122" s="34"/>
      <c r="E122" s="34"/>
      <c r="F122" s="10"/>
      <c r="G122" s="10"/>
      <c r="H122" s="9"/>
      <c r="I122" s="9"/>
      <c r="J122" s="9"/>
      <c r="K122" s="9"/>
      <c r="L122" s="10"/>
      <c r="M122" s="10"/>
      <c r="N122" s="9"/>
      <c r="O122" s="10"/>
      <c r="P122" s="259"/>
      <c r="Q122" s="256"/>
      <c r="R122" s="257"/>
      <c r="S122" s="257"/>
      <c r="T122" s="258"/>
    </row>
    <row r="123" spans="1:21" ht="30" customHeight="1" x14ac:dyDescent="0.25">
      <c r="A123" s="256"/>
      <c r="B123" s="3"/>
      <c r="C123" s="3"/>
      <c r="D123" s="3"/>
      <c r="E123" s="1"/>
      <c r="F123" s="259"/>
      <c r="G123" s="259"/>
      <c r="H123" s="256"/>
      <c r="I123" s="256"/>
      <c r="J123" s="256"/>
      <c r="K123" s="256"/>
      <c r="L123" s="259"/>
      <c r="M123" s="259"/>
      <c r="N123" s="256"/>
      <c r="O123" s="259"/>
      <c r="P123" s="259"/>
      <c r="Q123" s="259"/>
      <c r="R123" s="258"/>
      <c r="S123" s="257"/>
      <c r="T123" s="257"/>
    </row>
    <row r="124" spans="1:21" ht="17.25" customHeight="1" x14ac:dyDescent="0.25">
      <c r="A124" s="256"/>
      <c r="B124" s="118" t="s">
        <v>61</v>
      </c>
      <c r="C124" s="118" t="s">
        <v>123</v>
      </c>
      <c r="D124" s="126" t="s">
        <v>158</v>
      </c>
      <c r="E124" s="118" t="s">
        <v>159</v>
      </c>
      <c r="F124" s="119" t="s">
        <v>160</v>
      </c>
      <c r="G124" s="259"/>
      <c r="H124" s="259"/>
      <c r="I124" s="256"/>
      <c r="J124" s="256"/>
      <c r="K124" s="256"/>
      <c r="L124" s="256"/>
      <c r="M124" s="259"/>
      <c r="N124" s="259"/>
      <c r="O124" s="256"/>
      <c r="P124" s="259"/>
      <c r="Q124" s="259"/>
      <c r="R124" s="258"/>
      <c r="S124" s="257"/>
      <c r="T124" s="257"/>
    </row>
    <row r="125" spans="1:21" ht="17.25" customHeight="1" x14ac:dyDescent="0.25">
      <c r="A125" s="256"/>
      <c r="B125" s="273" t="s">
        <v>161</v>
      </c>
      <c r="C125" s="273">
        <f>COUNTIF(PMR!$AP$7:$AP$538,"Posting of IB")</f>
        <v>0</v>
      </c>
      <c r="D125" s="274">
        <f>SUMIFS(PMR!$AA$7:$AA$538,PMR!$AQ$7:$AQ$538,"Failed",PMR!$AP$7:$AP$538,"Posting of IB")</f>
        <v>0</v>
      </c>
      <c r="E125" s="275">
        <f t="shared" ref="E125:E132" si="2">IF($C$133,C125/$C$133,0)</f>
        <v>0</v>
      </c>
      <c r="F125" s="276">
        <f t="shared" ref="F125:F132" si="3">IF($D$133,D125/$D$133,0)</f>
        <v>0</v>
      </c>
      <c r="G125" s="259"/>
      <c r="H125" s="259"/>
      <c r="I125" s="256"/>
      <c r="J125" s="256"/>
      <c r="K125" s="256"/>
      <c r="L125" s="256"/>
      <c r="M125" s="259"/>
      <c r="N125" s="259"/>
      <c r="O125" s="256"/>
      <c r="P125" s="259"/>
      <c r="Q125" s="259"/>
      <c r="R125" s="258"/>
      <c r="S125" s="257"/>
      <c r="T125" s="257"/>
    </row>
    <row r="126" spans="1:21" ht="13.5" customHeight="1" x14ac:dyDescent="0.25">
      <c r="A126" s="1"/>
      <c r="B126" s="277" t="s">
        <v>162</v>
      </c>
      <c r="C126" s="277">
        <f>COUNTIF(PMR!$AP$7:$AP$538,"Pre-Bid")</f>
        <v>0</v>
      </c>
      <c r="D126" s="274">
        <f>SUMIFS(PMR!$AA$7:$AA$538,PMR!$AQ$7:$AQ$538,"Failed",PMR!$AP$7:$AP$538,"Pre-Bid")</f>
        <v>0</v>
      </c>
      <c r="E126" s="275">
        <f t="shared" si="2"/>
        <v>0</v>
      </c>
      <c r="F126" s="276">
        <f t="shared" si="3"/>
        <v>0</v>
      </c>
      <c r="G126" s="259"/>
      <c r="H126" s="259"/>
      <c r="I126" s="256"/>
      <c r="J126" s="256"/>
      <c r="K126" s="256"/>
      <c r="L126" s="256"/>
      <c r="M126" s="259"/>
      <c r="N126" s="259"/>
      <c r="O126" s="256"/>
      <c r="P126" s="259"/>
      <c r="Q126" s="259"/>
      <c r="R126" s="258"/>
      <c r="S126" s="156"/>
      <c r="T126" s="156"/>
    </row>
    <row r="127" spans="1:21" ht="13.5" customHeight="1" x14ac:dyDescent="0.25">
      <c r="A127" s="1"/>
      <c r="B127" s="273" t="s">
        <v>163</v>
      </c>
      <c r="C127" s="273">
        <f>COUNTIF(PMR!$AP$7:$AP$538,"Opening of Bids")</f>
        <v>0</v>
      </c>
      <c r="D127" s="278">
        <f>SUMIFS(PMR!$AA$7:$AA$538,PMR!$AQ$7:$AQ$538,"Failed",PMR!$AP$7:$AP$538,"Opening of Bids")</f>
        <v>0</v>
      </c>
      <c r="E127" s="275">
        <f t="shared" si="2"/>
        <v>0</v>
      </c>
      <c r="F127" s="276">
        <f t="shared" si="3"/>
        <v>0</v>
      </c>
      <c r="G127" s="259"/>
      <c r="H127" s="259"/>
      <c r="I127" s="256"/>
      <c r="J127" s="256"/>
      <c r="K127" s="256"/>
      <c r="L127" s="256"/>
      <c r="M127" s="259"/>
      <c r="N127" s="259"/>
      <c r="O127" s="256"/>
      <c r="P127" s="5"/>
      <c r="Q127" s="5"/>
      <c r="R127" s="157"/>
      <c r="S127" s="156"/>
      <c r="T127" s="156"/>
    </row>
    <row r="128" spans="1:21" ht="13.5" customHeight="1" x14ac:dyDescent="0.25">
      <c r="A128" s="1"/>
      <c r="B128" s="277" t="s">
        <v>16</v>
      </c>
      <c r="C128" s="277">
        <f>COUNTIF(PMR!$AP$7:$AP$538,"Bid Evaluation")</f>
        <v>0</v>
      </c>
      <c r="D128" s="274">
        <f>SUMIFS(PMR!$AA$7:$AA$538,PMR!$AQ$7:$AQ$538,"Failed",PMR!$AP$7:$AP$538,"Bid Evaluation")</f>
        <v>0</v>
      </c>
      <c r="E128" s="275">
        <f t="shared" si="2"/>
        <v>0</v>
      </c>
      <c r="F128" s="276">
        <f t="shared" si="3"/>
        <v>0</v>
      </c>
      <c r="G128" s="5"/>
      <c r="H128" s="5"/>
      <c r="I128" s="1"/>
      <c r="J128" s="1"/>
      <c r="K128" s="1"/>
      <c r="L128" s="1"/>
      <c r="M128" s="5"/>
      <c r="N128" s="5"/>
      <c r="O128" s="1"/>
      <c r="P128" s="5"/>
      <c r="Q128" s="5"/>
      <c r="R128" s="157"/>
      <c r="S128" s="156"/>
      <c r="T128" s="156"/>
    </row>
    <row r="129" spans="1:20" ht="13.5" customHeight="1" x14ac:dyDescent="0.25">
      <c r="A129" s="1"/>
      <c r="B129" s="273" t="s">
        <v>164</v>
      </c>
      <c r="C129" s="273">
        <f>COUNTIF(PMR!$AP$7:$AP$538,"Post Qualification")</f>
        <v>0</v>
      </c>
      <c r="D129" s="278">
        <f>SUMIFS(PMR!$AA$7:$AA$538,PMR!AQ7:AQ538,"Failed",PMR!$AP$7:$AP$538,"Post Qualification")</f>
        <v>0</v>
      </c>
      <c r="E129" s="275">
        <f t="shared" si="2"/>
        <v>0</v>
      </c>
      <c r="F129" s="276">
        <f t="shared" si="3"/>
        <v>0</v>
      </c>
      <c r="G129" s="5"/>
      <c r="H129" s="5"/>
      <c r="I129" s="1"/>
      <c r="J129" s="1"/>
      <c r="K129" s="1"/>
      <c r="L129" s="1"/>
      <c r="M129" s="5"/>
      <c r="N129" s="5"/>
      <c r="O129" s="1"/>
      <c r="P129" s="5"/>
      <c r="Q129" s="5"/>
      <c r="R129" s="157"/>
      <c r="S129" s="156"/>
      <c r="T129" s="156"/>
    </row>
    <row r="130" spans="1:20" ht="13.5" customHeight="1" x14ac:dyDescent="0.25">
      <c r="A130" s="1"/>
      <c r="B130" s="277" t="s">
        <v>165</v>
      </c>
      <c r="C130" s="277">
        <f>COUNTIF(PMR!$AP$7:$AP$538,"BAC Reso")</f>
        <v>0</v>
      </c>
      <c r="D130" s="274">
        <f>SUMIFS(PMR!$AA$7:$AA$538,PMR!AQ7:AQ538,"Failed",PMR!$AP$7:$AP$538,"BAC Reso")</f>
        <v>0</v>
      </c>
      <c r="E130" s="275">
        <f t="shared" si="2"/>
        <v>0</v>
      </c>
      <c r="F130" s="276">
        <f t="shared" si="3"/>
        <v>0</v>
      </c>
      <c r="G130" s="5"/>
      <c r="H130" s="5"/>
      <c r="I130" s="1"/>
      <c r="J130" s="1"/>
      <c r="K130" s="1"/>
      <c r="L130" s="1"/>
      <c r="M130" s="5"/>
      <c r="N130" s="5"/>
      <c r="O130" s="1"/>
      <c r="P130" s="5"/>
      <c r="Q130" s="5"/>
      <c r="R130" s="157"/>
      <c r="S130" s="156"/>
      <c r="T130" s="156"/>
    </row>
    <row r="131" spans="1:20" ht="13.5" customHeight="1" x14ac:dyDescent="0.25">
      <c r="A131" s="1"/>
      <c r="B131" s="273" t="s">
        <v>166</v>
      </c>
      <c r="C131" s="273">
        <f>COUNTIF(PMR!$AP$7:$AP$538,"NOA")</f>
        <v>0</v>
      </c>
      <c r="D131" s="278">
        <f>SUMIFS(PMR!$AA$7:$AA$538,PMR!AQ7:AQ538,"Failed",PMR!$AP$7:$AP$538,"NOA")</f>
        <v>0</v>
      </c>
      <c r="E131" s="275">
        <f t="shared" si="2"/>
        <v>0</v>
      </c>
      <c r="F131" s="276">
        <f t="shared" si="3"/>
        <v>0</v>
      </c>
      <c r="G131" s="5"/>
      <c r="H131" s="5"/>
      <c r="I131" s="1"/>
      <c r="J131" s="1"/>
      <c r="K131" s="1"/>
      <c r="L131" s="1"/>
      <c r="M131" s="5"/>
      <c r="N131" s="5"/>
      <c r="O131" s="1"/>
      <c r="P131" s="5"/>
      <c r="Q131" s="5"/>
      <c r="R131" s="157"/>
      <c r="S131" s="156"/>
      <c r="T131" s="156"/>
    </row>
    <row r="132" spans="1:20" ht="13.5" customHeight="1" x14ac:dyDescent="0.25">
      <c r="A132" s="1"/>
      <c r="B132" s="277" t="s">
        <v>167</v>
      </c>
      <c r="C132" s="277">
        <f>COUNTIF(PMR!$AO$7:$AO$538,"Cancelled")</f>
        <v>0</v>
      </c>
      <c r="D132" s="274">
        <f>SUMIFS(PMR!$AA$7:$AA$538,PMR!AQ7:AQ538,"Failed",PMR!$AP$7:$AP$538,"Cancelled")</f>
        <v>0</v>
      </c>
      <c r="E132" s="275">
        <f t="shared" si="2"/>
        <v>0</v>
      </c>
      <c r="F132" s="276">
        <f t="shared" si="3"/>
        <v>0</v>
      </c>
      <c r="G132" s="5"/>
      <c r="H132" s="5"/>
      <c r="I132" s="1"/>
      <c r="J132" s="1"/>
      <c r="K132" s="1"/>
      <c r="L132" s="1"/>
      <c r="M132" s="5"/>
      <c r="N132" s="5"/>
      <c r="O132" s="1"/>
      <c r="P132" s="5"/>
      <c r="Q132" s="1"/>
      <c r="R132" s="156"/>
      <c r="S132" s="156"/>
      <c r="T132" s="157"/>
    </row>
    <row r="133" spans="1:20" ht="13.5" customHeight="1" x14ac:dyDescent="0.25">
      <c r="A133" s="1"/>
      <c r="B133" s="124" t="s">
        <v>168</v>
      </c>
      <c r="C133" s="125">
        <f>SUBTOTAL(109,'Tool 1-Processing'!$C$125:$C$132)</f>
        <v>0</v>
      </c>
      <c r="D133" s="143">
        <f>SUBTOTAL(109,'Tool 1-Processing'!$D$125:$D$132)</f>
        <v>0</v>
      </c>
      <c r="E133" s="120"/>
      <c r="F133" s="121"/>
      <c r="G133" s="5"/>
      <c r="H133" s="1"/>
      <c r="I133" s="1"/>
      <c r="J133" s="1"/>
      <c r="K133" s="1"/>
      <c r="L133" s="5"/>
      <c r="M133" s="5"/>
      <c r="N133" s="1"/>
      <c r="O133" s="5"/>
      <c r="P133" s="5"/>
      <c r="Q133" s="1"/>
      <c r="R133" s="156"/>
      <c r="S133" s="156"/>
      <c r="T133" s="157"/>
    </row>
    <row r="134" spans="1:20" ht="13.5" customHeight="1" x14ac:dyDescent="0.25">
      <c r="A134" s="1"/>
      <c r="B134" s="18"/>
      <c r="C134" s="18"/>
      <c r="D134" s="18"/>
      <c r="E134" s="1"/>
      <c r="F134" s="5"/>
      <c r="G134" s="5"/>
      <c r="H134" s="1"/>
      <c r="I134" s="1"/>
      <c r="J134" s="1"/>
      <c r="K134" s="1"/>
      <c r="L134" s="5"/>
      <c r="M134" s="5"/>
      <c r="N134" s="1"/>
      <c r="O134" s="5"/>
      <c r="P134" s="5"/>
      <c r="Q134" s="1"/>
      <c r="R134" s="156"/>
      <c r="S134" s="156"/>
      <c r="T134" s="157"/>
    </row>
    <row r="135" spans="1:20" ht="13.5" customHeight="1" x14ac:dyDescent="0.25">
      <c r="A135" s="1"/>
      <c r="B135" s="18"/>
      <c r="C135" s="1"/>
      <c r="D135" s="1"/>
      <c r="E135" s="1"/>
      <c r="F135" s="5"/>
      <c r="G135" s="5"/>
      <c r="H135" s="1"/>
      <c r="I135" s="1"/>
      <c r="J135" s="1"/>
      <c r="K135" s="1"/>
      <c r="L135" s="5"/>
      <c r="M135" s="5"/>
      <c r="N135" s="1"/>
      <c r="O135" s="5"/>
      <c r="P135" s="5"/>
      <c r="Q135" s="1"/>
      <c r="R135" s="156"/>
      <c r="S135" s="156"/>
      <c r="T135" s="157"/>
    </row>
    <row r="136" spans="1:20" ht="13.5" customHeight="1" x14ac:dyDescent="0.25">
      <c r="A136" s="1"/>
      <c r="B136" s="1"/>
      <c r="C136" s="1"/>
      <c r="D136" s="1"/>
      <c r="E136" s="1"/>
      <c r="F136" s="5"/>
      <c r="G136" s="5"/>
      <c r="H136" s="1"/>
      <c r="I136" s="1"/>
      <c r="J136" s="1"/>
      <c r="K136" s="1"/>
      <c r="L136" s="5"/>
      <c r="M136" s="5"/>
      <c r="N136" s="1"/>
      <c r="O136" s="5"/>
      <c r="P136" s="5"/>
      <c r="Q136" s="1"/>
      <c r="R136" s="156"/>
      <c r="S136" s="156"/>
      <c r="T136" s="157"/>
    </row>
    <row r="137" spans="1:20" ht="13.5" customHeight="1" x14ac:dyDescent="0.25">
      <c r="A137" s="1"/>
      <c r="B137" s="1"/>
      <c r="C137" s="1"/>
      <c r="D137" s="1"/>
      <c r="E137" s="1"/>
      <c r="F137" s="5"/>
      <c r="G137" s="5"/>
      <c r="H137" s="1"/>
      <c r="I137" s="1"/>
      <c r="J137" s="1"/>
      <c r="K137" s="1"/>
      <c r="L137" s="5"/>
      <c r="M137" s="5"/>
      <c r="N137" s="1"/>
      <c r="O137" s="5"/>
      <c r="P137" s="5"/>
      <c r="Q137" s="1"/>
      <c r="R137" s="156"/>
      <c r="S137" s="156"/>
      <c r="T137" s="157"/>
    </row>
    <row r="138" spans="1:20" ht="13.5" customHeight="1" x14ac:dyDescent="0.25">
      <c r="A138" s="1"/>
      <c r="B138" s="1"/>
      <c r="C138" s="1"/>
      <c r="D138" s="1"/>
      <c r="E138" s="1"/>
      <c r="F138" s="5"/>
      <c r="G138" s="5"/>
      <c r="H138" s="1"/>
      <c r="I138" s="1"/>
      <c r="J138" s="1"/>
      <c r="K138" s="1"/>
      <c r="L138" s="5"/>
      <c r="M138" s="5"/>
      <c r="N138" s="1"/>
      <c r="O138" s="5"/>
      <c r="P138" s="5"/>
      <c r="Q138" s="1"/>
      <c r="R138" s="156"/>
      <c r="S138" s="156"/>
      <c r="T138" s="157"/>
    </row>
    <row r="139" spans="1:20" ht="13.5" customHeight="1" x14ac:dyDescent="0.25">
      <c r="A139" s="1"/>
      <c r="B139" s="1"/>
      <c r="C139" s="1"/>
      <c r="D139" s="1"/>
      <c r="E139" s="1"/>
      <c r="F139" s="5"/>
      <c r="G139" s="5"/>
      <c r="H139" s="1"/>
      <c r="I139" s="1"/>
      <c r="J139" s="1"/>
      <c r="K139" s="1"/>
      <c r="L139" s="5"/>
      <c r="M139" s="5"/>
      <c r="N139" s="1"/>
      <c r="O139" s="5"/>
      <c r="P139" s="5"/>
      <c r="Q139" s="1"/>
      <c r="R139" s="156"/>
      <c r="S139" s="156"/>
      <c r="T139" s="157"/>
    </row>
    <row r="140" spans="1:20" ht="13.5" customHeight="1" x14ac:dyDescent="0.25">
      <c r="A140" s="1"/>
      <c r="B140" s="1"/>
      <c r="C140" s="1"/>
      <c r="D140" s="1"/>
      <c r="E140" s="1"/>
      <c r="F140" s="5"/>
      <c r="G140" s="5"/>
      <c r="H140" s="1"/>
      <c r="I140" s="1"/>
      <c r="J140" s="1"/>
      <c r="K140" s="1"/>
      <c r="L140" s="5"/>
      <c r="M140" s="5"/>
      <c r="N140" s="1"/>
      <c r="O140" s="5"/>
      <c r="P140" s="5"/>
      <c r="Q140" s="1"/>
      <c r="R140" s="156"/>
      <c r="S140" s="156"/>
      <c r="T140" s="157"/>
    </row>
    <row r="141" spans="1:20" ht="13.5" customHeight="1" x14ac:dyDescent="0.25">
      <c r="A141" s="1"/>
      <c r="B141" s="1"/>
      <c r="C141" s="1"/>
      <c r="D141" s="1"/>
      <c r="E141" s="1"/>
      <c r="F141" s="5"/>
      <c r="G141" s="5"/>
      <c r="H141" s="1"/>
      <c r="I141" s="1"/>
      <c r="J141" s="1"/>
      <c r="K141" s="1"/>
      <c r="L141" s="5"/>
      <c r="M141" s="5"/>
      <c r="N141" s="1"/>
      <c r="O141" s="5"/>
      <c r="P141" s="5"/>
      <c r="Q141" s="1"/>
      <c r="R141" s="156"/>
      <c r="S141" s="156"/>
      <c r="T141" s="157"/>
    </row>
    <row r="142" spans="1:20" ht="13.5" customHeight="1" x14ac:dyDescent="0.25">
      <c r="A142" s="1"/>
      <c r="B142" s="1"/>
      <c r="C142" s="1"/>
      <c r="D142" s="1"/>
      <c r="E142" s="1"/>
      <c r="F142" s="5"/>
      <c r="G142" s="5"/>
      <c r="H142" s="1"/>
      <c r="I142" s="1"/>
      <c r="J142" s="1"/>
      <c r="K142" s="1"/>
      <c r="L142" s="5"/>
      <c r="M142" s="5"/>
      <c r="N142" s="1"/>
      <c r="O142" s="5"/>
      <c r="P142" s="5"/>
      <c r="Q142" s="1"/>
      <c r="R142" s="156"/>
      <c r="S142" s="156"/>
      <c r="T142" s="157"/>
    </row>
    <row r="143" spans="1:20" ht="13.5" customHeight="1" x14ac:dyDescent="0.25">
      <c r="A143" s="1"/>
      <c r="B143" s="1"/>
      <c r="C143" s="1"/>
      <c r="D143" s="1"/>
      <c r="E143" s="1"/>
      <c r="F143" s="5"/>
      <c r="G143" s="5"/>
      <c r="H143" s="1"/>
      <c r="I143" s="1"/>
      <c r="J143" s="1"/>
      <c r="K143" s="1"/>
      <c r="L143" s="5"/>
      <c r="M143" s="5"/>
      <c r="N143" s="1"/>
      <c r="O143" s="5"/>
      <c r="P143" s="5"/>
      <c r="Q143" s="1"/>
      <c r="R143" s="156"/>
      <c r="S143" s="156"/>
      <c r="T143" s="157"/>
    </row>
    <row r="144" spans="1:20" ht="13.5" customHeight="1" x14ac:dyDescent="0.25">
      <c r="A144" s="1"/>
      <c r="B144" s="1"/>
      <c r="C144" s="1"/>
      <c r="D144" s="1"/>
      <c r="E144" s="1"/>
      <c r="F144" s="5"/>
      <c r="G144" s="5"/>
      <c r="H144" s="1"/>
      <c r="I144" s="1"/>
      <c r="J144" s="1"/>
      <c r="K144" s="1"/>
      <c r="L144" s="5"/>
      <c r="M144" s="5"/>
      <c r="N144" s="1"/>
      <c r="O144" s="5"/>
      <c r="P144" s="5"/>
      <c r="Q144" s="1"/>
      <c r="R144" s="156"/>
      <c r="S144" s="156"/>
      <c r="T144" s="157"/>
    </row>
    <row r="145" spans="1:20" ht="13.5" customHeight="1" x14ac:dyDescent="0.25">
      <c r="A145" s="1"/>
      <c r="B145" s="1"/>
      <c r="C145" s="1"/>
      <c r="D145" s="1"/>
      <c r="E145" s="1"/>
      <c r="F145" s="5"/>
      <c r="G145" s="5"/>
      <c r="H145" s="1"/>
      <c r="I145" s="1"/>
      <c r="J145" s="1"/>
      <c r="K145" s="1"/>
      <c r="L145" s="5"/>
      <c r="M145" s="5"/>
      <c r="N145" s="1"/>
      <c r="O145" s="5"/>
      <c r="P145" s="5"/>
      <c r="Q145" s="1"/>
      <c r="R145" s="156"/>
      <c r="S145" s="156"/>
      <c r="T145" s="157"/>
    </row>
    <row r="146" spans="1:20" ht="13.5" customHeight="1" x14ac:dyDescent="0.25">
      <c r="A146" s="1"/>
      <c r="B146" s="1"/>
      <c r="C146" s="1"/>
      <c r="D146" s="1"/>
      <c r="E146" s="1"/>
      <c r="F146" s="5"/>
      <c r="G146" s="5"/>
      <c r="H146" s="1"/>
      <c r="I146" s="1"/>
      <c r="J146" s="1"/>
      <c r="K146" s="1"/>
      <c r="L146" s="5"/>
      <c r="M146" s="5"/>
      <c r="N146" s="1"/>
      <c r="O146" s="5"/>
      <c r="P146" s="5"/>
      <c r="Q146" s="1"/>
      <c r="R146" s="156"/>
      <c r="S146" s="156"/>
      <c r="T146" s="157"/>
    </row>
    <row r="147" spans="1:20" ht="13.5" customHeight="1" x14ac:dyDescent="0.25">
      <c r="A147" s="1"/>
      <c r="B147" s="1"/>
      <c r="C147" s="1"/>
      <c r="D147" s="1"/>
      <c r="E147" s="1"/>
      <c r="F147" s="5"/>
      <c r="G147" s="5"/>
      <c r="H147" s="1"/>
      <c r="I147" s="1"/>
      <c r="J147" s="1"/>
      <c r="K147" s="1"/>
      <c r="L147" s="5"/>
      <c r="M147" s="5"/>
      <c r="N147" s="1"/>
      <c r="O147" s="5"/>
      <c r="P147" s="5"/>
      <c r="Q147" s="1"/>
      <c r="R147" s="156"/>
      <c r="S147" s="156"/>
      <c r="T147" s="157"/>
    </row>
    <row r="148" spans="1:20" ht="13.5" customHeight="1" x14ac:dyDescent="0.25">
      <c r="A148" s="1"/>
      <c r="B148" s="1"/>
      <c r="C148" s="1"/>
      <c r="D148" s="1"/>
      <c r="E148" s="1"/>
      <c r="F148" s="5"/>
      <c r="G148" s="5"/>
      <c r="H148" s="1"/>
      <c r="I148" s="1"/>
      <c r="J148" s="1"/>
      <c r="K148" s="1"/>
      <c r="L148" s="5"/>
      <c r="M148" s="5"/>
      <c r="N148" s="1"/>
      <c r="O148" s="5"/>
      <c r="P148" s="5"/>
      <c r="Q148" s="1"/>
      <c r="R148" s="156"/>
      <c r="S148" s="156"/>
      <c r="T148" s="157"/>
    </row>
    <row r="149" spans="1:20" ht="13.5" customHeight="1" x14ac:dyDescent="0.25">
      <c r="A149" s="1"/>
      <c r="B149" s="1"/>
      <c r="C149" s="1"/>
      <c r="D149" s="1"/>
      <c r="E149" s="1"/>
      <c r="F149" s="5"/>
      <c r="G149" s="5"/>
      <c r="H149" s="1"/>
      <c r="I149" s="1"/>
      <c r="J149" s="1"/>
      <c r="K149" s="1"/>
      <c r="L149" s="5"/>
      <c r="M149" s="5"/>
      <c r="N149" s="1"/>
      <c r="O149" s="5"/>
      <c r="P149" s="5"/>
      <c r="Q149" s="1"/>
      <c r="R149" s="156"/>
      <c r="S149" s="156"/>
      <c r="T149" s="157"/>
    </row>
    <row r="150" spans="1:20" ht="13.5" customHeight="1" x14ac:dyDescent="0.25">
      <c r="A150" s="1"/>
      <c r="B150" s="1"/>
      <c r="C150" s="1"/>
      <c r="D150" s="1"/>
      <c r="E150" s="1"/>
      <c r="F150" s="5"/>
      <c r="G150" s="5"/>
      <c r="H150" s="1"/>
      <c r="I150" s="1"/>
      <c r="J150" s="1"/>
      <c r="K150" s="1"/>
      <c r="L150" s="5"/>
      <c r="M150" s="5"/>
      <c r="N150" s="1"/>
      <c r="O150" s="5"/>
      <c r="P150" s="5"/>
      <c r="Q150" s="1"/>
      <c r="R150" s="156"/>
      <c r="S150" s="156"/>
      <c r="T150" s="157"/>
    </row>
    <row r="151" spans="1:20" ht="13.5" customHeight="1" x14ac:dyDescent="0.25">
      <c r="A151" s="1"/>
      <c r="B151" s="1"/>
      <c r="C151" s="1"/>
      <c r="D151" s="1"/>
      <c r="E151" s="1"/>
      <c r="F151" s="5"/>
      <c r="G151" s="5"/>
      <c r="H151" s="1"/>
      <c r="I151" s="1"/>
      <c r="J151" s="1"/>
      <c r="K151" s="1"/>
      <c r="L151" s="5"/>
      <c r="M151" s="5"/>
      <c r="N151" s="1"/>
      <c r="O151" s="5"/>
      <c r="P151" s="5"/>
      <c r="Q151" s="1"/>
      <c r="R151" s="156"/>
      <c r="S151" s="156"/>
      <c r="T151" s="157"/>
    </row>
    <row r="152" spans="1:20" ht="13.5" customHeight="1" x14ac:dyDescent="0.25">
      <c r="A152" s="1"/>
      <c r="B152" s="1"/>
      <c r="C152" s="1"/>
      <c r="D152" s="1"/>
      <c r="E152" s="1"/>
      <c r="F152" s="5"/>
      <c r="G152" s="5"/>
      <c r="H152" s="1"/>
      <c r="I152" s="1"/>
      <c r="J152" s="1"/>
      <c r="K152" s="1"/>
      <c r="L152" s="5"/>
      <c r="M152" s="5"/>
      <c r="N152" s="1"/>
      <c r="O152" s="5"/>
      <c r="P152" s="5"/>
      <c r="Q152" s="1"/>
      <c r="R152" s="156"/>
      <c r="S152" s="156"/>
      <c r="T152" s="157"/>
    </row>
    <row r="153" spans="1:20" ht="13.5" customHeight="1" x14ac:dyDescent="0.25">
      <c r="A153" s="1"/>
      <c r="B153" s="1"/>
      <c r="C153" s="1"/>
      <c r="D153" s="1"/>
      <c r="E153" s="1"/>
      <c r="F153" s="5"/>
      <c r="G153" s="5"/>
      <c r="H153" s="1"/>
      <c r="I153" s="1"/>
      <c r="J153" s="1"/>
      <c r="K153" s="1"/>
      <c r="L153" s="5"/>
      <c r="M153" s="5"/>
      <c r="N153" s="1"/>
      <c r="O153" s="5"/>
      <c r="P153" s="5"/>
      <c r="Q153" s="1"/>
      <c r="R153" s="156"/>
      <c r="S153" s="156"/>
      <c r="T153" s="157"/>
    </row>
    <row r="154" spans="1:20" ht="13.5" customHeight="1" x14ac:dyDescent="0.25">
      <c r="A154" s="1"/>
      <c r="B154" s="1"/>
      <c r="C154" s="1"/>
      <c r="D154" s="1"/>
      <c r="E154" s="1"/>
      <c r="F154" s="5"/>
      <c r="G154" s="5"/>
      <c r="H154" s="1"/>
      <c r="I154" s="1"/>
      <c r="J154" s="1"/>
      <c r="K154" s="1"/>
      <c r="L154" s="5"/>
      <c r="M154" s="5"/>
      <c r="N154" s="1"/>
      <c r="O154" s="5"/>
      <c r="P154" s="5"/>
      <c r="Q154" s="1"/>
      <c r="R154" s="156"/>
      <c r="S154" s="156"/>
      <c r="T154" s="157"/>
    </row>
    <row r="155" spans="1:20" ht="13.5" customHeight="1" x14ac:dyDescent="0.25">
      <c r="A155" s="1"/>
      <c r="B155" s="1"/>
      <c r="C155" s="1"/>
      <c r="D155" s="1"/>
      <c r="E155" s="1"/>
      <c r="F155" s="5"/>
      <c r="G155" s="5"/>
      <c r="H155" s="1"/>
      <c r="I155" s="1"/>
      <c r="J155" s="1"/>
      <c r="K155" s="1"/>
      <c r="L155" s="5"/>
      <c r="M155" s="5"/>
      <c r="N155" s="1"/>
      <c r="O155" s="5"/>
      <c r="P155" s="5"/>
      <c r="Q155" s="1"/>
      <c r="R155" s="156"/>
      <c r="S155" s="156"/>
      <c r="T155" s="157"/>
    </row>
    <row r="156" spans="1:20" ht="13.5" customHeight="1" x14ac:dyDescent="0.25">
      <c r="A156" s="1"/>
      <c r="B156" s="1"/>
      <c r="C156" s="1"/>
      <c r="D156" s="1"/>
      <c r="E156" s="1"/>
      <c r="F156" s="5"/>
      <c r="G156" s="5"/>
      <c r="H156" s="1"/>
      <c r="I156" s="1"/>
      <c r="J156" s="1"/>
      <c r="K156" s="1"/>
      <c r="L156" s="5"/>
      <c r="M156" s="5"/>
      <c r="N156" s="1"/>
      <c r="O156" s="5"/>
      <c r="P156" s="5"/>
      <c r="Q156" s="1"/>
      <c r="R156" s="156"/>
      <c r="S156" s="156"/>
      <c r="T156" s="157"/>
    </row>
    <row r="157" spans="1:20" ht="13.5" customHeight="1" x14ac:dyDescent="0.25">
      <c r="A157" s="1"/>
      <c r="B157" s="1"/>
      <c r="C157" s="1"/>
      <c r="D157" s="1"/>
      <c r="E157" s="1"/>
      <c r="F157" s="5"/>
      <c r="G157" s="5"/>
      <c r="H157" s="1"/>
      <c r="I157" s="1"/>
      <c r="J157" s="1"/>
      <c r="K157" s="1"/>
      <c r="L157" s="5"/>
      <c r="M157" s="5"/>
      <c r="N157" s="1"/>
      <c r="O157" s="5"/>
      <c r="P157" s="5"/>
      <c r="Q157" s="1"/>
      <c r="R157" s="156"/>
      <c r="S157" s="156"/>
      <c r="T157" s="157"/>
    </row>
    <row r="158" spans="1:20" ht="13.5" customHeight="1" x14ac:dyDescent="0.25">
      <c r="A158" s="1"/>
      <c r="B158" s="1"/>
      <c r="C158" s="1"/>
      <c r="D158" s="1"/>
      <c r="E158" s="1"/>
      <c r="F158" s="5"/>
      <c r="G158" s="5"/>
      <c r="H158" s="1"/>
      <c r="I158" s="1"/>
      <c r="J158" s="1"/>
      <c r="K158" s="1"/>
      <c r="L158" s="5"/>
      <c r="M158" s="5"/>
      <c r="N158" s="1"/>
      <c r="O158" s="5"/>
      <c r="P158" s="5"/>
      <c r="Q158" s="1"/>
      <c r="R158" s="156"/>
      <c r="S158" s="156"/>
      <c r="T158" s="157"/>
    </row>
    <row r="159" spans="1:20" ht="13.5" customHeight="1" x14ac:dyDescent="0.25">
      <c r="A159" s="1"/>
      <c r="B159" s="1"/>
      <c r="C159" s="1"/>
      <c r="D159" s="1"/>
      <c r="E159" s="1"/>
      <c r="F159" s="5"/>
      <c r="G159" s="5"/>
      <c r="H159" s="1"/>
      <c r="I159" s="1"/>
      <c r="J159" s="1"/>
      <c r="K159" s="1"/>
      <c r="L159" s="5"/>
      <c r="M159" s="5"/>
      <c r="N159" s="1"/>
      <c r="O159" s="5"/>
      <c r="P159" s="5"/>
      <c r="Q159" s="1"/>
      <c r="R159" s="156"/>
      <c r="S159" s="156"/>
      <c r="T159" s="157"/>
    </row>
    <row r="160" spans="1:20" ht="13.5" customHeight="1" x14ac:dyDescent="0.25">
      <c r="A160" s="1"/>
      <c r="B160" s="1"/>
      <c r="C160" s="1"/>
      <c r="D160" s="1"/>
      <c r="E160" s="1"/>
      <c r="F160" s="5"/>
      <c r="G160" s="5"/>
      <c r="H160" s="1"/>
      <c r="I160" s="1"/>
      <c r="J160" s="1"/>
      <c r="K160" s="1"/>
      <c r="L160" s="5"/>
      <c r="M160" s="5"/>
      <c r="N160" s="1"/>
      <c r="O160" s="5"/>
      <c r="P160" s="5"/>
      <c r="Q160" s="1"/>
      <c r="R160" s="156"/>
      <c r="S160" s="156"/>
      <c r="T160" s="157"/>
    </row>
    <row r="161" spans="1:20" ht="13.5" customHeight="1" x14ac:dyDescent="0.25">
      <c r="A161" s="1"/>
      <c r="B161" s="1"/>
      <c r="C161" s="1"/>
      <c r="D161" s="1"/>
      <c r="E161" s="1"/>
      <c r="F161" s="5"/>
      <c r="G161" s="5"/>
      <c r="H161" s="1"/>
      <c r="I161" s="1"/>
      <c r="J161" s="1"/>
      <c r="K161" s="1"/>
      <c r="L161" s="5"/>
      <c r="M161" s="5"/>
      <c r="N161" s="1"/>
      <c r="O161" s="5"/>
      <c r="P161" s="5"/>
      <c r="Q161" s="1"/>
      <c r="R161" s="156"/>
      <c r="S161" s="156"/>
      <c r="T161" s="157"/>
    </row>
    <row r="162" spans="1:20" ht="13.5" customHeight="1" x14ac:dyDescent="0.25">
      <c r="A162" s="1"/>
      <c r="B162" s="1"/>
      <c r="C162" s="1"/>
      <c r="D162" s="1"/>
      <c r="E162" s="1"/>
      <c r="F162" s="5"/>
      <c r="G162" s="5"/>
      <c r="H162" s="1"/>
      <c r="I162" s="1"/>
      <c r="J162" s="1"/>
      <c r="K162" s="1"/>
      <c r="L162" s="5"/>
      <c r="M162" s="5"/>
      <c r="N162" s="1"/>
      <c r="O162" s="5"/>
      <c r="P162" s="5"/>
      <c r="Q162" s="1"/>
      <c r="R162" s="156"/>
      <c r="S162" s="156"/>
      <c r="T162" s="157"/>
    </row>
    <row r="163" spans="1:20" ht="13.5" customHeight="1" x14ac:dyDescent="0.25">
      <c r="A163" s="1"/>
      <c r="B163" s="1"/>
      <c r="C163" s="1"/>
      <c r="D163" s="1"/>
      <c r="E163" s="1"/>
      <c r="F163" s="5"/>
      <c r="G163" s="5"/>
      <c r="H163" s="1"/>
      <c r="I163" s="1"/>
      <c r="J163" s="1"/>
      <c r="K163" s="1"/>
      <c r="L163" s="5"/>
      <c r="M163" s="5"/>
      <c r="N163" s="1"/>
      <c r="O163" s="5"/>
      <c r="P163" s="5"/>
      <c r="Q163" s="1"/>
      <c r="R163" s="156"/>
      <c r="S163" s="156"/>
      <c r="T163" s="157"/>
    </row>
    <row r="164" spans="1:20" ht="13.5" customHeight="1" x14ac:dyDescent="0.25">
      <c r="A164" s="1"/>
      <c r="B164" s="1"/>
      <c r="C164" s="1"/>
      <c r="D164" s="1"/>
      <c r="E164" s="1"/>
      <c r="F164" s="5"/>
      <c r="G164" s="5"/>
      <c r="H164" s="1"/>
      <c r="I164" s="1"/>
      <c r="J164" s="1"/>
      <c r="K164" s="1"/>
      <c r="L164" s="5"/>
      <c r="M164" s="5"/>
      <c r="N164" s="1"/>
      <c r="O164" s="5"/>
      <c r="P164" s="5"/>
      <c r="Q164" s="1"/>
      <c r="R164" s="156"/>
      <c r="S164" s="156"/>
      <c r="T164" s="157"/>
    </row>
    <row r="165" spans="1:20" ht="13.5" customHeight="1" x14ac:dyDescent="0.25">
      <c r="A165" s="1"/>
      <c r="B165" s="1"/>
      <c r="C165" s="1"/>
      <c r="D165" s="1"/>
      <c r="E165" s="1"/>
      <c r="F165" s="5"/>
      <c r="G165" s="5"/>
      <c r="H165" s="1"/>
      <c r="I165" s="1"/>
      <c r="J165" s="1"/>
      <c r="K165" s="1"/>
      <c r="L165" s="5"/>
      <c r="M165" s="5"/>
      <c r="N165" s="1"/>
      <c r="O165" s="5"/>
      <c r="P165" s="5"/>
      <c r="Q165" s="1"/>
      <c r="R165" s="156"/>
      <c r="S165" s="156"/>
      <c r="T165" s="157"/>
    </row>
    <row r="166" spans="1:20" ht="13.5" customHeight="1" x14ac:dyDescent="0.25">
      <c r="A166" s="1"/>
      <c r="B166" s="1"/>
      <c r="C166" s="1"/>
      <c r="D166" s="1"/>
      <c r="E166" s="1"/>
      <c r="F166" s="5"/>
      <c r="G166" s="5"/>
      <c r="H166" s="1"/>
      <c r="I166" s="1"/>
      <c r="J166" s="1"/>
      <c r="K166" s="1"/>
      <c r="L166" s="5"/>
      <c r="M166" s="5"/>
      <c r="N166" s="1"/>
      <c r="O166" s="5"/>
      <c r="P166" s="5"/>
      <c r="Q166" s="1"/>
      <c r="R166" s="156"/>
      <c r="S166" s="156"/>
      <c r="T166" s="157"/>
    </row>
    <row r="167" spans="1:20" ht="13.5" customHeight="1" x14ac:dyDescent="0.25">
      <c r="A167" s="1"/>
      <c r="B167" s="1"/>
      <c r="C167" s="1"/>
      <c r="D167" s="1"/>
      <c r="E167" s="1"/>
      <c r="F167" s="5"/>
      <c r="G167" s="5"/>
      <c r="H167" s="1"/>
      <c r="I167" s="1"/>
      <c r="J167" s="1"/>
      <c r="K167" s="1"/>
      <c r="L167" s="5"/>
      <c r="M167" s="5"/>
      <c r="N167" s="1"/>
      <c r="O167" s="5"/>
      <c r="P167" s="5"/>
      <c r="Q167" s="1"/>
      <c r="R167" s="156"/>
      <c r="S167" s="156"/>
      <c r="T167" s="157"/>
    </row>
    <row r="168" spans="1:20" ht="13.5" customHeight="1" x14ac:dyDescent="0.25">
      <c r="A168" s="1"/>
      <c r="B168" s="1"/>
      <c r="C168" s="1"/>
      <c r="D168" s="1"/>
      <c r="E168" s="1"/>
      <c r="F168" s="5"/>
      <c r="G168" s="5"/>
      <c r="H168" s="1"/>
      <c r="I168" s="1"/>
      <c r="J168" s="1"/>
      <c r="K168" s="1"/>
      <c r="L168" s="5"/>
      <c r="M168" s="5"/>
      <c r="N168" s="1"/>
      <c r="O168" s="5"/>
      <c r="P168" s="5"/>
      <c r="Q168" s="1"/>
      <c r="R168" s="156"/>
      <c r="S168" s="156"/>
      <c r="T168" s="157"/>
    </row>
    <row r="169" spans="1:20" ht="13.5" customHeight="1" x14ac:dyDescent="0.25">
      <c r="A169" s="1"/>
      <c r="B169" s="1"/>
      <c r="C169" s="1"/>
      <c r="D169" s="1"/>
      <c r="E169" s="1"/>
      <c r="F169" s="5"/>
      <c r="G169" s="5"/>
      <c r="H169" s="1"/>
      <c r="I169" s="1"/>
      <c r="J169" s="1"/>
      <c r="K169" s="1"/>
      <c r="L169" s="5"/>
      <c r="M169" s="5"/>
      <c r="N169" s="1"/>
      <c r="O169" s="5"/>
      <c r="P169" s="5"/>
      <c r="Q169" s="1"/>
      <c r="R169" s="156"/>
      <c r="S169" s="156"/>
      <c r="T169" s="157"/>
    </row>
    <row r="170" spans="1:20" ht="13.5" customHeight="1" x14ac:dyDescent="0.25">
      <c r="A170" s="1"/>
      <c r="B170" s="1"/>
      <c r="C170" s="1"/>
      <c r="D170" s="1"/>
      <c r="E170" s="1"/>
      <c r="F170" s="5"/>
      <c r="G170" s="5"/>
      <c r="H170" s="1"/>
      <c r="I170" s="1"/>
      <c r="J170" s="1"/>
      <c r="K170" s="1"/>
      <c r="L170" s="5"/>
      <c r="M170" s="5"/>
      <c r="N170" s="1"/>
      <c r="O170" s="5"/>
      <c r="P170" s="5"/>
      <c r="Q170" s="1"/>
      <c r="R170" s="156"/>
      <c r="S170" s="156"/>
      <c r="T170" s="157"/>
    </row>
    <row r="171" spans="1:20" ht="13.5" customHeight="1" x14ac:dyDescent="0.25">
      <c r="A171" s="1"/>
      <c r="B171" s="1"/>
      <c r="C171" s="1"/>
      <c r="D171" s="1"/>
      <c r="E171" s="1"/>
      <c r="F171" s="5"/>
      <c r="G171" s="5"/>
      <c r="H171" s="1"/>
      <c r="I171" s="1"/>
      <c r="J171" s="1"/>
      <c r="K171" s="1"/>
      <c r="L171" s="5"/>
      <c r="M171" s="5"/>
      <c r="N171" s="1"/>
      <c r="O171" s="5"/>
      <c r="P171" s="5"/>
      <c r="Q171" s="1"/>
      <c r="R171" s="156"/>
      <c r="S171" s="156"/>
      <c r="T171" s="157"/>
    </row>
    <row r="172" spans="1:20" ht="13.5" customHeight="1" x14ac:dyDescent="0.25">
      <c r="A172" s="1"/>
      <c r="B172" s="1"/>
      <c r="C172" s="1"/>
      <c r="D172" s="1"/>
      <c r="E172" s="1"/>
      <c r="F172" s="5"/>
      <c r="G172" s="5"/>
      <c r="H172" s="1"/>
      <c r="I172" s="1"/>
      <c r="J172" s="1"/>
      <c r="K172" s="1"/>
      <c r="L172" s="5"/>
      <c r="M172" s="5"/>
      <c r="N172" s="1"/>
      <c r="O172" s="5"/>
      <c r="P172" s="5"/>
      <c r="Q172" s="1"/>
      <c r="R172" s="156"/>
      <c r="S172" s="156"/>
      <c r="T172" s="157"/>
    </row>
    <row r="173" spans="1:20" ht="13.5" customHeight="1" x14ac:dyDescent="0.25">
      <c r="A173" s="1"/>
      <c r="B173" s="1"/>
      <c r="C173" s="1"/>
      <c r="D173" s="1"/>
      <c r="E173" s="1"/>
      <c r="F173" s="5"/>
      <c r="G173" s="5"/>
      <c r="H173" s="1"/>
      <c r="I173" s="1"/>
      <c r="J173" s="1"/>
      <c r="K173" s="1"/>
      <c r="L173" s="5"/>
      <c r="M173" s="5"/>
      <c r="N173" s="1"/>
      <c r="O173" s="5"/>
      <c r="P173" s="5"/>
      <c r="Q173" s="1"/>
      <c r="R173" s="156"/>
      <c r="S173" s="156"/>
      <c r="T173" s="157"/>
    </row>
    <row r="174" spans="1:20" ht="13.5" customHeight="1" x14ac:dyDescent="0.25">
      <c r="A174" s="1"/>
      <c r="B174" s="1"/>
      <c r="C174" s="1"/>
      <c r="D174" s="1"/>
      <c r="E174" s="1"/>
      <c r="F174" s="5"/>
      <c r="G174" s="5"/>
      <c r="H174" s="1"/>
      <c r="I174" s="1"/>
      <c r="J174" s="1"/>
      <c r="K174" s="1"/>
      <c r="L174" s="5"/>
      <c r="M174" s="5"/>
      <c r="N174" s="1"/>
      <c r="O174" s="5"/>
      <c r="P174" s="5"/>
      <c r="Q174" s="1"/>
      <c r="R174" s="156"/>
      <c r="S174" s="156"/>
      <c r="T174" s="157"/>
    </row>
    <row r="175" spans="1:20" ht="13.5" customHeight="1" x14ac:dyDescent="0.25">
      <c r="A175" s="1"/>
      <c r="B175" s="1"/>
      <c r="C175" s="1"/>
      <c r="D175" s="1"/>
      <c r="E175" s="1"/>
      <c r="F175" s="5"/>
      <c r="G175" s="5"/>
      <c r="H175" s="1"/>
      <c r="I175" s="1"/>
      <c r="J175" s="1"/>
      <c r="K175" s="1"/>
      <c r="L175" s="5"/>
      <c r="M175" s="5"/>
      <c r="N175" s="1"/>
      <c r="O175" s="5"/>
      <c r="P175" s="5"/>
      <c r="Q175" s="1"/>
      <c r="R175" s="156"/>
      <c r="S175" s="156"/>
      <c r="T175" s="157"/>
    </row>
    <row r="176" spans="1:20" ht="13.5" customHeight="1" x14ac:dyDescent="0.25">
      <c r="A176" s="1"/>
      <c r="B176" s="1"/>
      <c r="C176" s="1"/>
      <c r="D176" s="1"/>
      <c r="E176" s="1"/>
      <c r="F176" s="5"/>
      <c r="G176" s="5"/>
      <c r="H176" s="1"/>
      <c r="I176" s="1"/>
      <c r="J176" s="1"/>
      <c r="K176" s="1"/>
      <c r="L176" s="5"/>
      <c r="M176" s="5"/>
      <c r="N176" s="1"/>
      <c r="O176" s="5"/>
      <c r="P176" s="5"/>
      <c r="Q176" s="1"/>
      <c r="R176" s="156"/>
      <c r="S176" s="156"/>
      <c r="T176" s="157"/>
    </row>
    <row r="177" spans="1:20" ht="13.5" customHeight="1" x14ac:dyDescent="0.25">
      <c r="A177" s="1"/>
      <c r="B177" s="1"/>
      <c r="C177" s="1"/>
      <c r="D177" s="1"/>
      <c r="E177" s="1"/>
      <c r="F177" s="5"/>
      <c r="G177" s="5"/>
      <c r="H177" s="1"/>
      <c r="I177" s="1"/>
      <c r="J177" s="1"/>
      <c r="K177" s="1"/>
      <c r="L177" s="5"/>
      <c r="M177" s="5"/>
      <c r="N177" s="1"/>
      <c r="O177" s="5"/>
      <c r="P177" s="5"/>
      <c r="Q177" s="1"/>
      <c r="R177" s="156"/>
      <c r="S177" s="156"/>
      <c r="T177" s="157"/>
    </row>
    <row r="178" spans="1:20" ht="13.5" customHeight="1" x14ac:dyDescent="0.25">
      <c r="A178" s="1"/>
      <c r="B178" s="1"/>
      <c r="C178" s="1"/>
      <c r="D178" s="1"/>
      <c r="E178" s="1"/>
      <c r="F178" s="5"/>
      <c r="G178" s="5"/>
      <c r="H178" s="1"/>
      <c r="I178" s="1"/>
      <c r="J178" s="1"/>
      <c r="K178" s="1"/>
      <c r="L178" s="5"/>
      <c r="M178" s="5"/>
      <c r="N178" s="1"/>
      <c r="O178" s="5"/>
      <c r="P178" s="5"/>
      <c r="Q178" s="1"/>
      <c r="R178" s="156"/>
      <c r="S178" s="156"/>
      <c r="T178" s="157"/>
    </row>
    <row r="179" spans="1:20" ht="13.5" customHeight="1" x14ac:dyDescent="0.25">
      <c r="A179" s="1"/>
      <c r="B179" s="1"/>
      <c r="C179" s="1"/>
      <c r="D179" s="1"/>
      <c r="E179" s="1"/>
      <c r="F179" s="5"/>
      <c r="G179" s="5"/>
      <c r="H179" s="1"/>
      <c r="I179" s="1"/>
      <c r="J179" s="1"/>
      <c r="K179" s="1"/>
      <c r="L179" s="5"/>
      <c r="M179" s="5"/>
      <c r="N179" s="1"/>
      <c r="O179" s="5"/>
      <c r="P179" s="5"/>
      <c r="Q179" s="1"/>
      <c r="R179" s="156"/>
      <c r="S179" s="156"/>
      <c r="T179" s="157"/>
    </row>
    <row r="180" spans="1:20" ht="13.5" customHeight="1" x14ac:dyDescent="0.25">
      <c r="A180" s="1"/>
      <c r="B180" s="1"/>
      <c r="C180" s="1"/>
      <c r="D180" s="1"/>
      <c r="E180" s="1"/>
      <c r="F180" s="5"/>
      <c r="G180" s="5"/>
      <c r="H180" s="1"/>
      <c r="I180" s="1"/>
      <c r="J180" s="1"/>
      <c r="K180" s="1"/>
      <c r="L180" s="5"/>
      <c r="M180" s="5"/>
      <c r="N180" s="1"/>
      <c r="O180" s="5"/>
      <c r="P180" s="5"/>
      <c r="Q180" s="1"/>
      <c r="R180" s="156"/>
      <c r="S180" s="156"/>
      <c r="T180" s="157"/>
    </row>
    <row r="181" spans="1:20" ht="13.5" customHeight="1" x14ac:dyDescent="0.25">
      <c r="A181" s="1"/>
      <c r="B181" s="1"/>
      <c r="C181" s="1"/>
      <c r="D181" s="1"/>
      <c r="E181" s="1"/>
      <c r="F181" s="5"/>
      <c r="G181" s="5"/>
      <c r="H181" s="1"/>
      <c r="I181" s="1"/>
      <c r="J181" s="1"/>
      <c r="K181" s="1"/>
      <c r="L181" s="5"/>
      <c r="M181" s="5"/>
      <c r="N181" s="1"/>
      <c r="O181" s="5"/>
      <c r="P181" s="5"/>
      <c r="Q181" s="1"/>
      <c r="R181" s="156"/>
      <c r="S181" s="156"/>
      <c r="T181" s="157"/>
    </row>
    <row r="182" spans="1:20" ht="13.5" customHeight="1" x14ac:dyDescent="0.25">
      <c r="A182" s="1"/>
      <c r="B182" s="1"/>
      <c r="C182" s="1"/>
      <c r="D182" s="1"/>
      <c r="E182" s="1"/>
      <c r="F182" s="5"/>
      <c r="G182" s="5"/>
      <c r="H182" s="1"/>
      <c r="I182" s="1"/>
      <c r="J182" s="1"/>
      <c r="K182" s="1"/>
      <c r="L182" s="5"/>
      <c r="M182" s="5"/>
      <c r="N182" s="1"/>
      <c r="O182" s="5"/>
      <c r="P182" s="5"/>
      <c r="Q182" s="1"/>
      <c r="R182" s="156"/>
      <c r="S182" s="156"/>
      <c r="T182" s="157"/>
    </row>
    <row r="183" spans="1:20" ht="13.5" customHeight="1" x14ac:dyDescent="0.25">
      <c r="A183" s="1"/>
      <c r="B183" s="1"/>
      <c r="C183" s="1"/>
      <c r="D183" s="1"/>
      <c r="E183" s="1"/>
      <c r="F183" s="5"/>
      <c r="G183" s="5"/>
      <c r="H183" s="1"/>
      <c r="I183" s="1"/>
      <c r="J183" s="1"/>
      <c r="K183" s="1"/>
      <c r="L183" s="5"/>
      <c r="M183" s="5"/>
      <c r="N183" s="1"/>
      <c r="O183" s="5"/>
      <c r="P183" s="5"/>
      <c r="Q183" s="1"/>
      <c r="R183" s="156"/>
      <c r="S183" s="156"/>
      <c r="T183" s="157"/>
    </row>
    <row r="184" spans="1:20" ht="13.5" customHeight="1" x14ac:dyDescent="0.25">
      <c r="A184" s="1"/>
      <c r="B184" s="1"/>
      <c r="C184" s="1"/>
      <c r="D184" s="1"/>
      <c r="E184" s="1"/>
      <c r="F184" s="5"/>
      <c r="G184" s="5"/>
      <c r="H184" s="1"/>
      <c r="I184" s="1"/>
      <c r="J184" s="1"/>
      <c r="K184" s="1"/>
      <c r="L184" s="5"/>
      <c r="M184" s="5"/>
      <c r="N184" s="1"/>
      <c r="O184" s="5"/>
      <c r="P184" s="5"/>
      <c r="Q184" s="1"/>
      <c r="R184" s="156"/>
      <c r="S184" s="156"/>
      <c r="T184" s="157"/>
    </row>
    <row r="185" spans="1:20" ht="13.5" customHeight="1" x14ac:dyDescent="0.25">
      <c r="A185" s="1"/>
      <c r="B185" s="1"/>
      <c r="C185" s="1"/>
      <c r="D185" s="1"/>
      <c r="E185" s="1"/>
      <c r="F185" s="5"/>
      <c r="G185" s="5"/>
      <c r="H185" s="1"/>
      <c r="I185" s="1"/>
      <c r="J185" s="1"/>
      <c r="K185" s="1"/>
      <c r="L185" s="5"/>
      <c r="M185" s="5"/>
      <c r="N185" s="1"/>
      <c r="O185" s="5"/>
      <c r="P185" s="5"/>
      <c r="Q185" s="1"/>
      <c r="R185" s="156"/>
      <c r="S185" s="156"/>
      <c r="T185" s="157"/>
    </row>
    <row r="186" spans="1:20" ht="13.5" customHeight="1" x14ac:dyDescent="0.25">
      <c r="A186" s="1"/>
      <c r="B186" s="1"/>
      <c r="C186" s="1"/>
      <c r="D186" s="1"/>
      <c r="E186" s="1"/>
      <c r="F186" s="5"/>
      <c r="G186" s="5"/>
      <c r="H186" s="1"/>
      <c r="I186" s="1"/>
      <c r="J186" s="1"/>
      <c r="K186" s="1"/>
      <c r="L186" s="5"/>
      <c r="M186" s="5"/>
      <c r="N186" s="1"/>
      <c r="O186" s="5"/>
      <c r="P186" s="5"/>
      <c r="Q186" s="1"/>
      <c r="R186" s="156"/>
      <c r="S186" s="156"/>
      <c r="T186" s="157"/>
    </row>
    <row r="187" spans="1:20" ht="13.5" customHeight="1" x14ac:dyDescent="0.25">
      <c r="A187" s="1"/>
      <c r="B187" s="1"/>
      <c r="C187" s="1"/>
      <c r="D187" s="1"/>
      <c r="E187" s="1"/>
      <c r="F187" s="5"/>
      <c r="G187" s="5"/>
      <c r="H187" s="1"/>
      <c r="I187" s="1"/>
      <c r="J187" s="1"/>
      <c r="K187" s="1"/>
      <c r="L187" s="5"/>
      <c r="M187" s="5"/>
      <c r="N187" s="1"/>
      <c r="O187" s="5"/>
      <c r="P187" s="5"/>
      <c r="Q187" s="1"/>
      <c r="R187" s="156"/>
      <c r="S187" s="156"/>
      <c r="T187" s="157"/>
    </row>
    <row r="188" spans="1:20" ht="13.5" customHeight="1" x14ac:dyDescent="0.25">
      <c r="A188" s="1"/>
      <c r="B188" s="1"/>
      <c r="C188" s="1"/>
      <c r="D188" s="1"/>
      <c r="E188" s="1"/>
      <c r="F188" s="5"/>
      <c r="G188" s="5"/>
      <c r="H188" s="1"/>
      <c r="I188" s="1"/>
      <c r="J188" s="1"/>
      <c r="K188" s="1"/>
      <c r="L188" s="5"/>
      <c r="M188" s="5"/>
      <c r="N188" s="1"/>
      <c r="O188" s="5"/>
      <c r="P188" s="5"/>
      <c r="Q188" s="1"/>
      <c r="R188" s="156"/>
      <c r="S188" s="156"/>
      <c r="T188" s="157"/>
    </row>
    <row r="189" spans="1:20" ht="13.5" customHeight="1" x14ac:dyDescent="0.25">
      <c r="A189" s="1"/>
      <c r="B189" s="1"/>
      <c r="C189" s="1"/>
      <c r="D189" s="1"/>
      <c r="E189" s="1"/>
      <c r="F189" s="5"/>
      <c r="G189" s="5"/>
      <c r="H189" s="1"/>
      <c r="I189" s="1"/>
      <c r="J189" s="1"/>
      <c r="K189" s="1"/>
      <c r="L189" s="5"/>
      <c r="M189" s="5"/>
      <c r="N189" s="1"/>
      <c r="O189" s="5"/>
      <c r="P189" s="5"/>
      <c r="Q189" s="1"/>
      <c r="R189" s="156"/>
      <c r="S189" s="156"/>
      <c r="T189" s="157"/>
    </row>
    <row r="190" spans="1:20" ht="13.5" customHeight="1" x14ac:dyDescent="0.25">
      <c r="A190" s="1"/>
      <c r="B190" s="1"/>
      <c r="C190" s="1"/>
      <c r="D190" s="1"/>
      <c r="E190" s="1"/>
      <c r="F190" s="5"/>
      <c r="G190" s="5"/>
      <c r="H190" s="1"/>
      <c r="I190" s="1"/>
      <c r="J190" s="1"/>
      <c r="K190" s="1"/>
      <c r="L190" s="5"/>
      <c r="M190" s="5"/>
      <c r="N190" s="1"/>
      <c r="O190" s="5"/>
      <c r="P190" s="5"/>
      <c r="Q190" s="1"/>
      <c r="R190" s="156"/>
      <c r="S190" s="156"/>
      <c r="T190" s="157"/>
    </row>
    <row r="191" spans="1:20" ht="13.5" customHeight="1" x14ac:dyDescent="0.25">
      <c r="A191" s="1"/>
      <c r="B191" s="1"/>
      <c r="C191" s="1"/>
      <c r="D191" s="1"/>
      <c r="E191" s="1"/>
      <c r="F191" s="5"/>
      <c r="G191" s="5"/>
      <c r="H191" s="1"/>
      <c r="I191" s="1"/>
      <c r="J191" s="1"/>
      <c r="K191" s="1"/>
      <c r="L191" s="5"/>
      <c r="M191" s="5"/>
      <c r="N191" s="1"/>
      <c r="O191" s="5"/>
      <c r="P191" s="5"/>
      <c r="Q191" s="1"/>
      <c r="R191" s="156"/>
      <c r="S191" s="156"/>
      <c r="T191" s="157"/>
    </row>
    <row r="192" spans="1:20" ht="13.5" customHeight="1" x14ac:dyDescent="0.25">
      <c r="A192" s="1"/>
      <c r="B192" s="1"/>
      <c r="C192" s="1"/>
      <c r="D192" s="1"/>
      <c r="E192" s="1"/>
      <c r="F192" s="5"/>
      <c r="G192" s="5"/>
      <c r="H192" s="1"/>
      <c r="I192" s="1"/>
      <c r="J192" s="1"/>
      <c r="K192" s="1"/>
      <c r="L192" s="5"/>
      <c r="M192" s="5"/>
      <c r="N192" s="1"/>
      <c r="O192" s="5"/>
      <c r="P192" s="5"/>
      <c r="Q192" s="1"/>
      <c r="R192" s="156"/>
      <c r="S192" s="156"/>
      <c r="T192" s="157"/>
    </row>
    <row r="193" spans="1:20" ht="13.5" customHeight="1" x14ac:dyDescent="0.25">
      <c r="A193" s="1"/>
      <c r="B193" s="1"/>
      <c r="C193" s="1"/>
      <c r="D193" s="1"/>
      <c r="E193" s="1"/>
      <c r="F193" s="5"/>
      <c r="G193" s="5"/>
      <c r="H193" s="1"/>
      <c r="I193" s="1"/>
      <c r="J193" s="1"/>
      <c r="K193" s="1"/>
      <c r="L193" s="5"/>
      <c r="M193" s="5"/>
      <c r="N193" s="1"/>
      <c r="O193" s="5"/>
      <c r="P193" s="5"/>
      <c r="Q193" s="1"/>
      <c r="R193" s="156"/>
      <c r="S193" s="156"/>
      <c r="T193" s="157"/>
    </row>
    <row r="194" spans="1:20" ht="13.5" customHeight="1" x14ac:dyDescent="0.25">
      <c r="A194" s="1"/>
      <c r="B194" s="1"/>
      <c r="C194" s="1"/>
      <c r="D194" s="1"/>
      <c r="E194" s="1"/>
      <c r="F194" s="5"/>
      <c r="G194" s="5"/>
      <c r="H194" s="1"/>
      <c r="I194" s="1"/>
      <c r="J194" s="1"/>
      <c r="K194" s="1"/>
      <c r="L194" s="5"/>
      <c r="M194" s="5"/>
      <c r="N194" s="1"/>
      <c r="O194" s="5"/>
      <c r="P194" s="5"/>
      <c r="Q194" s="1"/>
      <c r="R194" s="156"/>
      <c r="S194" s="156"/>
      <c r="T194" s="157"/>
    </row>
    <row r="195" spans="1:20" ht="13.5" customHeight="1" x14ac:dyDescent="0.25">
      <c r="A195" s="1"/>
      <c r="B195" s="1"/>
      <c r="C195" s="1"/>
      <c r="D195" s="1"/>
      <c r="E195" s="1"/>
      <c r="F195" s="5"/>
      <c r="G195" s="5"/>
      <c r="H195" s="1"/>
      <c r="I195" s="1"/>
      <c r="J195" s="1"/>
      <c r="K195" s="1"/>
      <c r="L195" s="5"/>
      <c r="M195" s="5"/>
      <c r="N195" s="1"/>
      <c r="O195" s="5"/>
      <c r="P195" s="5"/>
      <c r="Q195" s="1"/>
      <c r="R195" s="156"/>
      <c r="S195" s="156"/>
      <c r="T195" s="157"/>
    </row>
    <row r="196" spans="1:20" ht="13.5" customHeight="1" x14ac:dyDescent="0.25">
      <c r="A196" s="1"/>
      <c r="B196" s="1"/>
      <c r="C196" s="1"/>
      <c r="D196" s="1"/>
      <c r="E196" s="1"/>
      <c r="F196" s="5"/>
      <c r="G196" s="5"/>
      <c r="H196" s="1"/>
      <c r="I196" s="1"/>
      <c r="J196" s="1"/>
      <c r="K196" s="1"/>
      <c r="L196" s="5"/>
      <c r="M196" s="5"/>
      <c r="N196" s="1"/>
      <c r="O196" s="5"/>
      <c r="P196" s="5"/>
      <c r="Q196" s="1"/>
      <c r="R196" s="156"/>
      <c r="S196" s="156"/>
      <c r="T196" s="157"/>
    </row>
    <row r="197" spans="1:20" ht="13.5" customHeight="1" x14ac:dyDescent="0.25">
      <c r="A197" s="1"/>
      <c r="B197" s="1"/>
      <c r="C197" s="1"/>
      <c r="D197" s="1"/>
      <c r="E197" s="1"/>
      <c r="F197" s="5"/>
      <c r="G197" s="5"/>
      <c r="H197" s="1"/>
      <c r="I197" s="1"/>
      <c r="J197" s="1"/>
      <c r="K197" s="1"/>
      <c r="L197" s="5"/>
      <c r="M197" s="5"/>
      <c r="N197" s="1"/>
      <c r="O197" s="5"/>
      <c r="P197" s="5"/>
      <c r="Q197" s="1"/>
      <c r="R197" s="156"/>
      <c r="S197" s="156"/>
      <c r="T197" s="157"/>
    </row>
    <row r="198" spans="1:20" ht="13.5" customHeight="1" x14ac:dyDescent="0.25">
      <c r="A198" s="1"/>
      <c r="B198" s="1"/>
      <c r="C198" s="1"/>
      <c r="D198" s="1"/>
      <c r="E198" s="1"/>
      <c r="F198" s="5"/>
      <c r="G198" s="5"/>
      <c r="H198" s="1"/>
      <c r="I198" s="1"/>
      <c r="J198" s="1"/>
      <c r="K198" s="1"/>
      <c r="L198" s="5"/>
      <c r="M198" s="5"/>
      <c r="N198" s="1"/>
      <c r="O198" s="5"/>
      <c r="P198" s="5"/>
      <c r="Q198" s="1"/>
      <c r="R198" s="156"/>
      <c r="S198" s="156"/>
      <c r="T198" s="157"/>
    </row>
    <row r="199" spans="1:20" ht="13.5" customHeight="1" x14ac:dyDescent="0.25">
      <c r="A199" s="1"/>
      <c r="B199" s="1"/>
      <c r="C199" s="1"/>
      <c r="D199" s="1"/>
      <c r="E199" s="1"/>
      <c r="F199" s="5"/>
      <c r="G199" s="5"/>
      <c r="H199" s="1"/>
      <c r="I199" s="1"/>
      <c r="J199" s="1"/>
      <c r="K199" s="1"/>
      <c r="L199" s="5"/>
      <c r="M199" s="5"/>
      <c r="N199" s="1"/>
      <c r="O199" s="5"/>
      <c r="P199" s="5"/>
      <c r="Q199" s="1"/>
      <c r="R199" s="156"/>
      <c r="S199" s="156"/>
      <c r="T199" s="157"/>
    </row>
    <row r="200" spans="1:20" ht="13.5" customHeight="1" x14ac:dyDescent="0.25">
      <c r="A200" s="1"/>
      <c r="B200" s="1"/>
      <c r="C200" s="1"/>
      <c r="D200" s="1"/>
      <c r="E200" s="1"/>
      <c r="F200" s="5"/>
      <c r="G200" s="5"/>
      <c r="H200" s="1"/>
      <c r="I200" s="1"/>
      <c r="J200" s="1"/>
      <c r="K200" s="1"/>
      <c r="L200" s="5"/>
      <c r="M200" s="5"/>
      <c r="N200" s="1"/>
      <c r="O200" s="5"/>
      <c r="P200" s="5"/>
      <c r="Q200" s="1"/>
      <c r="R200" s="156"/>
      <c r="S200" s="156"/>
      <c r="T200" s="157"/>
    </row>
    <row r="201" spans="1:20" ht="13.5" customHeight="1" x14ac:dyDescent="0.25">
      <c r="A201" s="1"/>
      <c r="B201" s="1"/>
      <c r="C201" s="1"/>
      <c r="D201" s="1"/>
      <c r="E201" s="1"/>
      <c r="F201" s="5"/>
      <c r="G201" s="5"/>
      <c r="H201" s="1"/>
      <c r="I201" s="1"/>
      <c r="J201" s="1"/>
      <c r="K201" s="1"/>
      <c r="L201" s="5"/>
      <c r="M201" s="5"/>
      <c r="N201" s="1"/>
      <c r="O201" s="5"/>
      <c r="P201" s="5"/>
      <c r="Q201" s="1"/>
      <c r="R201" s="156"/>
      <c r="S201" s="156"/>
      <c r="T201" s="157"/>
    </row>
    <row r="202" spans="1:20" ht="13.5" customHeight="1" x14ac:dyDescent="0.25">
      <c r="A202" s="1"/>
      <c r="B202" s="1"/>
      <c r="C202" s="1"/>
      <c r="D202" s="1"/>
      <c r="E202" s="1"/>
      <c r="F202" s="5"/>
      <c r="G202" s="5"/>
      <c r="H202" s="1"/>
      <c r="I202" s="1"/>
      <c r="J202" s="1"/>
      <c r="K202" s="1"/>
      <c r="L202" s="5"/>
      <c r="M202" s="5"/>
      <c r="N202" s="1"/>
      <c r="O202" s="5"/>
      <c r="P202" s="5"/>
      <c r="Q202" s="1"/>
      <c r="R202" s="156"/>
      <c r="S202" s="156"/>
      <c r="T202" s="157"/>
    </row>
    <row r="203" spans="1:20" ht="13.5" customHeight="1" x14ac:dyDescent="0.25">
      <c r="A203" s="1"/>
      <c r="B203" s="1"/>
      <c r="C203" s="1"/>
      <c r="D203" s="1"/>
      <c r="E203" s="1"/>
      <c r="F203" s="5"/>
      <c r="G203" s="5"/>
      <c r="H203" s="1"/>
      <c r="I203" s="1"/>
      <c r="J203" s="1"/>
      <c r="K203" s="1"/>
      <c r="L203" s="5"/>
      <c r="M203" s="5"/>
      <c r="N203" s="1"/>
      <c r="O203" s="5"/>
      <c r="P203" s="5"/>
      <c r="Q203" s="1"/>
      <c r="R203" s="156"/>
      <c r="S203" s="156"/>
      <c r="T203" s="157"/>
    </row>
    <row r="204" spans="1:20" ht="13.5" customHeight="1" x14ac:dyDescent="0.25">
      <c r="A204" s="1"/>
      <c r="B204" s="1"/>
      <c r="C204" s="1"/>
      <c r="D204" s="1"/>
      <c r="E204" s="1"/>
      <c r="F204" s="5"/>
      <c r="G204" s="5"/>
      <c r="H204" s="1"/>
      <c r="I204" s="1"/>
      <c r="J204" s="1"/>
      <c r="K204" s="1"/>
      <c r="L204" s="5"/>
      <c r="M204" s="5"/>
      <c r="N204" s="1"/>
      <c r="O204" s="5"/>
      <c r="P204" s="5"/>
      <c r="Q204" s="1"/>
      <c r="R204" s="156"/>
      <c r="S204" s="156"/>
      <c r="T204" s="157"/>
    </row>
    <row r="205" spans="1:20" ht="13.5" customHeight="1" x14ac:dyDescent="0.25">
      <c r="A205" s="1"/>
      <c r="B205" s="1"/>
      <c r="C205" s="1"/>
      <c r="D205" s="1"/>
      <c r="E205" s="1"/>
      <c r="F205" s="5"/>
      <c r="G205" s="5"/>
      <c r="H205" s="1"/>
      <c r="I205" s="1"/>
      <c r="J205" s="1"/>
      <c r="K205" s="1"/>
      <c r="L205" s="5"/>
      <c r="M205" s="5"/>
      <c r="N205" s="1"/>
      <c r="O205" s="5"/>
      <c r="P205" s="5"/>
      <c r="Q205" s="1"/>
      <c r="R205" s="156"/>
      <c r="S205" s="156"/>
      <c r="T205" s="157"/>
    </row>
    <row r="206" spans="1:20" ht="13.5" customHeight="1" x14ac:dyDescent="0.25">
      <c r="A206" s="1"/>
      <c r="B206" s="1"/>
      <c r="C206" s="1"/>
      <c r="D206" s="1"/>
      <c r="E206" s="1"/>
      <c r="F206" s="5"/>
      <c r="G206" s="5"/>
      <c r="H206" s="1"/>
      <c r="I206" s="1"/>
      <c r="J206" s="1"/>
      <c r="K206" s="1"/>
      <c r="L206" s="5"/>
      <c r="M206" s="5"/>
      <c r="N206" s="1"/>
      <c r="O206" s="5"/>
      <c r="P206" s="5"/>
      <c r="Q206" s="1"/>
      <c r="R206" s="156"/>
      <c r="S206" s="156"/>
      <c r="T206" s="157"/>
    </row>
    <row r="207" spans="1:20" ht="13.5" customHeight="1" x14ac:dyDescent="0.25">
      <c r="A207" s="1"/>
      <c r="B207" s="1"/>
      <c r="C207" s="1"/>
      <c r="D207" s="1"/>
      <c r="E207" s="1"/>
      <c r="F207" s="5"/>
      <c r="G207" s="5"/>
      <c r="H207" s="1"/>
      <c r="I207" s="1"/>
      <c r="J207" s="1"/>
      <c r="K207" s="1"/>
      <c r="L207" s="5"/>
      <c r="M207" s="5"/>
      <c r="N207" s="1"/>
      <c r="O207" s="5"/>
      <c r="P207" s="5"/>
      <c r="Q207" s="1"/>
      <c r="R207" s="156"/>
      <c r="S207" s="156"/>
      <c r="T207" s="157"/>
    </row>
    <row r="208" spans="1:20" ht="13.5" customHeight="1" x14ac:dyDescent="0.25">
      <c r="A208" s="1"/>
      <c r="B208" s="1"/>
      <c r="C208" s="1"/>
      <c r="D208" s="1"/>
      <c r="E208" s="1"/>
      <c r="F208" s="5"/>
      <c r="G208" s="5"/>
      <c r="H208" s="1"/>
      <c r="I208" s="1"/>
      <c r="J208" s="1"/>
      <c r="K208" s="1"/>
      <c r="L208" s="5"/>
      <c r="M208" s="5"/>
      <c r="N208" s="1"/>
      <c r="O208" s="5"/>
      <c r="P208" s="5"/>
      <c r="Q208" s="1"/>
      <c r="R208" s="156"/>
      <c r="S208" s="156"/>
      <c r="T208" s="157"/>
    </row>
    <row r="209" spans="1:20" ht="13.5" customHeight="1" x14ac:dyDescent="0.25">
      <c r="A209" s="1"/>
      <c r="B209" s="1"/>
      <c r="C209" s="1"/>
      <c r="D209" s="1"/>
      <c r="E209" s="1"/>
      <c r="F209" s="5"/>
      <c r="G209" s="5"/>
      <c r="H209" s="1"/>
      <c r="I209" s="1"/>
      <c r="J209" s="1"/>
      <c r="K209" s="1"/>
      <c r="L209" s="5"/>
      <c r="M209" s="5"/>
      <c r="N209" s="1"/>
      <c r="O209" s="5"/>
      <c r="P209" s="5"/>
      <c r="Q209" s="1"/>
      <c r="R209" s="156"/>
      <c r="S209" s="156"/>
      <c r="T209" s="157"/>
    </row>
    <row r="210" spans="1:20" ht="13.5" customHeight="1" x14ac:dyDescent="0.25">
      <c r="A210" s="1"/>
      <c r="B210" s="1"/>
      <c r="C210" s="1"/>
      <c r="D210" s="1"/>
      <c r="E210" s="1"/>
      <c r="F210" s="5"/>
      <c r="G210" s="5"/>
      <c r="H210" s="1"/>
      <c r="I210" s="1"/>
      <c r="J210" s="1"/>
      <c r="K210" s="1"/>
      <c r="L210" s="5"/>
      <c r="M210" s="5"/>
      <c r="N210" s="1"/>
      <c r="O210" s="5"/>
      <c r="P210" s="5"/>
      <c r="Q210" s="1"/>
      <c r="R210" s="156"/>
      <c r="S210" s="156"/>
      <c r="T210" s="157"/>
    </row>
    <row r="211" spans="1:20" ht="13.5" customHeight="1" x14ac:dyDescent="0.25">
      <c r="A211" s="1"/>
      <c r="B211" s="1"/>
      <c r="C211" s="1"/>
      <c r="D211" s="1"/>
      <c r="E211" s="1"/>
      <c r="F211" s="5"/>
      <c r="G211" s="5"/>
      <c r="H211" s="1"/>
      <c r="I211" s="1"/>
      <c r="J211" s="1"/>
      <c r="K211" s="1"/>
      <c r="L211" s="5"/>
      <c r="M211" s="5"/>
      <c r="N211" s="1"/>
      <c r="O211" s="5"/>
      <c r="P211" s="5"/>
      <c r="Q211" s="1"/>
      <c r="R211" s="156"/>
      <c r="S211" s="156"/>
      <c r="T211" s="157"/>
    </row>
    <row r="212" spans="1:20" ht="13.5" customHeight="1" x14ac:dyDescent="0.25">
      <c r="A212" s="1"/>
      <c r="B212" s="1"/>
      <c r="C212" s="1"/>
      <c r="D212" s="1"/>
      <c r="E212" s="1"/>
      <c r="F212" s="5"/>
      <c r="G212" s="5"/>
      <c r="H212" s="1"/>
      <c r="I212" s="1"/>
      <c r="J212" s="1"/>
      <c r="K212" s="1"/>
      <c r="L212" s="5"/>
      <c r="M212" s="5"/>
      <c r="N212" s="1"/>
      <c r="O212" s="5"/>
      <c r="P212" s="5"/>
      <c r="Q212" s="1"/>
      <c r="R212" s="156"/>
      <c r="S212" s="156"/>
      <c r="T212" s="157"/>
    </row>
    <row r="213" spans="1:20" ht="13.5" customHeight="1" x14ac:dyDescent="0.25">
      <c r="A213" s="1"/>
      <c r="B213" s="1"/>
      <c r="C213" s="1"/>
      <c r="D213" s="1"/>
      <c r="E213" s="1"/>
      <c r="F213" s="5"/>
      <c r="G213" s="5"/>
      <c r="H213" s="1"/>
      <c r="I213" s="1"/>
      <c r="J213" s="1"/>
      <c r="K213" s="1"/>
      <c r="L213" s="5"/>
      <c r="M213" s="5"/>
      <c r="N213" s="1"/>
      <c r="O213" s="5"/>
      <c r="P213" s="5"/>
      <c r="Q213" s="1"/>
      <c r="R213" s="156"/>
      <c r="S213" s="156"/>
      <c r="T213" s="157"/>
    </row>
    <row r="214" spans="1:20" ht="13.5" customHeight="1" x14ac:dyDescent="0.25">
      <c r="A214" s="1"/>
      <c r="B214" s="1"/>
      <c r="C214" s="1"/>
      <c r="D214" s="1"/>
      <c r="E214" s="1"/>
      <c r="F214" s="5"/>
      <c r="G214" s="5"/>
      <c r="H214" s="1"/>
      <c r="I214" s="1"/>
      <c r="J214" s="1"/>
      <c r="K214" s="1"/>
      <c r="L214" s="5"/>
      <c r="M214" s="5"/>
      <c r="N214" s="1"/>
      <c r="O214" s="5"/>
      <c r="P214" s="5"/>
      <c r="Q214" s="1"/>
      <c r="R214" s="156"/>
      <c r="S214" s="156"/>
      <c r="T214" s="157"/>
    </row>
    <row r="215" spans="1:20" ht="13.5" customHeight="1" x14ac:dyDescent="0.25">
      <c r="A215" s="1"/>
      <c r="B215" s="1"/>
      <c r="C215" s="1"/>
      <c r="D215" s="1"/>
      <c r="E215" s="1"/>
      <c r="F215" s="5"/>
      <c r="G215" s="5"/>
      <c r="H215" s="1"/>
      <c r="I215" s="1"/>
      <c r="J215" s="1"/>
      <c r="K215" s="1"/>
      <c r="L215" s="5"/>
      <c r="M215" s="5"/>
      <c r="N215" s="1"/>
      <c r="O215" s="5"/>
      <c r="P215" s="5"/>
      <c r="Q215" s="1"/>
      <c r="R215" s="156"/>
      <c r="S215" s="156"/>
      <c r="T215" s="157"/>
    </row>
    <row r="216" spans="1:20" ht="13.5" customHeight="1" x14ac:dyDescent="0.25">
      <c r="A216" s="1"/>
      <c r="B216" s="1"/>
      <c r="C216" s="1"/>
      <c r="D216" s="1"/>
      <c r="E216" s="1"/>
      <c r="F216" s="5"/>
      <c r="G216" s="5"/>
      <c r="H216" s="1"/>
      <c r="I216" s="1"/>
      <c r="J216" s="1"/>
      <c r="K216" s="1"/>
      <c r="L216" s="5"/>
      <c r="M216" s="5"/>
      <c r="N216" s="1"/>
      <c r="O216" s="5"/>
      <c r="P216" s="5"/>
      <c r="Q216" s="1"/>
      <c r="R216" s="156"/>
      <c r="S216" s="156"/>
      <c r="T216" s="157"/>
    </row>
    <row r="217" spans="1:20" ht="13.5" customHeight="1" x14ac:dyDescent="0.25">
      <c r="A217" s="1"/>
      <c r="B217" s="1"/>
      <c r="C217" s="1"/>
      <c r="D217" s="1"/>
      <c r="E217" s="1"/>
      <c r="F217" s="5"/>
      <c r="G217" s="5"/>
      <c r="H217" s="1"/>
      <c r="I217" s="1"/>
      <c r="J217" s="1"/>
      <c r="K217" s="1"/>
      <c r="L217" s="5"/>
      <c r="M217" s="5"/>
      <c r="N217" s="1"/>
      <c r="O217" s="5"/>
      <c r="P217" s="5"/>
      <c r="Q217" s="1"/>
      <c r="R217" s="156"/>
      <c r="S217" s="156"/>
      <c r="T217" s="157"/>
    </row>
    <row r="218" spans="1:20" ht="13.5" customHeight="1" x14ac:dyDescent="0.25">
      <c r="A218" s="1"/>
      <c r="B218" s="1"/>
      <c r="C218" s="1"/>
      <c r="D218" s="1"/>
      <c r="E218" s="1"/>
      <c r="F218" s="5"/>
      <c r="G218" s="5"/>
      <c r="H218" s="1"/>
      <c r="I218" s="1"/>
      <c r="J218" s="1"/>
      <c r="K218" s="1"/>
      <c r="L218" s="5"/>
      <c r="M218" s="5"/>
      <c r="N218" s="1"/>
      <c r="O218" s="5"/>
      <c r="P218" s="5"/>
      <c r="Q218" s="1"/>
      <c r="R218" s="156"/>
      <c r="S218" s="156"/>
      <c r="T218" s="157"/>
    </row>
    <row r="219" spans="1:20" ht="13.5" customHeight="1" x14ac:dyDescent="0.25">
      <c r="A219" s="1"/>
      <c r="B219" s="1"/>
      <c r="C219" s="1"/>
      <c r="D219" s="1"/>
      <c r="E219" s="1"/>
      <c r="F219" s="5"/>
      <c r="G219" s="5"/>
      <c r="H219" s="1"/>
      <c r="I219" s="1"/>
      <c r="J219" s="1"/>
      <c r="K219" s="1"/>
      <c r="L219" s="5"/>
      <c r="M219" s="5"/>
      <c r="N219" s="1"/>
      <c r="O219" s="5"/>
      <c r="P219" s="5"/>
      <c r="Q219" s="1"/>
      <c r="R219" s="156"/>
      <c r="S219" s="156"/>
      <c r="T219" s="157"/>
    </row>
    <row r="220" spans="1:20" ht="13.5" customHeight="1" x14ac:dyDescent="0.25">
      <c r="A220" s="1"/>
      <c r="B220" s="1"/>
      <c r="C220" s="1"/>
      <c r="D220" s="1"/>
      <c r="E220" s="1"/>
      <c r="F220" s="5"/>
      <c r="G220" s="5"/>
      <c r="H220" s="1"/>
      <c r="I220" s="1"/>
      <c r="J220" s="1"/>
      <c r="K220" s="1"/>
      <c r="L220" s="5"/>
      <c r="M220" s="5"/>
      <c r="N220" s="1"/>
      <c r="O220" s="5"/>
      <c r="P220" s="5"/>
      <c r="Q220" s="1"/>
      <c r="R220" s="156"/>
      <c r="S220" s="156"/>
      <c r="T220" s="157"/>
    </row>
    <row r="221" spans="1:20" ht="13.5" customHeight="1" x14ac:dyDescent="0.25">
      <c r="A221" s="1"/>
      <c r="B221" s="1"/>
      <c r="C221" s="1"/>
      <c r="D221" s="1"/>
      <c r="E221" s="1"/>
      <c r="F221" s="5"/>
      <c r="G221" s="5"/>
      <c r="H221" s="1"/>
      <c r="I221" s="1"/>
      <c r="J221" s="1"/>
      <c r="K221" s="1"/>
      <c r="L221" s="5"/>
      <c r="M221" s="5"/>
      <c r="N221" s="1"/>
      <c r="O221" s="5"/>
      <c r="P221" s="5"/>
      <c r="Q221" s="1"/>
      <c r="R221" s="156"/>
      <c r="S221" s="156"/>
      <c r="T221" s="157"/>
    </row>
    <row r="222" spans="1:20" ht="13.5" customHeight="1" x14ac:dyDescent="0.25">
      <c r="A222" s="1"/>
      <c r="B222" s="1"/>
      <c r="C222" s="1"/>
      <c r="D222" s="1"/>
      <c r="E222" s="1"/>
      <c r="F222" s="5"/>
      <c r="G222" s="5"/>
      <c r="H222" s="1"/>
      <c r="I222" s="1"/>
      <c r="J222" s="1"/>
      <c r="K222" s="1"/>
      <c r="L222" s="5"/>
      <c r="M222" s="5"/>
      <c r="N222" s="1"/>
      <c r="O222" s="5"/>
      <c r="P222" s="5"/>
      <c r="Q222" s="1"/>
      <c r="R222" s="156"/>
      <c r="S222" s="156"/>
      <c r="T222" s="157"/>
    </row>
    <row r="223" spans="1:20" ht="13.5" customHeight="1" x14ac:dyDescent="0.25">
      <c r="A223" s="1"/>
      <c r="B223" s="1"/>
      <c r="C223" s="1"/>
      <c r="D223" s="1"/>
      <c r="E223" s="1"/>
      <c r="F223" s="5"/>
      <c r="G223" s="5"/>
      <c r="H223" s="1"/>
      <c r="I223" s="1"/>
      <c r="J223" s="1"/>
      <c r="K223" s="1"/>
      <c r="L223" s="5"/>
      <c r="M223" s="5"/>
      <c r="N223" s="1"/>
      <c r="O223" s="5"/>
      <c r="P223" s="5"/>
      <c r="Q223" s="1"/>
      <c r="R223" s="156"/>
      <c r="S223" s="156"/>
      <c r="T223" s="157"/>
    </row>
    <row r="224" spans="1:20" ht="13.5" customHeight="1" x14ac:dyDescent="0.25">
      <c r="A224" s="1"/>
      <c r="B224" s="1"/>
      <c r="C224" s="1"/>
      <c r="D224" s="1"/>
      <c r="E224" s="1"/>
      <c r="F224" s="5"/>
      <c r="G224" s="5"/>
      <c r="H224" s="1"/>
      <c r="I224" s="1"/>
      <c r="J224" s="1"/>
      <c r="K224" s="1"/>
      <c r="L224" s="5"/>
      <c r="M224" s="5"/>
      <c r="N224" s="1"/>
      <c r="O224" s="5"/>
      <c r="P224" s="5"/>
      <c r="Q224" s="1"/>
      <c r="R224" s="156"/>
      <c r="S224" s="156"/>
      <c r="T224" s="157"/>
    </row>
    <row r="225" spans="1:20" ht="13.5" customHeight="1" x14ac:dyDescent="0.25">
      <c r="A225" s="1"/>
      <c r="B225" s="1"/>
      <c r="C225" s="1"/>
      <c r="D225" s="1"/>
      <c r="E225" s="1"/>
      <c r="F225" s="5"/>
      <c r="G225" s="5"/>
      <c r="H225" s="1"/>
      <c r="I225" s="1"/>
      <c r="J225" s="1"/>
      <c r="K225" s="1"/>
      <c r="L225" s="5"/>
      <c r="M225" s="5"/>
      <c r="N225" s="1"/>
      <c r="O225" s="5"/>
      <c r="P225" s="5"/>
      <c r="Q225" s="1"/>
      <c r="R225" s="156"/>
      <c r="S225" s="156"/>
      <c r="T225" s="157"/>
    </row>
    <row r="226" spans="1:20" ht="13.5" customHeight="1" x14ac:dyDescent="0.25">
      <c r="A226" s="1"/>
      <c r="B226" s="1"/>
      <c r="C226" s="1"/>
      <c r="D226" s="1"/>
      <c r="E226" s="1"/>
      <c r="F226" s="5"/>
      <c r="G226" s="5"/>
      <c r="H226" s="1"/>
      <c r="I226" s="1"/>
      <c r="J226" s="1"/>
      <c r="K226" s="1"/>
      <c r="L226" s="5"/>
      <c r="M226" s="5"/>
      <c r="N226" s="1"/>
      <c r="O226" s="5"/>
      <c r="P226" s="5"/>
      <c r="Q226" s="1"/>
      <c r="R226" s="156"/>
      <c r="S226" s="156"/>
      <c r="T226" s="157"/>
    </row>
    <row r="227" spans="1:20" ht="13.5" customHeight="1" x14ac:dyDescent="0.25">
      <c r="A227" s="1"/>
      <c r="B227" s="1"/>
      <c r="C227" s="1"/>
      <c r="D227" s="1"/>
      <c r="E227" s="1"/>
      <c r="F227" s="5"/>
      <c r="G227" s="5"/>
      <c r="H227" s="1"/>
      <c r="I227" s="1"/>
      <c r="J227" s="1"/>
      <c r="K227" s="1"/>
      <c r="L227" s="5"/>
      <c r="M227" s="5"/>
      <c r="N227" s="1"/>
      <c r="O227" s="5"/>
      <c r="P227" s="5"/>
      <c r="Q227" s="1"/>
      <c r="R227" s="156"/>
      <c r="S227" s="156"/>
      <c r="T227" s="157"/>
    </row>
    <row r="228" spans="1:20" ht="13.5" customHeight="1" x14ac:dyDescent="0.25">
      <c r="A228" s="1"/>
      <c r="B228" s="1"/>
      <c r="C228" s="1"/>
      <c r="D228" s="1"/>
      <c r="E228" s="1"/>
      <c r="F228" s="5"/>
      <c r="G228" s="5"/>
      <c r="H228" s="1"/>
      <c r="I228" s="1"/>
      <c r="J228" s="1"/>
      <c r="K228" s="1"/>
      <c r="L228" s="5"/>
      <c r="M228" s="5"/>
      <c r="N228" s="1"/>
      <c r="O228" s="5"/>
      <c r="P228" s="5"/>
      <c r="Q228" s="1"/>
      <c r="R228" s="156"/>
      <c r="S228" s="156"/>
      <c r="T228" s="157"/>
    </row>
    <row r="229" spans="1:20" ht="13.5" customHeight="1" x14ac:dyDescent="0.25">
      <c r="A229" s="1"/>
      <c r="B229" s="1"/>
      <c r="C229" s="1"/>
      <c r="D229" s="1"/>
      <c r="E229" s="1"/>
      <c r="F229" s="5"/>
      <c r="G229" s="5"/>
      <c r="H229" s="1"/>
      <c r="I229" s="1"/>
      <c r="J229" s="1"/>
      <c r="K229" s="1"/>
      <c r="L229" s="5"/>
      <c r="M229" s="5"/>
      <c r="N229" s="1"/>
      <c r="O229" s="5"/>
      <c r="P229" s="5"/>
      <c r="Q229" s="1"/>
      <c r="R229" s="156"/>
      <c r="S229" s="156"/>
      <c r="T229" s="157"/>
    </row>
    <row r="230" spans="1:20" ht="13.5" customHeight="1" x14ac:dyDescent="0.25">
      <c r="A230" s="1"/>
      <c r="B230" s="1"/>
      <c r="C230" s="1"/>
      <c r="D230" s="1"/>
      <c r="E230" s="1"/>
      <c r="F230" s="5"/>
      <c r="G230" s="5"/>
      <c r="H230" s="1"/>
      <c r="I230" s="1"/>
      <c r="J230" s="1"/>
      <c r="K230" s="1"/>
      <c r="L230" s="5"/>
      <c r="M230" s="5"/>
      <c r="N230" s="1"/>
      <c r="O230" s="5"/>
      <c r="P230" s="5"/>
      <c r="Q230" s="1"/>
      <c r="R230" s="156"/>
      <c r="S230" s="156"/>
      <c r="T230" s="157"/>
    </row>
    <row r="231" spans="1:20" ht="13.5" customHeight="1" x14ac:dyDescent="0.25">
      <c r="A231" s="1"/>
      <c r="B231" s="1"/>
      <c r="C231" s="1"/>
      <c r="D231" s="1"/>
      <c r="E231" s="1"/>
      <c r="F231" s="5"/>
      <c r="G231" s="5"/>
      <c r="H231" s="1"/>
      <c r="I231" s="1"/>
      <c r="J231" s="1"/>
      <c r="K231" s="1"/>
      <c r="L231" s="5"/>
      <c r="M231" s="5"/>
      <c r="N231" s="1"/>
      <c r="O231" s="5"/>
      <c r="P231" s="5"/>
      <c r="Q231" s="1"/>
      <c r="R231" s="156"/>
      <c r="S231" s="156"/>
      <c r="T231" s="157"/>
    </row>
    <row r="232" spans="1:20" ht="13.5" customHeight="1" x14ac:dyDescent="0.25">
      <c r="A232" s="1"/>
      <c r="B232" s="1"/>
      <c r="C232" s="1"/>
      <c r="D232" s="1"/>
      <c r="E232" s="1"/>
      <c r="F232" s="5"/>
      <c r="G232" s="5"/>
      <c r="H232" s="1"/>
      <c r="I232" s="1"/>
      <c r="J232" s="1"/>
      <c r="K232" s="1"/>
      <c r="L232" s="5"/>
      <c r="M232" s="5"/>
      <c r="N232" s="1"/>
      <c r="O232" s="5"/>
      <c r="P232" s="5"/>
      <c r="Q232" s="1"/>
      <c r="R232" s="156"/>
      <c r="S232" s="156"/>
      <c r="T232" s="157"/>
    </row>
    <row r="233" spans="1:20" ht="13.5" customHeight="1" x14ac:dyDescent="0.25">
      <c r="A233" s="1"/>
      <c r="B233" s="1"/>
      <c r="C233" s="1"/>
      <c r="D233" s="1"/>
      <c r="E233" s="1"/>
      <c r="F233" s="5"/>
      <c r="G233" s="5"/>
      <c r="H233" s="1"/>
      <c r="I233" s="1"/>
      <c r="J233" s="1"/>
      <c r="K233" s="1"/>
      <c r="L233" s="5"/>
      <c r="M233" s="5"/>
      <c r="N233" s="1"/>
      <c r="O233" s="5"/>
      <c r="P233" s="5"/>
      <c r="Q233" s="1"/>
      <c r="R233" s="156"/>
      <c r="S233" s="156"/>
      <c r="T233" s="157"/>
    </row>
    <row r="234" spans="1:20" ht="13.5" customHeight="1" x14ac:dyDescent="0.25">
      <c r="A234" s="1"/>
      <c r="B234" s="1"/>
      <c r="C234" s="1"/>
      <c r="D234" s="1"/>
      <c r="E234" s="1"/>
      <c r="F234" s="5"/>
      <c r="G234" s="5"/>
      <c r="H234" s="1"/>
      <c r="I234" s="1"/>
      <c r="J234" s="1"/>
      <c r="K234" s="1"/>
      <c r="L234" s="5"/>
      <c r="M234" s="5"/>
      <c r="N234" s="1"/>
      <c r="O234" s="5"/>
      <c r="P234" s="5"/>
      <c r="Q234" s="1"/>
      <c r="R234" s="156"/>
      <c r="S234" s="156"/>
      <c r="T234" s="157"/>
    </row>
    <row r="235" spans="1:20" ht="13.5" customHeight="1" x14ac:dyDescent="0.25">
      <c r="A235" s="1"/>
      <c r="B235" s="1"/>
      <c r="C235" s="1"/>
      <c r="D235" s="1"/>
      <c r="E235" s="1"/>
      <c r="F235" s="5"/>
      <c r="G235" s="5"/>
      <c r="H235" s="1"/>
      <c r="I235" s="1"/>
      <c r="J235" s="1"/>
      <c r="K235" s="1"/>
      <c r="L235" s="5"/>
      <c r="M235" s="5"/>
      <c r="N235" s="1"/>
      <c r="O235" s="5"/>
      <c r="P235" s="5"/>
      <c r="Q235" s="1"/>
      <c r="R235" s="156"/>
      <c r="S235" s="156"/>
      <c r="T235" s="157"/>
    </row>
    <row r="236" spans="1:20" ht="13.5" customHeight="1" x14ac:dyDescent="0.25">
      <c r="A236" s="1"/>
      <c r="B236" s="1"/>
      <c r="C236" s="1"/>
      <c r="D236" s="1"/>
      <c r="E236" s="1"/>
      <c r="F236" s="5"/>
      <c r="G236" s="5"/>
      <c r="H236" s="1"/>
      <c r="I236" s="1"/>
      <c r="J236" s="1"/>
      <c r="K236" s="1"/>
      <c r="L236" s="5"/>
      <c r="M236" s="5"/>
      <c r="N236" s="1"/>
      <c r="O236" s="5"/>
      <c r="P236" s="5"/>
      <c r="Q236" s="1"/>
      <c r="R236" s="156"/>
      <c r="S236" s="156"/>
      <c r="T236" s="157"/>
    </row>
    <row r="237" spans="1:20" ht="13.5" customHeight="1" x14ac:dyDescent="0.25">
      <c r="A237" s="1"/>
      <c r="B237" s="1"/>
      <c r="C237" s="1"/>
      <c r="D237" s="1"/>
      <c r="E237" s="1"/>
      <c r="F237" s="5"/>
      <c r="G237" s="5"/>
      <c r="H237" s="1"/>
      <c r="I237" s="1"/>
      <c r="J237" s="1"/>
      <c r="K237" s="1"/>
      <c r="L237" s="5"/>
      <c r="M237" s="5"/>
      <c r="N237" s="1"/>
      <c r="O237" s="5"/>
      <c r="P237" s="5"/>
      <c r="Q237" s="1"/>
      <c r="R237" s="156"/>
      <c r="S237" s="156"/>
      <c r="T237" s="157"/>
    </row>
    <row r="238" spans="1:20" ht="13.5" customHeight="1" x14ac:dyDescent="0.25">
      <c r="A238" s="1"/>
      <c r="B238" s="1"/>
      <c r="C238" s="1"/>
      <c r="D238" s="1"/>
      <c r="E238" s="1"/>
      <c r="F238" s="5"/>
      <c r="G238" s="5"/>
      <c r="H238" s="1"/>
      <c r="I238" s="1"/>
      <c r="J238" s="1"/>
      <c r="K238" s="1"/>
      <c r="L238" s="5"/>
      <c r="M238" s="5"/>
      <c r="N238" s="1"/>
      <c r="O238" s="5"/>
      <c r="P238" s="5"/>
      <c r="Q238" s="1"/>
      <c r="R238" s="156"/>
      <c r="S238" s="156"/>
      <c r="T238" s="157"/>
    </row>
    <row r="239" spans="1:20" ht="13.5" customHeight="1" x14ac:dyDescent="0.25">
      <c r="A239" s="1"/>
      <c r="B239" s="1"/>
      <c r="C239" s="1"/>
      <c r="D239" s="1"/>
      <c r="E239" s="1"/>
      <c r="F239" s="5"/>
      <c r="G239" s="5"/>
      <c r="H239" s="1"/>
      <c r="I239" s="1"/>
      <c r="J239" s="1"/>
      <c r="K239" s="1"/>
      <c r="L239" s="5"/>
      <c r="M239" s="5"/>
      <c r="N239" s="1"/>
      <c r="O239" s="5"/>
      <c r="P239" s="5"/>
      <c r="Q239" s="1"/>
      <c r="R239" s="156"/>
      <c r="S239" s="156"/>
      <c r="T239" s="157"/>
    </row>
    <row r="240" spans="1:20" ht="13.5" customHeight="1" x14ac:dyDescent="0.25">
      <c r="A240" s="1"/>
      <c r="B240" s="1"/>
      <c r="C240" s="1"/>
      <c r="D240" s="1"/>
      <c r="E240" s="1"/>
      <c r="F240" s="5"/>
      <c r="G240" s="5"/>
      <c r="H240" s="1"/>
      <c r="I240" s="1"/>
      <c r="J240" s="1"/>
      <c r="K240" s="1"/>
      <c r="L240" s="5"/>
      <c r="M240" s="5"/>
      <c r="N240" s="1"/>
      <c r="O240" s="5"/>
      <c r="P240" s="5"/>
      <c r="Q240" s="1"/>
      <c r="R240" s="156"/>
      <c r="S240" s="156"/>
      <c r="T240" s="157"/>
    </row>
    <row r="241" spans="1:20" ht="13.5" customHeight="1" x14ac:dyDescent="0.25">
      <c r="A241" s="1"/>
      <c r="B241" s="1"/>
      <c r="C241" s="1"/>
      <c r="D241" s="1"/>
      <c r="E241" s="1"/>
      <c r="F241" s="5"/>
      <c r="G241" s="5"/>
      <c r="H241" s="1"/>
      <c r="I241" s="1"/>
      <c r="J241" s="1"/>
      <c r="K241" s="1"/>
      <c r="L241" s="5"/>
      <c r="M241" s="5"/>
      <c r="N241" s="1"/>
      <c r="O241" s="5"/>
      <c r="P241" s="5"/>
      <c r="Q241" s="1"/>
      <c r="R241" s="156"/>
      <c r="S241" s="156"/>
      <c r="T241" s="157"/>
    </row>
    <row r="242" spans="1:20" ht="13.5" customHeight="1" x14ac:dyDescent="0.25">
      <c r="A242" s="1"/>
      <c r="B242" s="1"/>
      <c r="C242" s="1"/>
      <c r="D242" s="1"/>
      <c r="E242" s="1"/>
      <c r="F242" s="5"/>
      <c r="G242" s="5"/>
      <c r="H242" s="1"/>
      <c r="I242" s="1"/>
      <c r="J242" s="1"/>
      <c r="K242" s="1"/>
      <c r="L242" s="5"/>
      <c r="M242" s="5"/>
      <c r="N242" s="1"/>
      <c r="O242" s="5"/>
      <c r="P242" s="5"/>
      <c r="Q242" s="1"/>
      <c r="R242" s="156"/>
      <c r="S242" s="156"/>
      <c r="T242" s="157"/>
    </row>
    <row r="243" spans="1:20" ht="13.5" customHeight="1" x14ac:dyDescent="0.25">
      <c r="A243" s="1"/>
      <c r="B243" s="1"/>
      <c r="C243" s="1"/>
      <c r="D243" s="1"/>
      <c r="E243" s="1"/>
      <c r="F243" s="5"/>
      <c r="G243" s="5"/>
      <c r="H243" s="1"/>
      <c r="I243" s="1"/>
      <c r="J243" s="1"/>
      <c r="K243" s="1"/>
      <c r="L243" s="5"/>
      <c r="M243" s="5"/>
      <c r="N243" s="1"/>
      <c r="O243" s="5"/>
      <c r="P243" s="5"/>
      <c r="Q243" s="1"/>
      <c r="R243" s="156"/>
      <c r="S243" s="156"/>
      <c r="T243" s="157"/>
    </row>
    <row r="244" spans="1:20" ht="13.5" customHeight="1" x14ac:dyDescent="0.25">
      <c r="A244" s="1"/>
      <c r="B244" s="1"/>
      <c r="C244" s="1"/>
      <c r="D244" s="1"/>
      <c r="E244" s="1"/>
      <c r="F244" s="5"/>
      <c r="G244" s="5"/>
      <c r="H244" s="1"/>
      <c r="I244" s="1"/>
      <c r="J244" s="1"/>
      <c r="K244" s="1"/>
      <c r="L244" s="5"/>
      <c r="M244" s="5"/>
      <c r="N244" s="1"/>
      <c r="O244" s="5"/>
      <c r="P244" s="5"/>
      <c r="Q244" s="1"/>
      <c r="R244" s="156"/>
      <c r="S244" s="156"/>
      <c r="T244" s="157"/>
    </row>
    <row r="245" spans="1:20" ht="13.5" customHeight="1" x14ac:dyDescent="0.25">
      <c r="A245" s="1"/>
      <c r="B245" s="1"/>
      <c r="C245" s="1"/>
      <c r="D245" s="1"/>
      <c r="E245" s="1"/>
      <c r="F245" s="5"/>
      <c r="G245" s="5"/>
      <c r="H245" s="1"/>
      <c r="I245" s="1"/>
      <c r="J245" s="1"/>
      <c r="K245" s="1"/>
      <c r="L245" s="5"/>
      <c r="M245" s="5"/>
      <c r="N245" s="1"/>
      <c r="O245" s="5"/>
      <c r="P245" s="5"/>
      <c r="Q245" s="1"/>
      <c r="R245" s="156"/>
      <c r="S245" s="156"/>
      <c r="T245" s="157"/>
    </row>
    <row r="246" spans="1:20" ht="13.5" customHeight="1" x14ac:dyDescent="0.25">
      <c r="A246" s="1"/>
      <c r="B246" s="1"/>
      <c r="C246" s="1"/>
      <c r="D246" s="1"/>
      <c r="E246" s="1"/>
      <c r="F246" s="5"/>
      <c r="G246" s="5"/>
      <c r="H246" s="1"/>
      <c r="I246" s="1"/>
      <c r="J246" s="1"/>
      <c r="K246" s="1"/>
      <c r="L246" s="5"/>
      <c r="M246" s="5"/>
      <c r="N246" s="1"/>
      <c r="O246" s="5"/>
      <c r="P246" s="5"/>
      <c r="Q246" s="1"/>
      <c r="R246" s="156"/>
      <c r="S246" s="156"/>
      <c r="T246" s="157"/>
    </row>
    <row r="247" spans="1:20" ht="13.5" customHeight="1" x14ac:dyDescent="0.25">
      <c r="A247" s="1"/>
      <c r="B247" s="1"/>
      <c r="C247" s="1"/>
      <c r="D247" s="1"/>
      <c r="E247" s="1"/>
      <c r="F247" s="5"/>
      <c r="G247" s="5"/>
      <c r="H247" s="1"/>
      <c r="I247" s="1"/>
      <c r="J247" s="1"/>
      <c r="K247" s="1"/>
      <c r="L247" s="5"/>
      <c r="M247" s="5"/>
      <c r="N247" s="1"/>
      <c r="O247" s="5"/>
      <c r="P247" s="5"/>
      <c r="Q247" s="1"/>
      <c r="R247" s="156"/>
      <c r="S247" s="156"/>
      <c r="T247" s="157"/>
    </row>
    <row r="248" spans="1:20" ht="13.5" customHeight="1" x14ac:dyDescent="0.25">
      <c r="A248" s="1"/>
      <c r="B248" s="1"/>
      <c r="C248" s="1"/>
      <c r="D248" s="1"/>
      <c r="E248" s="1"/>
      <c r="F248" s="5"/>
      <c r="G248" s="5"/>
      <c r="H248" s="1"/>
      <c r="I248" s="1"/>
      <c r="J248" s="1"/>
      <c r="K248" s="1"/>
      <c r="L248" s="5"/>
      <c r="M248" s="5"/>
      <c r="N248" s="1"/>
      <c r="O248" s="5"/>
      <c r="P248" s="5"/>
      <c r="Q248" s="1"/>
      <c r="R248" s="156"/>
      <c r="S248" s="156"/>
      <c r="T248" s="157"/>
    </row>
    <row r="249" spans="1:20" ht="13.5" customHeight="1" x14ac:dyDescent="0.25">
      <c r="A249" s="1"/>
      <c r="B249" s="1"/>
      <c r="C249" s="1"/>
      <c r="D249" s="1"/>
      <c r="E249" s="1"/>
      <c r="F249" s="5"/>
      <c r="G249" s="5"/>
      <c r="H249" s="1"/>
      <c r="I249" s="1"/>
      <c r="J249" s="1"/>
      <c r="K249" s="1"/>
      <c r="L249" s="5"/>
      <c r="M249" s="5"/>
      <c r="N249" s="1"/>
      <c r="O249" s="5"/>
      <c r="P249" s="5"/>
      <c r="Q249" s="1"/>
      <c r="R249" s="156"/>
      <c r="S249" s="156"/>
      <c r="T249" s="157"/>
    </row>
    <row r="250" spans="1:20" ht="13.5" customHeight="1" x14ac:dyDescent="0.25">
      <c r="A250" s="1"/>
      <c r="B250" s="1"/>
      <c r="C250" s="1"/>
      <c r="D250" s="1"/>
      <c r="E250" s="1"/>
      <c r="F250" s="5"/>
      <c r="G250" s="5"/>
      <c r="H250" s="1"/>
      <c r="I250" s="1"/>
      <c r="J250" s="1"/>
      <c r="K250" s="1"/>
      <c r="L250" s="5"/>
      <c r="M250" s="5"/>
      <c r="N250" s="1"/>
      <c r="O250" s="5"/>
      <c r="P250" s="5"/>
      <c r="Q250" s="1"/>
      <c r="R250" s="156"/>
      <c r="S250" s="156"/>
      <c r="T250" s="157"/>
    </row>
    <row r="251" spans="1:20" ht="13.5" customHeight="1" x14ac:dyDescent="0.25">
      <c r="A251" s="1"/>
      <c r="B251" s="1"/>
      <c r="C251" s="1"/>
      <c r="D251" s="1"/>
      <c r="E251" s="1"/>
      <c r="F251" s="5"/>
      <c r="G251" s="5"/>
      <c r="H251" s="1"/>
      <c r="I251" s="1"/>
      <c r="J251" s="1"/>
      <c r="K251" s="1"/>
      <c r="L251" s="5"/>
      <c r="M251" s="5"/>
      <c r="N251" s="1"/>
      <c r="O251" s="5"/>
      <c r="P251" s="5"/>
      <c r="Q251" s="1"/>
      <c r="R251" s="156"/>
      <c r="S251" s="156"/>
      <c r="T251" s="157"/>
    </row>
    <row r="252" spans="1:20" ht="13.5" customHeight="1" x14ac:dyDescent="0.25">
      <c r="A252" s="1"/>
      <c r="B252" s="1"/>
      <c r="C252" s="1"/>
      <c r="D252" s="1"/>
      <c r="E252" s="1"/>
      <c r="F252" s="5"/>
      <c r="G252" s="5"/>
      <c r="H252" s="1"/>
      <c r="I252" s="1"/>
      <c r="J252" s="1"/>
      <c r="K252" s="1"/>
      <c r="L252" s="5"/>
      <c r="M252" s="5"/>
      <c r="N252" s="1"/>
      <c r="O252" s="5"/>
      <c r="P252" s="5"/>
      <c r="Q252" s="1"/>
      <c r="R252" s="156"/>
      <c r="S252" s="156"/>
      <c r="T252" s="157"/>
    </row>
    <row r="253" spans="1:20" ht="13.5" customHeight="1" x14ac:dyDescent="0.25">
      <c r="A253" s="1"/>
      <c r="B253" s="1"/>
      <c r="C253" s="1"/>
      <c r="D253" s="1"/>
      <c r="E253" s="1"/>
      <c r="F253" s="5"/>
      <c r="G253" s="5"/>
      <c r="H253" s="1"/>
      <c r="I253" s="1"/>
      <c r="J253" s="1"/>
      <c r="K253" s="1"/>
      <c r="L253" s="5"/>
      <c r="M253" s="5"/>
      <c r="N253" s="1"/>
      <c r="O253" s="5"/>
      <c r="P253" s="5"/>
      <c r="Q253" s="1"/>
      <c r="R253" s="156"/>
      <c r="S253" s="156"/>
      <c r="T253" s="157"/>
    </row>
    <row r="254" spans="1:20" ht="13.5" customHeight="1" x14ac:dyDescent="0.25">
      <c r="A254" s="1"/>
      <c r="B254" s="1"/>
      <c r="C254" s="1"/>
      <c r="D254" s="1"/>
      <c r="E254" s="1"/>
      <c r="F254" s="5"/>
      <c r="G254" s="5"/>
      <c r="H254" s="1"/>
      <c r="I254" s="1"/>
      <c r="J254" s="1"/>
      <c r="K254" s="1"/>
      <c r="L254" s="5"/>
      <c r="M254" s="5"/>
      <c r="N254" s="1"/>
      <c r="O254" s="5"/>
      <c r="P254" s="5"/>
      <c r="Q254" s="1"/>
      <c r="R254" s="156"/>
      <c r="S254" s="156"/>
      <c r="T254" s="157"/>
    </row>
    <row r="255" spans="1:20" ht="13.5" customHeight="1" x14ac:dyDescent="0.25">
      <c r="A255" s="1"/>
      <c r="B255" s="1"/>
      <c r="C255" s="1"/>
      <c r="D255" s="1"/>
      <c r="E255" s="1"/>
      <c r="F255" s="5"/>
      <c r="G255" s="5"/>
      <c r="H255" s="1"/>
      <c r="I255" s="1"/>
      <c r="J255" s="1"/>
      <c r="K255" s="1"/>
      <c r="L255" s="5"/>
      <c r="M255" s="5"/>
      <c r="N255" s="1"/>
      <c r="O255" s="5"/>
      <c r="P255" s="5"/>
      <c r="Q255" s="1"/>
      <c r="R255" s="156"/>
      <c r="S255" s="156"/>
      <c r="T255" s="157"/>
    </row>
    <row r="256" spans="1:20" ht="13.5" customHeight="1" x14ac:dyDescent="0.25">
      <c r="A256" s="1"/>
      <c r="B256" s="1"/>
      <c r="C256" s="1"/>
      <c r="D256" s="1"/>
      <c r="E256" s="1"/>
      <c r="F256" s="5"/>
      <c r="G256" s="5"/>
      <c r="H256" s="1"/>
      <c r="I256" s="1"/>
      <c r="J256" s="1"/>
      <c r="K256" s="1"/>
      <c r="L256" s="5"/>
      <c r="M256" s="5"/>
      <c r="N256" s="1"/>
      <c r="O256" s="5"/>
      <c r="P256" s="5"/>
      <c r="Q256" s="1"/>
      <c r="R256" s="156"/>
      <c r="S256" s="156"/>
      <c r="T256" s="157"/>
    </row>
    <row r="257" spans="1:20" ht="13.5" customHeight="1" x14ac:dyDescent="0.25">
      <c r="A257" s="1"/>
      <c r="B257" s="1"/>
      <c r="C257" s="1"/>
      <c r="D257" s="1"/>
      <c r="E257" s="1"/>
      <c r="F257" s="5"/>
      <c r="G257" s="5"/>
      <c r="H257" s="1"/>
      <c r="I257" s="1"/>
      <c r="J257" s="1"/>
      <c r="K257" s="1"/>
      <c r="L257" s="5"/>
      <c r="M257" s="5"/>
      <c r="N257" s="1"/>
      <c r="O257" s="5"/>
      <c r="P257" s="5"/>
      <c r="Q257" s="1"/>
      <c r="R257" s="156"/>
      <c r="S257" s="156"/>
      <c r="T257" s="157"/>
    </row>
    <row r="258" spans="1:20" ht="13.5" customHeight="1" x14ac:dyDescent="0.25">
      <c r="A258" s="1"/>
      <c r="B258" s="1"/>
      <c r="C258" s="1"/>
      <c r="D258" s="1"/>
      <c r="E258" s="1"/>
      <c r="F258" s="5"/>
      <c r="G258" s="5"/>
      <c r="H258" s="1"/>
      <c r="I258" s="1"/>
      <c r="J258" s="1"/>
      <c r="K258" s="1"/>
      <c r="L258" s="5"/>
      <c r="M258" s="5"/>
      <c r="N258" s="1"/>
      <c r="O258" s="5"/>
      <c r="P258" s="5"/>
      <c r="Q258" s="1"/>
      <c r="R258" s="156"/>
      <c r="S258" s="156"/>
      <c r="T258" s="157"/>
    </row>
    <row r="259" spans="1:20" ht="13.5" customHeight="1" x14ac:dyDescent="0.25">
      <c r="A259" s="1"/>
      <c r="B259" s="1"/>
      <c r="C259" s="1"/>
      <c r="D259" s="1"/>
      <c r="E259" s="1"/>
      <c r="F259" s="5"/>
      <c r="G259" s="5"/>
      <c r="H259" s="1"/>
      <c r="I259" s="1"/>
      <c r="J259" s="1"/>
      <c r="K259" s="1"/>
      <c r="L259" s="5"/>
      <c r="M259" s="5"/>
      <c r="N259" s="1"/>
      <c r="O259" s="5"/>
      <c r="P259" s="5"/>
      <c r="Q259" s="1"/>
      <c r="R259" s="156"/>
      <c r="S259" s="156"/>
      <c r="T259" s="157"/>
    </row>
    <row r="260" spans="1:20" ht="13.5" customHeight="1" x14ac:dyDescent="0.25">
      <c r="A260" s="1"/>
      <c r="B260" s="1"/>
      <c r="C260" s="1"/>
      <c r="D260" s="1"/>
      <c r="E260" s="1"/>
      <c r="F260" s="5"/>
      <c r="G260" s="5"/>
      <c r="H260" s="1"/>
      <c r="I260" s="1"/>
      <c r="J260" s="1"/>
      <c r="K260" s="1"/>
      <c r="L260" s="5"/>
      <c r="M260" s="5"/>
      <c r="N260" s="1"/>
      <c r="O260" s="5"/>
      <c r="P260" s="5"/>
      <c r="Q260" s="1"/>
      <c r="R260" s="156"/>
      <c r="S260" s="156"/>
      <c r="T260" s="157"/>
    </row>
    <row r="261" spans="1:20" ht="13.5" customHeight="1" x14ac:dyDescent="0.25">
      <c r="A261" s="1"/>
      <c r="B261" s="1"/>
      <c r="C261" s="1"/>
      <c r="D261" s="1"/>
      <c r="E261" s="1"/>
      <c r="F261" s="5"/>
      <c r="G261" s="5"/>
      <c r="H261" s="1"/>
      <c r="I261" s="1"/>
      <c r="J261" s="1"/>
      <c r="K261" s="1"/>
      <c r="L261" s="5"/>
      <c r="M261" s="5"/>
      <c r="N261" s="1"/>
      <c r="O261" s="5"/>
      <c r="P261" s="5"/>
      <c r="Q261" s="1"/>
      <c r="R261" s="156"/>
      <c r="S261" s="156"/>
      <c r="T261" s="157"/>
    </row>
    <row r="262" spans="1:20" ht="13.5" customHeight="1" x14ac:dyDescent="0.25">
      <c r="A262" s="1"/>
      <c r="B262" s="1"/>
      <c r="C262" s="1"/>
      <c r="D262" s="1"/>
      <c r="E262" s="1"/>
      <c r="F262" s="5"/>
      <c r="G262" s="5"/>
      <c r="H262" s="1"/>
      <c r="I262" s="1"/>
      <c r="J262" s="1"/>
      <c r="K262" s="1"/>
      <c r="L262" s="5"/>
      <c r="M262" s="5"/>
      <c r="N262" s="1"/>
      <c r="O262" s="5"/>
      <c r="P262" s="5"/>
      <c r="Q262" s="1"/>
      <c r="R262" s="156"/>
      <c r="S262" s="156"/>
      <c r="T262" s="157"/>
    </row>
    <row r="263" spans="1:20" ht="13.5" customHeight="1" x14ac:dyDescent="0.25">
      <c r="A263" s="1"/>
      <c r="B263" s="1"/>
      <c r="C263" s="1"/>
      <c r="D263" s="1"/>
      <c r="E263" s="1"/>
      <c r="F263" s="5"/>
      <c r="G263" s="5"/>
      <c r="H263" s="1"/>
      <c r="I263" s="1"/>
      <c r="J263" s="1"/>
      <c r="K263" s="1"/>
      <c r="L263" s="5"/>
      <c r="M263" s="5"/>
      <c r="N263" s="1"/>
      <c r="O263" s="5"/>
      <c r="P263" s="5"/>
      <c r="Q263" s="1"/>
      <c r="R263" s="156"/>
      <c r="S263" s="156"/>
      <c r="T263" s="157"/>
    </row>
    <row r="264" spans="1:20" ht="13.5" customHeight="1" x14ac:dyDescent="0.25">
      <c r="A264" s="1"/>
      <c r="B264" s="1"/>
      <c r="C264" s="1"/>
      <c r="D264" s="1"/>
      <c r="E264" s="1"/>
      <c r="F264" s="5"/>
      <c r="G264" s="5"/>
      <c r="H264" s="1"/>
      <c r="I264" s="1"/>
      <c r="J264" s="1"/>
      <c r="K264" s="1"/>
      <c r="L264" s="5"/>
      <c r="M264" s="5"/>
      <c r="N264" s="1"/>
      <c r="O264" s="5"/>
      <c r="P264" s="5"/>
      <c r="Q264" s="1"/>
      <c r="R264" s="156"/>
      <c r="S264" s="156"/>
      <c r="T264" s="157"/>
    </row>
    <row r="265" spans="1:20" ht="13.5" customHeight="1" x14ac:dyDescent="0.25">
      <c r="A265" s="1"/>
      <c r="B265" s="1"/>
      <c r="C265" s="1"/>
      <c r="D265" s="1"/>
      <c r="E265" s="1"/>
      <c r="F265" s="5"/>
      <c r="G265" s="5"/>
      <c r="H265" s="1"/>
      <c r="I265" s="1"/>
      <c r="J265" s="1"/>
      <c r="K265" s="1"/>
      <c r="L265" s="5"/>
      <c r="M265" s="5"/>
      <c r="N265" s="1"/>
      <c r="O265" s="5"/>
      <c r="P265" s="5"/>
      <c r="Q265" s="1"/>
      <c r="R265" s="156"/>
      <c r="S265" s="156"/>
      <c r="T265" s="157"/>
    </row>
    <row r="266" spans="1:20" ht="13.5" customHeight="1" x14ac:dyDescent="0.25">
      <c r="A266" s="1"/>
      <c r="B266" s="1"/>
      <c r="C266" s="1"/>
      <c r="D266" s="1"/>
      <c r="E266" s="1"/>
      <c r="F266" s="5"/>
      <c r="G266" s="5"/>
      <c r="H266" s="1"/>
      <c r="I266" s="1"/>
      <c r="J266" s="1"/>
      <c r="K266" s="1"/>
      <c r="L266" s="5"/>
      <c r="M266" s="5"/>
      <c r="N266" s="1"/>
      <c r="O266" s="5"/>
      <c r="P266" s="5"/>
      <c r="Q266" s="1"/>
      <c r="R266" s="156"/>
      <c r="S266" s="156"/>
      <c r="T266" s="157"/>
    </row>
    <row r="267" spans="1:20" ht="13.5" customHeight="1" x14ac:dyDescent="0.25">
      <c r="A267" s="1"/>
      <c r="B267" s="1"/>
      <c r="C267" s="1"/>
      <c r="D267" s="1"/>
      <c r="E267" s="1"/>
      <c r="F267" s="5"/>
      <c r="G267" s="5"/>
      <c r="H267" s="1"/>
      <c r="I267" s="1"/>
      <c r="J267" s="1"/>
      <c r="K267" s="1"/>
      <c r="L267" s="5"/>
      <c r="M267" s="5"/>
      <c r="N267" s="1"/>
      <c r="O267" s="5"/>
      <c r="P267" s="5"/>
      <c r="Q267" s="1"/>
      <c r="R267" s="156"/>
      <c r="S267" s="156"/>
      <c r="T267" s="157"/>
    </row>
    <row r="268" spans="1:20" ht="13.5" customHeight="1" x14ac:dyDescent="0.25">
      <c r="A268" s="1"/>
      <c r="B268" s="1"/>
      <c r="C268" s="1"/>
      <c r="D268" s="1"/>
      <c r="E268" s="1"/>
      <c r="F268" s="5"/>
      <c r="G268" s="5"/>
      <c r="H268" s="1"/>
      <c r="I268" s="1"/>
      <c r="J268" s="1"/>
      <c r="K268" s="1"/>
      <c r="L268" s="5"/>
      <c r="M268" s="5"/>
      <c r="N268" s="1"/>
      <c r="O268" s="5"/>
      <c r="P268" s="5"/>
      <c r="Q268" s="1"/>
      <c r="R268" s="156"/>
      <c r="S268" s="156"/>
      <c r="T268" s="157"/>
    </row>
    <row r="269" spans="1:20" ht="13.5" customHeight="1" x14ac:dyDescent="0.25">
      <c r="A269" s="1"/>
      <c r="B269" s="1"/>
      <c r="C269" s="1"/>
      <c r="D269" s="1"/>
      <c r="E269" s="1"/>
      <c r="F269" s="5"/>
      <c r="G269" s="5"/>
      <c r="H269" s="1"/>
      <c r="I269" s="1"/>
      <c r="J269" s="1"/>
      <c r="K269" s="1"/>
      <c r="L269" s="5"/>
      <c r="M269" s="5"/>
      <c r="N269" s="1"/>
      <c r="O269" s="5"/>
      <c r="P269" s="5"/>
      <c r="Q269" s="1"/>
      <c r="R269" s="156"/>
      <c r="S269" s="156"/>
      <c r="T269" s="157"/>
    </row>
    <row r="270" spans="1:20" ht="13.5" customHeight="1" x14ac:dyDescent="0.25">
      <c r="A270" s="1"/>
      <c r="B270" s="1"/>
      <c r="C270" s="1"/>
      <c r="D270" s="1"/>
      <c r="E270" s="1"/>
      <c r="F270" s="5"/>
      <c r="G270" s="5"/>
      <c r="H270" s="1"/>
      <c r="I270" s="1"/>
      <c r="J270" s="1"/>
      <c r="K270" s="1"/>
      <c r="L270" s="5"/>
      <c r="M270" s="5"/>
      <c r="N270" s="1"/>
      <c r="O270" s="5"/>
      <c r="P270" s="5"/>
      <c r="Q270" s="1"/>
      <c r="R270" s="156"/>
      <c r="S270" s="156"/>
      <c r="T270" s="157"/>
    </row>
    <row r="271" spans="1:20" ht="13.5" customHeight="1" x14ac:dyDescent="0.25">
      <c r="A271" s="1"/>
      <c r="B271" s="1"/>
      <c r="C271" s="1"/>
      <c r="D271" s="1"/>
      <c r="E271" s="1"/>
      <c r="F271" s="5"/>
      <c r="G271" s="5"/>
      <c r="H271" s="1"/>
      <c r="I271" s="1"/>
      <c r="J271" s="1"/>
      <c r="K271" s="1"/>
      <c r="L271" s="5"/>
      <c r="M271" s="5"/>
      <c r="N271" s="1"/>
      <c r="O271" s="5"/>
      <c r="P271" s="5"/>
      <c r="Q271" s="1"/>
      <c r="R271" s="156"/>
      <c r="S271" s="156"/>
      <c r="T271" s="157"/>
    </row>
    <row r="272" spans="1:20" ht="13.5" customHeight="1" x14ac:dyDescent="0.25">
      <c r="A272" s="1"/>
      <c r="B272" s="1"/>
      <c r="C272" s="1"/>
      <c r="D272" s="1"/>
      <c r="E272" s="1"/>
      <c r="F272" s="5"/>
      <c r="G272" s="5"/>
      <c r="H272" s="1"/>
      <c r="I272" s="1"/>
      <c r="J272" s="1"/>
      <c r="K272" s="1"/>
      <c r="L272" s="5"/>
      <c r="M272" s="5"/>
      <c r="N272" s="1"/>
      <c r="O272" s="5"/>
      <c r="P272" s="5"/>
      <c r="Q272" s="1"/>
      <c r="R272" s="156"/>
      <c r="S272" s="156"/>
      <c r="T272" s="157"/>
    </row>
    <row r="273" spans="1:20" ht="13.5" customHeight="1" x14ac:dyDescent="0.25">
      <c r="A273" s="1"/>
      <c r="B273" s="1"/>
      <c r="C273" s="1"/>
      <c r="D273" s="1"/>
      <c r="E273" s="1"/>
      <c r="F273" s="5"/>
      <c r="G273" s="5"/>
      <c r="H273" s="1"/>
      <c r="I273" s="1"/>
      <c r="J273" s="1"/>
      <c r="K273" s="1"/>
      <c r="L273" s="5"/>
      <c r="M273" s="5"/>
      <c r="N273" s="1"/>
      <c r="O273" s="5"/>
      <c r="P273" s="5"/>
      <c r="Q273" s="1"/>
      <c r="R273" s="156"/>
      <c r="S273" s="156"/>
      <c r="T273" s="157"/>
    </row>
    <row r="274" spans="1:20" ht="13.5" customHeight="1" x14ac:dyDescent="0.25">
      <c r="A274" s="1"/>
      <c r="B274" s="1"/>
      <c r="C274" s="1"/>
      <c r="D274" s="1"/>
      <c r="E274" s="1"/>
      <c r="F274" s="5"/>
      <c r="G274" s="5"/>
      <c r="H274" s="1"/>
      <c r="I274" s="1"/>
      <c r="J274" s="1"/>
      <c r="K274" s="1"/>
      <c r="L274" s="5"/>
      <c r="M274" s="5"/>
      <c r="N274" s="1"/>
      <c r="O274" s="5"/>
      <c r="P274" s="5"/>
      <c r="Q274" s="1"/>
      <c r="R274" s="156"/>
      <c r="S274" s="156"/>
      <c r="T274" s="157"/>
    </row>
    <row r="275" spans="1:20" ht="13.5" customHeight="1" x14ac:dyDescent="0.25">
      <c r="A275" s="1"/>
      <c r="B275" s="1"/>
      <c r="C275" s="1"/>
      <c r="D275" s="1"/>
      <c r="E275" s="1"/>
      <c r="F275" s="5"/>
      <c r="G275" s="5"/>
      <c r="H275" s="1"/>
      <c r="I275" s="1"/>
      <c r="J275" s="1"/>
      <c r="K275" s="1"/>
      <c r="L275" s="5"/>
      <c r="M275" s="5"/>
      <c r="N275" s="1"/>
      <c r="O275" s="5"/>
      <c r="P275" s="5"/>
      <c r="Q275" s="1"/>
      <c r="R275" s="156"/>
      <c r="S275" s="156"/>
      <c r="T275" s="157"/>
    </row>
    <row r="276" spans="1:20" ht="13.5" customHeight="1" x14ac:dyDescent="0.25">
      <c r="A276" s="1"/>
      <c r="B276" s="1"/>
      <c r="C276" s="1"/>
      <c r="D276" s="1"/>
      <c r="E276" s="1"/>
      <c r="F276" s="5"/>
      <c r="G276" s="5"/>
      <c r="H276" s="1"/>
      <c r="I276" s="1"/>
      <c r="J276" s="1"/>
      <c r="K276" s="1"/>
      <c r="L276" s="5"/>
      <c r="M276" s="5"/>
      <c r="N276" s="1"/>
      <c r="O276" s="5"/>
      <c r="P276" s="5"/>
      <c r="Q276" s="1"/>
      <c r="R276" s="156"/>
      <c r="S276" s="156"/>
      <c r="T276" s="157"/>
    </row>
    <row r="277" spans="1:20" ht="13.5" customHeight="1" x14ac:dyDescent="0.25">
      <c r="A277" s="1"/>
      <c r="B277" s="1"/>
      <c r="C277" s="1"/>
      <c r="D277" s="1"/>
      <c r="E277" s="1"/>
      <c r="F277" s="5"/>
      <c r="G277" s="5"/>
      <c r="H277" s="1"/>
      <c r="I277" s="1"/>
      <c r="J277" s="1"/>
      <c r="K277" s="1"/>
      <c r="L277" s="5"/>
      <c r="M277" s="5"/>
      <c r="N277" s="1"/>
      <c r="O277" s="5"/>
      <c r="P277" s="5"/>
      <c r="Q277" s="1"/>
      <c r="R277" s="156"/>
      <c r="S277" s="156"/>
      <c r="T277" s="157"/>
    </row>
    <row r="278" spans="1:20" ht="13.5" customHeight="1" x14ac:dyDescent="0.25">
      <c r="A278" s="1"/>
      <c r="B278" s="1"/>
      <c r="C278" s="1"/>
      <c r="D278" s="1"/>
      <c r="E278" s="1"/>
      <c r="F278" s="5"/>
      <c r="G278" s="5"/>
      <c r="H278" s="1"/>
      <c r="I278" s="1"/>
      <c r="J278" s="1"/>
      <c r="K278" s="1"/>
      <c r="L278" s="5"/>
      <c r="M278" s="5"/>
      <c r="N278" s="1"/>
      <c r="O278" s="5"/>
      <c r="P278" s="5"/>
      <c r="Q278" s="1"/>
      <c r="R278" s="156"/>
      <c r="S278" s="156"/>
      <c r="T278" s="157"/>
    </row>
    <row r="279" spans="1:20" ht="13.5" customHeight="1" x14ac:dyDescent="0.25">
      <c r="A279" s="1"/>
      <c r="B279" s="1"/>
      <c r="C279" s="1"/>
      <c r="D279" s="1"/>
      <c r="E279" s="1"/>
      <c r="F279" s="5"/>
      <c r="G279" s="5"/>
      <c r="H279" s="1"/>
      <c r="I279" s="1"/>
      <c r="J279" s="1"/>
      <c r="K279" s="1"/>
      <c r="L279" s="5"/>
      <c r="M279" s="5"/>
      <c r="N279" s="1"/>
      <c r="O279" s="5"/>
      <c r="P279" s="5"/>
      <c r="Q279" s="1"/>
      <c r="R279" s="156"/>
      <c r="S279" s="156"/>
      <c r="T279" s="157"/>
    </row>
    <row r="280" spans="1:20" ht="13.5" customHeight="1" x14ac:dyDescent="0.25">
      <c r="A280" s="1"/>
      <c r="B280" s="1"/>
      <c r="C280" s="1"/>
      <c r="D280" s="1"/>
      <c r="E280" s="1"/>
      <c r="F280" s="5"/>
      <c r="G280" s="5"/>
      <c r="H280" s="1"/>
      <c r="I280" s="1"/>
      <c r="J280" s="1"/>
      <c r="K280" s="1"/>
      <c r="L280" s="5"/>
      <c r="M280" s="5"/>
      <c r="N280" s="1"/>
      <c r="O280" s="5"/>
      <c r="P280" s="5"/>
      <c r="Q280" s="1"/>
      <c r="R280" s="156"/>
      <c r="S280" s="156"/>
      <c r="T280" s="157"/>
    </row>
    <row r="281" spans="1:20" ht="13.5" customHeight="1" x14ac:dyDescent="0.25">
      <c r="A281" s="1"/>
      <c r="B281" s="1"/>
      <c r="C281" s="1"/>
      <c r="D281" s="1"/>
      <c r="E281" s="1"/>
      <c r="F281" s="5"/>
      <c r="G281" s="5"/>
      <c r="H281" s="1"/>
      <c r="I281" s="1"/>
      <c r="J281" s="1"/>
      <c r="K281" s="1"/>
      <c r="L281" s="5"/>
      <c r="M281" s="5"/>
      <c r="N281" s="1"/>
      <c r="O281" s="5"/>
      <c r="P281" s="5"/>
      <c r="Q281" s="1"/>
      <c r="R281" s="156"/>
      <c r="S281" s="156"/>
      <c r="T281" s="157"/>
    </row>
    <row r="282" spans="1:20" ht="13.5" customHeight="1" x14ac:dyDescent="0.25">
      <c r="A282" s="1"/>
      <c r="B282" s="1"/>
      <c r="C282" s="1"/>
      <c r="D282" s="1"/>
      <c r="E282" s="1"/>
      <c r="F282" s="5"/>
      <c r="G282" s="5"/>
      <c r="H282" s="1"/>
      <c r="I282" s="1"/>
      <c r="J282" s="1"/>
      <c r="K282" s="1"/>
      <c r="L282" s="5"/>
      <c r="M282" s="5"/>
      <c r="N282" s="1"/>
      <c r="O282" s="5"/>
      <c r="P282" s="5"/>
      <c r="Q282" s="1"/>
      <c r="R282" s="156"/>
      <c r="S282" s="156"/>
      <c r="T282" s="157"/>
    </row>
    <row r="283" spans="1:20" ht="13.5" customHeight="1" x14ac:dyDescent="0.25">
      <c r="A283" s="1"/>
      <c r="B283" s="1"/>
      <c r="C283" s="1"/>
      <c r="D283" s="1"/>
      <c r="E283" s="1"/>
      <c r="F283" s="5"/>
      <c r="G283" s="5"/>
      <c r="H283" s="1"/>
      <c r="I283" s="1"/>
      <c r="J283" s="1"/>
      <c r="K283" s="1"/>
      <c r="L283" s="5"/>
      <c r="M283" s="5"/>
      <c r="N283" s="1"/>
      <c r="O283" s="5"/>
      <c r="P283" s="5"/>
      <c r="Q283" s="1"/>
      <c r="R283" s="156"/>
      <c r="S283" s="156"/>
      <c r="T283" s="157"/>
    </row>
    <row r="284" spans="1:20" ht="13.5" customHeight="1" x14ac:dyDescent="0.25">
      <c r="A284" s="1"/>
      <c r="B284" s="1"/>
      <c r="C284" s="1"/>
      <c r="D284" s="1"/>
      <c r="E284" s="1"/>
      <c r="F284" s="5"/>
      <c r="G284" s="5"/>
      <c r="H284" s="1"/>
      <c r="I284" s="1"/>
      <c r="J284" s="1"/>
      <c r="K284" s="1"/>
      <c r="L284" s="5"/>
      <c r="M284" s="5"/>
      <c r="N284" s="1"/>
      <c r="O284" s="5"/>
      <c r="P284" s="5"/>
      <c r="Q284" s="1"/>
      <c r="R284" s="156"/>
      <c r="S284" s="156"/>
      <c r="T284" s="157"/>
    </row>
    <row r="285" spans="1:20" ht="13.5" customHeight="1" x14ac:dyDescent="0.25">
      <c r="A285" s="1"/>
      <c r="B285" s="1"/>
      <c r="C285" s="1"/>
      <c r="D285" s="1"/>
      <c r="E285" s="1"/>
      <c r="F285" s="5"/>
      <c r="G285" s="5"/>
      <c r="H285" s="1"/>
      <c r="I285" s="1"/>
      <c r="J285" s="1"/>
      <c r="K285" s="1"/>
      <c r="L285" s="5"/>
      <c r="M285" s="5"/>
      <c r="N285" s="1"/>
      <c r="O285" s="5"/>
      <c r="P285" s="5"/>
      <c r="Q285" s="1"/>
      <c r="R285" s="156"/>
      <c r="S285" s="156"/>
      <c r="T285" s="157"/>
    </row>
    <row r="286" spans="1:20" ht="13.5" customHeight="1" x14ac:dyDescent="0.25">
      <c r="A286" s="1"/>
      <c r="B286" s="1"/>
      <c r="C286" s="1"/>
      <c r="D286" s="1"/>
      <c r="E286" s="1"/>
      <c r="F286" s="5"/>
      <c r="G286" s="5"/>
      <c r="H286" s="1"/>
      <c r="I286" s="1"/>
      <c r="J286" s="1"/>
      <c r="K286" s="1"/>
      <c r="L286" s="5"/>
      <c r="M286" s="5"/>
      <c r="N286" s="1"/>
      <c r="O286" s="5"/>
      <c r="P286" s="5"/>
      <c r="Q286" s="1"/>
      <c r="R286" s="156"/>
      <c r="S286" s="156"/>
      <c r="T286" s="157"/>
    </row>
    <row r="287" spans="1:20" ht="13.5" customHeight="1" x14ac:dyDescent="0.25">
      <c r="A287" s="1"/>
      <c r="B287" s="1"/>
      <c r="C287" s="1"/>
      <c r="D287" s="1"/>
      <c r="E287" s="1"/>
      <c r="F287" s="5"/>
      <c r="G287" s="5"/>
      <c r="H287" s="1"/>
      <c r="I287" s="1"/>
      <c r="J287" s="1"/>
      <c r="K287" s="1"/>
      <c r="L287" s="5"/>
      <c r="M287" s="5"/>
      <c r="N287" s="1"/>
      <c r="O287" s="5"/>
      <c r="P287" s="5"/>
      <c r="Q287" s="1"/>
      <c r="R287" s="156"/>
      <c r="S287" s="156"/>
      <c r="T287" s="157"/>
    </row>
    <row r="288" spans="1:20" ht="13.5" customHeight="1" x14ac:dyDescent="0.25">
      <c r="A288" s="1"/>
      <c r="B288" s="1"/>
      <c r="C288" s="1"/>
      <c r="D288" s="1"/>
      <c r="E288" s="1"/>
      <c r="F288" s="5"/>
      <c r="G288" s="5"/>
      <c r="H288" s="1"/>
      <c r="I288" s="1"/>
      <c r="J288" s="1"/>
      <c r="K288" s="1"/>
      <c r="L288" s="5"/>
      <c r="M288" s="5"/>
      <c r="N288" s="1"/>
      <c r="O288" s="5"/>
      <c r="P288" s="5"/>
      <c r="Q288" s="1"/>
      <c r="R288" s="156"/>
      <c r="S288" s="156"/>
      <c r="T288" s="157"/>
    </row>
    <row r="289" spans="1:20" ht="13.5" customHeight="1" x14ac:dyDescent="0.25">
      <c r="A289" s="1"/>
      <c r="B289" s="1"/>
      <c r="C289" s="1"/>
      <c r="D289" s="1"/>
      <c r="E289" s="1"/>
      <c r="F289" s="5"/>
      <c r="G289" s="5"/>
      <c r="H289" s="1"/>
      <c r="I289" s="1"/>
      <c r="J289" s="1"/>
      <c r="K289" s="1"/>
      <c r="L289" s="5"/>
      <c r="M289" s="5"/>
      <c r="N289" s="1"/>
      <c r="O289" s="5"/>
      <c r="P289" s="5"/>
      <c r="Q289" s="1"/>
      <c r="R289" s="156"/>
      <c r="S289" s="156"/>
      <c r="T289" s="157"/>
    </row>
    <row r="290" spans="1:20" ht="13.5" customHeight="1" x14ac:dyDescent="0.25">
      <c r="A290" s="1"/>
      <c r="B290" s="1"/>
      <c r="C290" s="1"/>
      <c r="D290" s="1"/>
      <c r="E290" s="1"/>
      <c r="F290" s="5"/>
      <c r="G290" s="5"/>
      <c r="H290" s="1"/>
      <c r="I290" s="1"/>
      <c r="J290" s="1"/>
      <c r="K290" s="1"/>
      <c r="L290" s="5"/>
      <c r="M290" s="5"/>
      <c r="N290" s="1"/>
      <c r="O290" s="5"/>
      <c r="P290" s="5"/>
      <c r="Q290" s="1"/>
      <c r="R290" s="156"/>
      <c r="S290" s="156"/>
      <c r="T290" s="157"/>
    </row>
    <row r="291" spans="1:20" ht="13.5" customHeight="1" x14ac:dyDescent="0.25">
      <c r="A291" s="1"/>
      <c r="B291" s="1"/>
      <c r="C291" s="1"/>
      <c r="D291" s="1"/>
      <c r="E291" s="1"/>
      <c r="F291" s="5"/>
      <c r="G291" s="5"/>
      <c r="H291" s="1"/>
      <c r="I291" s="1"/>
      <c r="J291" s="1"/>
      <c r="K291" s="1"/>
      <c r="L291" s="5"/>
      <c r="M291" s="5"/>
      <c r="N291" s="1"/>
      <c r="O291" s="5"/>
      <c r="P291" s="5"/>
      <c r="Q291" s="1"/>
      <c r="R291" s="156"/>
      <c r="S291" s="156"/>
      <c r="T291" s="157"/>
    </row>
    <row r="292" spans="1:20" ht="13.5" customHeight="1" x14ac:dyDescent="0.25">
      <c r="A292" s="1"/>
      <c r="B292" s="1"/>
      <c r="C292" s="1"/>
      <c r="D292" s="1"/>
      <c r="E292" s="1"/>
      <c r="F292" s="5"/>
      <c r="G292" s="5"/>
      <c r="H292" s="1"/>
      <c r="I292" s="1"/>
      <c r="J292" s="1"/>
      <c r="K292" s="1"/>
      <c r="L292" s="5"/>
      <c r="M292" s="5"/>
      <c r="N292" s="1"/>
      <c r="O292" s="5"/>
      <c r="P292" s="5"/>
      <c r="Q292" s="1"/>
      <c r="R292" s="156"/>
      <c r="S292" s="156"/>
      <c r="T292" s="157"/>
    </row>
    <row r="293" spans="1:20" ht="13.5" customHeight="1" x14ac:dyDescent="0.25">
      <c r="A293" s="1"/>
      <c r="B293" s="1"/>
      <c r="C293" s="1"/>
      <c r="D293" s="1"/>
      <c r="E293" s="1"/>
      <c r="F293" s="5"/>
      <c r="G293" s="5"/>
      <c r="H293" s="1"/>
      <c r="I293" s="1"/>
      <c r="J293" s="1"/>
      <c r="K293" s="1"/>
      <c r="L293" s="5"/>
      <c r="M293" s="5"/>
      <c r="N293" s="1"/>
      <c r="O293" s="5"/>
      <c r="P293" s="5"/>
      <c r="Q293" s="1"/>
      <c r="R293" s="156"/>
      <c r="S293" s="156"/>
      <c r="T293" s="157"/>
    </row>
    <row r="294" spans="1:20" ht="13.5" customHeight="1" x14ac:dyDescent="0.25">
      <c r="A294" s="1"/>
      <c r="B294" s="1"/>
      <c r="C294" s="1"/>
      <c r="D294" s="1"/>
      <c r="E294" s="1"/>
      <c r="F294" s="5"/>
      <c r="G294" s="5"/>
      <c r="H294" s="1"/>
      <c r="I294" s="1"/>
      <c r="J294" s="1"/>
      <c r="K294" s="1"/>
      <c r="L294" s="5"/>
      <c r="M294" s="5"/>
      <c r="N294" s="1"/>
      <c r="O294" s="5"/>
      <c r="P294" s="5"/>
      <c r="Q294" s="1"/>
      <c r="R294" s="156"/>
      <c r="S294" s="156"/>
      <c r="T294" s="157"/>
    </row>
    <row r="295" spans="1:20" ht="13.5" customHeight="1" x14ac:dyDescent="0.25">
      <c r="A295" s="1"/>
      <c r="B295" s="1"/>
      <c r="C295" s="1"/>
      <c r="D295" s="1"/>
      <c r="E295" s="1"/>
      <c r="F295" s="5"/>
      <c r="G295" s="5"/>
      <c r="H295" s="1"/>
      <c r="I295" s="1"/>
      <c r="J295" s="1"/>
      <c r="K295" s="1"/>
      <c r="L295" s="5"/>
      <c r="M295" s="5"/>
      <c r="N295" s="1"/>
      <c r="O295" s="5"/>
      <c r="P295" s="5"/>
      <c r="Q295" s="1"/>
      <c r="R295" s="156"/>
      <c r="S295" s="156"/>
      <c r="T295" s="157"/>
    </row>
    <row r="296" spans="1:20" ht="13.5" customHeight="1" x14ac:dyDescent="0.25">
      <c r="A296" s="1"/>
      <c r="B296" s="1"/>
      <c r="C296" s="1"/>
      <c r="D296" s="1"/>
      <c r="E296" s="1"/>
      <c r="F296" s="5"/>
      <c r="G296" s="5"/>
      <c r="H296" s="1"/>
      <c r="I296" s="1"/>
      <c r="J296" s="1"/>
      <c r="K296" s="1"/>
      <c r="L296" s="5"/>
      <c r="M296" s="5"/>
      <c r="N296" s="1"/>
      <c r="O296" s="5"/>
      <c r="P296" s="5"/>
      <c r="Q296" s="1"/>
      <c r="R296" s="156"/>
      <c r="S296" s="156"/>
      <c r="T296" s="157"/>
    </row>
    <row r="297" spans="1:20" ht="13.5" customHeight="1" x14ac:dyDescent="0.25">
      <c r="A297" s="1"/>
      <c r="B297" s="1"/>
      <c r="C297" s="1"/>
      <c r="D297" s="1"/>
      <c r="E297" s="1"/>
      <c r="F297" s="5"/>
      <c r="G297" s="5"/>
      <c r="H297" s="1"/>
      <c r="I297" s="1"/>
      <c r="J297" s="1"/>
      <c r="K297" s="1"/>
      <c r="L297" s="5"/>
      <c r="M297" s="5"/>
      <c r="N297" s="1"/>
      <c r="O297" s="5"/>
      <c r="P297" s="5"/>
      <c r="Q297" s="1"/>
      <c r="R297" s="156"/>
      <c r="S297" s="156"/>
      <c r="T297" s="157"/>
    </row>
    <row r="298" spans="1:20" ht="13.5" customHeight="1" x14ac:dyDescent="0.25">
      <c r="A298" s="1"/>
      <c r="B298" s="1"/>
      <c r="C298" s="1"/>
      <c r="D298" s="1"/>
      <c r="E298" s="1"/>
      <c r="F298" s="5"/>
      <c r="G298" s="5"/>
      <c r="H298" s="1"/>
      <c r="I298" s="1"/>
      <c r="J298" s="1"/>
      <c r="K298" s="1"/>
      <c r="L298" s="5"/>
      <c r="M298" s="5"/>
      <c r="N298" s="1"/>
      <c r="O298" s="5"/>
      <c r="P298" s="5"/>
      <c r="Q298" s="1"/>
      <c r="R298" s="156"/>
      <c r="S298" s="156"/>
      <c r="T298" s="157"/>
    </row>
    <row r="299" spans="1:20" ht="13.5" customHeight="1" x14ac:dyDescent="0.25">
      <c r="A299" s="1"/>
      <c r="B299" s="1"/>
      <c r="C299" s="1"/>
      <c r="D299" s="1"/>
      <c r="E299" s="1"/>
      <c r="F299" s="5"/>
      <c r="G299" s="5"/>
      <c r="H299" s="1"/>
      <c r="I299" s="1"/>
      <c r="J299" s="1"/>
      <c r="K299" s="1"/>
      <c r="L299" s="5"/>
      <c r="M299" s="5"/>
      <c r="N299" s="1"/>
      <c r="O299" s="5"/>
      <c r="P299" s="5"/>
      <c r="Q299" s="1"/>
      <c r="R299" s="156"/>
      <c r="S299" s="156"/>
      <c r="T299" s="157"/>
    </row>
    <row r="300" spans="1:20" ht="13.5" customHeight="1" x14ac:dyDescent="0.25">
      <c r="A300" s="1"/>
      <c r="B300" s="1"/>
      <c r="C300" s="1"/>
      <c r="D300" s="1"/>
      <c r="E300" s="1"/>
      <c r="F300" s="5"/>
      <c r="G300" s="5"/>
      <c r="H300" s="1"/>
      <c r="I300" s="1"/>
      <c r="J300" s="1"/>
      <c r="K300" s="1"/>
      <c r="L300" s="5"/>
      <c r="M300" s="5"/>
      <c r="N300" s="1"/>
      <c r="O300" s="5"/>
      <c r="P300" s="5"/>
      <c r="Q300" s="1"/>
      <c r="R300" s="156"/>
      <c r="S300" s="156"/>
      <c r="T300" s="157"/>
    </row>
    <row r="301" spans="1:20" ht="13.5" customHeight="1" x14ac:dyDescent="0.25">
      <c r="A301" s="1"/>
      <c r="B301" s="1"/>
      <c r="C301" s="1"/>
      <c r="D301" s="1"/>
      <c r="E301" s="1"/>
      <c r="F301" s="5"/>
      <c r="G301" s="5"/>
      <c r="H301" s="1"/>
      <c r="I301" s="1"/>
      <c r="J301" s="1"/>
      <c r="K301" s="1"/>
      <c r="L301" s="5"/>
      <c r="M301" s="5"/>
      <c r="N301" s="1"/>
      <c r="O301" s="5"/>
      <c r="P301" s="5"/>
      <c r="Q301" s="1"/>
      <c r="R301" s="156"/>
      <c r="S301" s="156"/>
      <c r="T301" s="157"/>
    </row>
    <row r="302" spans="1:20" ht="13.5" customHeight="1" x14ac:dyDescent="0.25">
      <c r="A302" s="1"/>
      <c r="B302" s="1"/>
      <c r="C302" s="1"/>
      <c r="D302" s="1"/>
      <c r="E302" s="1"/>
      <c r="F302" s="5"/>
      <c r="G302" s="5"/>
      <c r="H302" s="1"/>
      <c r="I302" s="1"/>
      <c r="J302" s="1"/>
      <c r="K302" s="1"/>
      <c r="L302" s="5"/>
      <c r="M302" s="5"/>
      <c r="N302" s="1"/>
      <c r="O302" s="5"/>
      <c r="P302" s="5"/>
      <c r="Q302" s="1"/>
      <c r="R302" s="156"/>
      <c r="S302" s="156"/>
      <c r="T302" s="157"/>
    </row>
    <row r="303" spans="1:20" ht="13.5" customHeight="1" x14ac:dyDescent="0.25">
      <c r="A303" s="1"/>
      <c r="B303" s="1"/>
      <c r="C303" s="1"/>
      <c r="D303" s="1"/>
      <c r="E303" s="1"/>
      <c r="F303" s="5"/>
      <c r="G303" s="5"/>
      <c r="H303" s="1"/>
      <c r="I303" s="1"/>
      <c r="J303" s="1"/>
      <c r="K303" s="1"/>
      <c r="L303" s="5"/>
      <c r="M303" s="5"/>
      <c r="N303" s="1"/>
      <c r="O303" s="5"/>
      <c r="P303" s="5"/>
      <c r="Q303" s="1"/>
      <c r="R303" s="156"/>
      <c r="S303" s="156"/>
      <c r="T303" s="157"/>
    </row>
    <row r="304" spans="1:20" ht="13.5" customHeight="1" x14ac:dyDescent="0.25">
      <c r="A304" s="1"/>
      <c r="B304" s="1"/>
      <c r="C304" s="1"/>
      <c r="D304" s="1"/>
      <c r="E304" s="1"/>
      <c r="F304" s="5"/>
      <c r="G304" s="5"/>
      <c r="H304" s="1"/>
      <c r="I304" s="1"/>
      <c r="J304" s="1"/>
      <c r="K304" s="1"/>
      <c r="L304" s="5"/>
      <c r="M304" s="5"/>
      <c r="N304" s="1"/>
      <c r="O304" s="5"/>
      <c r="P304" s="5"/>
      <c r="Q304" s="1"/>
      <c r="R304" s="156"/>
      <c r="S304" s="156"/>
      <c r="T304" s="157"/>
    </row>
    <row r="305" spans="1:20" ht="13.5" customHeight="1" x14ac:dyDescent="0.25">
      <c r="A305" s="1"/>
      <c r="B305" s="1"/>
      <c r="C305" s="1"/>
      <c r="D305" s="1"/>
      <c r="E305" s="1"/>
      <c r="F305" s="5"/>
      <c r="G305" s="5"/>
      <c r="H305" s="1"/>
      <c r="I305" s="1"/>
      <c r="J305" s="1"/>
      <c r="K305" s="1"/>
      <c r="L305" s="5"/>
      <c r="M305" s="5"/>
      <c r="N305" s="1"/>
      <c r="O305" s="5"/>
      <c r="P305" s="5"/>
      <c r="Q305" s="1"/>
      <c r="R305" s="156"/>
      <c r="S305" s="156"/>
      <c r="T305" s="157"/>
    </row>
    <row r="306" spans="1:20" ht="13.5" customHeight="1" x14ac:dyDescent="0.25">
      <c r="A306" s="1"/>
      <c r="B306" s="1"/>
      <c r="C306" s="1"/>
      <c r="D306" s="1"/>
      <c r="E306" s="1"/>
      <c r="F306" s="5"/>
      <c r="G306" s="5"/>
      <c r="H306" s="1"/>
      <c r="I306" s="1"/>
      <c r="J306" s="1"/>
      <c r="K306" s="1"/>
      <c r="L306" s="5"/>
      <c r="M306" s="5"/>
      <c r="N306" s="1"/>
      <c r="O306" s="5"/>
      <c r="P306" s="5"/>
      <c r="Q306" s="1"/>
      <c r="R306" s="156"/>
      <c r="S306" s="156"/>
      <c r="T306" s="157"/>
    </row>
    <row r="307" spans="1:20" ht="13.5" customHeight="1" x14ac:dyDescent="0.25">
      <c r="A307" s="1"/>
      <c r="B307" s="1"/>
      <c r="C307" s="1"/>
      <c r="D307" s="1"/>
      <c r="E307" s="1"/>
      <c r="F307" s="5"/>
      <c r="G307" s="5"/>
      <c r="H307" s="1"/>
      <c r="I307" s="1"/>
      <c r="J307" s="1"/>
      <c r="K307" s="1"/>
      <c r="L307" s="5"/>
      <c r="M307" s="5"/>
      <c r="N307" s="1"/>
      <c r="O307" s="5"/>
      <c r="P307" s="5"/>
      <c r="Q307" s="1"/>
      <c r="R307" s="156"/>
      <c r="S307" s="156"/>
      <c r="T307" s="157"/>
    </row>
    <row r="308" spans="1:20" ht="13.5" customHeight="1" x14ac:dyDescent="0.25">
      <c r="A308" s="1"/>
      <c r="B308" s="1"/>
      <c r="C308" s="1"/>
      <c r="D308" s="1"/>
      <c r="E308" s="1"/>
      <c r="F308" s="5"/>
      <c r="G308" s="5"/>
      <c r="H308" s="1"/>
      <c r="I308" s="1"/>
      <c r="J308" s="1"/>
      <c r="K308" s="1"/>
      <c r="L308" s="5"/>
      <c r="M308" s="5"/>
      <c r="N308" s="1"/>
      <c r="O308" s="5"/>
      <c r="P308" s="5"/>
      <c r="Q308" s="1"/>
      <c r="R308" s="156"/>
      <c r="S308" s="156"/>
      <c r="T308" s="157"/>
    </row>
    <row r="309" spans="1:20" ht="13.5" customHeight="1" x14ac:dyDescent="0.25">
      <c r="A309" s="1"/>
      <c r="B309" s="1"/>
      <c r="C309" s="1"/>
      <c r="D309" s="1"/>
      <c r="E309" s="1"/>
      <c r="F309" s="5"/>
      <c r="G309" s="5"/>
      <c r="H309" s="1"/>
      <c r="I309" s="1"/>
      <c r="J309" s="1"/>
      <c r="K309" s="1"/>
      <c r="L309" s="5"/>
      <c r="M309" s="5"/>
      <c r="N309" s="1"/>
      <c r="O309" s="5"/>
      <c r="P309" s="5"/>
      <c r="Q309" s="1"/>
      <c r="R309" s="156"/>
      <c r="S309" s="156"/>
      <c r="T309" s="157"/>
    </row>
    <row r="310" spans="1:20" ht="13.5" customHeight="1" x14ac:dyDescent="0.25">
      <c r="A310" s="1"/>
      <c r="B310" s="1"/>
      <c r="C310" s="1"/>
      <c r="D310" s="1"/>
      <c r="E310" s="1"/>
      <c r="F310" s="5"/>
      <c r="G310" s="5"/>
      <c r="H310" s="1"/>
      <c r="I310" s="1"/>
      <c r="J310" s="1"/>
      <c r="K310" s="1"/>
      <c r="L310" s="5"/>
      <c r="M310" s="5"/>
      <c r="N310" s="1"/>
      <c r="O310" s="5"/>
      <c r="P310" s="5"/>
      <c r="Q310" s="1"/>
      <c r="R310" s="156"/>
      <c r="S310" s="156"/>
      <c r="T310" s="157"/>
    </row>
    <row r="311" spans="1:20" ht="13.5" customHeight="1" x14ac:dyDescent="0.25">
      <c r="A311" s="1"/>
      <c r="B311" s="1"/>
      <c r="C311" s="1"/>
      <c r="D311" s="1"/>
      <c r="E311" s="1"/>
      <c r="F311" s="5"/>
      <c r="G311" s="5"/>
      <c r="H311" s="1"/>
      <c r="I311" s="1"/>
      <c r="J311" s="1"/>
      <c r="K311" s="1"/>
      <c r="L311" s="5"/>
      <c r="M311" s="5"/>
      <c r="N311" s="1"/>
      <c r="O311" s="5"/>
      <c r="P311" s="5"/>
      <c r="Q311" s="1"/>
      <c r="R311" s="156"/>
      <c r="S311" s="156"/>
      <c r="T311" s="157"/>
    </row>
    <row r="312" spans="1:20" ht="13.5" customHeight="1" x14ac:dyDescent="0.25">
      <c r="A312" s="1"/>
      <c r="B312" s="1"/>
      <c r="C312" s="1"/>
      <c r="D312" s="1"/>
      <c r="E312" s="1"/>
      <c r="F312" s="5"/>
      <c r="G312" s="5"/>
      <c r="H312" s="1"/>
      <c r="I312" s="1"/>
      <c r="J312" s="1"/>
      <c r="K312" s="1"/>
      <c r="L312" s="5"/>
      <c r="M312" s="5"/>
      <c r="N312" s="1"/>
      <c r="O312" s="5"/>
      <c r="P312" s="5"/>
      <c r="Q312" s="1"/>
      <c r="R312" s="156"/>
      <c r="S312" s="156"/>
      <c r="T312" s="157"/>
    </row>
    <row r="313" spans="1:20" ht="13.5" customHeight="1" x14ac:dyDescent="0.25">
      <c r="A313" s="1"/>
      <c r="B313" s="1"/>
      <c r="C313" s="1"/>
      <c r="D313" s="1"/>
      <c r="E313" s="1"/>
      <c r="F313" s="5"/>
      <c r="G313" s="5"/>
      <c r="H313" s="1"/>
      <c r="I313" s="1"/>
      <c r="J313" s="1"/>
      <c r="K313" s="1"/>
      <c r="L313" s="5"/>
      <c r="M313" s="5"/>
      <c r="N313" s="1"/>
      <c r="O313" s="5"/>
      <c r="P313" s="5"/>
      <c r="Q313" s="1"/>
      <c r="R313" s="156"/>
      <c r="S313" s="156"/>
      <c r="T313" s="157"/>
    </row>
    <row r="314" spans="1:20" ht="13.5" customHeight="1" x14ac:dyDescent="0.25">
      <c r="A314" s="1"/>
      <c r="B314" s="1"/>
      <c r="C314" s="1"/>
      <c r="D314" s="1"/>
      <c r="E314" s="1"/>
      <c r="F314" s="5"/>
      <c r="G314" s="5"/>
      <c r="H314" s="1"/>
      <c r="I314" s="1"/>
      <c r="J314" s="1"/>
      <c r="K314" s="1"/>
      <c r="L314" s="5"/>
      <c r="M314" s="5"/>
      <c r="N314" s="1"/>
      <c r="O314" s="5"/>
      <c r="P314" s="5"/>
      <c r="Q314" s="1"/>
      <c r="R314" s="156"/>
      <c r="S314" s="156"/>
      <c r="T314" s="157"/>
    </row>
    <row r="315" spans="1:20" ht="13.5" customHeight="1" x14ac:dyDescent="0.25">
      <c r="A315" s="1"/>
      <c r="B315" s="1"/>
      <c r="C315" s="1"/>
      <c r="D315" s="1"/>
      <c r="E315" s="1"/>
      <c r="F315" s="5"/>
      <c r="G315" s="5"/>
      <c r="H315" s="1"/>
      <c r="I315" s="1"/>
      <c r="J315" s="1"/>
      <c r="K315" s="1"/>
      <c r="L315" s="5"/>
      <c r="M315" s="5"/>
      <c r="N315" s="1"/>
      <c r="O315" s="5"/>
      <c r="P315" s="5"/>
      <c r="Q315" s="1"/>
      <c r="R315" s="156"/>
      <c r="S315" s="156"/>
      <c r="T315" s="157"/>
    </row>
    <row r="316" spans="1:20" ht="13.5" customHeight="1" x14ac:dyDescent="0.25">
      <c r="A316" s="1"/>
      <c r="B316" s="1"/>
      <c r="C316" s="1"/>
      <c r="D316" s="1"/>
      <c r="E316" s="1"/>
      <c r="F316" s="5"/>
      <c r="G316" s="5"/>
      <c r="H316" s="1"/>
      <c r="I316" s="1"/>
      <c r="J316" s="1"/>
      <c r="K316" s="1"/>
      <c r="L316" s="5"/>
      <c r="M316" s="5"/>
      <c r="N316" s="1"/>
      <c r="O316" s="5"/>
      <c r="P316" s="5"/>
      <c r="Q316" s="1"/>
      <c r="R316" s="156"/>
      <c r="S316" s="156"/>
      <c r="T316" s="157"/>
    </row>
    <row r="317" spans="1:20" ht="13.5" customHeight="1" x14ac:dyDescent="0.25">
      <c r="A317" s="1"/>
      <c r="B317" s="1"/>
      <c r="C317" s="1"/>
      <c r="D317" s="1"/>
      <c r="E317" s="1"/>
      <c r="F317" s="5"/>
      <c r="G317" s="5"/>
      <c r="H317" s="1"/>
      <c r="I317" s="1"/>
      <c r="J317" s="1"/>
      <c r="K317" s="1"/>
      <c r="L317" s="5"/>
      <c r="M317" s="5"/>
      <c r="N317" s="1"/>
      <c r="O317" s="5"/>
      <c r="P317" s="5"/>
      <c r="Q317" s="1"/>
      <c r="R317" s="156"/>
      <c r="S317" s="156"/>
      <c r="T317" s="157"/>
    </row>
    <row r="318" spans="1:20" ht="13.5" customHeight="1" x14ac:dyDescent="0.25">
      <c r="A318" s="1"/>
      <c r="B318" s="1"/>
      <c r="C318" s="1"/>
      <c r="D318" s="1"/>
      <c r="E318" s="1"/>
      <c r="F318" s="5"/>
      <c r="G318" s="5"/>
      <c r="H318" s="1"/>
      <c r="I318" s="1"/>
      <c r="J318" s="1"/>
      <c r="K318" s="1"/>
      <c r="L318" s="5"/>
      <c r="M318" s="5"/>
      <c r="N318" s="1"/>
      <c r="O318" s="5"/>
      <c r="P318" s="5"/>
      <c r="Q318" s="1"/>
      <c r="R318" s="156"/>
      <c r="S318" s="156"/>
      <c r="T318" s="157"/>
    </row>
    <row r="319" spans="1:20" ht="13.5" customHeight="1" x14ac:dyDescent="0.25">
      <c r="A319" s="1"/>
      <c r="B319" s="1"/>
      <c r="C319" s="1"/>
      <c r="D319" s="1"/>
      <c r="E319" s="1"/>
      <c r="F319" s="5"/>
      <c r="G319" s="5"/>
      <c r="H319" s="1"/>
      <c r="I319" s="1"/>
      <c r="J319" s="1"/>
      <c r="K319" s="1"/>
      <c r="L319" s="5"/>
      <c r="M319" s="5"/>
      <c r="N319" s="1"/>
      <c r="O319" s="5"/>
      <c r="P319" s="5"/>
      <c r="Q319" s="1"/>
      <c r="R319" s="156"/>
      <c r="S319" s="156"/>
      <c r="T319" s="157"/>
    </row>
    <row r="320" spans="1:20" ht="13.5" customHeight="1" x14ac:dyDescent="0.25">
      <c r="A320" s="1"/>
      <c r="B320" s="1"/>
      <c r="C320" s="1"/>
      <c r="D320" s="1"/>
      <c r="E320" s="1"/>
      <c r="F320" s="5"/>
      <c r="G320" s="5"/>
      <c r="H320" s="1"/>
      <c r="I320" s="1"/>
      <c r="J320" s="1"/>
      <c r="K320" s="1"/>
      <c r="L320" s="5"/>
      <c r="M320" s="5"/>
      <c r="N320" s="1"/>
      <c r="O320" s="5"/>
      <c r="P320" s="5"/>
      <c r="Q320" s="1"/>
      <c r="R320" s="156"/>
      <c r="S320" s="156"/>
      <c r="T320" s="157"/>
    </row>
    <row r="321" spans="1:20" ht="13.5" customHeight="1" x14ac:dyDescent="0.25">
      <c r="A321" s="1"/>
      <c r="B321" s="1"/>
      <c r="C321" s="1"/>
      <c r="D321" s="1"/>
      <c r="E321" s="1"/>
      <c r="F321" s="5"/>
      <c r="G321" s="5"/>
      <c r="H321" s="1"/>
      <c r="I321" s="1"/>
      <c r="J321" s="1"/>
      <c r="K321" s="1"/>
      <c r="L321" s="5"/>
      <c r="M321" s="5"/>
      <c r="N321" s="1"/>
      <c r="O321" s="5"/>
      <c r="P321" s="5"/>
      <c r="Q321" s="1"/>
      <c r="R321" s="156"/>
      <c r="S321" s="156"/>
      <c r="T321" s="157"/>
    </row>
    <row r="322" spans="1:20" ht="13.5" customHeight="1" x14ac:dyDescent="0.25">
      <c r="A322" s="1"/>
      <c r="B322" s="1"/>
      <c r="C322" s="1"/>
      <c r="D322" s="1"/>
      <c r="E322" s="1"/>
      <c r="F322" s="5"/>
      <c r="G322" s="5"/>
      <c r="H322" s="1"/>
      <c r="I322" s="1"/>
      <c r="J322" s="1"/>
      <c r="K322" s="1"/>
      <c r="L322" s="5"/>
      <c r="M322" s="5"/>
      <c r="N322" s="1"/>
      <c r="O322" s="5"/>
      <c r="P322" s="5"/>
      <c r="Q322" s="1"/>
      <c r="R322" s="156"/>
      <c r="S322" s="156"/>
      <c r="T322" s="157"/>
    </row>
    <row r="323" spans="1:20" ht="13.5" customHeight="1" x14ac:dyDescent="0.25">
      <c r="A323" s="1"/>
      <c r="B323" s="1"/>
      <c r="C323" s="1"/>
      <c r="D323" s="1"/>
      <c r="E323" s="1"/>
      <c r="F323" s="5"/>
      <c r="G323" s="5"/>
      <c r="H323" s="1"/>
      <c r="I323" s="1"/>
      <c r="J323" s="1"/>
      <c r="K323" s="1"/>
      <c r="L323" s="5"/>
      <c r="M323" s="5"/>
      <c r="N323" s="1"/>
      <c r="O323" s="5"/>
      <c r="P323" s="5"/>
      <c r="Q323" s="1"/>
      <c r="R323" s="156"/>
      <c r="S323" s="156"/>
      <c r="T323" s="157"/>
    </row>
    <row r="324" spans="1:20" ht="13.5" customHeight="1" x14ac:dyDescent="0.25">
      <c r="A324" s="1"/>
      <c r="B324" s="1"/>
      <c r="C324" s="1"/>
      <c r="D324" s="1"/>
      <c r="E324" s="1"/>
      <c r="F324" s="5"/>
      <c r="G324" s="5"/>
      <c r="H324" s="1"/>
      <c r="I324" s="1"/>
      <c r="J324" s="1"/>
      <c r="K324" s="1"/>
      <c r="L324" s="5"/>
      <c r="M324" s="5"/>
      <c r="N324" s="1"/>
      <c r="O324" s="5"/>
      <c r="P324" s="5"/>
      <c r="Q324" s="1"/>
      <c r="R324" s="156"/>
      <c r="S324" s="156"/>
      <c r="T324" s="157"/>
    </row>
    <row r="325" spans="1:20" ht="13.5" customHeight="1" x14ac:dyDescent="0.25">
      <c r="A325" s="1"/>
      <c r="B325" s="1"/>
      <c r="C325" s="1"/>
      <c r="D325" s="1"/>
      <c r="E325" s="1"/>
      <c r="F325" s="5"/>
      <c r="G325" s="5"/>
      <c r="H325" s="1"/>
      <c r="I325" s="1"/>
      <c r="J325" s="1"/>
      <c r="K325" s="1"/>
      <c r="L325" s="5"/>
      <c r="M325" s="5"/>
      <c r="N325" s="1"/>
      <c r="O325" s="5"/>
      <c r="P325" s="5"/>
      <c r="Q325" s="1"/>
      <c r="R325" s="156"/>
      <c r="S325" s="156"/>
      <c r="T325" s="157"/>
    </row>
    <row r="326" spans="1:20" ht="13.5" customHeight="1" x14ac:dyDescent="0.25">
      <c r="A326" s="1"/>
      <c r="B326" s="1"/>
      <c r="C326" s="1"/>
      <c r="D326" s="1"/>
      <c r="E326" s="1"/>
      <c r="F326" s="5"/>
      <c r="G326" s="5"/>
      <c r="H326" s="1"/>
      <c r="I326" s="1"/>
      <c r="J326" s="1"/>
      <c r="K326" s="1"/>
      <c r="L326" s="5"/>
      <c r="M326" s="5"/>
      <c r="N326" s="1"/>
      <c r="O326" s="5"/>
      <c r="P326" s="5"/>
      <c r="Q326" s="1"/>
      <c r="R326" s="156"/>
      <c r="S326" s="156"/>
      <c r="T326" s="157"/>
    </row>
    <row r="327" spans="1:20" ht="13.5" customHeight="1" x14ac:dyDescent="0.25">
      <c r="A327" s="1"/>
      <c r="B327" s="1"/>
      <c r="C327" s="1"/>
      <c r="D327" s="1"/>
      <c r="E327" s="1"/>
      <c r="F327" s="5"/>
      <c r="G327" s="5"/>
      <c r="H327" s="1"/>
      <c r="I327" s="1"/>
      <c r="J327" s="1"/>
      <c r="K327" s="1"/>
      <c r="L327" s="5"/>
      <c r="M327" s="5"/>
      <c r="N327" s="1"/>
      <c r="O327" s="5"/>
      <c r="P327" s="5"/>
      <c r="Q327" s="1"/>
      <c r="R327" s="156"/>
      <c r="S327" s="156"/>
      <c r="T327" s="157"/>
    </row>
    <row r="328" spans="1:20" ht="13.5" customHeight="1" x14ac:dyDescent="0.25">
      <c r="A328" s="1"/>
      <c r="B328" s="1"/>
      <c r="C328" s="1"/>
      <c r="D328" s="1"/>
      <c r="E328" s="1"/>
      <c r="F328" s="5"/>
      <c r="G328" s="5"/>
      <c r="H328" s="1"/>
      <c r="I328" s="1"/>
      <c r="J328" s="1"/>
      <c r="K328" s="1"/>
      <c r="L328" s="5"/>
      <c r="M328" s="5"/>
      <c r="N328" s="1"/>
      <c r="O328" s="5"/>
      <c r="P328" s="5"/>
      <c r="Q328" s="1"/>
      <c r="R328" s="156"/>
      <c r="S328" s="156"/>
      <c r="T328" s="157"/>
    </row>
    <row r="329" spans="1:20" ht="13.5" customHeight="1" x14ac:dyDescent="0.25">
      <c r="A329" s="1"/>
      <c r="B329" s="1"/>
      <c r="C329" s="1"/>
      <c r="D329" s="1"/>
      <c r="E329" s="1"/>
      <c r="F329" s="5"/>
      <c r="G329" s="5"/>
      <c r="H329" s="1"/>
      <c r="I329" s="1"/>
      <c r="J329" s="1"/>
      <c r="K329" s="1"/>
      <c r="L329" s="5"/>
      <c r="M329" s="5"/>
      <c r="N329" s="1"/>
      <c r="O329" s="5"/>
      <c r="P329" s="5"/>
      <c r="Q329" s="1"/>
      <c r="R329" s="156"/>
      <c r="S329" s="156"/>
      <c r="T329" s="157"/>
    </row>
    <row r="330" spans="1:20" ht="13.5" customHeight="1" x14ac:dyDescent="0.25">
      <c r="A330" s="1"/>
      <c r="B330" s="1"/>
      <c r="C330" s="1"/>
      <c r="D330" s="1"/>
      <c r="E330" s="1"/>
      <c r="F330" s="5"/>
      <c r="G330" s="5"/>
      <c r="H330" s="1"/>
      <c r="I330" s="1"/>
      <c r="J330" s="1"/>
      <c r="K330" s="1"/>
      <c r="L330" s="5"/>
      <c r="M330" s="5"/>
      <c r="N330" s="1"/>
      <c r="O330" s="5"/>
      <c r="P330" s="5"/>
      <c r="Q330" s="1"/>
      <c r="R330" s="156"/>
      <c r="S330" s="156"/>
      <c r="T330" s="157"/>
    </row>
    <row r="331" spans="1:20" ht="13.5" customHeight="1" x14ac:dyDescent="0.25">
      <c r="A331" s="1"/>
      <c r="B331" s="1"/>
      <c r="C331" s="1"/>
      <c r="D331" s="1"/>
      <c r="E331" s="1"/>
      <c r="F331" s="5"/>
      <c r="G331" s="5"/>
      <c r="H331" s="1"/>
      <c r="I331" s="1"/>
      <c r="J331" s="1"/>
      <c r="K331" s="1"/>
      <c r="L331" s="5"/>
      <c r="M331" s="5"/>
      <c r="N331" s="1"/>
      <c r="O331" s="5"/>
      <c r="P331" s="5"/>
      <c r="Q331" s="1"/>
      <c r="R331" s="156"/>
      <c r="S331" s="156"/>
      <c r="T331" s="157"/>
    </row>
    <row r="332" spans="1:20" ht="13.5" customHeight="1" x14ac:dyDescent="0.25">
      <c r="A332" s="1"/>
      <c r="B332" s="1"/>
      <c r="C332" s="1"/>
      <c r="D332" s="1"/>
      <c r="E332" s="1"/>
      <c r="F332" s="5"/>
      <c r="G332" s="5"/>
      <c r="H332" s="1"/>
      <c r="I332" s="1"/>
      <c r="J332" s="1"/>
      <c r="K332" s="1"/>
      <c r="L332" s="5"/>
      <c r="M332" s="5"/>
      <c r="N332" s="1"/>
      <c r="O332" s="5"/>
      <c r="P332" s="5"/>
      <c r="Q332" s="1"/>
      <c r="R332" s="156"/>
      <c r="S332" s="156"/>
      <c r="T332" s="157"/>
    </row>
    <row r="333" spans="1:20" ht="13.5" customHeight="1" x14ac:dyDescent="0.25">
      <c r="A333" s="1"/>
      <c r="B333" s="1"/>
      <c r="C333" s="1"/>
      <c r="D333" s="1"/>
      <c r="E333" s="1"/>
      <c r="F333" s="5"/>
      <c r="G333" s="5"/>
      <c r="H333" s="1"/>
      <c r="I333" s="1"/>
      <c r="J333" s="1"/>
      <c r="K333" s="1"/>
      <c r="L333" s="5"/>
      <c r="M333" s="5"/>
      <c r="N333" s="1"/>
      <c r="O333" s="5"/>
      <c r="P333" s="5"/>
      <c r="Q333" s="1"/>
      <c r="R333" s="156"/>
      <c r="S333" s="156"/>
      <c r="T333" s="157"/>
    </row>
    <row r="334" spans="1:20" ht="13.5" customHeight="1" x14ac:dyDescent="0.25">
      <c r="A334" s="1"/>
      <c r="B334" s="1"/>
      <c r="C334" s="1"/>
      <c r="D334" s="1"/>
      <c r="E334" s="1"/>
      <c r="F334" s="5"/>
      <c r="G334" s="5"/>
      <c r="H334" s="1"/>
      <c r="I334" s="1"/>
      <c r="J334" s="1"/>
      <c r="K334" s="1"/>
      <c r="L334" s="5"/>
      <c r="M334" s="5"/>
      <c r="N334" s="1"/>
      <c r="O334" s="5"/>
      <c r="P334" s="5"/>
      <c r="Q334" s="1"/>
      <c r="R334" s="156"/>
      <c r="S334" s="156"/>
      <c r="T334" s="157"/>
    </row>
    <row r="335" spans="1:20" ht="13.5" customHeight="1" x14ac:dyDescent="0.25">
      <c r="A335" s="1"/>
      <c r="B335" s="1"/>
      <c r="C335" s="1"/>
      <c r="D335" s="1"/>
      <c r="E335" s="1"/>
      <c r="F335" s="5"/>
      <c r="G335" s="5"/>
      <c r="H335" s="1"/>
      <c r="I335" s="1"/>
      <c r="J335" s="1"/>
      <c r="K335" s="1"/>
      <c r="L335" s="5"/>
      <c r="M335" s="5"/>
      <c r="N335" s="1"/>
      <c r="O335" s="5"/>
      <c r="P335" s="5"/>
      <c r="Q335" s="1"/>
      <c r="R335" s="156"/>
      <c r="S335" s="156"/>
      <c r="T335" s="157"/>
    </row>
    <row r="336" spans="1:20" ht="13.5" customHeight="1" x14ac:dyDescent="0.25">
      <c r="A336" s="1"/>
      <c r="B336" s="1"/>
      <c r="C336" s="1"/>
      <c r="D336" s="1"/>
      <c r="E336" s="1"/>
      <c r="F336" s="5"/>
      <c r="G336" s="5"/>
      <c r="H336" s="1"/>
      <c r="I336" s="1"/>
      <c r="J336" s="1"/>
      <c r="K336" s="1"/>
      <c r="L336" s="5"/>
      <c r="M336" s="5"/>
      <c r="N336" s="1"/>
      <c r="O336" s="5"/>
      <c r="P336" s="5"/>
      <c r="Q336" s="1"/>
      <c r="R336" s="156"/>
      <c r="S336" s="156"/>
      <c r="T336" s="157"/>
    </row>
    <row r="337" spans="1:20" ht="13.5" customHeight="1" x14ac:dyDescent="0.25">
      <c r="A337" s="1"/>
      <c r="B337" s="1"/>
      <c r="C337" s="1"/>
      <c r="D337" s="1"/>
      <c r="E337" s="1"/>
      <c r="F337" s="5"/>
      <c r="G337" s="5"/>
      <c r="H337" s="1"/>
      <c r="I337" s="1"/>
      <c r="J337" s="1"/>
      <c r="K337" s="1"/>
      <c r="L337" s="5"/>
      <c r="M337" s="5"/>
      <c r="N337" s="1"/>
      <c r="O337" s="5"/>
      <c r="P337" s="5"/>
      <c r="Q337" s="1"/>
      <c r="R337" s="156"/>
      <c r="S337" s="156"/>
      <c r="T337" s="157"/>
    </row>
    <row r="338" spans="1:20" ht="13.5" customHeight="1" x14ac:dyDescent="0.25">
      <c r="A338" s="1"/>
      <c r="B338" s="1"/>
      <c r="C338" s="1"/>
      <c r="D338" s="1"/>
      <c r="E338" s="1"/>
      <c r="F338" s="5"/>
      <c r="G338" s="5"/>
      <c r="H338" s="1"/>
      <c r="I338" s="1"/>
      <c r="J338" s="1"/>
      <c r="K338" s="1"/>
      <c r="L338" s="5"/>
      <c r="M338" s="5"/>
      <c r="N338" s="1"/>
      <c r="O338" s="5"/>
      <c r="P338" s="5"/>
      <c r="Q338" s="1"/>
      <c r="R338" s="156"/>
      <c r="S338" s="156"/>
      <c r="T338" s="157"/>
    </row>
    <row r="339" spans="1:20" ht="13.5" customHeight="1" x14ac:dyDescent="0.25">
      <c r="A339" s="1"/>
      <c r="B339" s="1"/>
      <c r="C339" s="1"/>
      <c r="D339" s="1"/>
      <c r="E339" s="1"/>
      <c r="F339" s="5"/>
      <c r="G339" s="5"/>
      <c r="H339" s="1"/>
      <c r="I339" s="1"/>
      <c r="J339" s="1"/>
      <c r="K339" s="1"/>
      <c r="L339" s="5"/>
      <c r="M339" s="5"/>
      <c r="N339" s="1"/>
      <c r="O339" s="5"/>
      <c r="P339" s="5"/>
      <c r="Q339" s="1"/>
      <c r="R339" s="156"/>
      <c r="S339" s="156"/>
      <c r="T339" s="157"/>
    </row>
    <row r="340" spans="1:20" ht="13.5" customHeight="1" x14ac:dyDescent="0.25">
      <c r="A340" s="1"/>
      <c r="B340" s="1"/>
      <c r="C340" s="1"/>
      <c r="D340" s="1"/>
      <c r="E340" s="1"/>
      <c r="F340" s="5"/>
      <c r="G340" s="5"/>
      <c r="H340" s="1"/>
      <c r="I340" s="1"/>
      <c r="J340" s="1"/>
      <c r="K340" s="1"/>
      <c r="L340" s="5"/>
      <c r="M340" s="5"/>
      <c r="N340" s="1"/>
      <c r="O340" s="5"/>
      <c r="P340" s="5"/>
      <c r="Q340" s="1"/>
      <c r="R340" s="156"/>
      <c r="S340" s="156"/>
      <c r="T340" s="157"/>
    </row>
    <row r="341" spans="1:20" ht="13.5" customHeight="1" x14ac:dyDescent="0.25">
      <c r="A341" s="1"/>
      <c r="B341" s="1"/>
      <c r="C341" s="1"/>
      <c r="D341" s="1"/>
      <c r="E341" s="1"/>
      <c r="F341" s="5"/>
      <c r="G341" s="5"/>
      <c r="H341" s="1"/>
      <c r="I341" s="1"/>
      <c r="J341" s="1"/>
      <c r="K341" s="1"/>
      <c r="L341" s="5"/>
      <c r="M341" s="5"/>
      <c r="N341" s="1"/>
      <c r="O341" s="5"/>
      <c r="P341" s="5"/>
      <c r="Q341" s="1"/>
      <c r="R341" s="156"/>
      <c r="S341" s="156"/>
      <c r="T341" s="157"/>
    </row>
    <row r="342" spans="1:20" ht="13.5" customHeight="1" x14ac:dyDescent="0.25">
      <c r="A342" s="1"/>
      <c r="B342" s="1"/>
      <c r="C342" s="1"/>
      <c r="D342" s="1"/>
      <c r="E342" s="1"/>
      <c r="F342" s="5"/>
      <c r="G342" s="5"/>
      <c r="H342" s="1"/>
      <c r="I342" s="1"/>
      <c r="J342" s="1"/>
      <c r="K342" s="1"/>
      <c r="L342" s="5"/>
      <c r="M342" s="5"/>
      <c r="N342" s="1"/>
      <c r="O342" s="5"/>
      <c r="P342" s="5"/>
      <c r="Q342" s="1"/>
      <c r="R342" s="156"/>
      <c r="S342" s="156"/>
      <c r="T342" s="157"/>
    </row>
    <row r="343" spans="1:20" ht="13.5" customHeight="1" x14ac:dyDescent="0.25">
      <c r="A343" s="1"/>
      <c r="B343" s="1"/>
      <c r="C343" s="1"/>
      <c r="D343" s="1"/>
      <c r="E343" s="1"/>
      <c r="F343" s="5"/>
      <c r="G343" s="5"/>
      <c r="H343" s="1"/>
      <c r="I343" s="1"/>
      <c r="J343" s="1"/>
      <c r="K343" s="1"/>
      <c r="L343" s="5"/>
      <c r="M343" s="5"/>
      <c r="N343" s="1"/>
      <c r="O343" s="5"/>
      <c r="P343" s="5"/>
      <c r="Q343" s="1"/>
      <c r="R343" s="156"/>
      <c r="S343" s="156"/>
      <c r="T343" s="157"/>
    </row>
    <row r="344" spans="1:20" ht="13.5" customHeight="1" x14ac:dyDescent="0.25">
      <c r="A344" s="1"/>
      <c r="B344" s="1"/>
      <c r="C344" s="1"/>
      <c r="D344" s="1"/>
      <c r="E344" s="1"/>
      <c r="F344" s="5"/>
      <c r="G344" s="5"/>
      <c r="H344" s="1"/>
      <c r="I344" s="1"/>
      <c r="J344" s="1"/>
      <c r="K344" s="1"/>
      <c r="L344" s="5"/>
      <c r="M344" s="5"/>
      <c r="N344" s="1"/>
      <c r="O344" s="5"/>
      <c r="P344" s="5"/>
      <c r="Q344" s="1"/>
      <c r="R344" s="156"/>
      <c r="S344" s="156"/>
      <c r="T344" s="157"/>
    </row>
    <row r="345" spans="1:20" ht="13.5" customHeight="1" x14ac:dyDescent="0.25">
      <c r="A345" s="1"/>
      <c r="B345" s="1"/>
      <c r="C345" s="1"/>
      <c r="D345" s="1"/>
      <c r="E345" s="1"/>
      <c r="F345" s="5"/>
      <c r="G345" s="5"/>
      <c r="H345" s="1"/>
      <c r="I345" s="1"/>
      <c r="J345" s="1"/>
      <c r="K345" s="1"/>
      <c r="L345" s="5"/>
      <c r="M345" s="5"/>
      <c r="N345" s="1"/>
      <c r="O345" s="5"/>
      <c r="P345" s="5"/>
      <c r="Q345" s="1"/>
      <c r="R345" s="156"/>
      <c r="S345" s="156"/>
      <c r="T345" s="157"/>
    </row>
    <row r="346" spans="1:20" ht="13.5" customHeight="1" x14ac:dyDescent="0.25">
      <c r="A346" s="1"/>
      <c r="B346" s="1"/>
      <c r="C346" s="1"/>
      <c r="D346" s="1"/>
      <c r="E346" s="1"/>
      <c r="F346" s="5"/>
      <c r="G346" s="5"/>
      <c r="H346" s="1"/>
      <c r="I346" s="1"/>
      <c r="J346" s="1"/>
      <c r="K346" s="1"/>
      <c r="L346" s="5"/>
      <c r="M346" s="5"/>
      <c r="N346" s="1"/>
      <c r="O346" s="5"/>
      <c r="P346" s="5"/>
      <c r="Q346" s="1"/>
      <c r="R346" s="156"/>
      <c r="S346" s="156"/>
      <c r="T346" s="157"/>
    </row>
    <row r="347" spans="1:20" ht="13.5" customHeight="1" x14ac:dyDescent="0.25">
      <c r="A347" s="1"/>
      <c r="B347" s="1"/>
      <c r="C347" s="1"/>
      <c r="D347" s="1"/>
      <c r="E347" s="1"/>
      <c r="F347" s="5"/>
      <c r="G347" s="5"/>
      <c r="H347" s="1"/>
      <c r="I347" s="1"/>
      <c r="J347" s="1"/>
      <c r="K347" s="1"/>
      <c r="L347" s="5"/>
      <c r="M347" s="5"/>
      <c r="N347" s="1"/>
      <c r="O347" s="5"/>
      <c r="P347" s="5"/>
      <c r="Q347" s="1"/>
      <c r="R347" s="156"/>
      <c r="S347" s="156"/>
      <c r="T347" s="157"/>
    </row>
    <row r="348" spans="1:20" ht="13.5" customHeight="1" x14ac:dyDescent="0.25">
      <c r="A348" s="1"/>
      <c r="B348" s="1"/>
      <c r="C348" s="1"/>
      <c r="D348" s="1"/>
      <c r="E348" s="1"/>
      <c r="F348" s="5"/>
      <c r="G348" s="5"/>
      <c r="H348" s="1"/>
      <c r="I348" s="1"/>
      <c r="J348" s="1"/>
      <c r="K348" s="1"/>
      <c r="L348" s="5"/>
      <c r="M348" s="5"/>
      <c r="N348" s="1"/>
      <c r="O348" s="5"/>
      <c r="P348" s="5"/>
      <c r="Q348" s="1"/>
      <c r="R348" s="156"/>
      <c r="S348" s="156"/>
      <c r="T348" s="157"/>
    </row>
    <row r="349" spans="1:20" ht="13.5" customHeight="1" x14ac:dyDescent="0.25">
      <c r="A349" s="1"/>
      <c r="B349" s="1"/>
      <c r="C349" s="1"/>
      <c r="D349" s="1"/>
      <c r="E349" s="1"/>
      <c r="F349" s="5"/>
      <c r="G349" s="5"/>
      <c r="H349" s="1"/>
      <c r="I349" s="1"/>
      <c r="J349" s="1"/>
      <c r="K349" s="1"/>
      <c r="L349" s="5"/>
      <c r="M349" s="5"/>
      <c r="N349" s="1"/>
      <c r="O349" s="5"/>
      <c r="P349" s="5"/>
      <c r="Q349" s="1"/>
      <c r="R349" s="156"/>
      <c r="S349" s="156"/>
      <c r="T349" s="157"/>
    </row>
    <row r="350" spans="1:20" ht="13.5" customHeight="1" x14ac:dyDescent="0.25">
      <c r="A350" s="1"/>
      <c r="B350" s="1"/>
      <c r="C350" s="1"/>
      <c r="D350" s="1"/>
      <c r="E350" s="1"/>
      <c r="F350" s="5"/>
      <c r="G350" s="5"/>
      <c r="H350" s="1"/>
      <c r="I350" s="1"/>
      <c r="J350" s="1"/>
      <c r="K350" s="1"/>
      <c r="L350" s="5"/>
      <c r="M350" s="5"/>
      <c r="N350" s="1"/>
      <c r="O350" s="5"/>
      <c r="P350" s="5"/>
      <c r="Q350" s="1"/>
      <c r="R350" s="156"/>
      <c r="S350" s="156"/>
      <c r="T350" s="157"/>
    </row>
    <row r="351" spans="1:20" ht="13.5" customHeight="1" x14ac:dyDescent="0.25">
      <c r="A351" s="1"/>
      <c r="B351" s="1"/>
      <c r="C351" s="1"/>
      <c r="D351" s="1"/>
      <c r="E351" s="1"/>
      <c r="F351" s="5"/>
      <c r="G351" s="5"/>
      <c r="H351" s="1"/>
      <c r="I351" s="1"/>
      <c r="J351" s="1"/>
      <c r="K351" s="1"/>
      <c r="L351" s="5"/>
      <c r="M351" s="5"/>
      <c r="N351" s="1"/>
      <c r="O351" s="5"/>
      <c r="P351" s="5"/>
      <c r="Q351" s="1"/>
      <c r="R351" s="156"/>
      <c r="S351" s="156"/>
      <c r="T351" s="157"/>
    </row>
    <row r="352" spans="1:20" ht="13.5" customHeight="1" x14ac:dyDescent="0.25">
      <c r="A352" s="1"/>
      <c r="B352" s="1"/>
      <c r="C352" s="1"/>
      <c r="D352" s="1"/>
      <c r="E352" s="1"/>
      <c r="F352" s="5"/>
      <c r="G352" s="5"/>
      <c r="H352" s="1"/>
      <c r="I352" s="1"/>
      <c r="J352" s="1"/>
      <c r="K352" s="1"/>
      <c r="L352" s="5"/>
      <c r="M352" s="5"/>
      <c r="N352" s="1"/>
      <c r="O352" s="5"/>
      <c r="P352" s="5"/>
      <c r="Q352" s="1"/>
      <c r="R352" s="156"/>
      <c r="S352" s="156"/>
      <c r="T352" s="157"/>
    </row>
    <row r="353" spans="1:20" ht="13.5" customHeight="1" x14ac:dyDescent="0.25">
      <c r="A353" s="1"/>
      <c r="B353" s="1"/>
      <c r="C353" s="1"/>
      <c r="D353" s="1"/>
      <c r="E353" s="1"/>
      <c r="F353" s="5"/>
      <c r="G353" s="5"/>
      <c r="H353" s="1"/>
      <c r="I353" s="1"/>
      <c r="J353" s="1"/>
      <c r="K353" s="1"/>
      <c r="L353" s="5"/>
      <c r="M353" s="5"/>
      <c r="N353" s="1"/>
      <c r="O353" s="5"/>
      <c r="P353" s="5"/>
      <c r="Q353" s="1"/>
      <c r="R353" s="156"/>
      <c r="S353" s="156"/>
      <c r="T353" s="157"/>
    </row>
    <row r="354" spans="1:20" ht="13.5" customHeight="1" x14ac:dyDescent="0.25">
      <c r="A354" s="1"/>
      <c r="B354" s="1"/>
      <c r="C354" s="1"/>
      <c r="D354" s="1"/>
      <c r="E354" s="1"/>
      <c r="F354" s="5"/>
      <c r="G354" s="5"/>
      <c r="H354" s="1"/>
      <c r="I354" s="1"/>
      <c r="J354" s="1"/>
      <c r="K354" s="1"/>
      <c r="L354" s="5"/>
      <c r="M354" s="5"/>
      <c r="N354" s="1"/>
      <c r="O354" s="5"/>
      <c r="P354" s="5"/>
      <c r="Q354" s="1"/>
      <c r="R354" s="156"/>
      <c r="S354" s="156"/>
      <c r="T354" s="157"/>
    </row>
    <row r="355" spans="1:20" ht="13.5" customHeight="1" x14ac:dyDescent="0.25">
      <c r="A355" s="1"/>
      <c r="B355" s="1"/>
      <c r="C355" s="1"/>
      <c r="D355" s="1"/>
      <c r="E355" s="1"/>
      <c r="F355" s="5"/>
      <c r="G355" s="5"/>
      <c r="H355" s="1"/>
      <c r="I355" s="1"/>
      <c r="J355" s="1"/>
      <c r="K355" s="1"/>
      <c r="L355" s="5"/>
      <c r="M355" s="5"/>
      <c r="N355" s="1"/>
      <c r="O355" s="5"/>
      <c r="P355" s="5"/>
      <c r="Q355" s="1"/>
      <c r="R355" s="156"/>
      <c r="S355" s="156"/>
      <c r="T355" s="157"/>
    </row>
    <row r="356" spans="1:20" ht="13.5" customHeight="1" x14ac:dyDescent="0.25">
      <c r="A356" s="1"/>
      <c r="B356" s="1"/>
      <c r="C356" s="1"/>
      <c r="D356" s="1"/>
      <c r="E356" s="1"/>
      <c r="F356" s="5"/>
      <c r="G356" s="5"/>
      <c r="H356" s="1"/>
      <c r="I356" s="1"/>
      <c r="J356" s="1"/>
      <c r="K356" s="1"/>
      <c r="L356" s="5"/>
      <c r="M356" s="5"/>
      <c r="N356" s="1"/>
      <c r="O356" s="5"/>
      <c r="P356" s="5"/>
      <c r="Q356" s="1"/>
      <c r="R356" s="156"/>
      <c r="S356" s="156"/>
      <c r="T356" s="157"/>
    </row>
    <row r="357" spans="1:20" ht="13.5" customHeight="1" x14ac:dyDescent="0.25">
      <c r="A357" s="1"/>
      <c r="B357" s="1"/>
      <c r="C357" s="1"/>
      <c r="D357" s="1"/>
      <c r="E357" s="1"/>
      <c r="F357" s="5"/>
      <c r="G357" s="5"/>
      <c r="H357" s="1"/>
      <c r="I357" s="1"/>
      <c r="J357" s="1"/>
      <c r="K357" s="1"/>
      <c r="L357" s="5"/>
      <c r="M357" s="5"/>
      <c r="N357" s="1"/>
      <c r="O357" s="5"/>
      <c r="P357" s="5"/>
      <c r="Q357" s="1"/>
      <c r="R357" s="156"/>
      <c r="S357" s="156"/>
      <c r="T357" s="157"/>
    </row>
    <row r="358" spans="1:20" ht="13.5" customHeight="1" x14ac:dyDescent="0.25">
      <c r="A358" s="1"/>
      <c r="B358" s="1"/>
      <c r="C358" s="1"/>
      <c r="D358" s="1"/>
      <c r="E358" s="1"/>
      <c r="F358" s="5"/>
      <c r="G358" s="5"/>
      <c r="H358" s="1"/>
      <c r="I358" s="1"/>
      <c r="J358" s="1"/>
      <c r="K358" s="1"/>
      <c r="L358" s="5"/>
      <c r="M358" s="5"/>
      <c r="N358" s="1"/>
      <c r="O358" s="5"/>
      <c r="P358" s="5"/>
      <c r="Q358" s="1"/>
      <c r="R358" s="156"/>
      <c r="S358" s="156"/>
      <c r="T358" s="157"/>
    </row>
    <row r="359" spans="1:20" ht="13.5" customHeight="1" x14ac:dyDescent="0.25">
      <c r="A359" s="1"/>
      <c r="B359" s="1"/>
      <c r="C359" s="1"/>
      <c r="D359" s="1"/>
      <c r="E359" s="1"/>
      <c r="F359" s="5"/>
      <c r="G359" s="5"/>
      <c r="H359" s="1"/>
      <c r="I359" s="1"/>
      <c r="J359" s="1"/>
      <c r="K359" s="1"/>
      <c r="L359" s="5"/>
      <c r="M359" s="5"/>
      <c r="N359" s="1"/>
      <c r="O359" s="5"/>
      <c r="P359" s="5"/>
      <c r="Q359" s="1"/>
      <c r="R359" s="156"/>
      <c r="S359" s="156"/>
      <c r="T359" s="157"/>
    </row>
    <row r="360" spans="1:20" ht="13.5" customHeight="1" x14ac:dyDescent="0.25">
      <c r="A360" s="1"/>
      <c r="B360" s="1"/>
      <c r="C360" s="1"/>
      <c r="D360" s="1"/>
      <c r="E360" s="1"/>
      <c r="F360" s="5"/>
      <c r="G360" s="5"/>
      <c r="H360" s="1"/>
      <c r="I360" s="1"/>
      <c r="J360" s="1"/>
      <c r="K360" s="1"/>
      <c r="L360" s="5"/>
      <c r="M360" s="5"/>
      <c r="N360" s="1"/>
      <c r="O360" s="5"/>
      <c r="P360" s="5"/>
      <c r="Q360" s="1"/>
      <c r="R360" s="156"/>
      <c r="S360" s="156"/>
      <c r="T360" s="157"/>
    </row>
    <row r="361" spans="1:20" ht="13.5" customHeight="1" x14ac:dyDescent="0.25">
      <c r="A361" s="1"/>
      <c r="B361" s="1"/>
      <c r="C361" s="1"/>
      <c r="D361" s="1"/>
      <c r="E361" s="1"/>
      <c r="F361" s="5"/>
      <c r="G361" s="5"/>
      <c r="H361" s="1"/>
      <c r="I361" s="1"/>
      <c r="J361" s="1"/>
      <c r="K361" s="1"/>
      <c r="L361" s="5"/>
      <c r="M361" s="5"/>
      <c r="N361" s="1"/>
      <c r="O361" s="5"/>
      <c r="P361" s="5"/>
      <c r="Q361" s="1"/>
      <c r="R361" s="156"/>
      <c r="S361" s="156"/>
      <c r="T361" s="157"/>
    </row>
    <row r="362" spans="1:20" ht="13.5" customHeight="1" x14ac:dyDescent="0.25">
      <c r="A362" s="1"/>
      <c r="B362" s="1"/>
      <c r="C362" s="1"/>
      <c r="D362" s="1"/>
      <c r="E362" s="1"/>
      <c r="F362" s="5"/>
      <c r="G362" s="5"/>
      <c r="H362" s="1"/>
      <c r="I362" s="1"/>
      <c r="J362" s="1"/>
      <c r="K362" s="1"/>
      <c r="L362" s="5"/>
      <c r="M362" s="5"/>
      <c r="N362" s="1"/>
      <c r="O362" s="5"/>
      <c r="P362" s="5"/>
      <c r="Q362" s="1"/>
      <c r="R362" s="156"/>
      <c r="S362" s="156"/>
      <c r="T362" s="157"/>
    </row>
    <row r="363" spans="1:20" ht="13.5" customHeight="1" x14ac:dyDescent="0.25">
      <c r="A363" s="1"/>
      <c r="B363" s="1"/>
      <c r="C363" s="1"/>
      <c r="D363" s="1"/>
      <c r="E363" s="1"/>
      <c r="F363" s="5"/>
      <c r="G363" s="5"/>
      <c r="H363" s="1"/>
      <c r="I363" s="1"/>
      <c r="J363" s="1"/>
      <c r="K363" s="1"/>
      <c r="L363" s="5"/>
      <c r="M363" s="5"/>
      <c r="N363" s="1"/>
      <c r="O363" s="5"/>
      <c r="P363" s="5"/>
      <c r="Q363" s="1"/>
      <c r="R363" s="156"/>
      <c r="S363" s="156"/>
      <c r="T363" s="157"/>
    </row>
    <row r="364" spans="1:20" ht="13.5" customHeight="1" x14ac:dyDescent="0.25">
      <c r="A364" s="1"/>
      <c r="B364" s="1"/>
      <c r="C364" s="1"/>
      <c r="D364" s="1"/>
      <c r="E364" s="1"/>
      <c r="F364" s="5"/>
      <c r="G364" s="5"/>
      <c r="H364" s="1"/>
      <c r="I364" s="1"/>
      <c r="J364" s="1"/>
      <c r="K364" s="1"/>
      <c r="L364" s="5"/>
      <c r="M364" s="5"/>
      <c r="N364" s="1"/>
      <c r="O364" s="5"/>
      <c r="P364" s="5"/>
      <c r="Q364" s="1"/>
      <c r="R364" s="156"/>
      <c r="S364" s="156"/>
      <c r="T364" s="157"/>
    </row>
    <row r="365" spans="1:20" ht="13.5" customHeight="1" x14ac:dyDescent="0.25">
      <c r="A365" s="1"/>
      <c r="B365" s="1"/>
      <c r="C365" s="1"/>
      <c r="D365" s="1"/>
      <c r="E365" s="1"/>
      <c r="F365" s="5"/>
      <c r="G365" s="5"/>
      <c r="H365" s="1"/>
      <c r="I365" s="1"/>
      <c r="J365" s="1"/>
      <c r="K365" s="1"/>
      <c r="L365" s="5"/>
      <c r="M365" s="5"/>
      <c r="N365" s="1"/>
      <c r="O365" s="5"/>
      <c r="P365" s="5"/>
      <c r="Q365" s="1"/>
      <c r="R365" s="156"/>
      <c r="S365" s="156"/>
      <c r="T365" s="157"/>
    </row>
    <row r="366" spans="1:20" ht="13.5" customHeight="1" x14ac:dyDescent="0.25">
      <c r="A366" s="1"/>
      <c r="B366" s="1"/>
      <c r="C366" s="1"/>
      <c r="D366" s="1"/>
      <c r="E366" s="1"/>
      <c r="F366" s="5"/>
      <c r="G366" s="5"/>
      <c r="H366" s="1"/>
      <c r="I366" s="1"/>
      <c r="J366" s="1"/>
      <c r="K366" s="1"/>
      <c r="L366" s="5"/>
      <c r="M366" s="5"/>
      <c r="N366" s="1"/>
      <c r="O366" s="5"/>
      <c r="P366" s="5"/>
      <c r="Q366" s="1"/>
      <c r="R366" s="156"/>
      <c r="S366" s="156"/>
      <c r="T366" s="157"/>
    </row>
    <row r="367" spans="1:20" ht="13.5" customHeight="1" x14ac:dyDescent="0.25">
      <c r="A367" s="1"/>
      <c r="B367" s="1"/>
      <c r="C367" s="1"/>
      <c r="D367" s="1"/>
      <c r="E367" s="1"/>
      <c r="F367" s="5"/>
      <c r="G367" s="5"/>
      <c r="H367" s="1"/>
      <c r="I367" s="1"/>
      <c r="J367" s="1"/>
      <c r="K367" s="1"/>
      <c r="L367" s="5"/>
      <c r="M367" s="5"/>
      <c r="N367" s="1"/>
      <c r="O367" s="5"/>
      <c r="P367" s="5"/>
      <c r="Q367" s="1"/>
      <c r="R367" s="156"/>
      <c r="S367" s="156"/>
      <c r="T367" s="157"/>
    </row>
    <row r="368" spans="1:20" ht="13.5" customHeight="1" x14ac:dyDescent="0.25">
      <c r="A368" s="1"/>
      <c r="B368" s="1"/>
      <c r="C368" s="1"/>
      <c r="D368" s="1"/>
      <c r="E368" s="1"/>
      <c r="F368" s="5"/>
      <c r="G368" s="5"/>
      <c r="H368" s="1"/>
      <c r="I368" s="1"/>
      <c r="J368" s="1"/>
      <c r="K368" s="1"/>
      <c r="L368" s="5"/>
      <c r="M368" s="5"/>
      <c r="N368" s="1"/>
      <c r="O368" s="5"/>
      <c r="P368" s="5"/>
      <c r="Q368" s="1"/>
      <c r="R368" s="156"/>
      <c r="S368" s="156"/>
      <c r="T368" s="157"/>
    </row>
    <row r="369" spans="1:20" ht="13.5" customHeight="1" x14ac:dyDescent="0.25">
      <c r="A369" s="1"/>
      <c r="B369" s="1"/>
      <c r="C369" s="1"/>
      <c r="D369" s="1"/>
      <c r="E369" s="1"/>
      <c r="F369" s="5"/>
      <c r="G369" s="5"/>
      <c r="H369" s="1"/>
      <c r="I369" s="1"/>
      <c r="J369" s="1"/>
      <c r="K369" s="1"/>
      <c r="L369" s="5"/>
      <c r="M369" s="5"/>
      <c r="N369" s="1"/>
      <c r="O369" s="5"/>
      <c r="P369" s="5"/>
      <c r="Q369" s="1"/>
      <c r="R369" s="156"/>
      <c r="S369" s="156"/>
      <c r="T369" s="157"/>
    </row>
    <row r="370" spans="1:20" ht="13.5" customHeight="1" x14ac:dyDescent="0.25">
      <c r="A370" s="1"/>
      <c r="B370" s="1"/>
      <c r="C370" s="1"/>
      <c r="D370" s="1"/>
      <c r="E370" s="1"/>
      <c r="F370" s="5"/>
      <c r="G370" s="5"/>
      <c r="H370" s="1"/>
      <c r="I370" s="1"/>
      <c r="J370" s="1"/>
      <c r="K370" s="1"/>
      <c r="L370" s="5"/>
      <c r="M370" s="5"/>
      <c r="N370" s="1"/>
      <c r="O370" s="5"/>
      <c r="P370" s="5"/>
      <c r="Q370" s="1"/>
      <c r="R370" s="156"/>
      <c r="S370" s="156"/>
      <c r="T370" s="157"/>
    </row>
    <row r="371" spans="1:20" ht="13.5" customHeight="1" x14ac:dyDescent="0.25">
      <c r="A371" s="1"/>
      <c r="B371" s="1"/>
      <c r="C371" s="1"/>
      <c r="D371" s="1"/>
      <c r="E371" s="1"/>
      <c r="F371" s="5"/>
      <c r="G371" s="5"/>
      <c r="H371" s="1"/>
      <c r="I371" s="1"/>
      <c r="J371" s="1"/>
      <c r="K371" s="1"/>
      <c r="L371" s="5"/>
      <c r="M371" s="5"/>
      <c r="N371" s="1"/>
      <c r="O371" s="5"/>
      <c r="P371" s="5"/>
      <c r="Q371" s="1"/>
      <c r="R371" s="156"/>
      <c r="S371" s="156"/>
      <c r="T371" s="157"/>
    </row>
    <row r="372" spans="1:20" ht="13.5" customHeight="1" x14ac:dyDescent="0.25">
      <c r="A372" s="1"/>
      <c r="B372" s="1"/>
      <c r="C372" s="1"/>
      <c r="D372" s="1"/>
      <c r="E372" s="1"/>
      <c r="F372" s="5"/>
      <c r="G372" s="5"/>
      <c r="H372" s="1"/>
      <c r="I372" s="1"/>
      <c r="J372" s="1"/>
      <c r="K372" s="1"/>
      <c r="L372" s="5"/>
      <c r="M372" s="5"/>
      <c r="N372" s="1"/>
      <c r="O372" s="5"/>
      <c r="P372" s="5"/>
      <c r="Q372" s="1"/>
      <c r="R372" s="156"/>
      <c r="S372" s="156"/>
      <c r="T372" s="157"/>
    </row>
    <row r="373" spans="1:20" ht="13.5" customHeight="1" x14ac:dyDescent="0.25">
      <c r="A373" s="1"/>
      <c r="B373" s="1"/>
      <c r="C373" s="1"/>
      <c r="D373" s="1"/>
      <c r="E373" s="1"/>
      <c r="F373" s="5"/>
      <c r="G373" s="5"/>
      <c r="H373" s="1"/>
      <c r="I373" s="1"/>
      <c r="J373" s="1"/>
      <c r="K373" s="1"/>
      <c r="L373" s="5"/>
      <c r="M373" s="5"/>
      <c r="N373" s="1"/>
      <c r="O373" s="5"/>
      <c r="P373" s="5"/>
      <c r="Q373" s="1"/>
      <c r="R373" s="156"/>
      <c r="S373" s="156"/>
      <c r="T373" s="157"/>
    </row>
    <row r="374" spans="1:20" ht="13.5" customHeight="1" x14ac:dyDescent="0.25">
      <c r="A374" s="1"/>
      <c r="B374" s="1"/>
      <c r="C374" s="1"/>
      <c r="D374" s="1"/>
      <c r="E374" s="1"/>
      <c r="F374" s="5"/>
      <c r="G374" s="5"/>
      <c r="H374" s="1"/>
      <c r="I374" s="1"/>
      <c r="J374" s="1"/>
      <c r="K374" s="1"/>
      <c r="L374" s="5"/>
      <c r="M374" s="5"/>
      <c r="N374" s="1"/>
      <c r="O374" s="5"/>
      <c r="P374" s="5"/>
      <c r="Q374" s="1"/>
      <c r="R374" s="156"/>
      <c r="S374" s="156"/>
      <c r="T374" s="157"/>
    </row>
    <row r="375" spans="1:20" ht="13.5" customHeight="1" x14ac:dyDescent="0.25">
      <c r="A375" s="1"/>
      <c r="B375" s="1"/>
      <c r="C375" s="1"/>
      <c r="D375" s="1"/>
      <c r="E375" s="1"/>
      <c r="F375" s="5"/>
      <c r="G375" s="5"/>
      <c r="H375" s="1"/>
      <c r="I375" s="1"/>
      <c r="J375" s="1"/>
      <c r="K375" s="1"/>
      <c r="L375" s="5"/>
      <c r="M375" s="5"/>
      <c r="N375" s="1"/>
      <c r="O375" s="5"/>
      <c r="P375" s="5"/>
      <c r="Q375" s="1"/>
      <c r="R375" s="156"/>
      <c r="S375" s="156"/>
      <c r="T375" s="157"/>
    </row>
    <row r="376" spans="1:20" ht="13.5" customHeight="1" x14ac:dyDescent="0.25">
      <c r="A376" s="1"/>
      <c r="B376" s="1"/>
      <c r="C376" s="1"/>
      <c r="D376" s="1"/>
      <c r="E376" s="1"/>
      <c r="F376" s="5"/>
      <c r="G376" s="5"/>
      <c r="H376" s="1"/>
      <c r="I376" s="1"/>
      <c r="J376" s="1"/>
      <c r="K376" s="1"/>
      <c r="L376" s="5"/>
      <c r="M376" s="5"/>
      <c r="N376" s="1"/>
      <c r="O376" s="5"/>
      <c r="P376" s="5"/>
      <c r="Q376" s="1"/>
      <c r="R376" s="156"/>
      <c r="S376" s="156"/>
      <c r="T376" s="157"/>
    </row>
    <row r="377" spans="1:20" ht="13.5" customHeight="1" x14ac:dyDescent="0.25">
      <c r="A377" s="1"/>
      <c r="B377" s="1"/>
      <c r="C377" s="1"/>
      <c r="D377" s="1"/>
      <c r="E377" s="1"/>
      <c r="F377" s="5"/>
      <c r="G377" s="5"/>
      <c r="H377" s="1"/>
      <c r="I377" s="1"/>
      <c r="J377" s="1"/>
      <c r="K377" s="1"/>
      <c r="L377" s="5"/>
      <c r="M377" s="5"/>
      <c r="N377" s="1"/>
      <c r="O377" s="5"/>
      <c r="P377" s="5"/>
      <c r="Q377" s="1"/>
      <c r="R377" s="156"/>
      <c r="S377" s="156"/>
      <c r="T377" s="157"/>
    </row>
    <row r="378" spans="1:20" ht="13.5" customHeight="1" x14ac:dyDescent="0.25">
      <c r="A378" s="1"/>
      <c r="B378" s="1"/>
      <c r="C378" s="1"/>
      <c r="D378" s="1"/>
      <c r="E378" s="1"/>
      <c r="F378" s="5"/>
      <c r="G378" s="5"/>
      <c r="H378" s="1"/>
      <c r="I378" s="1"/>
      <c r="J378" s="1"/>
      <c r="K378" s="1"/>
      <c r="L378" s="5"/>
      <c r="M378" s="5"/>
      <c r="N378" s="1"/>
      <c r="O378" s="5"/>
      <c r="P378" s="5"/>
      <c r="Q378" s="1"/>
      <c r="R378" s="156"/>
      <c r="S378" s="156"/>
      <c r="T378" s="157"/>
    </row>
    <row r="379" spans="1:20" ht="13.5" customHeight="1" x14ac:dyDescent="0.25">
      <c r="A379" s="1"/>
      <c r="B379" s="1"/>
      <c r="C379" s="1"/>
      <c r="D379" s="1"/>
      <c r="E379" s="1"/>
      <c r="F379" s="5"/>
      <c r="G379" s="5"/>
      <c r="H379" s="1"/>
      <c r="I379" s="1"/>
      <c r="J379" s="1"/>
      <c r="K379" s="1"/>
      <c r="L379" s="5"/>
      <c r="M379" s="5"/>
      <c r="N379" s="1"/>
      <c r="O379" s="5"/>
      <c r="P379" s="5"/>
      <c r="Q379" s="1"/>
      <c r="R379" s="156"/>
      <c r="S379" s="156"/>
      <c r="T379" s="157"/>
    </row>
    <row r="380" spans="1:20" ht="13.5" customHeight="1" x14ac:dyDescent="0.25">
      <c r="A380" s="1"/>
      <c r="B380" s="1"/>
      <c r="C380" s="1"/>
      <c r="D380" s="1"/>
      <c r="E380" s="1"/>
      <c r="F380" s="5"/>
      <c r="G380" s="5"/>
      <c r="H380" s="1"/>
      <c r="I380" s="1"/>
      <c r="J380" s="1"/>
      <c r="K380" s="1"/>
      <c r="L380" s="5"/>
      <c r="M380" s="5"/>
      <c r="N380" s="1"/>
      <c r="O380" s="5"/>
      <c r="P380" s="5"/>
      <c r="Q380" s="1"/>
      <c r="R380" s="156"/>
      <c r="S380" s="156"/>
      <c r="T380" s="157"/>
    </row>
    <row r="381" spans="1:20" ht="13.5" customHeight="1" x14ac:dyDescent="0.25">
      <c r="A381" s="1"/>
      <c r="B381" s="1"/>
      <c r="C381" s="1"/>
      <c r="D381" s="1"/>
      <c r="E381" s="1"/>
      <c r="F381" s="5"/>
      <c r="G381" s="5"/>
      <c r="H381" s="1"/>
      <c r="I381" s="1"/>
      <c r="J381" s="1"/>
      <c r="K381" s="1"/>
      <c r="L381" s="5"/>
      <c r="M381" s="5"/>
      <c r="N381" s="1"/>
      <c r="O381" s="5"/>
      <c r="P381" s="5"/>
      <c r="Q381" s="1"/>
      <c r="R381" s="156"/>
      <c r="S381" s="156"/>
      <c r="T381" s="157"/>
    </row>
    <row r="382" spans="1:20" ht="13.5" customHeight="1" x14ac:dyDescent="0.25">
      <c r="A382" s="1"/>
      <c r="B382" s="1"/>
      <c r="C382" s="1"/>
      <c r="D382" s="1"/>
      <c r="E382" s="1"/>
      <c r="F382" s="5"/>
      <c r="G382" s="5"/>
      <c r="H382" s="1"/>
      <c r="I382" s="1"/>
      <c r="J382" s="1"/>
      <c r="K382" s="1"/>
      <c r="L382" s="5"/>
      <c r="M382" s="5"/>
      <c r="N382" s="1"/>
      <c r="O382" s="5"/>
      <c r="P382" s="5"/>
      <c r="Q382" s="1"/>
      <c r="R382" s="156"/>
      <c r="S382" s="156"/>
      <c r="T382" s="157"/>
    </row>
    <row r="383" spans="1:20" ht="13.5" customHeight="1" x14ac:dyDescent="0.25">
      <c r="A383" s="1"/>
      <c r="B383" s="1"/>
      <c r="C383" s="1"/>
      <c r="D383" s="1"/>
      <c r="E383" s="1"/>
      <c r="F383" s="5"/>
      <c r="G383" s="5"/>
      <c r="H383" s="1"/>
      <c r="I383" s="1"/>
      <c r="J383" s="1"/>
      <c r="K383" s="1"/>
      <c r="L383" s="5"/>
      <c r="M383" s="5"/>
      <c r="N383" s="1"/>
      <c r="O383" s="5"/>
      <c r="P383" s="5"/>
      <c r="Q383" s="1"/>
      <c r="R383" s="156"/>
      <c r="S383" s="156"/>
      <c r="T383" s="157"/>
    </row>
    <row r="384" spans="1:20" ht="13.5" customHeight="1" x14ac:dyDescent="0.25">
      <c r="A384" s="1"/>
      <c r="B384" s="1"/>
      <c r="C384" s="1"/>
      <c r="D384" s="1"/>
      <c r="E384" s="1"/>
      <c r="F384" s="5"/>
      <c r="G384" s="5"/>
      <c r="H384" s="1"/>
      <c r="I384" s="1"/>
      <c r="J384" s="1"/>
      <c r="K384" s="1"/>
      <c r="L384" s="5"/>
      <c r="M384" s="5"/>
      <c r="N384" s="1"/>
      <c r="O384" s="5"/>
      <c r="P384" s="5"/>
      <c r="Q384" s="1"/>
      <c r="R384" s="156"/>
      <c r="S384" s="156"/>
      <c r="T384" s="157"/>
    </row>
    <row r="385" spans="1:20" ht="13.5" customHeight="1" x14ac:dyDescent="0.25">
      <c r="A385" s="1"/>
      <c r="B385" s="1"/>
      <c r="C385" s="1"/>
      <c r="D385" s="1"/>
      <c r="E385" s="1"/>
      <c r="F385" s="5"/>
      <c r="G385" s="5"/>
      <c r="H385" s="1"/>
      <c r="I385" s="1"/>
      <c r="J385" s="1"/>
      <c r="K385" s="1"/>
      <c r="L385" s="5"/>
      <c r="M385" s="5"/>
      <c r="N385" s="1"/>
      <c r="O385" s="5"/>
      <c r="P385" s="5"/>
      <c r="Q385" s="1"/>
      <c r="R385" s="156"/>
      <c r="S385" s="156"/>
      <c r="T385" s="157"/>
    </row>
    <row r="386" spans="1:20" ht="13.5" customHeight="1" x14ac:dyDescent="0.25">
      <c r="A386" s="1"/>
      <c r="B386" s="1"/>
      <c r="C386" s="1"/>
      <c r="D386" s="1"/>
      <c r="E386" s="1"/>
      <c r="F386" s="5"/>
      <c r="G386" s="5"/>
      <c r="H386" s="1"/>
      <c r="I386" s="1"/>
      <c r="J386" s="1"/>
      <c r="K386" s="1"/>
      <c r="L386" s="5"/>
      <c r="M386" s="5"/>
      <c r="N386" s="1"/>
      <c r="O386" s="5"/>
      <c r="P386" s="5"/>
      <c r="Q386" s="1"/>
      <c r="R386" s="156"/>
      <c r="S386" s="156"/>
      <c r="T386" s="157"/>
    </row>
    <row r="387" spans="1:20" ht="13.5" customHeight="1" x14ac:dyDescent="0.25">
      <c r="A387" s="1"/>
      <c r="B387" s="1"/>
      <c r="C387" s="1"/>
      <c r="D387" s="1"/>
      <c r="E387" s="1"/>
      <c r="F387" s="5"/>
      <c r="G387" s="5"/>
      <c r="H387" s="1"/>
      <c r="I387" s="1"/>
      <c r="J387" s="1"/>
      <c r="K387" s="1"/>
      <c r="L387" s="5"/>
      <c r="M387" s="5"/>
      <c r="N387" s="1"/>
      <c r="O387" s="5"/>
      <c r="P387" s="5"/>
      <c r="Q387" s="1"/>
      <c r="R387" s="156"/>
      <c r="S387" s="156"/>
      <c r="T387" s="157"/>
    </row>
    <row r="388" spans="1:20" ht="13.5" customHeight="1" x14ac:dyDescent="0.25">
      <c r="A388" s="1"/>
      <c r="B388" s="1"/>
      <c r="C388" s="1"/>
      <c r="D388" s="1"/>
      <c r="E388" s="1"/>
      <c r="F388" s="5"/>
      <c r="G388" s="5"/>
      <c r="H388" s="1"/>
      <c r="I388" s="1"/>
      <c r="J388" s="1"/>
      <c r="K388" s="1"/>
      <c r="L388" s="5"/>
      <c r="M388" s="5"/>
      <c r="N388" s="1"/>
      <c r="O388" s="5"/>
      <c r="P388" s="5"/>
      <c r="Q388" s="1"/>
      <c r="R388" s="156"/>
      <c r="S388" s="156"/>
      <c r="T388" s="157"/>
    </row>
    <row r="389" spans="1:20" ht="13.5" customHeight="1" x14ac:dyDescent="0.25">
      <c r="A389" s="1"/>
      <c r="B389" s="1"/>
      <c r="C389" s="1"/>
      <c r="D389" s="1"/>
      <c r="E389" s="1"/>
      <c r="F389" s="5"/>
      <c r="G389" s="5"/>
      <c r="H389" s="1"/>
      <c r="I389" s="1"/>
      <c r="J389" s="1"/>
      <c r="K389" s="1"/>
      <c r="L389" s="5"/>
      <c r="M389" s="5"/>
      <c r="N389" s="1"/>
      <c r="O389" s="5"/>
      <c r="P389" s="5"/>
      <c r="Q389" s="1"/>
      <c r="R389" s="156"/>
      <c r="S389" s="156"/>
      <c r="T389" s="157"/>
    </row>
    <row r="390" spans="1:20" ht="13.5" customHeight="1" x14ac:dyDescent="0.25">
      <c r="A390" s="1"/>
      <c r="B390" s="1"/>
      <c r="C390" s="1"/>
      <c r="D390" s="1"/>
      <c r="E390" s="1"/>
      <c r="F390" s="5"/>
      <c r="G390" s="5"/>
      <c r="H390" s="1"/>
      <c r="I390" s="1"/>
      <c r="J390" s="1"/>
      <c r="K390" s="1"/>
      <c r="L390" s="5"/>
      <c r="M390" s="5"/>
      <c r="N390" s="1"/>
      <c r="O390" s="5"/>
      <c r="P390" s="5"/>
      <c r="Q390" s="1"/>
      <c r="R390" s="156"/>
      <c r="S390" s="156"/>
      <c r="T390" s="157"/>
    </row>
    <row r="391" spans="1:20" ht="13.5" customHeight="1" x14ac:dyDescent="0.25">
      <c r="A391" s="1"/>
      <c r="B391" s="1"/>
      <c r="C391" s="1"/>
      <c r="D391" s="1"/>
      <c r="E391" s="1"/>
      <c r="F391" s="5"/>
      <c r="G391" s="5"/>
      <c r="H391" s="1"/>
      <c r="I391" s="1"/>
      <c r="J391" s="1"/>
      <c r="K391" s="1"/>
      <c r="L391" s="5"/>
      <c r="M391" s="5"/>
      <c r="N391" s="1"/>
      <c r="O391" s="5"/>
      <c r="P391" s="5"/>
      <c r="Q391" s="1"/>
      <c r="R391" s="156"/>
      <c r="S391" s="156"/>
      <c r="T391" s="157"/>
    </row>
    <row r="392" spans="1:20" ht="13.5" customHeight="1" x14ac:dyDescent="0.25">
      <c r="A392" s="1"/>
      <c r="B392" s="1"/>
      <c r="C392" s="1"/>
      <c r="D392" s="1"/>
      <c r="E392" s="1"/>
      <c r="F392" s="5"/>
      <c r="G392" s="5"/>
      <c r="H392" s="1"/>
      <c r="I392" s="1"/>
      <c r="J392" s="1"/>
      <c r="K392" s="1"/>
      <c r="L392" s="5"/>
      <c r="M392" s="5"/>
      <c r="N392" s="1"/>
      <c r="O392" s="5"/>
      <c r="P392" s="5"/>
      <c r="Q392" s="1"/>
      <c r="R392" s="156"/>
      <c r="S392" s="156"/>
      <c r="T392" s="157"/>
    </row>
    <row r="393" spans="1:20" ht="13.5" customHeight="1" x14ac:dyDescent="0.25">
      <c r="A393" s="1"/>
      <c r="B393" s="1"/>
      <c r="C393" s="1"/>
      <c r="D393" s="1"/>
      <c r="E393" s="1"/>
      <c r="F393" s="5"/>
      <c r="G393" s="5"/>
      <c r="H393" s="1"/>
      <c r="I393" s="1"/>
      <c r="J393" s="1"/>
      <c r="K393" s="1"/>
      <c r="L393" s="5"/>
      <c r="M393" s="5"/>
      <c r="N393" s="1"/>
      <c r="O393" s="5"/>
      <c r="P393" s="5"/>
      <c r="Q393" s="1"/>
      <c r="R393" s="156"/>
      <c r="S393" s="156"/>
      <c r="T393" s="157"/>
    </row>
    <row r="394" spans="1:20" ht="13.5" customHeight="1" x14ac:dyDescent="0.25">
      <c r="A394" s="1"/>
      <c r="B394" s="1"/>
      <c r="C394" s="1"/>
      <c r="D394" s="1"/>
      <c r="E394" s="1"/>
      <c r="F394" s="5"/>
      <c r="G394" s="5"/>
      <c r="H394" s="1"/>
      <c r="I394" s="1"/>
      <c r="J394" s="1"/>
      <c r="K394" s="1"/>
      <c r="L394" s="5"/>
      <c r="M394" s="5"/>
      <c r="N394" s="1"/>
      <c r="O394" s="5"/>
      <c r="P394" s="5"/>
      <c r="Q394" s="1"/>
      <c r="R394" s="156"/>
      <c r="S394" s="156"/>
      <c r="T394" s="157"/>
    </row>
    <row r="395" spans="1:20" ht="13.5" customHeight="1" x14ac:dyDescent="0.25">
      <c r="A395" s="1"/>
      <c r="B395" s="1"/>
      <c r="C395" s="1"/>
      <c r="D395" s="1"/>
      <c r="E395" s="1"/>
      <c r="F395" s="5"/>
      <c r="G395" s="5"/>
      <c r="H395" s="1"/>
      <c r="I395" s="1"/>
      <c r="J395" s="1"/>
      <c r="K395" s="1"/>
      <c r="L395" s="5"/>
      <c r="M395" s="5"/>
      <c r="N395" s="1"/>
      <c r="O395" s="5"/>
      <c r="P395" s="5"/>
      <c r="Q395" s="1"/>
      <c r="R395" s="156"/>
      <c r="S395" s="156"/>
      <c r="T395" s="157"/>
    </row>
    <row r="396" spans="1:20" ht="13.5" customHeight="1" x14ac:dyDescent="0.25">
      <c r="A396" s="1"/>
      <c r="B396" s="1"/>
      <c r="C396" s="1"/>
      <c r="D396" s="1"/>
      <c r="E396" s="1"/>
      <c r="F396" s="5"/>
      <c r="G396" s="5"/>
      <c r="H396" s="1"/>
      <c r="I396" s="1"/>
      <c r="J396" s="1"/>
      <c r="K396" s="1"/>
      <c r="L396" s="5"/>
      <c r="M396" s="5"/>
      <c r="N396" s="1"/>
      <c r="O396" s="5"/>
      <c r="P396" s="5"/>
      <c r="Q396" s="1"/>
      <c r="R396" s="156"/>
      <c r="S396" s="156"/>
      <c r="T396" s="157"/>
    </row>
    <row r="397" spans="1:20" ht="13.5" customHeight="1" x14ac:dyDescent="0.25">
      <c r="A397" s="1"/>
      <c r="B397" s="1"/>
      <c r="C397" s="1"/>
      <c r="D397" s="1"/>
      <c r="E397" s="1"/>
      <c r="F397" s="5"/>
      <c r="G397" s="5"/>
      <c r="H397" s="1"/>
      <c r="I397" s="1"/>
      <c r="J397" s="1"/>
      <c r="K397" s="1"/>
      <c r="L397" s="5"/>
      <c r="M397" s="5"/>
      <c r="N397" s="1"/>
      <c r="O397" s="5"/>
      <c r="P397" s="5"/>
      <c r="Q397" s="1"/>
      <c r="R397" s="156"/>
      <c r="S397" s="156"/>
      <c r="T397" s="157"/>
    </row>
    <row r="398" spans="1:20" ht="13.5" customHeight="1" x14ac:dyDescent="0.25">
      <c r="A398" s="1"/>
      <c r="B398" s="1"/>
      <c r="C398" s="1"/>
      <c r="D398" s="1"/>
      <c r="E398" s="1"/>
      <c r="F398" s="5"/>
      <c r="G398" s="5"/>
      <c r="H398" s="1"/>
      <c r="I398" s="1"/>
      <c r="J398" s="1"/>
      <c r="K398" s="1"/>
      <c r="L398" s="5"/>
      <c r="M398" s="5"/>
      <c r="N398" s="1"/>
      <c r="O398" s="5"/>
      <c r="P398" s="5"/>
      <c r="Q398" s="1"/>
      <c r="R398" s="156"/>
      <c r="S398" s="156"/>
      <c r="T398" s="157"/>
    </row>
    <row r="399" spans="1:20" ht="13.5" customHeight="1" x14ac:dyDescent="0.25">
      <c r="A399" s="1"/>
      <c r="B399" s="1"/>
      <c r="C399" s="1"/>
      <c r="D399" s="1"/>
      <c r="E399" s="1"/>
      <c r="F399" s="5"/>
      <c r="G399" s="5"/>
      <c r="H399" s="1"/>
      <c r="I399" s="1"/>
      <c r="J399" s="1"/>
      <c r="K399" s="1"/>
      <c r="L399" s="5"/>
      <c r="M399" s="5"/>
      <c r="N399" s="1"/>
      <c r="O399" s="5"/>
      <c r="P399" s="5"/>
      <c r="Q399" s="1"/>
      <c r="R399" s="156"/>
      <c r="S399" s="156"/>
      <c r="T399" s="157"/>
    </row>
    <row r="400" spans="1:20" ht="13.5" customHeight="1" x14ac:dyDescent="0.25">
      <c r="A400" s="1"/>
      <c r="B400" s="1"/>
      <c r="C400" s="1"/>
      <c r="D400" s="1"/>
      <c r="E400" s="1"/>
      <c r="F400" s="5"/>
      <c r="G400" s="5"/>
      <c r="H400" s="1"/>
      <c r="I400" s="1"/>
      <c r="J400" s="1"/>
      <c r="K400" s="1"/>
      <c r="L400" s="5"/>
      <c r="M400" s="5"/>
      <c r="N400" s="1"/>
      <c r="O400" s="5"/>
      <c r="P400" s="5"/>
      <c r="Q400" s="1"/>
      <c r="R400" s="156"/>
      <c r="S400" s="156"/>
      <c r="T400" s="157"/>
    </row>
    <row r="401" spans="1:20" ht="13.5" customHeight="1" x14ac:dyDescent="0.25">
      <c r="A401" s="1"/>
      <c r="B401" s="1"/>
      <c r="C401" s="1"/>
      <c r="D401" s="1"/>
      <c r="E401" s="1"/>
      <c r="F401" s="5"/>
      <c r="G401" s="5"/>
      <c r="H401" s="1"/>
      <c r="I401" s="1"/>
      <c r="J401" s="1"/>
      <c r="K401" s="1"/>
      <c r="L401" s="5"/>
      <c r="M401" s="5"/>
      <c r="N401" s="1"/>
      <c r="O401" s="5"/>
      <c r="P401" s="5"/>
      <c r="Q401" s="1"/>
      <c r="R401" s="156"/>
      <c r="S401" s="156"/>
      <c r="T401" s="157"/>
    </row>
    <row r="402" spans="1:20" ht="13.5" customHeight="1" x14ac:dyDescent="0.25">
      <c r="A402" s="1"/>
      <c r="B402" s="1"/>
      <c r="C402" s="1"/>
      <c r="D402" s="1"/>
      <c r="E402" s="1"/>
      <c r="F402" s="5"/>
      <c r="G402" s="5"/>
      <c r="H402" s="1"/>
      <c r="I402" s="1"/>
      <c r="J402" s="1"/>
      <c r="K402" s="1"/>
      <c r="L402" s="5"/>
      <c r="M402" s="5"/>
      <c r="N402" s="1"/>
      <c r="O402" s="5"/>
      <c r="P402" s="5"/>
      <c r="Q402" s="1"/>
      <c r="R402" s="156"/>
      <c r="S402" s="156"/>
      <c r="T402" s="157"/>
    </row>
    <row r="403" spans="1:20" ht="13.5" customHeight="1" x14ac:dyDescent="0.25">
      <c r="A403" s="1"/>
      <c r="B403" s="1"/>
      <c r="C403" s="1"/>
      <c r="D403" s="1"/>
      <c r="E403" s="1"/>
      <c r="F403" s="5"/>
      <c r="G403" s="5"/>
      <c r="H403" s="1"/>
      <c r="I403" s="1"/>
      <c r="J403" s="1"/>
      <c r="K403" s="1"/>
      <c r="L403" s="5"/>
      <c r="M403" s="5"/>
      <c r="N403" s="1"/>
      <c r="O403" s="5"/>
      <c r="P403" s="5"/>
      <c r="Q403" s="1"/>
      <c r="R403" s="156"/>
      <c r="S403" s="156"/>
      <c r="T403" s="157"/>
    </row>
    <row r="404" spans="1:20" ht="13.5" customHeight="1" x14ac:dyDescent="0.25">
      <c r="A404" s="1"/>
      <c r="B404" s="1"/>
      <c r="C404" s="1"/>
      <c r="D404" s="1"/>
      <c r="E404" s="1"/>
      <c r="F404" s="5"/>
      <c r="G404" s="5"/>
      <c r="H404" s="1"/>
      <c r="I404" s="1"/>
      <c r="J404" s="1"/>
      <c r="K404" s="1"/>
      <c r="L404" s="5"/>
      <c r="M404" s="5"/>
      <c r="N404" s="1"/>
      <c r="O404" s="5"/>
      <c r="P404" s="5"/>
      <c r="Q404" s="1"/>
      <c r="R404" s="156"/>
      <c r="S404" s="156"/>
      <c r="T404" s="157"/>
    </row>
    <row r="405" spans="1:20" ht="13.5" customHeight="1" x14ac:dyDescent="0.25">
      <c r="A405" s="1"/>
      <c r="B405" s="1"/>
      <c r="C405" s="1"/>
      <c r="D405" s="1"/>
      <c r="E405" s="1"/>
      <c r="F405" s="5"/>
      <c r="G405" s="5"/>
      <c r="H405" s="1"/>
      <c r="I405" s="1"/>
      <c r="J405" s="1"/>
      <c r="K405" s="1"/>
      <c r="L405" s="5"/>
      <c r="M405" s="5"/>
      <c r="N405" s="1"/>
      <c r="O405" s="5"/>
      <c r="P405" s="5"/>
      <c r="Q405" s="1"/>
      <c r="R405" s="156"/>
      <c r="S405" s="156"/>
      <c r="T405" s="157"/>
    </row>
    <row r="406" spans="1:20" ht="13.5" customHeight="1" x14ac:dyDescent="0.25">
      <c r="A406" s="1"/>
      <c r="B406" s="1"/>
      <c r="C406" s="1"/>
      <c r="D406" s="1"/>
      <c r="E406" s="1"/>
      <c r="F406" s="5"/>
      <c r="G406" s="5"/>
      <c r="H406" s="1"/>
      <c r="I406" s="1"/>
      <c r="J406" s="1"/>
      <c r="K406" s="1"/>
      <c r="L406" s="5"/>
      <c r="M406" s="5"/>
      <c r="N406" s="1"/>
      <c r="O406" s="5"/>
      <c r="P406" s="5"/>
      <c r="Q406" s="1"/>
      <c r="R406" s="156"/>
      <c r="S406" s="156"/>
      <c r="T406" s="157"/>
    </row>
    <row r="407" spans="1:20" ht="13.5" customHeight="1" x14ac:dyDescent="0.25">
      <c r="A407" s="1"/>
      <c r="B407" s="1"/>
      <c r="C407" s="1"/>
      <c r="D407" s="1"/>
      <c r="E407" s="1"/>
      <c r="F407" s="5"/>
      <c r="G407" s="5"/>
      <c r="H407" s="1"/>
      <c r="I407" s="1"/>
      <c r="J407" s="1"/>
      <c r="K407" s="1"/>
      <c r="L407" s="5"/>
      <c r="M407" s="5"/>
      <c r="N407" s="1"/>
      <c r="O407" s="5"/>
      <c r="P407" s="5"/>
      <c r="Q407" s="1"/>
      <c r="R407" s="156"/>
      <c r="S407" s="156"/>
      <c r="T407" s="157"/>
    </row>
    <row r="408" spans="1:20" ht="13.5" customHeight="1" x14ac:dyDescent="0.25">
      <c r="A408" s="1"/>
      <c r="B408" s="1"/>
      <c r="C408" s="1"/>
      <c r="D408" s="1"/>
      <c r="E408" s="1"/>
      <c r="F408" s="5"/>
      <c r="G408" s="5"/>
      <c r="H408" s="1"/>
      <c r="I408" s="1"/>
      <c r="J408" s="1"/>
      <c r="K408" s="1"/>
      <c r="L408" s="5"/>
      <c r="M408" s="5"/>
      <c r="N408" s="1"/>
      <c r="O408" s="5"/>
      <c r="P408" s="5"/>
      <c r="Q408" s="1"/>
      <c r="R408" s="156"/>
      <c r="S408" s="156"/>
      <c r="T408" s="157"/>
    </row>
    <row r="409" spans="1:20" ht="13.5" customHeight="1" x14ac:dyDescent="0.25">
      <c r="A409" s="1"/>
      <c r="B409" s="1"/>
      <c r="C409" s="1"/>
      <c r="D409" s="1"/>
      <c r="E409" s="1"/>
      <c r="F409" s="5"/>
      <c r="G409" s="5"/>
      <c r="H409" s="1"/>
      <c r="I409" s="1"/>
      <c r="J409" s="1"/>
      <c r="K409" s="1"/>
      <c r="L409" s="5"/>
      <c r="M409" s="5"/>
      <c r="N409" s="1"/>
      <c r="O409" s="5"/>
      <c r="P409" s="5"/>
      <c r="Q409" s="1"/>
      <c r="R409" s="156"/>
      <c r="S409" s="156"/>
      <c r="T409" s="157"/>
    </row>
    <row r="410" spans="1:20" ht="13.5" customHeight="1" x14ac:dyDescent="0.25">
      <c r="A410" s="1"/>
      <c r="B410" s="1"/>
      <c r="C410" s="1"/>
      <c r="D410" s="1"/>
      <c r="E410" s="1"/>
      <c r="F410" s="5"/>
      <c r="G410" s="5"/>
      <c r="H410" s="1"/>
      <c r="I410" s="1"/>
      <c r="J410" s="1"/>
      <c r="K410" s="1"/>
      <c r="L410" s="5"/>
      <c r="M410" s="5"/>
      <c r="N410" s="1"/>
      <c r="O410" s="5"/>
      <c r="P410" s="5"/>
      <c r="Q410" s="1"/>
      <c r="R410" s="156"/>
      <c r="S410" s="156"/>
      <c r="T410" s="157"/>
    </row>
    <row r="411" spans="1:20" ht="13.5" customHeight="1" x14ac:dyDescent="0.25">
      <c r="A411" s="1"/>
      <c r="B411" s="1"/>
      <c r="C411" s="1"/>
      <c r="D411" s="1"/>
      <c r="E411" s="1"/>
      <c r="F411" s="5"/>
      <c r="G411" s="5"/>
      <c r="H411" s="1"/>
      <c r="I411" s="1"/>
      <c r="J411" s="1"/>
      <c r="K411" s="1"/>
      <c r="L411" s="5"/>
      <c r="M411" s="5"/>
      <c r="N411" s="1"/>
      <c r="O411" s="5"/>
      <c r="P411" s="5"/>
      <c r="Q411" s="1"/>
      <c r="R411" s="156"/>
      <c r="S411" s="156"/>
      <c r="T411" s="157"/>
    </row>
    <row r="412" spans="1:20" ht="13.5" customHeight="1" x14ac:dyDescent="0.25">
      <c r="A412" s="1"/>
      <c r="B412" s="1"/>
      <c r="C412" s="1"/>
      <c r="D412" s="1"/>
      <c r="E412" s="1"/>
      <c r="F412" s="5"/>
      <c r="G412" s="5"/>
      <c r="H412" s="1"/>
      <c r="I412" s="1"/>
      <c r="J412" s="1"/>
      <c r="K412" s="1"/>
      <c r="L412" s="5"/>
      <c r="M412" s="5"/>
      <c r="N412" s="1"/>
      <c r="O412" s="5"/>
      <c r="P412" s="5"/>
      <c r="Q412" s="1"/>
      <c r="R412" s="156"/>
      <c r="S412" s="156"/>
      <c r="T412" s="157"/>
    </row>
    <row r="413" spans="1:20" ht="13.5" customHeight="1" x14ac:dyDescent="0.25">
      <c r="A413" s="1"/>
      <c r="B413" s="1"/>
      <c r="C413" s="1"/>
      <c r="D413" s="1"/>
      <c r="E413" s="1"/>
      <c r="F413" s="5"/>
      <c r="G413" s="5"/>
      <c r="H413" s="1"/>
      <c r="I413" s="1"/>
      <c r="J413" s="1"/>
      <c r="K413" s="1"/>
      <c r="L413" s="5"/>
      <c r="M413" s="5"/>
      <c r="N413" s="1"/>
      <c r="O413" s="5"/>
      <c r="P413" s="5"/>
      <c r="Q413" s="1"/>
      <c r="R413" s="156"/>
      <c r="S413" s="156"/>
      <c r="T413" s="157"/>
    </row>
    <row r="414" spans="1:20" ht="13.5" customHeight="1" x14ac:dyDescent="0.25">
      <c r="A414" s="1"/>
      <c r="B414" s="1"/>
      <c r="C414" s="1"/>
      <c r="D414" s="1"/>
      <c r="E414" s="1"/>
      <c r="F414" s="5"/>
      <c r="G414" s="5"/>
      <c r="H414" s="1"/>
      <c r="I414" s="1"/>
      <c r="J414" s="1"/>
      <c r="K414" s="1"/>
      <c r="L414" s="5"/>
      <c r="M414" s="5"/>
      <c r="N414" s="1"/>
      <c r="O414" s="5"/>
      <c r="P414" s="5"/>
      <c r="Q414" s="1"/>
      <c r="R414" s="156"/>
      <c r="S414" s="156"/>
      <c r="T414" s="157"/>
    </row>
    <row r="415" spans="1:20" ht="13.5" customHeight="1" x14ac:dyDescent="0.25">
      <c r="A415" s="1"/>
      <c r="B415" s="1"/>
      <c r="C415" s="1"/>
      <c r="D415" s="1"/>
      <c r="E415" s="1"/>
      <c r="F415" s="5"/>
      <c r="G415" s="5"/>
      <c r="H415" s="1"/>
      <c r="I415" s="1"/>
      <c r="J415" s="1"/>
      <c r="K415" s="1"/>
      <c r="L415" s="5"/>
      <c r="M415" s="5"/>
      <c r="N415" s="1"/>
      <c r="O415" s="5"/>
      <c r="P415" s="5"/>
      <c r="Q415" s="1"/>
      <c r="R415" s="156"/>
      <c r="S415" s="156"/>
      <c r="T415" s="157"/>
    </row>
    <row r="416" spans="1:20" ht="13.5" customHeight="1" x14ac:dyDescent="0.25">
      <c r="A416" s="1"/>
      <c r="B416" s="1"/>
      <c r="C416" s="1"/>
      <c r="D416" s="1"/>
      <c r="E416" s="1"/>
      <c r="F416" s="5"/>
      <c r="G416" s="5"/>
      <c r="H416" s="1"/>
      <c r="I416" s="1"/>
      <c r="J416" s="1"/>
      <c r="K416" s="1"/>
      <c r="L416" s="5"/>
      <c r="M416" s="5"/>
      <c r="N416" s="1"/>
      <c r="O416" s="5"/>
      <c r="P416" s="5"/>
      <c r="Q416" s="1"/>
      <c r="R416" s="156"/>
      <c r="S416" s="156"/>
      <c r="T416" s="157"/>
    </row>
    <row r="417" spans="1:20" ht="13.5" customHeight="1" x14ac:dyDescent="0.25">
      <c r="A417" s="1"/>
      <c r="B417" s="1"/>
      <c r="C417" s="1"/>
      <c r="D417" s="1"/>
      <c r="E417" s="1"/>
      <c r="F417" s="5"/>
      <c r="G417" s="5"/>
      <c r="H417" s="1"/>
      <c r="I417" s="1"/>
      <c r="J417" s="1"/>
      <c r="K417" s="1"/>
      <c r="L417" s="5"/>
      <c r="M417" s="5"/>
      <c r="N417" s="1"/>
      <c r="O417" s="5"/>
      <c r="P417" s="5"/>
      <c r="Q417" s="1"/>
      <c r="R417" s="156"/>
      <c r="S417" s="156"/>
      <c r="T417" s="157"/>
    </row>
    <row r="418" spans="1:20" ht="13.5" customHeight="1" x14ac:dyDescent="0.25">
      <c r="A418" s="1"/>
      <c r="B418" s="1"/>
      <c r="C418" s="1"/>
      <c r="D418" s="1"/>
      <c r="E418" s="1"/>
      <c r="F418" s="5"/>
      <c r="G418" s="5"/>
      <c r="H418" s="1"/>
      <c r="I418" s="1"/>
      <c r="J418" s="1"/>
      <c r="K418" s="1"/>
      <c r="L418" s="5"/>
      <c r="M418" s="5"/>
      <c r="N418" s="1"/>
      <c r="O418" s="5"/>
      <c r="P418" s="5"/>
      <c r="Q418" s="1"/>
      <c r="R418" s="156"/>
      <c r="S418" s="156"/>
      <c r="T418" s="157"/>
    </row>
    <row r="419" spans="1:20" ht="13.5" customHeight="1" x14ac:dyDescent="0.25">
      <c r="A419" s="1"/>
      <c r="B419" s="1"/>
      <c r="C419" s="1"/>
      <c r="D419" s="1"/>
      <c r="E419" s="1"/>
      <c r="F419" s="5"/>
      <c r="G419" s="5"/>
      <c r="H419" s="1"/>
      <c r="I419" s="1"/>
      <c r="J419" s="1"/>
      <c r="K419" s="1"/>
      <c r="L419" s="5"/>
      <c r="M419" s="5"/>
      <c r="N419" s="1"/>
      <c r="O419" s="5"/>
      <c r="P419" s="5"/>
      <c r="Q419" s="1"/>
      <c r="R419" s="156"/>
      <c r="S419" s="156"/>
      <c r="T419" s="157"/>
    </row>
    <row r="420" spans="1:20" ht="13.5" customHeight="1" x14ac:dyDescent="0.25">
      <c r="A420" s="1"/>
      <c r="B420" s="1"/>
      <c r="C420" s="1"/>
      <c r="D420" s="1"/>
      <c r="E420" s="1"/>
      <c r="F420" s="5"/>
      <c r="G420" s="5"/>
      <c r="H420" s="1"/>
      <c r="I420" s="1"/>
      <c r="J420" s="1"/>
      <c r="K420" s="1"/>
      <c r="L420" s="5"/>
      <c r="M420" s="5"/>
      <c r="N420" s="1"/>
      <c r="O420" s="5"/>
      <c r="P420" s="5"/>
      <c r="Q420" s="1"/>
      <c r="R420" s="156"/>
      <c r="S420" s="156"/>
      <c r="T420" s="157"/>
    </row>
    <row r="421" spans="1:20" ht="13.5" customHeight="1" x14ac:dyDescent="0.25">
      <c r="A421" s="1"/>
      <c r="B421" s="1"/>
      <c r="C421" s="1"/>
      <c r="D421" s="1"/>
      <c r="E421" s="1"/>
      <c r="F421" s="5"/>
      <c r="G421" s="5"/>
      <c r="H421" s="1"/>
      <c r="I421" s="1"/>
      <c r="J421" s="1"/>
      <c r="K421" s="1"/>
      <c r="L421" s="5"/>
      <c r="M421" s="5"/>
      <c r="N421" s="1"/>
      <c r="O421" s="5"/>
      <c r="P421" s="5"/>
      <c r="Q421" s="1"/>
      <c r="R421" s="156"/>
      <c r="S421" s="156"/>
      <c r="T421" s="157"/>
    </row>
    <row r="422" spans="1:20" ht="13.5" customHeight="1" x14ac:dyDescent="0.25">
      <c r="A422" s="1"/>
      <c r="B422" s="1"/>
      <c r="C422" s="1"/>
      <c r="D422" s="1"/>
      <c r="E422" s="1"/>
      <c r="F422" s="5"/>
      <c r="G422" s="5"/>
      <c r="H422" s="1"/>
      <c r="I422" s="1"/>
      <c r="J422" s="1"/>
      <c r="K422" s="1"/>
      <c r="L422" s="5"/>
      <c r="M422" s="5"/>
      <c r="N422" s="1"/>
      <c r="O422" s="5"/>
      <c r="P422" s="5"/>
      <c r="Q422" s="1"/>
      <c r="R422" s="156"/>
      <c r="S422" s="156"/>
      <c r="T422" s="157"/>
    </row>
    <row r="423" spans="1:20" ht="13.5" customHeight="1" x14ac:dyDescent="0.25">
      <c r="A423" s="1"/>
      <c r="B423" s="1"/>
      <c r="C423" s="1"/>
      <c r="D423" s="1"/>
      <c r="E423" s="1"/>
      <c r="F423" s="5"/>
      <c r="G423" s="5"/>
      <c r="H423" s="1"/>
      <c r="I423" s="1"/>
      <c r="J423" s="1"/>
      <c r="K423" s="1"/>
      <c r="L423" s="5"/>
      <c r="M423" s="5"/>
      <c r="N423" s="1"/>
      <c r="O423" s="5"/>
      <c r="P423" s="5"/>
      <c r="Q423" s="1"/>
      <c r="R423" s="156"/>
      <c r="S423" s="156"/>
      <c r="T423" s="157"/>
    </row>
    <row r="424" spans="1:20" ht="13.5" customHeight="1" x14ac:dyDescent="0.25">
      <c r="A424" s="1"/>
      <c r="B424" s="1"/>
      <c r="C424" s="1"/>
      <c r="D424" s="1"/>
      <c r="E424" s="1"/>
      <c r="F424" s="5"/>
      <c r="G424" s="5"/>
      <c r="H424" s="1"/>
      <c r="I424" s="1"/>
      <c r="J424" s="1"/>
      <c r="K424" s="1"/>
      <c r="L424" s="5"/>
      <c r="M424" s="5"/>
      <c r="N424" s="1"/>
      <c r="O424" s="5"/>
      <c r="P424" s="5"/>
      <c r="Q424" s="1"/>
      <c r="R424" s="156"/>
      <c r="S424" s="156"/>
      <c r="T424" s="157"/>
    </row>
    <row r="425" spans="1:20" ht="13.5" customHeight="1" x14ac:dyDescent="0.25">
      <c r="A425" s="1"/>
      <c r="B425" s="1"/>
      <c r="C425" s="1"/>
      <c r="D425" s="1"/>
      <c r="E425" s="1"/>
      <c r="F425" s="5"/>
      <c r="G425" s="5"/>
      <c r="H425" s="1"/>
      <c r="I425" s="1"/>
      <c r="J425" s="1"/>
      <c r="K425" s="1"/>
      <c r="L425" s="5"/>
      <c r="M425" s="5"/>
      <c r="N425" s="1"/>
      <c r="O425" s="5"/>
      <c r="P425" s="5"/>
      <c r="Q425" s="1"/>
      <c r="R425" s="156"/>
      <c r="S425" s="156"/>
      <c r="T425" s="157"/>
    </row>
    <row r="426" spans="1:20" ht="13.5" customHeight="1" x14ac:dyDescent="0.25">
      <c r="A426" s="1"/>
      <c r="B426" s="1"/>
      <c r="C426" s="1"/>
      <c r="D426" s="1"/>
      <c r="E426" s="1"/>
      <c r="F426" s="5"/>
      <c r="G426" s="5"/>
      <c r="H426" s="1"/>
      <c r="I426" s="1"/>
      <c r="J426" s="1"/>
      <c r="K426" s="1"/>
      <c r="L426" s="5"/>
      <c r="M426" s="5"/>
      <c r="N426" s="1"/>
      <c r="O426" s="5"/>
      <c r="P426" s="5"/>
      <c r="Q426" s="1"/>
      <c r="R426" s="156"/>
      <c r="S426" s="156"/>
      <c r="T426" s="157"/>
    </row>
    <row r="427" spans="1:20" ht="13.5" customHeight="1" x14ac:dyDescent="0.25">
      <c r="A427" s="1"/>
      <c r="B427" s="1"/>
      <c r="C427" s="1"/>
      <c r="D427" s="1"/>
      <c r="E427" s="1"/>
      <c r="F427" s="5"/>
      <c r="G427" s="5"/>
      <c r="H427" s="1"/>
      <c r="I427" s="1"/>
      <c r="J427" s="1"/>
      <c r="K427" s="1"/>
      <c r="L427" s="5"/>
      <c r="M427" s="5"/>
      <c r="N427" s="1"/>
      <c r="O427" s="5"/>
      <c r="P427" s="5"/>
      <c r="Q427" s="1"/>
      <c r="R427" s="156"/>
      <c r="S427" s="156"/>
      <c r="T427" s="157"/>
    </row>
    <row r="428" spans="1:20" ht="13.5" customHeight="1" x14ac:dyDescent="0.25">
      <c r="A428" s="1"/>
      <c r="B428" s="1"/>
      <c r="C428" s="1"/>
      <c r="D428" s="1"/>
      <c r="E428" s="1"/>
      <c r="F428" s="5"/>
      <c r="G428" s="5"/>
      <c r="H428" s="1"/>
      <c r="I428" s="1"/>
      <c r="J428" s="1"/>
      <c r="K428" s="1"/>
      <c r="L428" s="5"/>
      <c r="M428" s="5"/>
      <c r="N428" s="1"/>
      <c r="O428" s="5"/>
      <c r="P428" s="5"/>
      <c r="Q428" s="1"/>
      <c r="R428" s="156"/>
      <c r="S428" s="156"/>
      <c r="T428" s="157"/>
    </row>
    <row r="429" spans="1:20" ht="13.5" customHeight="1" x14ac:dyDescent="0.25">
      <c r="A429" s="1"/>
      <c r="B429" s="1"/>
      <c r="C429" s="1"/>
      <c r="D429" s="1"/>
      <c r="E429" s="1"/>
      <c r="F429" s="5"/>
      <c r="G429" s="5"/>
      <c r="H429" s="1"/>
      <c r="I429" s="1"/>
      <c r="J429" s="1"/>
      <c r="K429" s="1"/>
      <c r="L429" s="5"/>
      <c r="M429" s="5"/>
      <c r="N429" s="1"/>
      <c r="O429" s="5"/>
      <c r="P429" s="5"/>
      <c r="Q429" s="1"/>
      <c r="R429" s="156"/>
      <c r="S429" s="156"/>
      <c r="T429" s="157"/>
    </row>
    <row r="430" spans="1:20" ht="13.5" customHeight="1" x14ac:dyDescent="0.25">
      <c r="A430" s="1"/>
      <c r="B430" s="1"/>
      <c r="C430" s="1"/>
      <c r="D430" s="1"/>
      <c r="E430" s="1"/>
      <c r="F430" s="5"/>
      <c r="G430" s="5"/>
      <c r="H430" s="1"/>
      <c r="I430" s="1"/>
      <c r="J430" s="1"/>
      <c r="K430" s="1"/>
      <c r="L430" s="5"/>
      <c r="M430" s="5"/>
      <c r="N430" s="1"/>
      <c r="O430" s="5"/>
      <c r="P430" s="5"/>
      <c r="Q430" s="1"/>
      <c r="R430" s="156"/>
      <c r="S430" s="156"/>
      <c r="T430" s="157"/>
    </row>
    <row r="431" spans="1:20" ht="13.5" customHeight="1" x14ac:dyDescent="0.25">
      <c r="A431" s="1"/>
      <c r="B431" s="1"/>
      <c r="C431" s="1"/>
      <c r="D431" s="1"/>
      <c r="E431" s="1"/>
      <c r="F431" s="5"/>
      <c r="G431" s="5"/>
      <c r="H431" s="1"/>
      <c r="I431" s="1"/>
      <c r="J431" s="1"/>
      <c r="K431" s="1"/>
      <c r="L431" s="5"/>
      <c r="M431" s="5"/>
      <c r="N431" s="1"/>
      <c r="O431" s="5"/>
      <c r="P431" s="5"/>
      <c r="Q431" s="1"/>
      <c r="R431" s="156"/>
      <c r="S431" s="156"/>
      <c r="T431" s="157"/>
    </row>
    <row r="432" spans="1:20" ht="13.5" customHeight="1" x14ac:dyDescent="0.25">
      <c r="A432" s="1"/>
      <c r="B432" s="1"/>
      <c r="C432" s="1"/>
      <c r="D432" s="1"/>
      <c r="E432" s="1"/>
      <c r="F432" s="5"/>
      <c r="G432" s="5"/>
      <c r="H432" s="1"/>
      <c r="I432" s="1"/>
      <c r="J432" s="1"/>
      <c r="K432" s="1"/>
      <c r="L432" s="5"/>
      <c r="M432" s="5"/>
      <c r="N432" s="1"/>
      <c r="O432" s="5"/>
      <c r="P432" s="5"/>
      <c r="Q432" s="1"/>
      <c r="R432" s="156"/>
      <c r="S432" s="156"/>
      <c r="T432" s="157"/>
    </row>
    <row r="433" spans="1:20" ht="13.5" customHeight="1" x14ac:dyDescent="0.25">
      <c r="A433" s="1"/>
      <c r="B433" s="1"/>
      <c r="C433" s="1"/>
      <c r="D433" s="1"/>
      <c r="E433" s="1"/>
      <c r="F433" s="5"/>
      <c r="G433" s="5"/>
      <c r="H433" s="1"/>
      <c r="I433" s="1"/>
      <c r="J433" s="1"/>
      <c r="K433" s="1"/>
      <c r="L433" s="5"/>
      <c r="M433" s="5"/>
      <c r="N433" s="1"/>
      <c r="O433" s="5"/>
      <c r="P433" s="5"/>
      <c r="Q433" s="1"/>
      <c r="R433" s="156"/>
      <c r="S433" s="156"/>
      <c r="T433" s="157"/>
    </row>
    <row r="434" spans="1:20" ht="13.5" customHeight="1" x14ac:dyDescent="0.25">
      <c r="A434" s="1"/>
      <c r="B434" s="1"/>
      <c r="C434" s="1"/>
      <c r="D434" s="1"/>
      <c r="E434" s="1"/>
      <c r="F434" s="5"/>
      <c r="G434" s="5"/>
      <c r="H434" s="1"/>
      <c r="I434" s="1"/>
      <c r="J434" s="1"/>
      <c r="K434" s="1"/>
      <c r="L434" s="5"/>
      <c r="M434" s="5"/>
      <c r="N434" s="1"/>
      <c r="O434" s="5"/>
      <c r="P434" s="5"/>
      <c r="Q434" s="1"/>
      <c r="R434" s="156"/>
      <c r="S434" s="156"/>
      <c r="T434" s="157"/>
    </row>
    <row r="435" spans="1:20" ht="13.5" customHeight="1" x14ac:dyDescent="0.25">
      <c r="A435" s="1"/>
      <c r="B435" s="1"/>
      <c r="C435" s="1"/>
      <c r="D435" s="1"/>
      <c r="E435" s="1"/>
      <c r="F435" s="5"/>
      <c r="G435" s="5"/>
      <c r="H435" s="1"/>
      <c r="I435" s="1"/>
      <c r="J435" s="1"/>
      <c r="K435" s="1"/>
      <c r="L435" s="5"/>
      <c r="M435" s="5"/>
      <c r="N435" s="1"/>
      <c r="O435" s="5"/>
      <c r="P435" s="5"/>
      <c r="Q435" s="1"/>
      <c r="R435" s="156"/>
      <c r="S435" s="156"/>
      <c r="T435" s="157"/>
    </row>
    <row r="436" spans="1:20" ht="13.5" customHeight="1" x14ac:dyDescent="0.25">
      <c r="A436" s="1"/>
      <c r="B436" s="1"/>
      <c r="C436" s="1"/>
      <c r="D436" s="1"/>
      <c r="E436" s="1"/>
      <c r="F436" s="5"/>
      <c r="G436" s="5"/>
      <c r="H436" s="1"/>
      <c r="I436" s="1"/>
      <c r="J436" s="1"/>
      <c r="K436" s="1"/>
      <c r="L436" s="5"/>
      <c r="M436" s="5"/>
      <c r="N436" s="1"/>
      <c r="O436" s="5"/>
      <c r="P436" s="5"/>
      <c r="Q436" s="1"/>
      <c r="R436" s="156"/>
      <c r="S436" s="156"/>
      <c r="T436" s="157"/>
    </row>
    <row r="437" spans="1:20" ht="13.5" customHeight="1" x14ac:dyDescent="0.25">
      <c r="A437" s="1"/>
      <c r="B437" s="1"/>
      <c r="C437" s="1"/>
      <c r="D437" s="1"/>
      <c r="E437" s="1"/>
      <c r="F437" s="5"/>
      <c r="G437" s="5"/>
      <c r="H437" s="1"/>
      <c r="I437" s="1"/>
      <c r="J437" s="1"/>
      <c r="K437" s="1"/>
      <c r="L437" s="5"/>
      <c r="M437" s="5"/>
      <c r="N437" s="1"/>
      <c r="O437" s="5"/>
      <c r="P437" s="5"/>
      <c r="Q437" s="1"/>
      <c r="R437" s="156"/>
      <c r="S437" s="156"/>
      <c r="T437" s="157"/>
    </row>
    <row r="438" spans="1:20" ht="13.5" customHeight="1" x14ac:dyDescent="0.25">
      <c r="A438" s="1"/>
      <c r="B438" s="1"/>
      <c r="C438" s="1"/>
      <c r="D438" s="1"/>
      <c r="E438" s="1"/>
      <c r="F438" s="5"/>
      <c r="G438" s="5"/>
      <c r="H438" s="1"/>
      <c r="I438" s="1"/>
      <c r="J438" s="1"/>
      <c r="K438" s="1"/>
      <c r="L438" s="5"/>
      <c r="M438" s="5"/>
      <c r="N438" s="1"/>
      <c r="O438" s="5"/>
      <c r="P438" s="5"/>
      <c r="Q438" s="1"/>
      <c r="R438" s="156"/>
      <c r="S438" s="156"/>
      <c r="T438" s="157"/>
    </row>
    <row r="439" spans="1:20" ht="13.5" customHeight="1" x14ac:dyDescent="0.25">
      <c r="A439" s="1"/>
      <c r="B439" s="1"/>
      <c r="C439" s="1"/>
      <c r="D439" s="1"/>
      <c r="E439" s="1"/>
      <c r="F439" s="5"/>
      <c r="G439" s="5"/>
      <c r="H439" s="1"/>
      <c r="I439" s="1"/>
      <c r="J439" s="1"/>
      <c r="K439" s="1"/>
      <c r="L439" s="5"/>
      <c r="M439" s="5"/>
      <c r="N439" s="1"/>
      <c r="O439" s="5"/>
      <c r="P439" s="5"/>
      <c r="Q439" s="1"/>
      <c r="R439" s="156"/>
      <c r="S439" s="156"/>
      <c r="T439" s="157"/>
    </row>
    <row r="440" spans="1:20" ht="13.5" customHeight="1" x14ac:dyDescent="0.25">
      <c r="A440" s="1"/>
      <c r="B440" s="1"/>
      <c r="C440" s="1"/>
      <c r="D440" s="1"/>
      <c r="E440" s="1"/>
      <c r="F440" s="5"/>
      <c r="G440" s="5"/>
      <c r="H440" s="1"/>
      <c r="I440" s="1"/>
      <c r="J440" s="1"/>
      <c r="K440" s="1"/>
      <c r="L440" s="5"/>
      <c r="M440" s="5"/>
      <c r="N440" s="1"/>
      <c r="O440" s="5"/>
      <c r="P440" s="5"/>
      <c r="Q440" s="1"/>
      <c r="R440" s="156"/>
      <c r="S440" s="156"/>
      <c r="T440" s="157"/>
    </row>
    <row r="441" spans="1:20" ht="13.5" customHeight="1" x14ac:dyDescent="0.25">
      <c r="A441" s="1"/>
      <c r="B441" s="1"/>
      <c r="C441" s="1"/>
      <c r="D441" s="1"/>
      <c r="E441" s="1"/>
      <c r="F441" s="5"/>
      <c r="G441" s="5"/>
      <c r="H441" s="1"/>
      <c r="I441" s="1"/>
      <c r="J441" s="1"/>
      <c r="K441" s="1"/>
      <c r="L441" s="5"/>
      <c r="M441" s="5"/>
      <c r="N441" s="1"/>
      <c r="O441" s="5"/>
      <c r="P441" s="5"/>
      <c r="Q441" s="1"/>
      <c r="R441" s="156"/>
      <c r="S441" s="156"/>
      <c r="T441" s="157"/>
    </row>
    <row r="442" spans="1:20" ht="13.5" customHeight="1" x14ac:dyDescent="0.25">
      <c r="A442" s="1"/>
      <c r="B442" s="1"/>
      <c r="C442" s="1"/>
      <c r="D442" s="1"/>
      <c r="E442" s="1"/>
      <c r="F442" s="5"/>
      <c r="G442" s="5"/>
      <c r="H442" s="1"/>
      <c r="I442" s="1"/>
      <c r="J442" s="1"/>
      <c r="K442" s="1"/>
      <c r="L442" s="5"/>
      <c r="M442" s="5"/>
      <c r="N442" s="1"/>
      <c r="O442" s="5"/>
      <c r="P442" s="5"/>
      <c r="Q442" s="1"/>
      <c r="R442" s="156"/>
      <c r="S442" s="156"/>
      <c r="T442" s="157"/>
    </row>
    <row r="443" spans="1:20" ht="13.5" customHeight="1" x14ac:dyDescent="0.25">
      <c r="A443" s="1"/>
      <c r="B443" s="1"/>
      <c r="C443" s="1"/>
      <c r="D443" s="1"/>
      <c r="E443" s="1"/>
      <c r="F443" s="5"/>
      <c r="G443" s="5"/>
      <c r="H443" s="1"/>
      <c r="I443" s="1"/>
      <c r="J443" s="1"/>
      <c r="K443" s="1"/>
      <c r="L443" s="5"/>
      <c r="M443" s="5"/>
      <c r="N443" s="1"/>
      <c r="O443" s="5"/>
      <c r="P443" s="5"/>
      <c r="Q443" s="1"/>
      <c r="R443" s="156"/>
      <c r="S443" s="156"/>
      <c r="T443" s="157"/>
    </row>
    <row r="444" spans="1:20" ht="13.5" customHeight="1" x14ac:dyDescent="0.25">
      <c r="A444" s="1"/>
      <c r="B444" s="1"/>
      <c r="C444" s="1"/>
      <c r="D444" s="1"/>
      <c r="E444" s="1"/>
      <c r="F444" s="5"/>
      <c r="G444" s="5"/>
      <c r="H444" s="1"/>
      <c r="I444" s="1"/>
      <c r="J444" s="1"/>
      <c r="K444" s="1"/>
      <c r="L444" s="5"/>
      <c r="M444" s="5"/>
      <c r="N444" s="1"/>
      <c r="O444" s="5"/>
      <c r="P444" s="5"/>
      <c r="Q444" s="1"/>
      <c r="R444" s="156"/>
      <c r="S444" s="156"/>
      <c r="T444" s="157"/>
    </row>
    <row r="445" spans="1:20" ht="13.5" customHeight="1" x14ac:dyDescent="0.25">
      <c r="A445" s="1"/>
      <c r="B445" s="1"/>
      <c r="C445" s="1"/>
      <c r="D445" s="1"/>
      <c r="E445" s="1"/>
      <c r="F445" s="5"/>
      <c r="G445" s="5"/>
      <c r="H445" s="1"/>
      <c r="I445" s="1"/>
      <c r="J445" s="1"/>
      <c r="K445" s="1"/>
      <c r="L445" s="5"/>
      <c r="M445" s="5"/>
      <c r="N445" s="1"/>
      <c r="O445" s="5"/>
      <c r="P445" s="5"/>
      <c r="Q445" s="1"/>
      <c r="R445" s="156"/>
      <c r="S445" s="156"/>
      <c r="T445" s="157"/>
    </row>
    <row r="446" spans="1:20" ht="13.5" customHeight="1" x14ac:dyDescent="0.25">
      <c r="A446" s="1"/>
      <c r="B446" s="1"/>
      <c r="C446" s="1"/>
      <c r="D446" s="1"/>
      <c r="E446" s="1"/>
      <c r="F446" s="5"/>
      <c r="G446" s="5"/>
      <c r="H446" s="1"/>
      <c r="I446" s="1"/>
      <c r="J446" s="1"/>
      <c r="K446" s="1"/>
      <c r="L446" s="5"/>
      <c r="M446" s="5"/>
      <c r="N446" s="1"/>
      <c r="O446" s="5"/>
      <c r="P446" s="5"/>
      <c r="Q446" s="1"/>
      <c r="R446" s="156"/>
      <c r="S446" s="156"/>
      <c r="T446" s="157"/>
    </row>
    <row r="447" spans="1:20" ht="13.5" customHeight="1" x14ac:dyDescent="0.25">
      <c r="A447" s="1"/>
      <c r="B447" s="1"/>
      <c r="C447" s="1"/>
      <c r="D447" s="1"/>
      <c r="E447" s="1"/>
      <c r="F447" s="5"/>
      <c r="G447" s="5"/>
      <c r="H447" s="1"/>
      <c r="I447" s="1"/>
      <c r="J447" s="1"/>
      <c r="K447" s="1"/>
      <c r="L447" s="5"/>
      <c r="M447" s="5"/>
      <c r="N447" s="1"/>
      <c r="O447" s="5"/>
      <c r="P447" s="5"/>
      <c r="Q447" s="1"/>
      <c r="R447" s="156"/>
      <c r="S447" s="156"/>
      <c r="T447" s="157"/>
    </row>
    <row r="448" spans="1:20" ht="13.5" customHeight="1" x14ac:dyDescent="0.25">
      <c r="A448" s="1"/>
      <c r="B448" s="1"/>
      <c r="C448" s="1"/>
      <c r="D448" s="1"/>
      <c r="E448" s="1"/>
      <c r="F448" s="5"/>
      <c r="G448" s="5"/>
      <c r="H448" s="1"/>
      <c r="I448" s="1"/>
      <c r="J448" s="1"/>
      <c r="K448" s="1"/>
      <c r="L448" s="5"/>
      <c r="M448" s="5"/>
      <c r="N448" s="1"/>
      <c r="O448" s="5"/>
      <c r="P448" s="5"/>
      <c r="Q448" s="1"/>
      <c r="R448" s="156"/>
      <c r="S448" s="156"/>
      <c r="T448" s="157"/>
    </row>
    <row r="449" spans="1:20" ht="13.5" customHeight="1" x14ac:dyDescent="0.25">
      <c r="A449" s="1"/>
      <c r="B449" s="1"/>
      <c r="C449" s="1"/>
      <c r="D449" s="1"/>
      <c r="E449" s="1"/>
      <c r="F449" s="5"/>
      <c r="G449" s="5"/>
      <c r="H449" s="1"/>
      <c r="I449" s="1"/>
      <c r="J449" s="1"/>
      <c r="K449" s="1"/>
      <c r="L449" s="5"/>
      <c r="M449" s="5"/>
      <c r="N449" s="1"/>
      <c r="O449" s="5"/>
      <c r="P449" s="5"/>
      <c r="Q449" s="1"/>
      <c r="R449" s="156"/>
      <c r="S449" s="156"/>
      <c r="T449" s="157"/>
    </row>
    <row r="450" spans="1:20" ht="13.5" customHeight="1" x14ac:dyDescent="0.25">
      <c r="A450" s="1"/>
      <c r="B450" s="1"/>
      <c r="C450" s="1"/>
      <c r="D450" s="1"/>
      <c r="E450" s="1"/>
      <c r="F450" s="5"/>
      <c r="G450" s="5"/>
      <c r="H450" s="1"/>
      <c r="I450" s="1"/>
      <c r="J450" s="1"/>
      <c r="K450" s="1"/>
      <c r="L450" s="5"/>
      <c r="M450" s="5"/>
      <c r="N450" s="1"/>
      <c r="O450" s="5"/>
      <c r="P450" s="5"/>
      <c r="Q450" s="1"/>
      <c r="R450" s="156"/>
      <c r="S450" s="156"/>
      <c r="T450" s="157"/>
    </row>
    <row r="451" spans="1:20" ht="13.5" customHeight="1" x14ac:dyDescent="0.25">
      <c r="A451" s="1"/>
      <c r="B451" s="1"/>
      <c r="C451" s="1"/>
      <c r="D451" s="1"/>
      <c r="E451" s="1"/>
      <c r="F451" s="5"/>
      <c r="G451" s="5"/>
      <c r="H451" s="1"/>
      <c r="I451" s="1"/>
      <c r="J451" s="1"/>
      <c r="K451" s="1"/>
      <c r="L451" s="5"/>
      <c r="M451" s="5"/>
      <c r="N451" s="1"/>
      <c r="O451" s="5"/>
      <c r="P451" s="5"/>
      <c r="Q451" s="1"/>
      <c r="R451" s="156"/>
      <c r="S451" s="156"/>
      <c r="T451" s="157"/>
    </row>
    <row r="452" spans="1:20" ht="13.5" customHeight="1" x14ac:dyDescent="0.25">
      <c r="A452" s="1"/>
      <c r="B452" s="1"/>
      <c r="C452" s="1"/>
      <c r="D452" s="1"/>
      <c r="E452" s="1"/>
      <c r="F452" s="5"/>
      <c r="G452" s="5"/>
      <c r="H452" s="1"/>
      <c r="I452" s="1"/>
      <c r="J452" s="1"/>
      <c r="K452" s="1"/>
      <c r="L452" s="5"/>
      <c r="M452" s="5"/>
      <c r="N452" s="1"/>
      <c r="O452" s="5"/>
      <c r="P452" s="5"/>
      <c r="Q452" s="1"/>
      <c r="R452" s="156"/>
      <c r="S452" s="156"/>
      <c r="T452" s="157"/>
    </row>
    <row r="453" spans="1:20" ht="13.5" customHeight="1" x14ac:dyDescent="0.25">
      <c r="A453" s="1"/>
      <c r="B453" s="1"/>
      <c r="C453" s="1"/>
      <c r="D453" s="1"/>
      <c r="E453" s="1"/>
      <c r="F453" s="5"/>
      <c r="G453" s="5"/>
      <c r="H453" s="1"/>
      <c r="I453" s="1"/>
      <c r="J453" s="1"/>
      <c r="K453" s="1"/>
      <c r="L453" s="5"/>
      <c r="M453" s="5"/>
      <c r="N453" s="1"/>
      <c r="O453" s="5"/>
      <c r="P453" s="5"/>
      <c r="Q453" s="1"/>
      <c r="R453" s="156"/>
      <c r="S453" s="156"/>
      <c r="T453" s="157"/>
    </row>
    <row r="454" spans="1:20" ht="13.5" customHeight="1" x14ac:dyDescent="0.25">
      <c r="A454" s="1"/>
      <c r="B454" s="1"/>
      <c r="C454" s="1"/>
      <c r="D454" s="1"/>
      <c r="E454" s="1"/>
      <c r="F454" s="5"/>
      <c r="G454" s="5"/>
      <c r="H454" s="1"/>
      <c r="I454" s="1"/>
      <c r="J454" s="1"/>
      <c r="K454" s="1"/>
      <c r="L454" s="5"/>
      <c r="M454" s="5"/>
      <c r="N454" s="1"/>
      <c r="O454" s="5"/>
      <c r="P454" s="5"/>
      <c r="Q454" s="1"/>
      <c r="R454" s="156"/>
      <c r="S454" s="156"/>
      <c r="T454" s="157"/>
    </row>
    <row r="455" spans="1:20" ht="13.5" customHeight="1" x14ac:dyDescent="0.25">
      <c r="A455" s="1"/>
      <c r="B455" s="1"/>
      <c r="C455" s="1"/>
      <c r="D455" s="1"/>
      <c r="E455" s="1"/>
      <c r="F455" s="5"/>
      <c r="G455" s="5"/>
      <c r="H455" s="1"/>
      <c r="I455" s="1"/>
      <c r="J455" s="1"/>
      <c r="K455" s="1"/>
      <c r="L455" s="5"/>
      <c r="M455" s="5"/>
      <c r="N455" s="1"/>
      <c r="O455" s="5"/>
      <c r="P455" s="5"/>
      <c r="Q455" s="1"/>
      <c r="R455" s="156"/>
      <c r="S455" s="156"/>
      <c r="T455" s="157"/>
    </row>
    <row r="456" spans="1:20" ht="13.5" customHeight="1" x14ac:dyDescent="0.25">
      <c r="A456" s="1"/>
      <c r="B456" s="1"/>
      <c r="C456" s="1"/>
      <c r="D456" s="1"/>
      <c r="E456" s="1"/>
      <c r="F456" s="5"/>
      <c r="G456" s="5"/>
      <c r="H456" s="1"/>
      <c r="I456" s="1"/>
      <c r="J456" s="1"/>
      <c r="K456" s="1"/>
      <c r="L456" s="5"/>
      <c r="M456" s="5"/>
      <c r="N456" s="1"/>
      <c r="O456" s="5"/>
      <c r="P456" s="5"/>
      <c r="Q456" s="1"/>
      <c r="R456" s="156"/>
      <c r="S456" s="156"/>
      <c r="T456" s="157"/>
    </row>
    <row r="457" spans="1:20" ht="13.5" customHeight="1" x14ac:dyDescent="0.25">
      <c r="A457" s="1"/>
      <c r="B457" s="1"/>
      <c r="C457" s="1"/>
      <c r="D457" s="1"/>
      <c r="E457" s="1"/>
      <c r="F457" s="5"/>
      <c r="G457" s="5"/>
      <c r="H457" s="1"/>
      <c r="I457" s="1"/>
      <c r="J457" s="1"/>
      <c r="K457" s="1"/>
      <c r="L457" s="5"/>
      <c r="M457" s="5"/>
      <c r="N457" s="1"/>
      <c r="O457" s="5"/>
      <c r="P457" s="5"/>
      <c r="Q457" s="1"/>
      <c r="R457" s="156"/>
      <c r="S457" s="156"/>
      <c r="T457" s="157"/>
    </row>
    <row r="458" spans="1:20" ht="13.5" customHeight="1" x14ac:dyDescent="0.25">
      <c r="A458" s="1"/>
      <c r="B458" s="1"/>
      <c r="C458" s="1"/>
      <c r="D458" s="1"/>
      <c r="E458" s="1"/>
      <c r="F458" s="5"/>
      <c r="G458" s="5"/>
      <c r="H458" s="1"/>
      <c r="I458" s="1"/>
      <c r="J458" s="1"/>
      <c r="K458" s="1"/>
      <c r="L458" s="5"/>
      <c r="M458" s="5"/>
      <c r="N458" s="1"/>
      <c r="O458" s="5"/>
      <c r="P458" s="5"/>
      <c r="Q458" s="1"/>
      <c r="R458" s="156"/>
      <c r="S458" s="156"/>
      <c r="T458" s="157"/>
    </row>
    <row r="459" spans="1:20" ht="13.5" customHeight="1" x14ac:dyDescent="0.25">
      <c r="A459" s="1"/>
      <c r="B459" s="1"/>
      <c r="C459" s="1"/>
      <c r="D459" s="1"/>
      <c r="E459" s="1"/>
      <c r="F459" s="5"/>
      <c r="G459" s="5"/>
      <c r="H459" s="1"/>
      <c r="I459" s="1"/>
      <c r="J459" s="1"/>
      <c r="K459" s="1"/>
      <c r="L459" s="5"/>
      <c r="M459" s="5"/>
      <c r="N459" s="1"/>
      <c r="O459" s="5"/>
      <c r="P459" s="5"/>
      <c r="Q459" s="1"/>
      <c r="R459" s="156"/>
      <c r="S459" s="156"/>
      <c r="T459" s="157"/>
    </row>
    <row r="460" spans="1:20" ht="13.5" customHeight="1" x14ac:dyDescent="0.25">
      <c r="A460" s="1"/>
      <c r="B460" s="1"/>
      <c r="C460" s="1"/>
      <c r="D460" s="1"/>
      <c r="E460" s="1"/>
      <c r="F460" s="5"/>
      <c r="G460" s="5"/>
      <c r="H460" s="1"/>
      <c r="I460" s="1"/>
      <c r="J460" s="1"/>
      <c r="K460" s="1"/>
      <c r="L460" s="5"/>
      <c r="M460" s="5"/>
      <c r="N460" s="1"/>
      <c r="O460" s="5"/>
      <c r="P460" s="5"/>
      <c r="Q460" s="1"/>
      <c r="R460" s="156"/>
      <c r="S460" s="156"/>
      <c r="T460" s="157"/>
    </row>
    <row r="461" spans="1:20" ht="13.5" customHeight="1" x14ac:dyDescent="0.25">
      <c r="A461" s="1"/>
      <c r="B461" s="1"/>
      <c r="C461" s="1"/>
      <c r="D461" s="1"/>
      <c r="E461" s="1"/>
      <c r="F461" s="5"/>
      <c r="G461" s="5"/>
      <c r="H461" s="1"/>
      <c r="I461" s="1"/>
      <c r="J461" s="1"/>
      <c r="K461" s="1"/>
      <c r="L461" s="5"/>
      <c r="M461" s="5"/>
      <c r="N461" s="1"/>
      <c r="O461" s="5"/>
      <c r="P461" s="5"/>
      <c r="Q461" s="1"/>
      <c r="R461" s="156"/>
      <c r="S461" s="156"/>
      <c r="T461" s="157"/>
    </row>
    <row r="462" spans="1:20" ht="13.5" customHeight="1" x14ac:dyDescent="0.25">
      <c r="A462" s="1"/>
      <c r="B462" s="1"/>
      <c r="C462" s="1"/>
      <c r="D462" s="1"/>
      <c r="E462" s="1"/>
      <c r="F462" s="5"/>
      <c r="G462" s="5"/>
      <c r="H462" s="1"/>
      <c r="I462" s="1"/>
      <c r="J462" s="1"/>
      <c r="K462" s="1"/>
      <c r="L462" s="5"/>
      <c r="M462" s="5"/>
      <c r="N462" s="1"/>
      <c r="O462" s="5"/>
      <c r="P462" s="5"/>
      <c r="Q462" s="1"/>
      <c r="R462" s="156"/>
      <c r="S462" s="156"/>
      <c r="T462" s="157"/>
    </row>
    <row r="463" spans="1:20" ht="13.5" customHeight="1" x14ac:dyDescent="0.25">
      <c r="A463" s="1"/>
      <c r="B463" s="1"/>
      <c r="C463" s="1"/>
      <c r="D463" s="1"/>
      <c r="E463" s="1"/>
      <c r="F463" s="5"/>
      <c r="G463" s="5"/>
      <c r="H463" s="1"/>
      <c r="I463" s="1"/>
      <c r="J463" s="1"/>
      <c r="K463" s="1"/>
      <c r="L463" s="5"/>
      <c r="M463" s="5"/>
      <c r="N463" s="1"/>
      <c r="O463" s="5"/>
      <c r="P463" s="5"/>
      <c r="Q463" s="1"/>
      <c r="R463" s="156"/>
      <c r="S463" s="156"/>
      <c r="T463" s="157"/>
    </row>
    <row r="464" spans="1:20" ht="13.5" customHeight="1" x14ac:dyDescent="0.25">
      <c r="A464" s="1"/>
      <c r="B464" s="1"/>
      <c r="C464" s="1"/>
      <c r="D464" s="1"/>
      <c r="E464" s="1"/>
      <c r="F464" s="5"/>
      <c r="G464" s="5"/>
      <c r="H464" s="1"/>
      <c r="I464" s="1"/>
      <c r="J464" s="1"/>
      <c r="K464" s="1"/>
      <c r="L464" s="5"/>
      <c r="M464" s="5"/>
      <c r="N464" s="1"/>
      <c r="O464" s="5"/>
      <c r="P464" s="5"/>
      <c r="Q464" s="1"/>
      <c r="R464" s="156"/>
      <c r="S464" s="156"/>
      <c r="T464" s="157"/>
    </row>
    <row r="465" spans="1:20" ht="13.5" customHeight="1" x14ac:dyDescent="0.25">
      <c r="A465" s="1"/>
      <c r="B465" s="1"/>
      <c r="C465" s="1"/>
      <c r="D465" s="1"/>
      <c r="E465" s="1"/>
      <c r="F465" s="5"/>
      <c r="G465" s="5"/>
      <c r="H465" s="1"/>
      <c r="I465" s="1"/>
      <c r="J465" s="1"/>
      <c r="K465" s="1"/>
      <c r="L465" s="5"/>
      <c r="M465" s="5"/>
      <c r="N465" s="1"/>
      <c r="O465" s="5"/>
      <c r="P465" s="5"/>
      <c r="Q465" s="1"/>
      <c r="R465" s="156"/>
      <c r="S465" s="156"/>
      <c r="T465" s="157"/>
    </row>
    <row r="466" spans="1:20" ht="13.5" customHeight="1" x14ac:dyDescent="0.25">
      <c r="A466" s="1"/>
      <c r="B466" s="1"/>
      <c r="C466" s="1"/>
      <c r="D466" s="1"/>
      <c r="E466" s="1"/>
      <c r="F466" s="5"/>
      <c r="G466" s="5"/>
      <c r="H466" s="1"/>
      <c r="I466" s="1"/>
      <c r="J466" s="1"/>
      <c r="K466" s="1"/>
      <c r="L466" s="5"/>
      <c r="M466" s="5"/>
      <c r="N466" s="1"/>
      <c r="O466" s="5"/>
      <c r="P466" s="5"/>
      <c r="Q466" s="1"/>
      <c r="R466" s="156"/>
      <c r="S466" s="156"/>
      <c r="T466" s="157"/>
    </row>
    <row r="467" spans="1:20" ht="13.5" customHeight="1" x14ac:dyDescent="0.25">
      <c r="A467" s="1"/>
      <c r="B467" s="1"/>
      <c r="C467" s="1"/>
      <c r="D467" s="1"/>
      <c r="E467" s="1"/>
      <c r="F467" s="5"/>
      <c r="G467" s="5"/>
      <c r="H467" s="1"/>
      <c r="I467" s="1"/>
      <c r="J467" s="1"/>
      <c r="K467" s="1"/>
      <c r="L467" s="5"/>
      <c r="M467" s="5"/>
      <c r="N467" s="1"/>
      <c r="O467" s="5"/>
      <c r="P467" s="5"/>
      <c r="Q467" s="1"/>
      <c r="R467" s="156"/>
      <c r="S467" s="156"/>
      <c r="T467" s="157"/>
    </row>
    <row r="468" spans="1:20" ht="13.5" customHeight="1" x14ac:dyDescent="0.25">
      <c r="A468" s="1"/>
      <c r="B468" s="1"/>
      <c r="C468" s="1"/>
      <c r="D468" s="1"/>
      <c r="E468" s="1"/>
      <c r="F468" s="5"/>
      <c r="G468" s="5"/>
      <c r="H468" s="1"/>
      <c r="I468" s="1"/>
      <c r="J468" s="1"/>
      <c r="K468" s="1"/>
      <c r="L468" s="5"/>
      <c r="M468" s="5"/>
      <c r="N468" s="1"/>
      <c r="O468" s="5"/>
      <c r="P468" s="5"/>
      <c r="Q468" s="1"/>
      <c r="R468" s="156"/>
      <c r="S468" s="156"/>
      <c r="T468" s="157"/>
    </row>
    <row r="469" spans="1:20" ht="13.5" customHeight="1" x14ac:dyDescent="0.25">
      <c r="A469" s="1"/>
      <c r="B469" s="1"/>
      <c r="C469" s="1"/>
      <c r="D469" s="1"/>
      <c r="E469" s="1"/>
      <c r="F469" s="5"/>
      <c r="G469" s="5"/>
      <c r="H469" s="1"/>
      <c r="I469" s="1"/>
      <c r="J469" s="1"/>
      <c r="K469" s="1"/>
      <c r="L469" s="5"/>
      <c r="M469" s="5"/>
      <c r="N469" s="1"/>
      <c r="O469" s="5"/>
      <c r="P469" s="5"/>
      <c r="Q469" s="1"/>
      <c r="R469" s="156"/>
      <c r="S469" s="156"/>
      <c r="T469" s="157"/>
    </row>
    <row r="470" spans="1:20" ht="13.5" customHeight="1" x14ac:dyDescent="0.25">
      <c r="A470" s="1"/>
      <c r="B470" s="1"/>
      <c r="C470" s="1"/>
      <c r="D470" s="1"/>
      <c r="E470" s="1"/>
      <c r="F470" s="5"/>
      <c r="G470" s="5"/>
      <c r="H470" s="1"/>
      <c r="I470" s="1"/>
      <c r="J470" s="1"/>
      <c r="K470" s="1"/>
      <c r="L470" s="5"/>
      <c r="M470" s="5"/>
      <c r="N470" s="1"/>
      <c r="O470" s="5"/>
      <c r="P470" s="5"/>
      <c r="Q470" s="1"/>
      <c r="R470" s="156"/>
      <c r="S470" s="156"/>
      <c r="T470" s="157"/>
    </row>
    <row r="471" spans="1:20" ht="13.5" customHeight="1" x14ac:dyDescent="0.25">
      <c r="A471" s="1"/>
      <c r="B471" s="1"/>
      <c r="C471" s="1"/>
      <c r="D471" s="1"/>
      <c r="E471" s="1"/>
      <c r="F471" s="5"/>
      <c r="G471" s="5"/>
      <c r="H471" s="1"/>
      <c r="I471" s="1"/>
      <c r="J471" s="1"/>
      <c r="K471" s="1"/>
      <c r="L471" s="5"/>
      <c r="M471" s="5"/>
      <c r="N471" s="1"/>
      <c r="O471" s="5"/>
      <c r="P471" s="5"/>
      <c r="Q471" s="1"/>
      <c r="R471" s="156"/>
      <c r="S471" s="156"/>
      <c r="T471" s="157"/>
    </row>
    <row r="472" spans="1:20" ht="13.5" customHeight="1" x14ac:dyDescent="0.25">
      <c r="A472" s="1"/>
      <c r="B472" s="1"/>
      <c r="C472" s="1"/>
      <c r="D472" s="1"/>
      <c r="E472" s="1"/>
      <c r="F472" s="5"/>
      <c r="G472" s="5"/>
      <c r="H472" s="1"/>
      <c r="I472" s="1"/>
      <c r="J472" s="1"/>
      <c r="K472" s="1"/>
      <c r="L472" s="5"/>
      <c r="M472" s="5"/>
      <c r="N472" s="1"/>
      <c r="O472" s="5"/>
      <c r="P472" s="5"/>
      <c r="Q472" s="1"/>
      <c r="R472" s="156"/>
      <c r="S472" s="156"/>
      <c r="T472" s="157"/>
    </row>
    <row r="473" spans="1:20" ht="13.5" customHeight="1" x14ac:dyDescent="0.25">
      <c r="A473" s="1"/>
      <c r="B473" s="1"/>
      <c r="C473" s="1"/>
      <c r="D473" s="1"/>
      <c r="E473" s="1"/>
      <c r="F473" s="5"/>
      <c r="G473" s="5"/>
      <c r="H473" s="1"/>
      <c r="I473" s="1"/>
      <c r="J473" s="1"/>
      <c r="K473" s="1"/>
      <c r="L473" s="5"/>
      <c r="M473" s="5"/>
      <c r="N473" s="1"/>
      <c r="O473" s="5"/>
      <c r="P473" s="5"/>
      <c r="Q473" s="1"/>
      <c r="R473" s="156"/>
      <c r="S473" s="156"/>
      <c r="T473" s="157"/>
    </row>
    <row r="474" spans="1:20" ht="13.5" customHeight="1" x14ac:dyDescent="0.25">
      <c r="A474" s="1"/>
      <c r="B474" s="1"/>
      <c r="C474" s="1"/>
      <c r="D474" s="1"/>
      <c r="E474" s="1"/>
      <c r="F474" s="5"/>
      <c r="G474" s="5"/>
      <c r="H474" s="1"/>
      <c r="I474" s="1"/>
      <c r="J474" s="1"/>
      <c r="K474" s="1"/>
      <c r="L474" s="5"/>
      <c r="M474" s="5"/>
      <c r="N474" s="1"/>
      <c r="O474" s="5"/>
      <c r="P474" s="5"/>
      <c r="Q474" s="1"/>
      <c r="R474" s="156"/>
      <c r="S474" s="156"/>
      <c r="T474" s="157"/>
    </row>
    <row r="475" spans="1:20" ht="13.5" customHeight="1" x14ac:dyDescent="0.25">
      <c r="A475" s="1"/>
      <c r="B475" s="1"/>
      <c r="C475" s="1"/>
      <c r="D475" s="1"/>
      <c r="E475" s="1"/>
      <c r="F475" s="5"/>
      <c r="G475" s="5"/>
      <c r="H475" s="1"/>
      <c r="I475" s="1"/>
      <c r="J475" s="1"/>
      <c r="K475" s="1"/>
      <c r="L475" s="5"/>
      <c r="M475" s="5"/>
      <c r="N475" s="1"/>
      <c r="O475" s="5"/>
      <c r="P475" s="5"/>
      <c r="Q475" s="1"/>
      <c r="R475" s="156"/>
      <c r="S475" s="156"/>
      <c r="T475" s="157"/>
    </row>
    <row r="476" spans="1:20" ht="13.5" customHeight="1" x14ac:dyDescent="0.25">
      <c r="A476" s="1"/>
      <c r="B476" s="1"/>
      <c r="C476" s="1"/>
      <c r="D476" s="1"/>
      <c r="E476" s="1"/>
      <c r="F476" s="5"/>
      <c r="G476" s="5"/>
      <c r="H476" s="1"/>
      <c r="I476" s="1"/>
      <c r="J476" s="1"/>
      <c r="K476" s="1"/>
      <c r="L476" s="5"/>
      <c r="M476" s="5"/>
      <c r="N476" s="1"/>
      <c r="O476" s="5"/>
      <c r="P476" s="5"/>
      <c r="Q476" s="1"/>
      <c r="R476" s="156"/>
      <c r="S476" s="156"/>
      <c r="T476" s="157"/>
    </row>
    <row r="477" spans="1:20" ht="13.5" customHeight="1" x14ac:dyDescent="0.25">
      <c r="A477" s="1"/>
      <c r="B477" s="1"/>
      <c r="C477" s="1"/>
      <c r="D477" s="1"/>
      <c r="E477" s="1"/>
      <c r="F477" s="5"/>
      <c r="G477" s="5"/>
      <c r="H477" s="1"/>
      <c r="I477" s="1"/>
      <c r="J477" s="1"/>
      <c r="K477" s="1"/>
      <c r="L477" s="5"/>
      <c r="M477" s="5"/>
      <c r="N477" s="1"/>
      <c r="O477" s="5"/>
      <c r="P477" s="5"/>
      <c r="Q477" s="1"/>
      <c r="R477" s="156"/>
      <c r="S477" s="156"/>
      <c r="T477" s="157"/>
    </row>
    <row r="478" spans="1:20" ht="13.5" customHeight="1" x14ac:dyDescent="0.25">
      <c r="A478" s="1"/>
      <c r="B478" s="1"/>
      <c r="C478" s="1"/>
      <c r="D478" s="1"/>
      <c r="E478" s="1"/>
      <c r="F478" s="5"/>
      <c r="G478" s="5"/>
      <c r="H478" s="1"/>
      <c r="I478" s="1"/>
      <c r="J478" s="1"/>
      <c r="K478" s="1"/>
      <c r="L478" s="5"/>
      <c r="M478" s="5"/>
      <c r="N478" s="1"/>
      <c r="O478" s="5"/>
      <c r="P478" s="5"/>
      <c r="Q478" s="1"/>
      <c r="R478" s="156"/>
      <c r="S478" s="156"/>
      <c r="T478" s="157"/>
    </row>
    <row r="479" spans="1:20" ht="13.5" customHeight="1" x14ac:dyDescent="0.25">
      <c r="A479" s="1"/>
      <c r="B479" s="1"/>
      <c r="C479" s="1"/>
      <c r="D479" s="1"/>
      <c r="E479" s="1"/>
      <c r="F479" s="5"/>
      <c r="G479" s="5"/>
      <c r="H479" s="1"/>
      <c r="I479" s="1"/>
      <c r="J479" s="1"/>
      <c r="K479" s="1"/>
      <c r="L479" s="5"/>
      <c r="M479" s="5"/>
      <c r="N479" s="1"/>
      <c r="O479" s="5"/>
      <c r="P479" s="5"/>
      <c r="Q479" s="1"/>
      <c r="R479" s="156"/>
      <c r="S479" s="156"/>
      <c r="T479" s="157"/>
    </row>
    <row r="480" spans="1:20" ht="13.5" customHeight="1" x14ac:dyDescent="0.25">
      <c r="A480" s="1"/>
      <c r="B480" s="1"/>
      <c r="C480" s="1"/>
      <c r="D480" s="1"/>
      <c r="E480" s="1"/>
      <c r="F480" s="5"/>
      <c r="G480" s="5"/>
      <c r="H480" s="1"/>
      <c r="I480" s="1"/>
      <c r="J480" s="1"/>
      <c r="K480" s="1"/>
      <c r="L480" s="5"/>
      <c r="M480" s="5"/>
      <c r="N480" s="1"/>
      <c r="O480" s="5"/>
      <c r="P480" s="5"/>
      <c r="Q480" s="1"/>
      <c r="R480" s="156"/>
      <c r="S480" s="156"/>
      <c r="T480" s="157"/>
    </row>
    <row r="481" spans="1:20" ht="13.5" customHeight="1" x14ac:dyDescent="0.25">
      <c r="A481" s="1"/>
      <c r="B481" s="1"/>
      <c r="C481" s="1"/>
      <c r="D481" s="1"/>
      <c r="E481" s="1"/>
      <c r="F481" s="5"/>
      <c r="G481" s="5"/>
      <c r="H481" s="1"/>
      <c r="I481" s="1"/>
      <c r="J481" s="1"/>
      <c r="K481" s="1"/>
      <c r="L481" s="5"/>
      <c r="M481" s="5"/>
      <c r="N481" s="1"/>
      <c r="O481" s="5"/>
      <c r="P481" s="5"/>
      <c r="Q481" s="1"/>
      <c r="R481" s="156"/>
      <c r="S481" s="156"/>
      <c r="T481" s="157"/>
    </row>
    <row r="482" spans="1:20" ht="13.5" customHeight="1" x14ac:dyDescent="0.25">
      <c r="A482" s="1"/>
      <c r="B482" s="1"/>
      <c r="C482" s="1"/>
      <c r="D482" s="1"/>
      <c r="E482" s="1"/>
      <c r="F482" s="5"/>
      <c r="G482" s="5"/>
      <c r="H482" s="1"/>
      <c r="I482" s="1"/>
      <c r="J482" s="1"/>
      <c r="K482" s="1"/>
      <c r="L482" s="5"/>
      <c r="M482" s="5"/>
      <c r="N482" s="1"/>
      <c r="O482" s="5"/>
      <c r="P482" s="5"/>
      <c r="Q482" s="1"/>
      <c r="R482" s="156"/>
      <c r="S482" s="156"/>
      <c r="T482" s="157"/>
    </row>
    <row r="483" spans="1:20" ht="13.5" customHeight="1" x14ac:dyDescent="0.25">
      <c r="A483" s="1"/>
      <c r="B483" s="1"/>
      <c r="C483" s="1"/>
      <c r="D483" s="1"/>
      <c r="E483" s="1"/>
      <c r="F483" s="5"/>
      <c r="G483" s="5"/>
      <c r="H483" s="1"/>
      <c r="I483" s="1"/>
      <c r="J483" s="1"/>
      <c r="K483" s="1"/>
      <c r="L483" s="5"/>
      <c r="M483" s="5"/>
      <c r="N483" s="1"/>
      <c r="O483" s="5"/>
      <c r="P483" s="5"/>
      <c r="Q483" s="1"/>
      <c r="R483" s="156"/>
      <c r="S483" s="156"/>
      <c r="T483" s="157"/>
    </row>
    <row r="484" spans="1:20" ht="13.5" customHeight="1" x14ac:dyDescent="0.25">
      <c r="A484" s="1"/>
      <c r="B484" s="1"/>
      <c r="C484" s="1"/>
      <c r="D484" s="1"/>
      <c r="E484" s="1"/>
      <c r="F484" s="5"/>
      <c r="G484" s="5"/>
      <c r="H484" s="1"/>
      <c r="I484" s="1"/>
      <c r="J484" s="1"/>
      <c r="K484" s="1"/>
      <c r="L484" s="5"/>
      <c r="M484" s="5"/>
      <c r="N484" s="1"/>
      <c r="O484" s="5"/>
      <c r="P484" s="5"/>
      <c r="Q484" s="1"/>
      <c r="R484" s="156"/>
      <c r="S484" s="156"/>
      <c r="T484" s="157"/>
    </row>
    <row r="485" spans="1:20" ht="13.5" customHeight="1" x14ac:dyDescent="0.25">
      <c r="A485" s="1"/>
      <c r="B485" s="1"/>
      <c r="C485" s="1"/>
      <c r="D485" s="1"/>
      <c r="E485" s="1"/>
      <c r="F485" s="5"/>
      <c r="G485" s="5"/>
      <c r="H485" s="1"/>
      <c r="I485" s="1"/>
      <c r="J485" s="1"/>
      <c r="K485" s="1"/>
      <c r="L485" s="5"/>
      <c r="M485" s="5"/>
      <c r="N485" s="1"/>
      <c r="O485" s="5"/>
      <c r="P485" s="5"/>
      <c r="Q485" s="1"/>
      <c r="R485" s="156"/>
      <c r="S485" s="156"/>
      <c r="T485" s="157"/>
    </row>
    <row r="486" spans="1:20" ht="13.5" customHeight="1" x14ac:dyDescent="0.25">
      <c r="A486" s="1"/>
      <c r="B486" s="1"/>
      <c r="C486" s="1"/>
      <c r="D486" s="1"/>
      <c r="E486" s="1"/>
      <c r="F486" s="5"/>
      <c r="G486" s="5"/>
      <c r="H486" s="1"/>
      <c r="I486" s="1"/>
      <c r="J486" s="1"/>
      <c r="K486" s="1"/>
      <c r="L486" s="5"/>
      <c r="M486" s="5"/>
      <c r="N486" s="1"/>
      <c r="O486" s="5"/>
      <c r="P486" s="5"/>
      <c r="Q486" s="1"/>
      <c r="R486" s="156"/>
      <c r="S486" s="156"/>
      <c r="T486" s="157"/>
    </row>
    <row r="487" spans="1:20" ht="13.5" customHeight="1" x14ac:dyDescent="0.25">
      <c r="A487" s="1"/>
      <c r="B487" s="1"/>
      <c r="C487" s="1"/>
      <c r="D487" s="1"/>
      <c r="E487" s="1"/>
      <c r="F487" s="5"/>
      <c r="G487" s="5"/>
      <c r="H487" s="1"/>
      <c r="I487" s="1"/>
      <c r="J487" s="1"/>
      <c r="K487" s="1"/>
      <c r="L487" s="5"/>
      <c r="M487" s="5"/>
      <c r="N487" s="1"/>
      <c r="O487" s="5"/>
      <c r="P487" s="5"/>
      <c r="Q487" s="1"/>
      <c r="R487" s="156"/>
      <c r="S487" s="156"/>
      <c r="T487" s="157"/>
    </row>
    <row r="488" spans="1:20" ht="13.5" customHeight="1" x14ac:dyDescent="0.25">
      <c r="A488" s="1"/>
      <c r="B488" s="1"/>
      <c r="C488" s="1"/>
      <c r="D488" s="1"/>
      <c r="E488" s="1"/>
      <c r="F488" s="5"/>
      <c r="G488" s="5"/>
      <c r="H488" s="1"/>
      <c r="I488" s="1"/>
      <c r="J488" s="1"/>
      <c r="K488" s="1"/>
      <c r="L488" s="5"/>
      <c r="M488" s="5"/>
      <c r="N488" s="1"/>
      <c r="O488" s="5"/>
      <c r="P488" s="5"/>
      <c r="Q488" s="1"/>
      <c r="R488" s="156"/>
      <c r="S488" s="156"/>
      <c r="T488" s="157"/>
    </row>
    <row r="489" spans="1:20" ht="13.5" customHeight="1" x14ac:dyDescent="0.25">
      <c r="A489" s="1"/>
      <c r="B489" s="1"/>
      <c r="C489" s="1"/>
      <c r="D489" s="1"/>
      <c r="E489" s="1"/>
      <c r="F489" s="5"/>
      <c r="G489" s="5"/>
      <c r="H489" s="1"/>
      <c r="I489" s="1"/>
      <c r="J489" s="1"/>
      <c r="K489" s="1"/>
      <c r="L489" s="5"/>
      <c r="M489" s="5"/>
      <c r="N489" s="1"/>
      <c r="O489" s="5"/>
      <c r="P489" s="5"/>
      <c r="Q489" s="1"/>
      <c r="R489" s="156"/>
      <c r="S489" s="156"/>
      <c r="T489" s="157"/>
    </row>
    <row r="490" spans="1:20" ht="13.5" customHeight="1" x14ac:dyDescent="0.25">
      <c r="A490" s="1"/>
      <c r="B490" s="1"/>
      <c r="C490" s="1"/>
      <c r="D490" s="1"/>
      <c r="E490" s="1"/>
      <c r="F490" s="5"/>
      <c r="G490" s="5"/>
      <c r="H490" s="1"/>
      <c r="I490" s="1"/>
      <c r="J490" s="1"/>
      <c r="K490" s="1"/>
      <c r="L490" s="5"/>
      <c r="M490" s="5"/>
      <c r="N490" s="1"/>
      <c r="O490" s="5"/>
      <c r="P490" s="5"/>
      <c r="Q490" s="1"/>
      <c r="R490" s="156"/>
      <c r="S490" s="156"/>
      <c r="T490" s="157"/>
    </row>
    <row r="491" spans="1:20" ht="13.5" customHeight="1" x14ac:dyDescent="0.25">
      <c r="A491" s="1"/>
      <c r="B491" s="1"/>
      <c r="C491" s="1"/>
      <c r="D491" s="1"/>
      <c r="E491" s="1"/>
      <c r="F491" s="5"/>
      <c r="G491" s="5"/>
      <c r="H491" s="1"/>
      <c r="I491" s="1"/>
      <c r="J491" s="1"/>
      <c r="K491" s="1"/>
      <c r="L491" s="5"/>
      <c r="M491" s="5"/>
      <c r="N491" s="1"/>
      <c r="O491" s="5"/>
      <c r="P491" s="5"/>
      <c r="Q491" s="1"/>
      <c r="R491" s="156"/>
      <c r="S491" s="156"/>
      <c r="T491" s="157"/>
    </row>
    <row r="492" spans="1:20" ht="13.5" customHeight="1" x14ac:dyDescent="0.25">
      <c r="A492" s="1"/>
      <c r="B492" s="1"/>
      <c r="C492" s="1"/>
      <c r="D492" s="1"/>
      <c r="E492" s="1"/>
      <c r="F492" s="5"/>
      <c r="G492" s="5"/>
      <c r="H492" s="1"/>
      <c r="I492" s="1"/>
      <c r="J492" s="1"/>
      <c r="K492" s="1"/>
      <c r="L492" s="5"/>
      <c r="M492" s="5"/>
      <c r="N492" s="1"/>
      <c r="O492" s="5"/>
      <c r="P492" s="5"/>
      <c r="Q492" s="1"/>
      <c r="R492" s="156"/>
      <c r="S492" s="156"/>
      <c r="T492" s="157"/>
    </row>
    <row r="493" spans="1:20" ht="13.5" customHeight="1" x14ac:dyDescent="0.25">
      <c r="A493" s="1"/>
      <c r="B493" s="1"/>
      <c r="C493" s="1"/>
      <c r="D493" s="1"/>
      <c r="E493" s="1"/>
      <c r="F493" s="5"/>
      <c r="G493" s="5"/>
      <c r="H493" s="1"/>
      <c r="I493" s="1"/>
      <c r="J493" s="1"/>
      <c r="K493" s="1"/>
      <c r="L493" s="5"/>
      <c r="M493" s="5"/>
      <c r="N493" s="1"/>
      <c r="O493" s="5"/>
      <c r="P493" s="5"/>
      <c r="Q493" s="1"/>
      <c r="R493" s="156"/>
      <c r="S493" s="156"/>
      <c r="T493" s="157"/>
    </row>
    <row r="494" spans="1:20" ht="13.5" customHeight="1" x14ac:dyDescent="0.25">
      <c r="A494" s="1"/>
      <c r="B494" s="1"/>
      <c r="C494" s="1"/>
      <c r="D494" s="1"/>
      <c r="E494" s="1"/>
      <c r="F494" s="5"/>
      <c r="G494" s="5"/>
      <c r="H494" s="1"/>
      <c r="I494" s="1"/>
      <c r="J494" s="1"/>
      <c r="K494" s="1"/>
      <c r="L494" s="5"/>
      <c r="M494" s="5"/>
      <c r="N494" s="1"/>
      <c r="O494" s="5"/>
      <c r="P494" s="5"/>
      <c r="Q494" s="1"/>
      <c r="R494" s="156"/>
      <c r="S494" s="156"/>
      <c r="T494" s="157"/>
    </row>
    <row r="495" spans="1:20" ht="13.5" customHeight="1" x14ac:dyDescent="0.25">
      <c r="A495" s="1"/>
      <c r="B495" s="1"/>
      <c r="C495" s="1"/>
      <c r="D495" s="1"/>
      <c r="E495" s="1"/>
      <c r="F495" s="5"/>
      <c r="G495" s="5"/>
      <c r="H495" s="1"/>
      <c r="I495" s="1"/>
      <c r="J495" s="1"/>
      <c r="K495" s="1"/>
      <c r="L495" s="5"/>
      <c r="M495" s="5"/>
      <c r="N495" s="1"/>
      <c r="O495" s="5"/>
      <c r="P495" s="5"/>
      <c r="Q495" s="1"/>
      <c r="R495" s="156"/>
      <c r="S495" s="156"/>
      <c r="T495" s="157"/>
    </row>
    <row r="496" spans="1:20" ht="13.5" customHeight="1" x14ac:dyDescent="0.25">
      <c r="A496" s="1"/>
      <c r="B496" s="1"/>
      <c r="C496" s="1"/>
      <c r="D496" s="1"/>
      <c r="E496" s="1"/>
      <c r="F496" s="5"/>
      <c r="G496" s="5"/>
      <c r="H496" s="1"/>
      <c r="I496" s="1"/>
      <c r="J496" s="1"/>
      <c r="K496" s="1"/>
      <c r="L496" s="5"/>
      <c r="M496" s="5"/>
      <c r="N496" s="1"/>
      <c r="O496" s="5"/>
      <c r="P496" s="5"/>
      <c r="Q496" s="1"/>
      <c r="R496" s="156"/>
      <c r="S496" s="156"/>
      <c r="T496" s="157"/>
    </row>
    <row r="497" spans="1:20" ht="13.5" customHeight="1" x14ac:dyDescent="0.25">
      <c r="A497" s="1"/>
      <c r="B497" s="1"/>
      <c r="C497" s="1"/>
      <c r="D497" s="1"/>
      <c r="E497" s="1"/>
      <c r="F497" s="5"/>
      <c r="G497" s="5"/>
      <c r="H497" s="1"/>
      <c r="I497" s="1"/>
      <c r="J497" s="1"/>
      <c r="K497" s="1"/>
      <c r="L497" s="5"/>
      <c r="M497" s="5"/>
      <c r="N497" s="1"/>
      <c r="O497" s="5"/>
      <c r="P497" s="5"/>
      <c r="Q497" s="1"/>
      <c r="R497" s="156"/>
      <c r="S497" s="156"/>
      <c r="T497" s="157"/>
    </row>
    <row r="498" spans="1:20" ht="13.5" customHeight="1" x14ac:dyDescent="0.25">
      <c r="A498" s="1"/>
      <c r="B498" s="1"/>
      <c r="C498" s="1"/>
      <c r="D498" s="1"/>
      <c r="E498" s="1"/>
      <c r="F498" s="5"/>
      <c r="G498" s="5"/>
      <c r="H498" s="1"/>
      <c r="I498" s="1"/>
      <c r="J498" s="1"/>
      <c r="K498" s="1"/>
      <c r="L498" s="5"/>
      <c r="M498" s="5"/>
      <c r="N498" s="1"/>
      <c r="O498" s="5"/>
      <c r="P498" s="5"/>
      <c r="Q498" s="1"/>
      <c r="R498" s="156"/>
      <c r="S498" s="156"/>
      <c r="T498" s="157"/>
    </row>
    <row r="499" spans="1:20" ht="13.5" customHeight="1" x14ac:dyDescent="0.25">
      <c r="A499" s="1"/>
      <c r="B499" s="1"/>
      <c r="C499" s="1"/>
      <c r="D499" s="1"/>
      <c r="E499" s="1"/>
      <c r="F499" s="5"/>
      <c r="G499" s="5"/>
      <c r="H499" s="1"/>
      <c r="I499" s="1"/>
      <c r="J499" s="1"/>
      <c r="K499" s="1"/>
      <c r="L499" s="5"/>
      <c r="M499" s="5"/>
      <c r="N499" s="1"/>
      <c r="O499" s="5"/>
      <c r="P499" s="5"/>
      <c r="Q499" s="1"/>
      <c r="R499" s="156"/>
      <c r="S499" s="156"/>
      <c r="T499" s="157"/>
    </row>
    <row r="500" spans="1:20" ht="13.5" customHeight="1" x14ac:dyDescent="0.25">
      <c r="A500" s="1"/>
      <c r="B500" s="1"/>
      <c r="C500" s="1"/>
      <c r="D500" s="1"/>
      <c r="E500" s="1"/>
      <c r="F500" s="5"/>
      <c r="G500" s="5"/>
      <c r="H500" s="1"/>
      <c r="I500" s="1"/>
      <c r="J500" s="1"/>
      <c r="K500" s="1"/>
      <c r="L500" s="5"/>
      <c r="M500" s="5"/>
      <c r="N500" s="1"/>
      <c r="O500" s="5"/>
      <c r="P500" s="5"/>
      <c r="Q500" s="1"/>
      <c r="R500" s="156"/>
      <c r="S500" s="156"/>
      <c r="T500" s="157"/>
    </row>
    <row r="501" spans="1:20" ht="13.5" customHeight="1" x14ac:dyDescent="0.25">
      <c r="A501" s="1"/>
      <c r="B501" s="1"/>
      <c r="C501" s="1"/>
      <c r="D501" s="1"/>
      <c r="E501" s="1"/>
      <c r="F501" s="5"/>
      <c r="G501" s="5"/>
      <c r="H501" s="1"/>
      <c r="I501" s="1"/>
      <c r="J501" s="1"/>
      <c r="K501" s="1"/>
      <c r="L501" s="5"/>
      <c r="M501" s="5"/>
      <c r="N501" s="1"/>
      <c r="O501" s="5"/>
      <c r="P501" s="5"/>
      <c r="Q501" s="1"/>
      <c r="R501" s="156"/>
      <c r="S501" s="156"/>
      <c r="T501" s="157"/>
    </row>
    <row r="502" spans="1:20" ht="13.5" customHeight="1" x14ac:dyDescent="0.25">
      <c r="A502" s="1"/>
      <c r="B502" s="1"/>
      <c r="C502" s="1"/>
      <c r="D502" s="1"/>
      <c r="E502" s="1"/>
      <c r="F502" s="5"/>
      <c r="G502" s="5"/>
      <c r="H502" s="1"/>
      <c r="I502" s="1"/>
      <c r="J502" s="1"/>
      <c r="K502" s="1"/>
      <c r="L502" s="5"/>
      <c r="M502" s="5"/>
      <c r="N502" s="1"/>
      <c r="O502" s="5"/>
      <c r="P502" s="5"/>
      <c r="Q502" s="1"/>
      <c r="R502" s="156"/>
      <c r="S502" s="156"/>
      <c r="T502" s="157"/>
    </row>
    <row r="503" spans="1:20" ht="13.5" customHeight="1" x14ac:dyDescent="0.25">
      <c r="A503" s="1"/>
      <c r="B503" s="1"/>
      <c r="C503" s="1"/>
      <c r="D503" s="1"/>
      <c r="E503" s="1"/>
      <c r="F503" s="5"/>
      <c r="G503" s="5"/>
      <c r="H503" s="1"/>
      <c r="I503" s="1"/>
      <c r="J503" s="1"/>
      <c r="K503" s="1"/>
      <c r="L503" s="5"/>
      <c r="M503" s="5"/>
      <c r="N503" s="1"/>
      <c r="O503" s="5"/>
      <c r="P503" s="5"/>
      <c r="Q503" s="1"/>
      <c r="R503" s="156"/>
      <c r="S503" s="156"/>
      <c r="T503" s="157"/>
    </row>
    <row r="504" spans="1:20" ht="13.5" customHeight="1" x14ac:dyDescent="0.25">
      <c r="A504" s="1"/>
      <c r="B504" s="1"/>
      <c r="C504" s="1"/>
      <c r="D504" s="1"/>
      <c r="E504" s="1"/>
      <c r="F504" s="5"/>
      <c r="G504" s="5"/>
      <c r="H504" s="1"/>
      <c r="I504" s="1"/>
      <c r="J504" s="1"/>
      <c r="K504" s="1"/>
      <c r="L504" s="5"/>
      <c r="M504" s="5"/>
      <c r="N504" s="1"/>
      <c r="O504" s="5"/>
      <c r="P504" s="5"/>
      <c r="Q504" s="1"/>
      <c r="R504" s="156"/>
      <c r="S504" s="156"/>
      <c r="T504" s="157"/>
    </row>
    <row r="505" spans="1:20" ht="13.5" customHeight="1" x14ac:dyDescent="0.25">
      <c r="A505" s="1"/>
      <c r="B505" s="1"/>
      <c r="C505" s="1"/>
      <c r="D505" s="1"/>
      <c r="E505" s="1"/>
      <c r="F505" s="5"/>
      <c r="G505" s="5"/>
      <c r="H505" s="1"/>
      <c r="I505" s="1"/>
      <c r="J505" s="1"/>
      <c r="K505" s="1"/>
      <c r="L505" s="5"/>
      <c r="M505" s="5"/>
      <c r="N505" s="1"/>
      <c r="O505" s="5"/>
      <c r="P505" s="5"/>
      <c r="Q505" s="1"/>
      <c r="R505" s="156"/>
      <c r="S505" s="156"/>
      <c r="T505" s="157"/>
    </row>
    <row r="506" spans="1:20" ht="13.5" customHeight="1" x14ac:dyDescent="0.25">
      <c r="A506" s="1"/>
      <c r="B506" s="1"/>
      <c r="C506" s="1"/>
      <c r="D506" s="1"/>
      <c r="E506" s="1"/>
      <c r="F506" s="5"/>
      <c r="G506" s="5"/>
      <c r="H506" s="1"/>
      <c r="I506" s="1"/>
      <c r="J506" s="1"/>
      <c r="K506" s="1"/>
      <c r="L506" s="5"/>
      <c r="M506" s="5"/>
      <c r="N506" s="1"/>
      <c r="O506" s="5"/>
      <c r="P506" s="5"/>
      <c r="Q506" s="1"/>
      <c r="R506" s="156"/>
      <c r="S506" s="156"/>
      <c r="T506" s="157"/>
    </row>
    <row r="507" spans="1:20" ht="13.5" customHeight="1" x14ac:dyDescent="0.25">
      <c r="A507" s="1"/>
      <c r="B507" s="1"/>
      <c r="C507" s="1"/>
      <c r="D507" s="1"/>
      <c r="E507" s="1"/>
      <c r="F507" s="5"/>
      <c r="G507" s="5"/>
      <c r="H507" s="1"/>
      <c r="I507" s="1"/>
      <c r="J507" s="1"/>
      <c r="K507" s="1"/>
      <c r="L507" s="5"/>
      <c r="M507" s="5"/>
      <c r="N507" s="1"/>
      <c r="O507" s="5"/>
      <c r="P507" s="5"/>
      <c r="Q507" s="1"/>
      <c r="R507" s="156"/>
      <c r="S507" s="156"/>
      <c r="T507" s="157"/>
    </row>
    <row r="508" spans="1:20" ht="13.5" customHeight="1" x14ac:dyDescent="0.25">
      <c r="A508" s="1"/>
      <c r="B508" s="1"/>
      <c r="C508" s="1"/>
      <c r="D508" s="1"/>
      <c r="E508" s="1"/>
      <c r="F508" s="5"/>
      <c r="G508" s="5"/>
      <c r="H508" s="1"/>
      <c r="I508" s="1"/>
      <c r="J508" s="1"/>
      <c r="K508" s="1"/>
      <c r="L508" s="5"/>
      <c r="M508" s="5"/>
      <c r="N508" s="1"/>
      <c r="O508" s="5"/>
      <c r="P508" s="5"/>
      <c r="Q508" s="1"/>
      <c r="R508" s="156"/>
      <c r="S508" s="156"/>
      <c r="T508" s="157"/>
    </row>
    <row r="509" spans="1:20" ht="13.5" customHeight="1" x14ac:dyDescent="0.25">
      <c r="A509" s="1"/>
      <c r="B509" s="1"/>
      <c r="C509" s="1"/>
      <c r="D509" s="1"/>
      <c r="E509" s="1"/>
      <c r="F509" s="5"/>
      <c r="G509" s="5"/>
      <c r="H509" s="1"/>
      <c r="I509" s="1"/>
      <c r="J509" s="1"/>
      <c r="K509" s="1"/>
      <c r="L509" s="5"/>
      <c r="M509" s="5"/>
      <c r="N509" s="1"/>
      <c r="O509" s="5"/>
      <c r="P509" s="5"/>
      <c r="Q509" s="1"/>
      <c r="R509" s="156"/>
      <c r="S509" s="156"/>
      <c r="T509" s="157"/>
    </row>
    <row r="510" spans="1:20" ht="13.5" customHeight="1" x14ac:dyDescent="0.25">
      <c r="A510" s="1"/>
      <c r="B510" s="1"/>
      <c r="C510" s="1"/>
      <c r="D510" s="1"/>
      <c r="E510" s="1"/>
      <c r="F510" s="5"/>
      <c r="G510" s="5"/>
      <c r="H510" s="1"/>
      <c r="I510" s="1"/>
      <c r="J510" s="1"/>
      <c r="K510" s="1"/>
      <c r="L510" s="5"/>
      <c r="M510" s="5"/>
      <c r="N510" s="1"/>
      <c r="O510" s="5"/>
      <c r="P510" s="5"/>
      <c r="Q510" s="1"/>
      <c r="R510" s="156"/>
      <c r="S510" s="156"/>
      <c r="T510" s="157"/>
    </row>
    <row r="511" spans="1:20" ht="13.5" customHeight="1" x14ac:dyDescent="0.25">
      <c r="A511" s="1"/>
      <c r="B511" s="1"/>
      <c r="C511" s="1"/>
      <c r="D511" s="1"/>
      <c r="E511" s="1"/>
      <c r="F511" s="5"/>
      <c r="G511" s="5"/>
      <c r="H511" s="1"/>
      <c r="I511" s="1"/>
      <c r="J511" s="1"/>
      <c r="K511" s="1"/>
      <c r="L511" s="5"/>
      <c r="M511" s="5"/>
      <c r="N511" s="1"/>
      <c r="O511" s="5"/>
      <c r="P511" s="5"/>
      <c r="Q511" s="1"/>
      <c r="R511" s="156"/>
      <c r="S511" s="156"/>
      <c r="T511" s="157"/>
    </row>
    <row r="512" spans="1:20" ht="13.5" customHeight="1" x14ac:dyDescent="0.25">
      <c r="A512" s="1"/>
      <c r="B512" s="1"/>
      <c r="C512" s="1"/>
      <c r="D512" s="1"/>
      <c r="E512" s="1"/>
      <c r="F512" s="5"/>
      <c r="G512" s="5"/>
      <c r="H512" s="1"/>
      <c r="I512" s="1"/>
      <c r="J512" s="1"/>
      <c r="K512" s="1"/>
      <c r="L512" s="5"/>
      <c r="M512" s="5"/>
      <c r="N512" s="1"/>
      <c r="O512" s="5"/>
      <c r="P512" s="5"/>
      <c r="Q512" s="1"/>
      <c r="R512" s="156"/>
      <c r="S512" s="156"/>
      <c r="T512" s="157"/>
    </row>
    <row r="513" spans="1:20" ht="13.5" customHeight="1" x14ac:dyDescent="0.25">
      <c r="A513" s="1"/>
      <c r="B513" s="1"/>
      <c r="C513" s="1"/>
      <c r="D513" s="1"/>
      <c r="E513" s="1"/>
      <c r="F513" s="5"/>
      <c r="G513" s="5"/>
      <c r="H513" s="1"/>
      <c r="I513" s="1"/>
      <c r="J513" s="1"/>
      <c r="K513" s="1"/>
      <c r="L513" s="5"/>
      <c r="M513" s="5"/>
      <c r="N513" s="1"/>
      <c r="O513" s="5"/>
      <c r="P513" s="5"/>
      <c r="Q513" s="1"/>
      <c r="R513" s="156"/>
      <c r="S513" s="156"/>
      <c r="T513" s="157"/>
    </row>
    <row r="514" spans="1:20" ht="13.5" customHeight="1" x14ac:dyDescent="0.25">
      <c r="A514" s="1"/>
      <c r="B514" s="1"/>
      <c r="C514" s="1"/>
      <c r="D514" s="1"/>
      <c r="E514" s="1"/>
      <c r="F514" s="5"/>
      <c r="G514" s="5"/>
      <c r="H514" s="1"/>
      <c r="I514" s="1"/>
      <c r="J514" s="1"/>
      <c r="K514" s="1"/>
      <c r="L514" s="5"/>
      <c r="M514" s="5"/>
      <c r="N514" s="1"/>
      <c r="O514" s="5"/>
      <c r="P514" s="5"/>
      <c r="Q514" s="1"/>
      <c r="R514" s="156"/>
      <c r="S514" s="156"/>
      <c r="T514" s="157"/>
    </row>
    <row r="515" spans="1:20" ht="13.5" customHeight="1" x14ac:dyDescent="0.25">
      <c r="A515" s="1"/>
      <c r="B515" s="1"/>
      <c r="C515" s="1"/>
      <c r="D515" s="1"/>
      <c r="E515" s="1"/>
      <c r="F515" s="5"/>
      <c r="G515" s="5"/>
      <c r="H515" s="1"/>
      <c r="I515" s="1"/>
      <c r="J515" s="1"/>
      <c r="K515" s="1"/>
      <c r="L515" s="5"/>
      <c r="M515" s="5"/>
      <c r="N515" s="1"/>
      <c r="O515" s="5"/>
      <c r="P515" s="5"/>
      <c r="Q515" s="1"/>
      <c r="R515" s="156"/>
      <c r="S515" s="156"/>
      <c r="T515" s="157"/>
    </row>
    <row r="516" spans="1:20" ht="13.5" customHeight="1" x14ac:dyDescent="0.25">
      <c r="A516" s="1"/>
      <c r="B516" s="1"/>
      <c r="C516" s="1"/>
      <c r="D516" s="1"/>
      <c r="E516" s="1"/>
      <c r="F516" s="5"/>
      <c r="G516" s="5"/>
      <c r="H516" s="1"/>
      <c r="I516" s="1"/>
      <c r="J516" s="1"/>
      <c r="K516" s="1"/>
      <c r="L516" s="5"/>
      <c r="M516" s="5"/>
      <c r="N516" s="1"/>
      <c r="O516" s="5"/>
      <c r="P516" s="5"/>
      <c r="Q516" s="1"/>
      <c r="R516" s="156"/>
      <c r="S516" s="156"/>
      <c r="T516" s="157"/>
    </row>
    <row r="517" spans="1:20" ht="13.5" customHeight="1" x14ac:dyDescent="0.25">
      <c r="A517" s="1"/>
      <c r="B517" s="1"/>
      <c r="C517" s="1"/>
      <c r="D517" s="1"/>
      <c r="E517" s="1"/>
      <c r="F517" s="5"/>
      <c r="G517" s="5"/>
      <c r="H517" s="1"/>
      <c r="I517" s="1"/>
      <c r="J517" s="1"/>
      <c r="K517" s="1"/>
      <c r="L517" s="5"/>
      <c r="M517" s="5"/>
      <c r="N517" s="1"/>
      <c r="O517" s="5"/>
      <c r="P517" s="5"/>
      <c r="Q517" s="1"/>
      <c r="R517" s="156"/>
      <c r="S517" s="156"/>
      <c r="T517" s="157"/>
    </row>
    <row r="518" spans="1:20" ht="13.5" customHeight="1" x14ac:dyDescent="0.25">
      <c r="A518" s="1"/>
      <c r="B518" s="1"/>
      <c r="C518" s="1"/>
      <c r="D518" s="1"/>
      <c r="E518" s="1"/>
      <c r="F518" s="5"/>
      <c r="G518" s="5"/>
      <c r="H518" s="1"/>
      <c r="I518" s="1"/>
      <c r="J518" s="1"/>
      <c r="K518" s="1"/>
      <c r="L518" s="5"/>
      <c r="M518" s="5"/>
      <c r="N518" s="1"/>
      <c r="O518" s="5"/>
      <c r="P518" s="5"/>
      <c r="Q518" s="1"/>
      <c r="R518" s="156"/>
      <c r="S518" s="156"/>
      <c r="T518" s="157"/>
    </row>
    <row r="519" spans="1:20" ht="13.5" customHeight="1" x14ac:dyDescent="0.25">
      <c r="A519" s="1"/>
      <c r="B519" s="1"/>
      <c r="C519" s="1"/>
      <c r="D519" s="1"/>
      <c r="E519" s="1"/>
      <c r="F519" s="5"/>
      <c r="G519" s="5"/>
      <c r="H519" s="1"/>
      <c r="I519" s="1"/>
      <c r="J519" s="1"/>
      <c r="K519" s="1"/>
      <c r="L519" s="5"/>
      <c r="M519" s="5"/>
      <c r="N519" s="1"/>
      <c r="O519" s="5"/>
      <c r="P519" s="5"/>
      <c r="Q519" s="1"/>
      <c r="R519" s="156"/>
      <c r="S519" s="156"/>
      <c r="T519" s="157"/>
    </row>
    <row r="520" spans="1:20" ht="13.5" customHeight="1" x14ac:dyDescent="0.25">
      <c r="A520" s="1"/>
      <c r="B520" s="1"/>
      <c r="C520" s="1"/>
      <c r="D520" s="1"/>
      <c r="E520" s="1"/>
      <c r="F520" s="5"/>
      <c r="G520" s="5"/>
      <c r="H520" s="1"/>
      <c r="I520" s="1"/>
      <c r="J520" s="1"/>
      <c r="K520" s="1"/>
      <c r="L520" s="5"/>
      <c r="M520" s="5"/>
      <c r="N520" s="1"/>
      <c r="O520" s="5"/>
      <c r="P520" s="5"/>
      <c r="Q520" s="1"/>
      <c r="R520" s="156"/>
      <c r="S520" s="156"/>
      <c r="T520" s="157"/>
    </row>
    <row r="521" spans="1:20" ht="13.5" customHeight="1" x14ac:dyDescent="0.25">
      <c r="A521" s="1"/>
      <c r="B521" s="1"/>
      <c r="C521" s="1"/>
      <c r="D521" s="1"/>
      <c r="E521" s="1"/>
      <c r="F521" s="5"/>
      <c r="G521" s="5"/>
      <c r="H521" s="1"/>
      <c r="I521" s="1"/>
      <c r="J521" s="1"/>
      <c r="K521" s="1"/>
      <c r="L521" s="5"/>
      <c r="M521" s="5"/>
      <c r="N521" s="1"/>
      <c r="O521" s="5"/>
      <c r="P521" s="5"/>
      <c r="Q521" s="1"/>
      <c r="R521" s="156"/>
      <c r="S521" s="156"/>
      <c r="T521" s="157"/>
    </row>
    <row r="522" spans="1:20" ht="13.5" customHeight="1" x14ac:dyDescent="0.25">
      <c r="A522" s="1"/>
      <c r="B522" s="1"/>
      <c r="C522" s="1"/>
      <c r="D522" s="1"/>
      <c r="E522" s="1"/>
      <c r="F522" s="5"/>
      <c r="G522" s="5"/>
      <c r="H522" s="1"/>
      <c r="I522" s="1"/>
      <c r="J522" s="1"/>
      <c r="K522" s="1"/>
      <c r="L522" s="5"/>
      <c r="M522" s="5"/>
      <c r="N522" s="1"/>
      <c r="O522" s="5"/>
      <c r="P522" s="5"/>
      <c r="Q522" s="1"/>
      <c r="R522" s="156"/>
      <c r="S522" s="156"/>
      <c r="T522" s="157"/>
    </row>
    <row r="523" spans="1:20" ht="13.5" customHeight="1" x14ac:dyDescent="0.25">
      <c r="A523" s="1"/>
      <c r="B523" s="1"/>
      <c r="C523" s="1"/>
      <c r="D523" s="1"/>
      <c r="E523" s="1"/>
      <c r="F523" s="5"/>
      <c r="G523" s="5"/>
      <c r="H523" s="1"/>
      <c r="I523" s="1"/>
      <c r="J523" s="1"/>
      <c r="K523" s="1"/>
      <c r="L523" s="5"/>
      <c r="M523" s="5"/>
      <c r="N523" s="1"/>
      <c r="O523" s="5"/>
      <c r="P523" s="5"/>
      <c r="Q523" s="1"/>
      <c r="R523" s="156"/>
      <c r="S523" s="156"/>
      <c r="T523" s="157"/>
    </row>
    <row r="524" spans="1:20" ht="13.5" customHeight="1" x14ac:dyDescent="0.25">
      <c r="A524" s="1"/>
      <c r="B524" s="1"/>
      <c r="C524" s="1"/>
      <c r="D524" s="1"/>
      <c r="E524" s="1"/>
      <c r="F524" s="5"/>
      <c r="G524" s="5"/>
      <c r="H524" s="1"/>
      <c r="I524" s="1"/>
      <c r="J524" s="1"/>
      <c r="K524" s="1"/>
      <c r="L524" s="5"/>
      <c r="M524" s="5"/>
      <c r="N524" s="1"/>
      <c r="O524" s="5"/>
      <c r="P524" s="5"/>
      <c r="Q524" s="1"/>
      <c r="R524" s="156"/>
      <c r="S524" s="156"/>
      <c r="T524" s="157"/>
    </row>
    <row r="525" spans="1:20" ht="13.5" customHeight="1" x14ac:dyDescent="0.25">
      <c r="A525" s="1"/>
      <c r="B525" s="1"/>
      <c r="C525" s="1"/>
      <c r="D525" s="1"/>
      <c r="E525" s="1"/>
      <c r="F525" s="5"/>
      <c r="G525" s="5"/>
      <c r="H525" s="1"/>
      <c r="I525" s="1"/>
      <c r="J525" s="1"/>
      <c r="K525" s="1"/>
      <c r="L525" s="5"/>
      <c r="M525" s="5"/>
      <c r="N525" s="1"/>
      <c r="O525" s="5"/>
      <c r="P525" s="5"/>
      <c r="Q525" s="1"/>
      <c r="R525" s="156"/>
      <c r="S525" s="156"/>
      <c r="T525" s="157"/>
    </row>
    <row r="526" spans="1:20" ht="13.5" customHeight="1" x14ac:dyDescent="0.25">
      <c r="A526" s="1"/>
      <c r="B526" s="1"/>
      <c r="C526" s="1"/>
      <c r="D526" s="1"/>
      <c r="E526" s="1"/>
      <c r="F526" s="5"/>
      <c r="G526" s="5"/>
      <c r="H526" s="1"/>
      <c r="I526" s="1"/>
      <c r="J526" s="1"/>
      <c r="K526" s="1"/>
      <c r="L526" s="5"/>
      <c r="M526" s="5"/>
      <c r="N526" s="1"/>
      <c r="O526" s="5"/>
      <c r="P526" s="5"/>
      <c r="Q526" s="1"/>
      <c r="R526" s="156"/>
      <c r="S526" s="156"/>
      <c r="T526" s="157"/>
    </row>
    <row r="527" spans="1:20" ht="13.5" customHeight="1" x14ac:dyDescent="0.25">
      <c r="A527" s="1"/>
      <c r="B527" s="1"/>
      <c r="C527" s="1"/>
      <c r="D527" s="1"/>
      <c r="E527" s="1"/>
      <c r="F527" s="5"/>
      <c r="G527" s="5"/>
      <c r="H527" s="1"/>
      <c r="I527" s="1"/>
      <c r="J527" s="1"/>
      <c r="K527" s="1"/>
      <c r="L527" s="5"/>
      <c r="M527" s="5"/>
      <c r="N527" s="1"/>
      <c r="O527" s="5"/>
      <c r="P527" s="5"/>
      <c r="Q527" s="1"/>
      <c r="R527" s="156"/>
      <c r="S527" s="156"/>
      <c r="T527" s="157"/>
    </row>
    <row r="528" spans="1:20" ht="13.5" customHeight="1" x14ac:dyDescent="0.25">
      <c r="A528" s="1"/>
      <c r="B528" s="1"/>
      <c r="C528" s="1"/>
      <c r="D528" s="1"/>
      <c r="E528" s="1"/>
      <c r="F528" s="5"/>
      <c r="G528" s="5"/>
      <c r="H528" s="1"/>
      <c r="I528" s="1"/>
      <c r="J528" s="1"/>
      <c r="K528" s="1"/>
      <c r="L528" s="5"/>
      <c r="M528" s="5"/>
      <c r="N528" s="1"/>
      <c r="O528" s="5"/>
      <c r="P528" s="5"/>
      <c r="Q528" s="1"/>
      <c r="R528" s="156"/>
      <c r="S528" s="156"/>
      <c r="T528" s="157"/>
    </row>
    <row r="529" spans="1:20" ht="13.5" customHeight="1" x14ac:dyDescent="0.25">
      <c r="A529" s="1"/>
      <c r="B529" s="1"/>
      <c r="C529" s="1"/>
      <c r="D529" s="1"/>
      <c r="E529" s="1"/>
      <c r="F529" s="5"/>
      <c r="G529" s="5"/>
      <c r="H529" s="1"/>
      <c r="I529" s="1"/>
      <c r="J529" s="1"/>
      <c r="K529" s="1"/>
      <c r="L529" s="5"/>
      <c r="M529" s="5"/>
      <c r="N529" s="1"/>
      <c r="O529" s="5"/>
      <c r="P529" s="5"/>
      <c r="Q529" s="1"/>
      <c r="R529" s="156"/>
      <c r="S529" s="156"/>
      <c r="T529" s="157"/>
    </row>
    <row r="530" spans="1:20" ht="13.5" customHeight="1" x14ac:dyDescent="0.25">
      <c r="A530" s="1"/>
      <c r="B530" s="1"/>
      <c r="C530" s="1"/>
      <c r="D530" s="1"/>
      <c r="E530" s="1"/>
      <c r="F530" s="5"/>
      <c r="G530" s="5"/>
      <c r="H530" s="1"/>
      <c r="I530" s="1"/>
      <c r="J530" s="1"/>
      <c r="K530" s="1"/>
      <c r="L530" s="5"/>
      <c r="M530" s="5"/>
      <c r="N530" s="1"/>
      <c r="O530" s="5"/>
      <c r="P530" s="5"/>
      <c r="Q530" s="1"/>
      <c r="R530" s="156"/>
      <c r="S530" s="156"/>
      <c r="T530" s="157"/>
    </row>
    <row r="531" spans="1:20" ht="13.5" customHeight="1" x14ac:dyDescent="0.25">
      <c r="A531" s="1"/>
      <c r="B531" s="1"/>
      <c r="C531" s="1"/>
      <c r="D531" s="1"/>
      <c r="E531" s="1"/>
      <c r="F531" s="5"/>
      <c r="G531" s="5"/>
      <c r="H531" s="1"/>
      <c r="I531" s="1"/>
      <c r="J531" s="1"/>
      <c r="K531" s="1"/>
      <c r="L531" s="5"/>
      <c r="M531" s="5"/>
      <c r="N531" s="1"/>
      <c r="O531" s="5"/>
      <c r="P531" s="5"/>
      <c r="Q531" s="1"/>
      <c r="R531" s="156"/>
      <c r="S531" s="156"/>
      <c r="T531" s="157"/>
    </row>
    <row r="532" spans="1:20" ht="13.5" customHeight="1" x14ac:dyDescent="0.25">
      <c r="A532" s="1"/>
      <c r="B532" s="1"/>
      <c r="C532" s="1"/>
      <c r="D532" s="1"/>
      <c r="E532" s="1"/>
      <c r="F532" s="5"/>
      <c r="G532" s="5"/>
      <c r="H532" s="1"/>
      <c r="I532" s="1"/>
      <c r="J532" s="1"/>
      <c r="K532" s="1"/>
      <c r="L532" s="5"/>
      <c r="M532" s="5"/>
      <c r="N532" s="1"/>
      <c r="O532" s="5"/>
      <c r="P532" s="5"/>
      <c r="Q532" s="1"/>
      <c r="R532" s="156"/>
      <c r="S532" s="156"/>
      <c r="T532" s="157"/>
    </row>
    <row r="533" spans="1:20" ht="13.5" customHeight="1" x14ac:dyDescent="0.25">
      <c r="A533" s="1"/>
      <c r="B533" s="1"/>
      <c r="C533" s="1"/>
      <c r="D533" s="1"/>
      <c r="E533" s="1"/>
      <c r="F533" s="5"/>
      <c r="G533" s="5"/>
      <c r="H533" s="1"/>
      <c r="I533" s="1"/>
      <c r="J533" s="1"/>
      <c r="K533" s="1"/>
      <c r="L533" s="5"/>
      <c r="M533" s="5"/>
      <c r="N533" s="1"/>
      <c r="O533" s="5"/>
      <c r="P533" s="5"/>
      <c r="Q533" s="1"/>
      <c r="R533" s="156"/>
      <c r="S533" s="156"/>
      <c r="T533" s="157"/>
    </row>
    <row r="534" spans="1:20" ht="13.5" customHeight="1" x14ac:dyDescent="0.25">
      <c r="A534" s="1"/>
      <c r="B534" s="1"/>
      <c r="C534" s="1"/>
      <c r="D534" s="1"/>
      <c r="E534" s="1"/>
      <c r="F534" s="5"/>
      <c r="G534" s="5"/>
      <c r="H534" s="1"/>
      <c r="I534" s="1"/>
      <c r="J534" s="1"/>
      <c r="K534" s="1"/>
      <c r="L534" s="5"/>
      <c r="M534" s="5"/>
      <c r="N534" s="1"/>
      <c r="O534" s="5"/>
      <c r="P534" s="5"/>
      <c r="Q534" s="1"/>
      <c r="R534" s="156"/>
      <c r="S534" s="156"/>
      <c r="T534" s="157"/>
    </row>
    <row r="535" spans="1:20" ht="13.5" customHeight="1" x14ac:dyDescent="0.25">
      <c r="A535" s="1"/>
      <c r="B535" s="1"/>
      <c r="C535" s="1"/>
      <c r="D535" s="1"/>
      <c r="E535" s="1"/>
      <c r="F535" s="5"/>
      <c r="G535" s="5"/>
      <c r="H535" s="1"/>
      <c r="I535" s="1"/>
      <c r="J535" s="1"/>
      <c r="K535" s="1"/>
      <c r="L535" s="5"/>
      <c r="M535" s="5"/>
      <c r="N535" s="1"/>
      <c r="O535" s="5"/>
      <c r="P535" s="5"/>
      <c r="Q535" s="1"/>
      <c r="R535" s="156"/>
      <c r="S535" s="156"/>
      <c r="T535" s="157"/>
    </row>
    <row r="536" spans="1:20" ht="13.5" customHeight="1" x14ac:dyDescent="0.25">
      <c r="A536" s="1"/>
      <c r="B536" s="1"/>
      <c r="C536" s="1"/>
      <c r="D536" s="1"/>
      <c r="E536" s="1"/>
      <c r="F536" s="5"/>
      <c r="G536" s="5"/>
      <c r="H536" s="1"/>
      <c r="I536" s="1"/>
      <c r="J536" s="1"/>
      <c r="K536" s="1"/>
      <c r="L536" s="5"/>
      <c r="M536" s="5"/>
      <c r="N536" s="1"/>
      <c r="O536" s="5"/>
      <c r="P536" s="5"/>
      <c r="Q536" s="1"/>
      <c r="R536" s="156"/>
      <c r="S536" s="156"/>
      <c r="T536" s="157"/>
    </row>
    <row r="537" spans="1:20" ht="13.5" customHeight="1" x14ac:dyDescent="0.25">
      <c r="A537" s="1"/>
      <c r="B537" s="1"/>
      <c r="C537" s="1"/>
      <c r="D537" s="1"/>
      <c r="E537" s="1"/>
      <c r="F537" s="5"/>
      <c r="G537" s="5"/>
      <c r="H537" s="1"/>
      <c r="I537" s="1"/>
      <c r="J537" s="1"/>
      <c r="K537" s="1"/>
      <c r="L537" s="5"/>
      <c r="M537" s="5"/>
      <c r="N537" s="1"/>
      <c r="O537" s="5"/>
      <c r="P537" s="5"/>
      <c r="Q537" s="1"/>
      <c r="R537" s="156"/>
      <c r="S537" s="156"/>
      <c r="T537" s="157"/>
    </row>
    <row r="538" spans="1:20" ht="13.5" customHeight="1" x14ac:dyDescent="0.25">
      <c r="A538" s="1"/>
      <c r="B538" s="1"/>
      <c r="C538" s="1"/>
      <c r="D538" s="1"/>
      <c r="E538" s="1"/>
      <c r="F538" s="5"/>
      <c r="G538" s="5"/>
      <c r="H538" s="1"/>
      <c r="I538" s="1"/>
      <c r="J538" s="1"/>
      <c r="K538" s="1"/>
      <c r="L538" s="5"/>
      <c r="M538" s="5"/>
      <c r="N538" s="1"/>
      <c r="O538" s="5"/>
      <c r="P538" s="5"/>
      <c r="Q538" s="1"/>
      <c r="R538" s="156"/>
      <c r="S538" s="156"/>
      <c r="T538" s="157"/>
    </row>
    <row r="539" spans="1:20" ht="13.5" customHeight="1" x14ac:dyDescent="0.25">
      <c r="A539" s="1"/>
      <c r="B539" s="1"/>
      <c r="C539" s="1"/>
      <c r="D539" s="1"/>
      <c r="E539" s="1"/>
      <c r="F539" s="5"/>
      <c r="G539" s="5"/>
      <c r="H539" s="1"/>
      <c r="I539" s="1"/>
      <c r="J539" s="1"/>
      <c r="K539" s="1"/>
      <c r="L539" s="5"/>
      <c r="M539" s="5"/>
      <c r="N539" s="1"/>
      <c r="O539" s="5"/>
      <c r="P539" s="5"/>
      <c r="Q539" s="1"/>
      <c r="R539" s="156"/>
      <c r="S539" s="156"/>
      <c r="T539" s="157"/>
    </row>
    <row r="540" spans="1:20" ht="13.5" customHeight="1" x14ac:dyDescent="0.25">
      <c r="A540" s="1"/>
      <c r="B540" s="1"/>
      <c r="C540" s="1"/>
      <c r="D540" s="1"/>
      <c r="E540" s="1"/>
      <c r="F540" s="5"/>
      <c r="G540" s="5"/>
      <c r="H540" s="1"/>
      <c r="I540" s="1"/>
      <c r="J540" s="1"/>
      <c r="K540" s="1"/>
      <c r="L540" s="5"/>
      <c r="M540" s="5"/>
      <c r="N540" s="1"/>
      <c r="O540" s="5"/>
      <c r="P540" s="5"/>
      <c r="Q540" s="1"/>
      <c r="R540" s="156"/>
      <c r="S540" s="156"/>
      <c r="T540" s="157"/>
    </row>
    <row r="541" spans="1:20" ht="13.5" customHeight="1" x14ac:dyDescent="0.25">
      <c r="A541" s="1"/>
      <c r="B541" s="1"/>
      <c r="C541" s="1"/>
      <c r="D541" s="1"/>
      <c r="E541" s="1"/>
      <c r="F541" s="5"/>
      <c r="G541" s="5"/>
      <c r="H541" s="1"/>
      <c r="I541" s="1"/>
      <c r="J541" s="1"/>
      <c r="K541" s="1"/>
      <c r="L541" s="5"/>
      <c r="M541" s="5"/>
      <c r="N541" s="1"/>
      <c r="O541" s="5"/>
      <c r="P541" s="5"/>
      <c r="Q541" s="1"/>
      <c r="R541" s="156"/>
      <c r="S541" s="156"/>
      <c r="T541" s="157"/>
    </row>
    <row r="542" spans="1:20" ht="13.5" customHeight="1" x14ac:dyDescent="0.25">
      <c r="A542" s="1"/>
      <c r="B542" s="1"/>
      <c r="C542" s="1"/>
      <c r="D542" s="1"/>
      <c r="E542" s="1"/>
      <c r="F542" s="5"/>
      <c r="G542" s="5"/>
      <c r="H542" s="1"/>
      <c r="I542" s="1"/>
      <c r="J542" s="1"/>
      <c r="K542" s="1"/>
      <c r="L542" s="5"/>
      <c r="M542" s="5"/>
      <c r="N542" s="1"/>
      <c r="O542" s="5"/>
      <c r="P542" s="5"/>
      <c r="Q542" s="1"/>
      <c r="R542" s="156"/>
      <c r="S542" s="156"/>
      <c r="T542" s="157"/>
    </row>
    <row r="543" spans="1:20" ht="13.5" customHeight="1" x14ac:dyDescent="0.25">
      <c r="A543" s="1"/>
      <c r="B543" s="1"/>
      <c r="C543" s="1"/>
      <c r="D543" s="1"/>
      <c r="E543" s="1"/>
      <c r="F543" s="5"/>
      <c r="G543" s="5"/>
      <c r="H543" s="1"/>
      <c r="I543" s="1"/>
      <c r="J543" s="1"/>
      <c r="K543" s="1"/>
      <c r="L543" s="5"/>
      <c r="M543" s="5"/>
      <c r="N543" s="1"/>
      <c r="O543" s="5"/>
      <c r="P543" s="5"/>
      <c r="Q543" s="1"/>
      <c r="R543" s="156"/>
      <c r="S543" s="156"/>
      <c r="T543" s="157"/>
    </row>
    <row r="544" spans="1:20" ht="13.5" customHeight="1" x14ac:dyDescent="0.25">
      <c r="A544" s="1"/>
      <c r="B544" s="1"/>
      <c r="C544" s="1"/>
      <c r="D544" s="1"/>
      <c r="E544" s="1"/>
      <c r="F544" s="5"/>
      <c r="G544" s="5"/>
      <c r="H544" s="1"/>
      <c r="I544" s="1"/>
      <c r="J544" s="1"/>
      <c r="K544" s="1"/>
      <c r="L544" s="5"/>
      <c r="M544" s="5"/>
      <c r="N544" s="1"/>
      <c r="O544" s="5"/>
      <c r="P544" s="5"/>
      <c r="Q544" s="1"/>
      <c r="R544" s="156"/>
      <c r="S544" s="156"/>
      <c r="T544" s="157"/>
    </row>
    <row r="545" spans="1:20" ht="13.5" customHeight="1" x14ac:dyDescent="0.25">
      <c r="A545" s="1"/>
      <c r="B545" s="1"/>
      <c r="C545" s="1"/>
      <c r="D545" s="1"/>
      <c r="E545" s="1"/>
      <c r="F545" s="5"/>
      <c r="G545" s="5"/>
      <c r="H545" s="1"/>
      <c r="I545" s="1"/>
      <c r="J545" s="1"/>
      <c r="K545" s="1"/>
      <c r="L545" s="5"/>
      <c r="M545" s="5"/>
      <c r="N545" s="1"/>
      <c r="O545" s="5"/>
      <c r="P545" s="5"/>
      <c r="Q545" s="1"/>
      <c r="R545" s="156"/>
      <c r="S545" s="156"/>
      <c r="T545" s="157"/>
    </row>
    <row r="546" spans="1:20" ht="13.5" customHeight="1" x14ac:dyDescent="0.25">
      <c r="A546" s="1"/>
      <c r="B546" s="1"/>
      <c r="C546" s="1"/>
      <c r="D546" s="1"/>
      <c r="E546" s="1"/>
      <c r="F546" s="5"/>
      <c r="G546" s="5"/>
      <c r="H546" s="1"/>
      <c r="I546" s="1"/>
      <c r="J546" s="1"/>
      <c r="K546" s="1"/>
      <c r="L546" s="5"/>
      <c r="M546" s="5"/>
      <c r="N546" s="1"/>
      <c r="O546" s="5"/>
      <c r="P546" s="5"/>
      <c r="Q546" s="1"/>
      <c r="R546" s="156"/>
      <c r="S546" s="156"/>
      <c r="T546" s="157"/>
    </row>
    <row r="547" spans="1:20" ht="13.5" customHeight="1" x14ac:dyDescent="0.25">
      <c r="A547" s="1"/>
      <c r="B547" s="1"/>
      <c r="C547" s="1"/>
      <c r="D547" s="1"/>
      <c r="E547" s="1"/>
      <c r="F547" s="5"/>
      <c r="G547" s="5"/>
      <c r="H547" s="1"/>
      <c r="I547" s="1"/>
      <c r="J547" s="1"/>
      <c r="K547" s="1"/>
      <c r="L547" s="5"/>
      <c r="M547" s="5"/>
      <c r="N547" s="1"/>
      <c r="O547" s="5"/>
      <c r="P547" s="5"/>
      <c r="Q547" s="1"/>
      <c r="R547" s="156"/>
      <c r="S547" s="156"/>
      <c r="T547" s="157"/>
    </row>
    <row r="548" spans="1:20" ht="13.5" customHeight="1" x14ac:dyDescent="0.25">
      <c r="A548" s="1"/>
      <c r="B548" s="1"/>
      <c r="C548" s="1"/>
      <c r="D548" s="1"/>
      <c r="E548" s="1"/>
      <c r="F548" s="5"/>
      <c r="G548" s="5"/>
      <c r="H548" s="1"/>
      <c r="I548" s="1"/>
      <c r="J548" s="1"/>
      <c r="K548" s="1"/>
      <c r="L548" s="5"/>
      <c r="M548" s="5"/>
      <c r="N548" s="1"/>
      <c r="O548" s="5"/>
      <c r="P548" s="5"/>
      <c r="Q548" s="1"/>
      <c r="R548" s="156"/>
      <c r="S548" s="156"/>
      <c r="T548" s="157"/>
    </row>
    <row r="549" spans="1:20" ht="13.5" customHeight="1" x14ac:dyDescent="0.25">
      <c r="A549" s="1"/>
      <c r="B549" s="1"/>
      <c r="C549" s="1"/>
      <c r="D549" s="1"/>
      <c r="E549" s="1"/>
      <c r="F549" s="5"/>
      <c r="G549" s="5"/>
      <c r="H549" s="1"/>
      <c r="I549" s="1"/>
      <c r="J549" s="1"/>
      <c r="K549" s="1"/>
      <c r="L549" s="5"/>
      <c r="M549" s="5"/>
      <c r="N549" s="1"/>
      <c r="O549" s="5"/>
      <c r="P549" s="5"/>
      <c r="Q549" s="1"/>
      <c r="R549" s="156"/>
      <c r="S549" s="156"/>
      <c r="T549" s="157"/>
    </row>
    <row r="550" spans="1:20" ht="13.5" customHeight="1" x14ac:dyDescent="0.25">
      <c r="A550" s="1"/>
      <c r="B550" s="1"/>
      <c r="C550" s="1"/>
      <c r="D550" s="1"/>
      <c r="E550" s="1"/>
      <c r="F550" s="5"/>
      <c r="G550" s="5"/>
      <c r="H550" s="1"/>
      <c r="I550" s="1"/>
      <c r="J550" s="1"/>
      <c r="K550" s="1"/>
      <c r="L550" s="5"/>
      <c r="M550" s="5"/>
      <c r="N550" s="1"/>
      <c r="O550" s="5"/>
      <c r="P550" s="5"/>
      <c r="Q550" s="1"/>
      <c r="R550" s="156"/>
      <c r="S550" s="156"/>
      <c r="T550" s="157"/>
    </row>
    <row r="551" spans="1:20" ht="13.5" customHeight="1" x14ac:dyDescent="0.25">
      <c r="A551" s="1"/>
      <c r="B551" s="1"/>
      <c r="C551" s="1"/>
      <c r="D551" s="1"/>
      <c r="E551" s="1"/>
      <c r="F551" s="5"/>
      <c r="G551" s="5"/>
      <c r="H551" s="1"/>
      <c r="I551" s="1"/>
      <c r="J551" s="1"/>
      <c r="K551" s="1"/>
      <c r="L551" s="5"/>
      <c r="M551" s="5"/>
      <c r="N551" s="1"/>
      <c r="O551" s="5"/>
      <c r="P551" s="5"/>
      <c r="Q551" s="1"/>
      <c r="R551" s="156"/>
      <c r="S551" s="156"/>
      <c r="T551" s="157"/>
    </row>
    <row r="552" spans="1:20" ht="13.5" customHeight="1" x14ac:dyDescent="0.25">
      <c r="A552" s="1"/>
      <c r="B552" s="1"/>
      <c r="C552" s="1"/>
      <c r="D552" s="1"/>
      <c r="E552" s="1"/>
      <c r="F552" s="5"/>
      <c r="G552" s="5"/>
      <c r="H552" s="1"/>
      <c r="I552" s="1"/>
      <c r="J552" s="1"/>
      <c r="K552" s="1"/>
      <c r="L552" s="5"/>
      <c r="M552" s="5"/>
      <c r="N552" s="1"/>
      <c r="O552" s="5"/>
      <c r="P552" s="5"/>
      <c r="Q552" s="1"/>
      <c r="R552" s="156"/>
      <c r="S552" s="156"/>
      <c r="T552" s="157"/>
    </row>
    <row r="553" spans="1:20" ht="13.5" customHeight="1" x14ac:dyDescent="0.25">
      <c r="A553" s="1"/>
      <c r="B553" s="1"/>
      <c r="C553" s="1"/>
      <c r="D553" s="1"/>
      <c r="E553" s="1"/>
      <c r="F553" s="5"/>
      <c r="G553" s="5"/>
      <c r="H553" s="1"/>
      <c r="I553" s="1"/>
      <c r="J553" s="1"/>
      <c r="K553" s="1"/>
      <c r="L553" s="5"/>
      <c r="M553" s="5"/>
      <c r="N553" s="1"/>
      <c r="O553" s="5"/>
      <c r="P553" s="5"/>
      <c r="Q553" s="1"/>
      <c r="R553" s="156"/>
      <c r="S553" s="156"/>
      <c r="T553" s="157"/>
    </row>
    <row r="554" spans="1:20" ht="13.5" customHeight="1" x14ac:dyDescent="0.25">
      <c r="A554" s="1"/>
      <c r="B554" s="1"/>
      <c r="C554" s="1"/>
      <c r="D554" s="1"/>
      <c r="E554" s="1"/>
      <c r="F554" s="5"/>
      <c r="G554" s="5"/>
      <c r="H554" s="1"/>
      <c r="I554" s="1"/>
      <c r="J554" s="1"/>
      <c r="K554" s="1"/>
      <c r="L554" s="5"/>
      <c r="M554" s="5"/>
      <c r="N554" s="1"/>
      <c r="O554" s="5"/>
      <c r="P554" s="5"/>
      <c r="Q554" s="1"/>
      <c r="R554" s="156"/>
      <c r="S554" s="156"/>
      <c r="T554" s="157"/>
    </row>
    <row r="555" spans="1:20" ht="13.5" customHeight="1" x14ac:dyDescent="0.25">
      <c r="A555" s="1"/>
      <c r="B555" s="1"/>
      <c r="C555" s="1"/>
      <c r="D555" s="1"/>
      <c r="E555" s="1"/>
      <c r="F555" s="5"/>
      <c r="G555" s="5"/>
      <c r="H555" s="1"/>
      <c r="I555" s="1"/>
      <c r="J555" s="1"/>
      <c r="K555" s="1"/>
      <c r="L555" s="5"/>
      <c r="M555" s="5"/>
      <c r="N555" s="1"/>
      <c r="O555" s="5"/>
      <c r="P555" s="5"/>
      <c r="Q555" s="1"/>
      <c r="R555" s="156"/>
      <c r="S555" s="156"/>
      <c r="T555" s="157"/>
    </row>
    <row r="556" spans="1:20" ht="13.5" customHeight="1" x14ac:dyDescent="0.25">
      <c r="A556" s="1"/>
      <c r="B556" s="1"/>
      <c r="C556" s="1"/>
      <c r="D556" s="1"/>
      <c r="E556" s="1"/>
      <c r="F556" s="5"/>
      <c r="G556" s="5"/>
      <c r="H556" s="1"/>
      <c r="I556" s="1"/>
      <c r="J556" s="1"/>
      <c r="K556" s="1"/>
      <c r="L556" s="5"/>
      <c r="M556" s="5"/>
      <c r="N556" s="1"/>
      <c r="O556" s="5"/>
      <c r="P556" s="5"/>
      <c r="Q556" s="1"/>
      <c r="R556" s="156"/>
      <c r="S556" s="156"/>
      <c r="T556" s="157"/>
    </row>
    <row r="557" spans="1:20" ht="13.5" customHeight="1" x14ac:dyDescent="0.25">
      <c r="A557" s="1"/>
      <c r="B557" s="1"/>
      <c r="C557" s="1"/>
      <c r="D557" s="1"/>
      <c r="E557" s="1"/>
      <c r="F557" s="5"/>
      <c r="G557" s="5"/>
      <c r="H557" s="1"/>
      <c r="I557" s="1"/>
      <c r="J557" s="1"/>
      <c r="K557" s="1"/>
      <c r="L557" s="5"/>
      <c r="M557" s="5"/>
      <c r="N557" s="1"/>
      <c r="O557" s="5"/>
      <c r="P557" s="5"/>
      <c r="Q557" s="1"/>
      <c r="R557" s="156"/>
      <c r="S557" s="156"/>
      <c r="T557" s="157"/>
    </row>
    <row r="558" spans="1:20" ht="13.5" customHeight="1" x14ac:dyDescent="0.25">
      <c r="A558" s="1"/>
      <c r="B558" s="1"/>
      <c r="C558" s="1"/>
      <c r="D558" s="1"/>
      <c r="E558" s="1"/>
      <c r="F558" s="5"/>
      <c r="G558" s="5"/>
      <c r="H558" s="1"/>
      <c r="I558" s="1"/>
      <c r="J558" s="1"/>
      <c r="K558" s="1"/>
      <c r="L558" s="5"/>
      <c r="M558" s="5"/>
      <c r="N558" s="1"/>
      <c r="O558" s="5"/>
      <c r="P558" s="5"/>
      <c r="Q558" s="1"/>
      <c r="R558" s="156"/>
      <c r="S558" s="156"/>
      <c r="T558" s="157"/>
    </row>
    <row r="559" spans="1:20" ht="13.5" customHeight="1" x14ac:dyDescent="0.25">
      <c r="A559" s="1"/>
      <c r="B559" s="1"/>
      <c r="C559" s="1"/>
      <c r="D559" s="1"/>
      <c r="E559" s="1"/>
      <c r="F559" s="5"/>
      <c r="G559" s="5"/>
      <c r="H559" s="1"/>
      <c r="I559" s="1"/>
      <c r="J559" s="1"/>
      <c r="K559" s="1"/>
      <c r="L559" s="5"/>
      <c r="M559" s="5"/>
      <c r="N559" s="1"/>
      <c r="O559" s="5"/>
      <c r="P559" s="5"/>
      <c r="Q559" s="1"/>
      <c r="R559" s="156"/>
      <c r="S559" s="156"/>
      <c r="T559" s="157"/>
    </row>
    <row r="560" spans="1:20" ht="13.5" customHeight="1" x14ac:dyDescent="0.25">
      <c r="A560" s="1"/>
      <c r="B560" s="1"/>
      <c r="C560" s="1"/>
      <c r="D560" s="1"/>
      <c r="E560" s="1"/>
      <c r="F560" s="5"/>
      <c r="G560" s="5"/>
      <c r="H560" s="1"/>
      <c r="I560" s="1"/>
      <c r="J560" s="1"/>
      <c r="K560" s="1"/>
      <c r="L560" s="5"/>
      <c r="M560" s="5"/>
      <c r="N560" s="1"/>
      <c r="O560" s="5"/>
      <c r="P560" s="5"/>
      <c r="Q560" s="1"/>
      <c r="R560" s="156"/>
      <c r="S560" s="156"/>
      <c r="T560" s="157"/>
    </row>
    <row r="561" spans="1:20" ht="13.5" customHeight="1" x14ac:dyDescent="0.25">
      <c r="A561" s="1"/>
      <c r="B561" s="1"/>
      <c r="C561" s="1"/>
      <c r="D561" s="1"/>
      <c r="E561" s="1"/>
      <c r="F561" s="5"/>
      <c r="G561" s="5"/>
      <c r="H561" s="1"/>
      <c r="I561" s="1"/>
      <c r="J561" s="1"/>
      <c r="K561" s="1"/>
      <c r="L561" s="5"/>
      <c r="M561" s="5"/>
      <c r="N561" s="1"/>
      <c r="O561" s="5"/>
      <c r="P561" s="5"/>
      <c r="Q561" s="1"/>
      <c r="R561" s="156"/>
      <c r="S561" s="156"/>
      <c r="T561" s="157"/>
    </row>
    <row r="562" spans="1:20" ht="13.5" customHeight="1" x14ac:dyDescent="0.25">
      <c r="A562" s="1"/>
      <c r="B562" s="1"/>
      <c r="C562" s="1"/>
      <c r="D562" s="1"/>
      <c r="E562" s="1"/>
      <c r="F562" s="5"/>
      <c r="G562" s="5"/>
      <c r="H562" s="1"/>
      <c r="I562" s="1"/>
      <c r="J562" s="1"/>
      <c r="K562" s="1"/>
      <c r="L562" s="5"/>
      <c r="M562" s="5"/>
      <c r="N562" s="1"/>
      <c r="O562" s="5"/>
      <c r="P562" s="5"/>
      <c r="Q562" s="1"/>
      <c r="R562" s="156"/>
      <c r="S562" s="156"/>
      <c r="T562" s="157"/>
    </row>
    <row r="563" spans="1:20" ht="13.5" customHeight="1" x14ac:dyDescent="0.25">
      <c r="A563" s="1"/>
      <c r="B563" s="1"/>
      <c r="C563" s="1"/>
      <c r="D563" s="1"/>
      <c r="E563" s="1"/>
      <c r="F563" s="5"/>
      <c r="G563" s="5"/>
      <c r="H563" s="1"/>
      <c r="I563" s="1"/>
      <c r="J563" s="1"/>
      <c r="K563" s="1"/>
      <c r="L563" s="5"/>
      <c r="M563" s="5"/>
      <c r="N563" s="1"/>
      <c r="O563" s="5"/>
      <c r="P563" s="5"/>
      <c r="Q563" s="1"/>
      <c r="R563" s="156"/>
      <c r="S563" s="156"/>
      <c r="T563" s="157"/>
    </row>
    <row r="564" spans="1:20" ht="13.5" customHeight="1" x14ac:dyDescent="0.25">
      <c r="A564" s="1"/>
      <c r="B564" s="1"/>
      <c r="C564" s="1"/>
      <c r="D564" s="1"/>
      <c r="E564" s="1"/>
      <c r="F564" s="5"/>
      <c r="G564" s="5"/>
      <c r="H564" s="1"/>
      <c r="I564" s="1"/>
      <c r="J564" s="1"/>
      <c r="K564" s="1"/>
      <c r="L564" s="5"/>
      <c r="M564" s="5"/>
      <c r="N564" s="1"/>
      <c r="O564" s="5"/>
      <c r="P564" s="5"/>
      <c r="Q564" s="1"/>
      <c r="R564" s="156"/>
      <c r="S564" s="156"/>
      <c r="T564" s="157"/>
    </row>
    <row r="565" spans="1:20" ht="13.5" customHeight="1" x14ac:dyDescent="0.25">
      <c r="A565" s="1"/>
      <c r="B565" s="1"/>
      <c r="C565" s="1"/>
      <c r="D565" s="1"/>
      <c r="E565" s="1"/>
      <c r="F565" s="5"/>
      <c r="G565" s="5"/>
      <c r="H565" s="1"/>
      <c r="I565" s="1"/>
      <c r="J565" s="1"/>
      <c r="K565" s="1"/>
      <c r="L565" s="5"/>
      <c r="M565" s="5"/>
      <c r="N565" s="1"/>
      <c r="O565" s="5"/>
      <c r="P565" s="5"/>
      <c r="Q565" s="1"/>
      <c r="R565" s="156"/>
      <c r="S565" s="156"/>
      <c r="T565" s="157"/>
    </row>
    <row r="566" spans="1:20" ht="13.5" customHeight="1" x14ac:dyDescent="0.25">
      <c r="A566" s="1"/>
      <c r="B566" s="1"/>
      <c r="C566" s="1"/>
      <c r="D566" s="1"/>
      <c r="E566" s="1"/>
      <c r="F566" s="5"/>
      <c r="G566" s="5"/>
      <c r="H566" s="1"/>
      <c r="I566" s="1"/>
      <c r="J566" s="1"/>
      <c r="K566" s="1"/>
      <c r="L566" s="5"/>
      <c r="M566" s="5"/>
      <c r="N566" s="1"/>
      <c r="O566" s="5"/>
      <c r="P566" s="5"/>
      <c r="Q566" s="1"/>
      <c r="R566" s="156"/>
      <c r="S566" s="156"/>
      <c r="T566" s="157"/>
    </row>
    <row r="567" spans="1:20" ht="13.5" customHeight="1" x14ac:dyDescent="0.25">
      <c r="A567" s="1"/>
      <c r="B567" s="1"/>
      <c r="C567" s="1"/>
      <c r="D567" s="1"/>
      <c r="E567" s="1"/>
      <c r="F567" s="5"/>
      <c r="G567" s="5"/>
      <c r="H567" s="1"/>
      <c r="I567" s="1"/>
      <c r="J567" s="1"/>
      <c r="K567" s="1"/>
      <c r="L567" s="5"/>
      <c r="M567" s="5"/>
      <c r="N567" s="1"/>
      <c r="O567" s="5"/>
      <c r="P567" s="5"/>
      <c r="Q567" s="1"/>
      <c r="R567" s="156"/>
      <c r="S567" s="156"/>
      <c r="T567" s="157"/>
    </row>
    <row r="568" spans="1:20" ht="13.5" customHeight="1" x14ac:dyDescent="0.25">
      <c r="A568" s="1"/>
      <c r="B568" s="1"/>
      <c r="C568" s="1"/>
      <c r="D568" s="1"/>
      <c r="E568" s="1"/>
      <c r="F568" s="5"/>
      <c r="G568" s="5"/>
      <c r="H568" s="1"/>
      <c r="I568" s="1"/>
      <c r="J568" s="1"/>
      <c r="K568" s="1"/>
      <c r="L568" s="5"/>
      <c r="M568" s="5"/>
      <c r="N568" s="1"/>
      <c r="O568" s="5"/>
      <c r="P568" s="5"/>
      <c r="Q568" s="1"/>
      <c r="R568" s="156"/>
      <c r="S568" s="156"/>
      <c r="T568" s="157"/>
    </row>
    <row r="569" spans="1:20" ht="13.5" customHeight="1" x14ac:dyDescent="0.25">
      <c r="A569" s="1"/>
      <c r="B569" s="1"/>
      <c r="C569" s="1"/>
      <c r="D569" s="1"/>
      <c r="E569" s="1"/>
      <c r="F569" s="5"/>
      <c r="G569" s="5"/>
      <c r="H569" s="1"/>
      <c r="I569" s="1"/>
      <c r="J569" s="1"/>
      <c r="K569" s="1"/>
      <c r="L569" s="5"/>
      <c r="M569" s="5"/>
      <c r="N569" s="1"/>
      <c r="O569" s="5"/>
      <c r="P569" s="5"/>
      <c r="Q569" s="1"/>
      <c r="R569" s="156"/>
      <c r="S569" s="156"/>
      <c r="T569" s="157"/>
    </row>
    <row r="570" spans="1:20" ht="13.5" customHeight="1" x14ac:dyDescent="0.25">
      <c r="A570" s="1"/>
      <c r="B570" s="1"/>
      <c r="C570" s="1"/>
      <c r="D570" s="1"/>
      <c r="E570" s="1"/>
      <c r="F570" s="5"/>
      <c r="G570" s="5"/>
      <c r="H570" s="1"/>
      <c r="I570" s="1"/>
      <c r="J570" s="1"/>
      <c r="K570" s="1"/>
      <c r="L570" s="5"/>
      <c r="M570" s="5"/>
      <c r="N570" s="1"/>
      <c r="O570" s="5"/>
      <c r="P570" s="5"/>
      <c r="Q570" s="1"/>
      <c r="R570" s="156"/>
      <c r="S570" s="156"/>
      <c r="T570" s="157"/>
    </row>
    <row r="571" spans="1:20" ht="13.5" customHeight="1" x14ac:dyDescent="0.25">
      <c r="A571" s="1"/>
      <c r="B571" s="1"/>
      <c r="C571" s="1"/>
      <c r="D571" s="1"/>
      <c r="E571" s="1"/>
      <c r="F571" s="5"/>
      <c r="G571" s="5"/>
      <c r="H571" s="1"/>
      <c r="I571" s="1"/>
      <c r="J571" s="1"/>
      <c r="K571" s="1"/>
      <c r="L571" s="5"/>
      <c r="M571" s="5"/>
      <c r="N571" s="1"/>
      <c r="O571" s="5"/>
      <c r="P571" s="5"/>
      <c r="Q571" s="1"/>
      <c r="R571" s="156"/>
      <c r="S571" s="156"/>
      <c r="T571" s="157"/>
    </row>
    <row r="572" spans="1:20" ht="13.5" customHeight="1" x14ac:dyDescent="0.25">
      <c r="A572" s="1"/>
      <c r="B572" s="1"/>
      <c r="C572" s="1"/>
      <c r="D572" s="1"/>
      <c r="E572" s="1"/>
      <c r="F572" s="5"/>
      <c r="G572" s="5"/>
      <c r="H572" s="1"/>
      <c r="I572" s="1"/>
      <c r="J572" s="1"/>
      <c r="K572" s="1"/>
      <c r="L572" s="5"/>
      <c r="M572" s="5"/>
      <c r="N572" s="1"/>
      <c r="O572" s="5"/>
      <c r="P572" s="5"/>
      <c r="Q572" s="1"/>
      <c r="R572" s="156"/>
      <c r="S572" s="156"/>
      <c r="T572" s="157"/>
    </row>
    <row r="573" spans="1:20" ht="13.5" customHeight="1" x14ac:dyDescent="0.25">
      <c r="A573" s="1"/>
      <c r="B573" s="1"/>
      <c r="C573" s="1"/>
      <c r="D573" s="1"/>
      <c r="E573" s="1"/>
      <c r="F573" s="5"/>
      <c r="G573" s="5"/>
      <c r="H573" s="1"/>
      <c r="I573" s="1"/>
      <c r="J573" s="1"/>
      <c r="K573" s="1"/>
      <c r="L573" s="5"/>
      <c r="M573" s="5"/>
      <c r="N573" s="1"/>
      <c r="O573" s="5"/>
      <c r="P573" s="5"/>
      <c r="Q573" s="1"/>
      <c r="R573" s="156"/>
      <c r="S573" s="156"/>
      <c r="T573" s="157"/>
    </row>
    <row r="574" spans="1:20" ht="13.5" customHeight="1" x14ac:dyDescent="0.25">
      <c r="A574" s="1"/>
      <c r="B574" s="1"/>
      <c r="C574" s="1"/>
      <c r="D574" s="1"/>
      <c r="E574" s="1"/>
      <c r="F574" s="5"/>
      <c r="G574" s="5"/>
      <c r="H574" s="1"/>
      <c r="I574" s="1"/>
      <c r="J574" s="1"/>
      <c r="K574" s="1"/>
      <c r="L574" s="5"/>
      <c r="M574" s="5"/>
      <c r="N574" s="1"/>
      <c r="O574" s="5"/>
      <c r="P574" s="5"/>
      <c r="Q574" s="1"/>
      <c r="R574" s="156"/>
      <c r="S574" s="156"/>
      <c r="T574" s="157"/>
    </row>
    <row r="575" spans="1:20" ht="13.5" customHeight="1" x14ac:dyDescent="0.25">
      <c r="A575" s="1"/>
      <c r="B575" s="1"/>
      <c r="C575" s="1"/>
      <c r="D575" s="1"/>
      <c r="E575" s="1"/>
      <c r="F575" s="5"/>
      <c r="G575" s="5"/>
      <c r="H575" s="1"/>
      <c r="I575" s="1"/>
      <c r="J575" s="1"/>
      <c r="K575" s="1"/>
      <c r="L575" s="5"/>
      <c r="M575" s="5"/>
      <c r="N575" s="1"/>
      <c r="O575" s="5"/>
      <c r="P575" s="5"/>
      <c r="Q575" s="1"/>
      <c r="R575" s="156"/>
      <c r="S575" s="156"/>
      <c r="T575" s="157"/>
    </row>
    <row r="576" spans="1:20" ht="13.5" customHeight="1" x14ac:dyDescent="0.25">
      <c r="A576" s="1"/>
      <c r="B576" s="1"/>
      <c r="C576" s="1"/>
      <c r="D576" s="1"/>
      <c r="E576" s="1"/>
      <c r="F576" s="5"/>
      <c r="G576" s="5"/>
      <c r="H576" s="1"/>
      <c r="I576" s="1"/>
      <c r="J576" s="1"/>
      <c r="K576" s="1"/>
      <c r="L576" s="5"/>
      <c r="M576" s="5"/>
      <c r="N576" s="1"/>
      <c r="O576" s="5"/>
      <c r="P576" s="5"/>
      <c r="Q576" s="1"/>
      <c r="R576" s="156"/>
      <c r="S576" s="156"/>
      <c r="T576" s="157"/>
    </row>
    <row r="577" spans="1:20" ht="13.5" customHeight="1" x14ac:dyDescent="0.25">
      <c r="A577" s="1"/>
      <c r="B577" s="1"/>
      <c r="C577" s="1"/>
      <c r="D577" s="1"/>
      <c r="E577" s="1"/>
      <c r="F577" s="5"/>
      <c r="G577" s="5"/>
      <c r="H577" s="1"/>
      <c r="I577" s="1"/>
      <c r="J577" s="1"/>
      <c r="K577" s="1"/>
      <c r="L577" s="5"/>
      <c r="M577" s="5"/>
      <c r="N577" s="1"/>
      <c r="O577" s="5"/>
      <c r="P577" s="5"/>
      <c r="Q577" s="1"/>
      <c r="R577" s="156"/>
      <c r="S577" s="156"/>
      <c r="T577" s="157"/>
    </row>
    <row r="578" spans="1:20" ht="13.5" customHeight="1" x14ac:dyDescent="0.25">
      <c r="A578" s="1"/>
      <c r="B578" s="1"/>
      <c r="C578" s="1"/>
      <c r="D578" s="1"/>
      <c r="E578" s="1"/>
      <c r="F578" s="5"/>
      <c r="G578" s="5"/>
      <c r="H578" s="1"/>
      <c r="I578" s="1"/>
      <c r="J578" s="1"/>
      <c r="K578" s="1"/>
      <c r="L578" s="5"/>
      <c r="M578" s="5"/>
      <c r="N578" s="1"/>
      <c r="O578" s="5"/>
      <c r="P578" s="5"/>
      <c r="Q578" s="1"/>
      <c r="R578" s="156"/>
      <c r="S578" s="156"/>
      <c r="T578" s="157"/>
    </row>
    <row r="579" spans="1:20" ht="13.5" customHeight="1" x14ac:dyDescent="0.25">
      <c r="A579" s="1"/>
      <c r="B579" s="1"/>
      <c r="C579" s="1"/>
      <c r="D579" s="1"/>
      <c r="E579" s="1"/>
      <c r="F579" s="5"/>
      <c r="G579" s="5"/>
      <c r="H579" s="1"/>
      <c r="I579" s="1"/>
      <c r="J579" s="1"/>
      <c r="K579" s="1"/>
      <c r="L579" s="5"/>
      <c r="M579" s="5"/>
      <c r="N579" s="1"/>
      <c r="O579" s="5"/>
      <c r="P579" s="5"/>
      <c r="Q579" s="1"/>
      <c r="R579" s="156"/>
      <c r="S579" s="156"/>
      <c r="T579" s="157"/>
    </row>
    <row r="580" spans="1:20" ht="13.5" customHeight="1" x14ac:dyDescent="0.25">
      <c r="A580" s="1"/>
      <c r="B580" s="1"/>
      <c r="C580" s="1"/>
      <c r="D580" s="1"/>
      <c r="E580" s="1"/>
      <c r="F580" s="5"/>
      <c r="G580" s="5"/>
      <c r="H580" s="1"/>
      <c r="I580" s="1"/>
      <c r="J580" s="1"/>
      <c r="K580" s="1"/>
      <c r="L580" s="5"/>
      <c r="M580" s="5"/>
      <c r="N580" s="1"/>
      <c r="O580" s="5"/>
      <c r="P580" s="5"/>
      <c r="Q580" s="1"/>
      <c r="R580" s="156"/>
      <c r="S580" s="156"/>
      <c r="T580" s="157"/>
    </row>
    <row r="581" spans="1:20" ht="13.5" customHeight="1" x14ac:dyDescent="0.25">
      <c r="A581" s="1"/>
      <c r="B581" s="1"/>
      <c r="C581" s="1"/>
      <c r="D581" s="1"/>
      <c r="E581" s="1"/>
      <c r="F581" s="5"/>
      <c r="G581" s="5"/>
      <c r="H581" s="1"/>
      <c r="I581" s="1"/>
      <c r="J581" s="1"/>
      <c r="K581" s="1"/>
      <c r="L581" s="5"/>
      <c r="M581" s="5"/>
      <c r="N581" s="1"/>
      <c r="O581" s="5"/>
      <c r="P581" s="5"/>
      <c r="Q581" s="1"/>
      <c r="R581" s="156"/>
      <c r="S581" s="156"/>
      <c r="T581" s="157"/>
    </row>
    <row r="582" spans="1:20" ht="13.5" customHeight="1" x14ac:dyDescent="0.25">
      <c r="A582" s="1"/>
      <c r="B582" s="1"/>
      <c r="C582" s="1"/>
      <c r="D582" s="1"/>
      <c r="E582" s="1"/>
      <c r="F582" s="5"/>
      <c r="G582" s="5"/>
      <c r="H582" s="1"/>
      <c r="I582" s="1"/>
      <c r="J582" s="1"/>
      <c r="K582" s="1"/>
      <c r="L582" s="5"/>
      <c r="M582" s="5"/>
      <c r="N582" s="1"/>
      <c r="O582" s="5"/>
      <c r="P582" s="5"/>
      <c r="Q582" s="1"/>
      <c r="R582" s="156"/>
      <c r="S582" s="156"/>
      <c r="T582" s="157"/>
    </row>
    <row r="583" spans="1:20" ht="13.5" customHeight="1" x14ac:dyDescent="0.25">
      <c r="A583" s="1"/>
      <c r="B583" s="1"/>
      <c r="C583" s="1"/>
      <c r="D583" s="1"/>
      <c r="E583" s="1"/>
      <c r="F583" s="5"/>
      <c r="G583" s="5"/>
      <c r="H583" s="1"/>
      <c r="I583" s="1"/>
      <c r="J583" s="1"/>
      <c r="K583" s="1"/>
      <c r="L583" s="5"/>
      <c r="M583" s="5"/>
      <c r="N583" s="1"/>
      <c r="O583" s="5"/>
      <c r="P583" s="5"/>
      <c r="Q583" s="1"/>
      <c r="R583" s="156"/>
      <c r="S583" s="156"/>
      <c r="T583" s="157"/>
    </row>
    <row r="584" spans="1:20" ht="13.5" customHeight="1" x14ac:dyDescent="0.25">
      <c r="A584" s="1"/>
      <c r="B584" s="1"/>
      <c r="C584" s="1"/>
      <c r="D584" s="1"/>
      <c r="E584" s="1"/>
      <c r="F584" s="5"/>
      <c r="G584" s="5"/>
      <c r="H584" s="1"/>
      <c r="I584" s="1"/>
      <c r="J584" s="1"/>
      <c r="K584" s="1"/>
      <c r="L584" s="5"/>
      <c r="M584" s="5"/>
      <c r="N584" s="1"/>
      <c r="O584" s="5"/>
      <c r="P584" s="5"/>
      <c r="Q584" s="1"/>
      <c r="R584" s="156"/>
      <c r="S584" s="156"/>
      <c r="T584" s="157"/>
    </row>
    <row r="585" spans="1:20" ht="13.5" customHeight="1" x14ac:dyDescent="0.25">
      <c r="A585" s="1"/>
      <c r="B585" s="1"/>
      <c r="C585" s="1"/>
      <c r="D585" s="1"/>
      <c r="E585" s="1"/>
      <c r="F585" s="5"/>
      <c r="G585" s="5"/>
      <c r="H585" s="1"/>
      <c r="I585" s="1"/>
      <c r="J585" s="1"/>
      <c r="K585" s="1"/>
      <c r="L585" s="5"/>
      <c r="M585" s="5"/>
      <c r="N585" s="1"/>
      <c r="O585" s="5"/>
      <c r="P585" s="5"/>
      <c r="Q585" s="1"/>
      <c r="R585" s="156"/>
      <c r="S585" s="156"/>
      <c r="T585" s="157"/>
    </row>
    <row r="586" spans="1:20" ht="13.5" customHeight="1" x14ac:dyDescent="0.25">
      <c r="A586" s="1"/>
      <c r="B586" s="1"/>
      <c r="C586" s="1"/>
      <c r="D586" s="1"/>
      <c r="E586" s="1"/>
      <c r="F586" s="5"/>
      <c r="G586" s="5"/>
      <c r="H586" s="1"/>
      <c r="I586" s="1"/>
      <c r="J586" s="1"/>
      <c r="K586" s="1"/>
      <c r="L586" s="5"/>
      <c r="M586" s="5"/>
      <c r="N586" s="1"/>
      <c r="O586" s="5"/>
      <c r="P586" s="5"/>
      <c r="Q586" s="1"/>
      <c r="R586" s="156"/>
      <c r="S586" s="156"/>
      <c r="T586" s="157"/>
    </row>
    <row r="587" spans="1:20" ht="13.5" customHeight="1" x14ac:dyDescent="0.25">
      <c r="A587" s="1"/>
      <c r="B587" s="1"/>
      <c r="C587" s="1"/>
      <c r="D587" s="1"/>
      <c r="E587" s="1"/>
      <c r="F587" s="5"/>
      <c r="G587" s="5"/>
      <c r="H587" s="1"/>
      <c r="I587" s="1"/>
      <c r="J587" s="1"/>
      <c r="K587" s="1"/>
      <c r="L587" s="5"/>
      <c r="M587" s="5"/>
      <c r="N587" s="1"/>
      <c r="O587" s="5"/>
      <c r="P587" s="5"/>
      <c r="Q587" s="1"/>
      <c r="R587" s="156"/>
      <c r="S587" s="156"/>
      <c r="T587" s="157"/>
    </row>
    <row r="588" spans="1:20" ht="13.5" customHeight="1" x14ac:dyDescent="0.25">
      <c r="A588" s="1"/>
      <c r="B588" s="1"/>
      <c r="C588" s="1"/>
      <c r="D588" s="1"/>
      <c r="E588" s="1"/>
      <c r="F588" s="5"/>
      <c r="G588" s="5"/>
      <c r="H588" s="1"/>
      <c r="I588" s="1"/>
      <c r="J588" s="1"/>
      <c r="K588" s="1"/>
      <c r="L588" s="5"/>
      <c r="M588" s="5"/>
      <c r="N588" s="1"/>
      <c r="O588" s="5"/>
      <c r="P588" s="5"/>
      <c r="Q588" s="1"/>
      <c r="R588" s="156"/>
      <c r="S588" s="156"/>
      <c r="T588" s="157"/>
    </row>
    <row r="589" spans="1:20" ht="13.5" customHeight="1" x14ac:dyDescent="0.25">
      <c r="A589" s="1"/>
      <c r="B589" s="1"/>
      <c r="C589" s="1"/>
      <c r="D589" s="1"/>
      <c r="E589" s="1"/>
      <c r="F589" s="5"/>
      <c r="G589" s="5"/>
      <c r="H589" s="1"/>
      <c r="I589" s="1"/>
      <c r="J589" s="1"/>
      <c r="K589" s="1"/>
      <c r="L589" s="5"/>
      <c r="M589" s="5"/>
      <c r="N589" s="1"/>
      <c r="O589" s="5"/>
      <c r="P589" s="5"/>
      <c r="Q589" s="1"/>
      <c r="R589" s="156"/>
      <c r="S589" s="156"/>
      <c r="T589" s="157"/>
    </row>
    <row r="590" spans="1:20" ht="13.5" customHeight="1" x14ac:dyDescent="0.25">
      <c r="A590" s="1"/>
      <c r="B590" s="1"/>
      <c r="C590" s="1"/>
      <c r="D590" s="1"/>
      <c r="E590" s="1"/>
      <c r="F590" s="5"/>
      <c r="G590" s="5"/>
      <c r="H590" s="1"/>
      <c r="I590" s="1"/>
      <c r="J590" s="1"/>
      <c r="K590" s="1"/>
      <c r="L590" s="5"/>
      <c r="M590" s="5"/>
      <c r="N590" s="1"/>
      <c r="O590" s="5"/>
      <c r="P590" s="5"/>
      <c r="Q590" s="1"/>
      <c r="R590" s="156"/>
      <c r="S590" s="156"/>
      <c r="T590" s="157"/>
    </row>
    <row r="591" spans="1:20" ht="13.5" customHeight="1" x14ac:dyDescent="0.25">
      <c r="A591" s="1"/>
      <c r="B591" s="1"/>
      <c r="C591" s="1"/>
      <c r="D591" s="1"/>
      <c r="E591" s="1"/>
      <c r="F591" s="5"/>
      <c r="G591" s="5"/>
      <c r="H591" s="1"/>
      <c r="I591" s="1"/>
      <c r="J591" s="1"/>
      <c r="K591" s="1"/>
      <c r="L591" s="5"/>
      <c r="M591" s="5"/>
      <c r="N591" s="1"/>
      <c r="O591" s="5"/>
      <c r="P591" s="5"/>
      <c r="Q591" s="1"/>
      <c r="R591" s="156"/>
      <c r="S591" s="156"/>
      <c r="T591" s="157"/>
    </row>
    <row r="592" spans="1:20" ht="13.5" customHeight="1" x14ac:dyDescent="0.25">
      <c r="A592" s="1"/>
      <c r="B592" s="1"/>
      <c r="C592" s="1"/>
      <c r="D592" s="1"/>
      <c r="E592" s="1"/>
      <c r="F592" s="5"/>
      <c r="G592" s="5"/>
      <c r="H592" s="1"/>
      <c r="I592" s="1"/>
      <c r="J592" s="1"/>
      <c r="K592" s="1"/>
      <c r="L592" s="5"/>
      <c r="M592" s="5"/>
      <c r="N592" s="1"/>
      <c r="O592" s="5"/>
      <c r="P592" s="5"/>
      <c r="Q592" s="1"/>
      <c r="R592" s="156"/>
      <c r="S592" s="156"/>
      <c r="T592" s="157"/>
    </row>
    <row r="593" spans="1:20" ht="13.5" customHeight="1" x14ac:dyDescent="0.25">
      <c r="A593" s="1"/>
      <c r="B593" s="1"/>
      <c r="C593" s="1"/>
      <c r="D593" s="1"/>
      <c r="E593" s="1"/>
      <c r="F593" s="5"/>
      <c r="G593" s="5"/>
      <c r="H593" s="1"/>
      <c r="I593" s="1"/>
      <c r="J593" s="1"/>
      <c r="K593" s="1"/>
      <c r="L593" s="5"/>
      <c r="M593" s="5"/>
      <c r="N593" s="1"/>
      <c r="O593" s="5"/>
      <c r="P593" s="5"/>
      <c r="Q593" s="1"/>
      <c r="R593" s="156"/>
      <c r="S593" s="156"/>
      <c r="T593" s="157"/>
    </row>
    <row r="594" spans="1:20" ht="13.5" customHeight="1" x14ac:dyDescent="0.25">
      <c r="A594" s="1"/>
      <c r="B594" s="1"/>
      <c r="C594" s="1"/>
      <c r="D594" s="1"/>
      <c r="E594" s="1"/>
      <c r="F594" s="5"/>
      <c r="G594" s="5"/>
      <c r="H594" s="1"/>
      <c r="I594" s="1"/>
      <c r="J594" s="1"/>
      <c r="K594" s="1"/>
      <c r="L594" s="5"/>
      <c r="M594" s="5"/>
      <c r="N594" s="1"/>
      <c r="O594" s="5"/>
      <c r="P594" s="5"/>
      <c r="Q594" s="1"/>
      <c r="R594" s="156"/>
      <c r="S594" s="156"/>
      <c r="T594" s="157"/>
    </row>
    <row r="595" spans="1:20" ht="13.5" customHeight="1" x14ac:dyDescent="0.25">
      <c r="A595" s="1"/>
      <c r="B595" s="1"/>
      <c r="C595" s="1"/>
      <c r="D595" s="1"/>
      <c r="E595" s="1"/>
      <c r="F595" s="5"/>
      <c r="G595" s="5"/>
      <c r="H595" s="1"/>
      <c r="I595" s="1"/>
      <c r="J595" s="1"/>
      <c r="K595" s="1"/>
      <c r="L595" s="5"/>
      <c r="M595" s="5"/>
      <c r="N595" s="1"/>
      <c r="O595" s="5"/>
      <c r="P595" s="5"/>
      <c r="Q595" s="1"/>
      <c r="R595" s="156"/>
      <c r="S595" s="156"/>
      <c r="T595" s="157"/>
    </row>
    <row r="596" spans="1:20" ht="13.5" customHeight="1" x14ac:dyDescent="0.25">
      <c r="A596" s="1"/>
      <c r="B596" s="1"/>
      <c r="C596" s="1"/>
      <c r="D596" s="1"/>
      <c r="E596" s="1"/>
      <c r="F596" s="5"/>
      <c r="G596" s="5"/>
      <c r="H596" s="1"/>
      <c r="I596" s="1"/>
      <c r="J596" s="1"/>
      <c r="K596" s="1"/>
      <c r="L596" s="5"/>
      <c r="M596" s="5"/>
      <c r="N596" s="1"/>
      <c r="O596" s="5"/>
      <c r="P596" s="5"/>
      <c r="Q596" s="1"/>
      <c r="R596" s="156"/>
      <c r="S596" s="156"/>
      <c r="T596" s="157"/>
    </row>
    <row r="597" spans="1:20" ht="13.5" customHeight="1" x14ac:dyDescent="0.25">
      <c r="A597" s="1"/>
      <c r="B597" s="1"/>
      <c r="C597" s="1"/>
      <c r="D597" s="1"/>
      <c r="E597" s="1"/>
      <c r="F597" s="5"/>
      <c r="G597" s="5"/>
      <c r="H597" s="1"/>
      <c r="I597" s="1"/>
      <c r="J597" s="1"/>
      <c r="K597" s="1"/>
      <c r="L597" s="5"/>
      <c r="M597" s="5"/>
      <c r="N597" s="1"/>
      <c r="O597" s="5"/>
      <c r="P597" s="5"/>
      <c r="Q597" s="1"/>
      <c r="R597" s="156"/>
      <c r="S597" s="156"/>
      <c r="T597" s="157"/>
    </row>
    <row r="598" spans="1:20" ht="13.5" customHeight="1" x14ac:dyDescent="0.25">
      <c r="A598" s="1"/>
      <c r="B598" s="1"/>
      <c r="C598" s="1"/>
      <c r="D598" s="1"/>
      <c r="E598" s="1"/>
      <c r="F598" s="5"/>
      <c r="G598" s="5"/>
      <c r="H598" s="1"/>
      <c r="I598" s="1"/>
      <c r="J598" s="1"/>
      <c r="K598" s="1"/>
      <c r="L598" s="5"/>
      <c r="M598" s="5"/>
      <c r="N598" s="1"/>
      <c r="O598" s="5"/>
      <c r="P598" s="5"/>
      <c r="Q598" s="1"/>
      <c r="R598" s="156"/>
      <c r="S598" s="156"/>
      <c r="T598" s="157"/>
    </row>
    <row r="599" spans="1:20" ht="13.5" customHeight="1" x14ac:dyDescent="0.25">
      <c r="A599" s="1"/>
      <c r="B599" s="1"/>
      <c r="C599" s="1"/>
      <c r="D599" s="1"/>
      <c r="E599" s="1"/>
      <c r="F599" s="5"/>
      <c r="G599" s="5"/>
      <c r="H599" s="1"/>
      <c r="I599" s="1"/>
      <c r="J599" s="1"/>
      <c r="K599" s="1"/>
      <c r="L599" s="5"/>
      <c r="M599" s="5"/>
      <c r="N599" s="1"/>
      <c r="O599" s="5"/>
      <c r="P599" s="5"/>
      <c r="Q599" s="1"/>
      <c r="R599" s="156"/>
      <c r="S599" s="156"/>
      <c r="T599" s="157"/>
    </row>
    <row r="600" spans="1:20" ht="13.5" customHeight="1" x14ac:dyDescent="0.25">
      <c r="A600" s="1"/>
      <c r="B600" s="1"/>
      <c r="C600" s="1"/>
      <c r="D600" s="1"/>
      <c r="E600" s="1"/>
      <c r="F600" s="5"/>
      <c r="G600" s="5"/>
      <c r="H600" s="1"/>
      <c r="I600" s="1"/>
      <c r="J600" s="1"/>
      <c r="K600" s="1"/>
      <c r="L600" s="5"/>
      <c r="M600" s="5"/>
      <c r="N600" s="1"/>
      <c r="O600" s="5"/>
      <c r="P600" s="5"/>
      <c r="Q600" s="1"/>
      <c r="R600" s="156"/>
      <c r="S600" s="156"/>
      <c r="T600" s="157"/>
    </row>
    <row r="601" spans="1:20" ht="13.5" customHeight="1" x14ac:dyDescent="0.25">
      <c r="A601" s="1"/>
      <c r="B601" s="1"/>
      <c r="C601" s="1"/>
      <c r="D601" s="1"/>
      <c r="E601" s="1"/>
      <c r="F601" s="5"/>
      <c r="G601" s="5"/>
      <c r="H601" s="1"/>
      <c r="I601" s="1"/>
      <c r="J601" s="1"/>
      <c r="K601" s="1"/>
      <c r="L601" s="5"/>
      <c r="M601" s="5"/>
      <c r="N601" s="1"/>
      <c r="O601" s="5"/>
      <c r="P601" s="5"/>
      <c r="Q601" s="1"/>
      <c r="R601" s="156"/>
      <c r="S601" s="156"/>
      <c r="T601" s="157"/>
    </row>
    <row r="602" spans="1:20" ht="13.5" customHeight="1" x14ac:dyDescent="0.25">
      <c r="A602" s="1"/>
      <c r="B602" s="1"/>
      <c r="C602" s="1"/>
      <c r="D602" s="1"/>
      <c r="E602" s="1"/>
      <c r="F602" s="5"/>
      <c r="G602" s="5"/>
      <c r="H602" s="1"/>
      <c r="I602" s="1"/>
      <c r="J602" s="1"/>
      <c r="K602" s="1"/>
      <c r="L602" s="5"/>
      <c r="M602" s="5"/>
      <c r="N602" s="1"/>
      <c r="O602" s="5"/>
      <c r="P602" s="5"/>
      <c r="Q602" s="1"/>
      <c r="R602" s="156"/>
      <c r="S602" s="156"/>
      <c r="T602" s="157"/>
    </row>
    <row r="603" spans="1:20" ht="13.5" customHeight="1" x14ac:dyDescent="0.25">
      <c r="A603" s="1"/>
      <c r="B603" s="1"/>
      <c r="C603" s="1"/>
      <c r="D603" s="1"/>
      <c r="E603" s="1"/>
      <c r="F603" s="5"/>
      <c r="G603" s="5"/>
      <c r="H603" s="1"/>
      <c r="I603" s="1"/>
      <c r="J603" s="1"/>
      <c r="K603" s="1"/>
      <c r="L603" s="5"/>
      <c r="M603" s="5"/>
      <c r="N603" s="1"/>
      <c r="O603" s="5"/>
      <c r="P603" s="5"/>
      <c r="Q603" s="1"/>
      <c r="R603" s="156"/>
      <c r="S603" s="156"/>
      <c r="T603" s="157"/>
    </row>
    <row r="604" spans="1:20" ht="13.5" customHeight="1" x14ac:dyDescent="0.25">
      <c r="A604" s="1"/>
      <c r="B604" s="1"/>
      <c r="C604" s="1"/>
      <c r="D604" s="1"/>
      <c r="E604" s="1"/>
      <c r="F604" s="5"/>
      <c r="G604" s="5"/>
      <c r="H604" s="1"/>
      <c r="I604" s="1"/>
      <c r="J604" s="1"/>
      <c r="K604" s="1"/>
      <c r="L604" s="5"/>
      <c r="M604" s="5"/>
      <c r="N604" s="1"/>
      <c r="O604" s="5"/>
      <c r="P604" s="5"/>
      <c r="Q604" s="1"/>
      <c r="R604" s="156"/>
      <c r="S604" s="156"/>
      <c r="T604" s="157"/>
    </row>
    <row r="605" spans="1:20" ht="13.5" customHeight="1" x14ac:dyDescent="0.25">
      <c r="A605" s="1"/>
      <c r="B605" s="1"/>
      <c r="C605" s="1"/>
      <c r="D605" s="1"/>
      <c r="E605" s="1"/>
      <c r="F605" s="5"/>
      <c r="G605" s="5"/>
      <c r="H605" s="1"/>
      <c r="I605" s="1"/>
      <c r="J605" s="1"/>
      <c r="K605" s="1"/>
      <c r="L605" s="5"/>
      <c r="M605" s="5"/>
      <c r="N605" s="1"/>
      <c r="O605" s="5"/>
      <c r="P605" s="5"/>
      <c r="Q605" s="1"/>
      <c r="R605" s="156"/>
      <c r="S605" s="156"/>
      <c r="T605" s="157"/>
    </row>
    <row r="606" spans="1:20" ht="13.5" customHeight="1" x14ac:dyDescent="0.25">
      <c r="A606" s="1"/>
      <c r="B606" s="1"/>
      <c r="C606" s="1"/>
      <c r="D606" s="1"/>
      <c r="E606" s="1"/>
      <c r="F606" s="5"/>
      <c r="G606" s="5"/>
      <c r="H606" s="1"/>
      <c r="I606" s="1"/>
      <c r="J606" s="1"/>
      <c r="K606" s="1"/>
      <c r="L606" s="5"/>
      <c r="M606" s="5"/>
      <c r="N606" s="1"/>
      <c r="O606" s="5"/>
      <c r="P606" s="5"/>
      <c r="Q606" s="1"/>
      <c r="R606" s="156"/>
      <c r="S606" s="156"/>
      <c r="T606" s="157"/>
    </row>
    <row r="607" spans="1:20" ht="13.5" customHeight="1" x14ac:dyDescent="0.25">
      <c r="A607" s="1"/>
      <c r="B607" s="1"/>
      <c r="C607" s="1"/>
      <c r="D607" s="1"/>
      <c r="E607" s="1"/>
      <c r="F607" s="5"/>
      <c r="G607" s="5"/>
      <c r="H607" s="1"/>
      <c r="I607" s="1"/>
      <c r="J607" s="1"/>
      <c r="K607" s="1"/>
      <c r="L607" s="5"/>
      <c r="M607" s="5"/>
      <c r="N607" s="1"/>
      <c r="O607" s="5"/>
      <c r="P607" s="5"/>
      <c r="Q607" s="1"/>
      <c r="R607" s="156"/>
      <c r="S607" s="156"/>
      <c r="T607" s="157"/>
    </row>
    <row r="608" spans="1:20" ht="13.5" customHeight="1" x14ac:dyDescent="0.25">
      <c r="A608" s="1"/>
      <c r="B608" s="1"/>
      <c r="C608" s="1"/>
      <c r="D608" s="1"/>
      <c r="E608" s="1"/>
      <c r="F608" s="5"/>
      <c r="G608" s="5"/>
      <c r="H608" s="1"/>
      <c r="I608" s="1"/>
      <c r="J608" s="1"/>
      <c r="K608" s="1"/>
      <c r="L608" s="5"/>
      <c r="M608" s="5"/>
      <c r="N608" s="1"/>
      <c r="O608" s="5"/>
      <c r="P608" s="5"/>
      <c r="Q608" s="1"/>
      <c r="R608" s="156"/>
      <c r="S608" s="156"/>
      <c r="T608" s="157"/>
    </row>
    <row r="609" spans="1:20" ht="13.5" customHeight="1" x14ac:dyDescent="0.25">
      <c r="A609" s="1"/>
      <c r="B609" s="1"/>
      <c r="C609" s="1"/>
      <c r="D609" s="1"/>
      <c r="E609" s="1"/>
      <c r="F609" s="5"/>
      <c r="G609" s="5"/>
      <c r="H609" s="1"/>
      <c r="I609" s="1"/>
      <c r="J609" s="1"/>
      <c r="K609" s="1"/>
      <c r="L609" s="5"/>
      <c r="M609" s="5"/>
      <c r="N609" s="1"/>
      <c r="O609" s="5"/>
      <c r="P609" s="5"/>
      <c r="Q609" s="1"/>
      <c r="R609" s="156"/>
      <c r="S609" s="156"/>
      <c r="T609" s="157"/>
    </row>
    <row r="610" spans="1:20" ht="13.5" customHeight="1" x14ac:dyDescent="0.25">
      <c r="A610" s="1"/>
      <c r="B610" s="1"/>
      <c r="C610" s="1"/>
      <c r="D610" s="1"/>
      <c r="E610" s="1"/>
      <c r="F610" s="5"/>
      <c r="G610" s="5"/>
      <c r="H610" s="1"/>
      <c r="I610" s="1"/>
      <c r="J610" s="1"/>
      <c r="K610" s="1"/>
      <c r="L610" s="5"/>
      <c r="M610" s="5"/>
      <c r="N610" s="1"/>
      <c r="O610" s="5"/>
      <c r="P610" s="5"/>
      <c r="Q610" s="1"/>
      <c r="R610" s="156"/>
      <c r="S610" s="156"/>
      <c r="T610" s="157"/>
    </row>
    <row r="611" spans="1:20" ht="13.5" customHeight="1" x14ac:dyDescent="0.25">
      <c r="A611" s="1"/>
      <c r="B611" s="1"/>
      <c r="C611" s="1"/>
      <c r="D611" s="1"/>
      <c r="E611" s="1"/>
      <c r="F611" s="5"/>
      <c r="G611" s="5"/>
      <c r="H611" s="1"/>
      <c r="I611" s="1"/>
      <c r="J611" s="1"/>
      <c r="K611" s="1"/>
      <c r="L611" s="5"/>
      <c r="M611" s="5"/>
      <c r="N611" s="1"/>
      <c r="O611" s="5"/>
      <c r="P611" s="5"/>
      <c r="Q611" s="1"/>
      <c r="R611" s="156"/>
      <c r="S611" s="156"/>
      <c r="T611" s="157"/>
    </row>
    <row r="612" spans="1:20" ht="13.5" customHeight="1" x14ac:dyDescent="0.25">
      <c r="A612" s="1"/>
      <c r="B612" s="1"/>
      <c r="C612" s="1"/>
      <c r="D612" s="1"/>
      <c r="E612" s="1"/>
      <c r="F612" s="5"/>
      <c r="G612" s="5"/>
      <c r="H612" s="1"/>
      <c r="I612" s="1"/>
      <c r="J612" s="1"/>
      <c r="K612" s="1"/>
      <c r="L612" s="5"/>
      <c r="M612" s="5"/>
      <c r="N612" s="1"/>
      <c r="O612" s="5"/>
      <c r="P612" s="5"/>
      <c r="Q612" s="1"/>
      <c r="R612" s="156"/>
      <c r="S612" s="156"/>
      <c r="T612" s="157"/>
    </row>
    <row r="613" spans="1:20" ht="13.5" customHeight="1" x14ac:dyDescent="0.25">
      <c r="A613" s="1"/>
      <c r="B613" s="1"/>
      <c r="C613" s="1"/>
      <c r="D613" s="1"/>
      <c r="E613" s="1"/>
      <c r="F613" s="5"/>
      <c r="G613" s="5"/>
      <c r="H613" s="1"/>
      <c r="I613" s="1"/>
      <c r="J613" s="1"/>
      <c r="K613" s="1"/>
      <c r="L613" s="5"/>
      <c r="M613" s="5"/>
      <c r="N613" s="1"/>
      <c r="O613" s="5"/>
      <c r="P613" s="5"/>
      <c r="Q613" s="1"/>
      <c r="R613" s="156"/>
      <c r="S613" s="156"/>
      <c r="T613" s="157"/>
    </row>
    <row r="614" spans="1:20" ht="13.5" customHeight="1" x14ac:dyDescent="0.25">
      <c r="A614" s="1"/>
      <c r="B614" s="1"/>
      <c r="C614" s="1"/>
      <c r="D614" s="1"/>
      <c r="E614" s="1"/>
      <c r="F614" s="5"/>
      <c r="G614" s="5"/>
      <c r="H614" s="1"/>
      <c r="I614" s="1"/>
      <c r="J614" s="1"/>
      <c r="K614" s="1"/>
      <c r="L614" s="5"/>
      <c r="M614" s="5"/>
      <c r="N614" s="1"/>
      <c r="O614" s="5"/>
      <c r="P614" s="5"/>
      <c r="Q614" s="1"/>
      <c r="R614" s="156"/>
      <c r="S614" s="156"/>
      <c r="T614" s="157"/>
    </row>
    <row r="615" spans="1:20" ht="13.5" customHeight="1" x14ac:dyDescent="0.25">
      <c r="A615" s="1"/>
      <c r="B615" s="1"/>
      <c r="C615" s="1"/>
      <c r="D615" s="1"/>
      <c r="E615" s="1"/>
      <c r="F615" s="5"/>
      <c r="G615" s="5"/>
      <c r="H615" s="1"/>
      <c r="I615" s="1"/>
      <c r="J615" s="1"/>
      <c r="K615" s="1"/>
      <c r="L615" s="5"/>
      <c r="M615" s="5"/>
      <c r="N615" s="1"/>
      <c r="O615" s="5"/>
      <c r="P615" s="5"/>
      <c r="Q615" s="1"/>
      <c r="R615" s="156"/>
      <c r="S615" s="156"/>
      <c r="T615" s="157"/>
    </row>
    <row r="616" spans="1:20" ht="13.5" customHeight="1" x14ac:dyDescent="0.25">
      <c r="A616" s="1"/>
      <c r="B616" s="1"/>
      <c r="C616" s="1"/>
      <c r="D616" s="1"/>
      <c r="E616" s="1"/>
      <c r="F616" s="5"/>
      <c r="G616" s="5"/>
      <c r="H616" s="1"/>
      <c r="I616" s="1"/>
      <c r="J616" s="1"/>
      <c r="K616" s="1"/>
      <c r="L616" s="5"/>
      <c r="M616" s="5"/>
      <c r="N616" s="1"/>
      <c r="O616" s="5"/>
      <c r="P616" s="5"/>
      <c r="Q616" s="1"/>
      <c r="R616" s="156"/>
      <c r="S616" s="156"/>
      <c r="T616" s="157"/>
    </row>
    <row r="617" spans="1:20" ht="13.5" customHeight="1" x14ac:dyDescent="0.25">
      <c r="A617" s="1"/>
      <c r="B617" s="1"/>
      <c r="C617" s="1"/>
      <c r="D617" s="1"/>
      <c r="E617" s="1"/>
      <c r="F617" s="5"/>
      <c r="G617" s="5"/>
      <c r="H617" s="1"/>
      <c r="I617" s="1"/>
      <c r="J617" s="1"/>
      <c r="K617" s="1"/>
      <c r="L617" s="5"/>
      <c r="M617" s="5"/>
      <c r="N617" s="1"/>
      <c r="O617" s="5"/>
      <c r="P617" s="5"/>
      <c r="Q617" s="1"/>
      <c r="R617" s="156"/>
      <c r="S617" s="156"/>
      <c r="T617" s="157"/>
    </row>
    <row r="618" spans="1:20" ht="13.5" customHeight="1" x14ac:dyDescent="0.25">
      <c r="A618" s="1"/>
      <c r="B618" s="1"/>
      <c r="C618" s="1"/>
      <c r="D618" s="1"/>
      <c r="E618" s="1"/>
      <c r="F618" s="5"/>
      <c r="G618" s="5"/>
      <c r="H618" s="1"/>
      <c r="I618" s="1"/>
      <c r="J618" s="1"/>
      <c r="K618" s="1"/>
      <c r="L618" s="5"/>
      <c r="M618" s="5"/>
      <c r="N618" s="1"/>
      <c r="O618" s="5"/>
      <c r="P618" s="5"/>
      <c r="Q618" s="1"/>
      <c r="R618" s="156"/>
      <c r="S618" s="156"/>
      <c r="T618" s="157"/>
    </row>
    <row r="619" spans="1:20" ht="13.5" customHeight="1" x14ac:dyDescent="0.25">
      <c r="A619" s="1"/>
      <c r="B619" s="1"/>
      <c r="C619" s="1"/>
      <c r="D619" s="1"/>
      <c r="E619" s="1"/>
      <c r="F619" s="5"/>
      <c r="G619" s="5"/>
      <c r="H619" s="1"/>
      <c r="I619" s="1"/>
      <c r="J619" s="1"/>
      <c r="K619" s="1"/>
      <c r="L619" s="5"/>
      <c r="M619" s="5"/>
      <c r="N619" s="1"/>
      <c r="O619" s="5"/>
      <c r="P619" s="5"/>
      <c r="Q619" s="1"/>
      <c r="R619" s="156"/>
      <c r="S619" s="156"/>
      <c r="T619" s="157"/>
    </row>
    <row r="620" spans="1:20" ht="13.5" customHeight="1" x14ac:dyDescent="0.25">
      <c r="A620" s="1"/>
      <c r="B620" s="1"/>
      <c r="C620" s="1"/>
      <c r="D620" s="1"/>
      <c r="E620" s="1"/>
      <c r="F620" s="5"/>
      <c r="G620" s="5"/>
      <c r="H620" s="1"/>
      <c r="I620" s="1"/>
      <c r="J620" s="1"/>
      <c r="K620" s="1"/>
      <c r="L620" s="5"/>
      <c r="M620" s="5"/>
      <c r="N620" s="1"/>
      <c r="O620" s="5"/>
      <c r="P620" s="5"/>
      <c r="Q620" s="1"/>
      <c r="R620" s="156"/>
      <c r="S620" s="156"/>
      <c r="T620" s="157"/>
    </row>
    <row r="621" spans="1:20" ht="13.5" customHeight="1" x14ac:dyDescent="0.25">
      <c r="A621" s="1"/>
      <c r="B621" s="1"/>
      <c r="C621" s="1"/>
      <c r="D621" s="1"/>
      <c r="E621" s="1"/>
      <c r="F621" s="5"/>
      <c r="G621" s="5"/>
      <c r="H621" s="1"/>
      <c r="I621" s="1"/>
      <c r="J621" s="1"/>
      <c r="K621" s="1"/>
      <c r="L621" s="5"/>
      <c r="M621" s="5"/>
      <c r="N621" s="1"/>
      <c r="O621" s="5"/>
      <c r="P621" s="5"/>
      <c r="Q621" s="1"/>
      <c r="R621" s="156"/>
      <c r="S621" s="156"/>
      <c r="T621" s="157"/>
    </row>
    <row r="622" spans="1:20" ht="13.5" customHeight="1" x14ac:dyDescent="0.25">
      <c r="A622" s="1"/>
      <c r="B622" s="1"/>
      <c r="C622" s="1"/>
      <c r="D622" s="1"/>
      <c r="E622" s="1"/>
      <c r="F622" s="5"/>
      <c r="G622" s="5"/>
      <c r="H622" s="1"/>
      <c r="I622" s="1"/>
      <c r="J622" s="1"/>
      <c r="K622" s="1"/>
      <c r="L622" s="5"/>
      <c r="M622" s="5"/>
      <c r="N622" s="1"/>
      <c r="O622" s="5"/>
      <c r="P622" s="5"/>
      <c r="Q622" s="1"/>
      <c r="R622" s="156"/>
      <c r="S622" s="156"/>
      <c r="T622" s="157"/>
    </row>
    <row r="623" spans="1:20" ht="13.5" customHeight="1" x14ac:dyDescent="0.25">
      <c r="A623" s="1"/>
      <c r="B623" s="1"/>
      <c r="C623" s="1"/>
      <c r="D623" s="1"/>
      <c r="E623" s="1"/>
      <c r="F623" s="5"/>
      <c r="G623" s="5"/>
      <c r="H623" s="1"/>
      <c r="I623" s="1"/>
      <c r="J623" s="1"/>
      <c r="K623" s="1"/>
      <c r="L623" s="5"/>
      <c r="M623" s="5"/>
      <c r="N623" s="1"/>
      <c r="O623" s="5"/>
      <c r="P623" s="5"/>
      <c r="Q623" s="1"/>
      <c r="R623" s="156"/>
      <c r="S623" s="156"/>
      <c r="T623" s="157"/>
    </row>
    <row r="624" spans="1:20" ht="13.5" customHeight="1" x14ac:dyDescent="0.25">
      <c r="A624" s="1"/>
      <c r="B624" s="1"/>
      <c r="C624" s="1"/>
      <c r="D624" s="1"/>
      <c r="E624" s="1"/>
      <c r="F624" s="5"/>
      <c r="G624" s="5"/>
      <c r="H624" s="1"/>
      <c r="I624" s="1"/>
      <c r="J624" s="1"/>
      <c r="K624" s="1"/>
      <c r="L624" s="5"/>
      <c r="M624" s="5"/>
      <c r="N624" s="1"/>
      <c r="O624" s="5"/>
      <c r="P624" s="5"/>
      <c r="Q624" s="1"/>
      <c r="R624" s="156"/>
      <c r="S624" s="156"/>
      <c r="T624" s="157"/>
    </row>
    <row r="625" spans="1:20" ht="13.5" customHeight="1" x14ac:dyDescent="0.25">
      <c r="A625" s="1"/>
      <c r="B625" s="1"/>
      <c r="C625" s="1"/>
      <c r="D625" s="1"/>
      <c r="E625" s="1"/>
      <c r="F625" s="5"/>
      <c r="G625" s="5"/>
      <c r="H625" s="1"/>
      <c r="I625" s="1"/>
      <c r="J625" s="1"/>
      <c r="K625" s="1"/>
      <c r="L625" s="5"/>
      <c r="M625" s="5"/>
      <c r="N625" s="1"/>
      <c r="O625" s="5"/>
      <c r="P625" s="5"/>
      <c r="Q625" s="1"/>
      <c r="R625" s="156"/>
      <c r="S625" s="156"/>
      <c r="T625" s="157"/>
    </row>
    <row r="626" spans="1:20" ht="13.5" customHeight="1" x14ac:dyDescent="0.25">
      <c r="A626" s="1"/>
      <c r="B626" s="1"/>
      <c r="C626" s="1"/>
      <c r="D626" s="1"/>
      <c r="E626" s="1"/>
      <c r="F626" s="5"/>
      <c r="G626" s="5"/>
      <c r="H626" s="1"/>
      <c r="I626" s="1"/>
      <c r="J626" s="1"/>
      <c r="K626" s="1"/>
      <c r="L626" s="5"/>
      <c r="M626" s="5"/>
      <c r="N626" s="1"/>
      <c r="O626" s="5"/>
      <c r="P626" s="5"/>
      <c r="Q626" s="1"/>
      <c r="R626" s="156"/>
      <c r="S626" s="156"/>
      <c r="T626" s="157"/>
    </row>
    <row r="627" spans="1:20" ht="13.5" customHeight="1" x14ac:dyDescent="0.25">
      <c r="A627" s="1"/>
      <c r="B627" s="1"/>
      <c r="C627" s="1"/>
      <c r="D627" s="1"/>
      <c r="E627" s="1"/>
      <c r="F627" s="5"/>
      <c r="G627" s="5"/>
      <c r="H627" s="1"/>
      <c r="I627" s="1"/>
      <c r="J627" s="1"/>
      <c r="K627" s="1"/>
      <c r="L627" s="5"/>
      <c r="M627" s="5"/>
      <c r="N627" s="1"/>
      <c r="O627" s="5"/>
      <c r="P627" s="5"/>
      <c r="Q627" s="1"/>
      <c r="R627" s="156"/>
      <c r="S627" s="156"/>
      <c r="T627" s="157"/>
    </row>
    <row r="628" spans="1:20" ht="13.5" customHeight="1" x14ac:dyDescent="0.25">
      <c r="A628" s="1"/>
      <c r="B628" s="1"/>
      <c r="C628" s="1"/>
      <c r="D628" s="1"/>
      <c r="E628" s="1"/>
      <c r="F628" s="5"/>
      <c r="G628" s="5"/>
      <c r="H628" s="1"/>
      <c r="I628" s="1"/>
      <c r="J628" s="1"/>
      <c r="K628" s="1"/>
      <c r="L628" s="5"/>
      <c r="M628" s="5"/>
      <c r="N628" s="1"/>
      <c r="O628" s="5"/>
      <c r="P628" s="5"/>
      <c r="Q628" s="1"/>
      <c r="R628" s="156"/>
      <c r="S628" s="156"/>
      <c r="T628" s="157"/>
    </row>
    <row r="629" spans="1:20" ht="13.5" customHeight="1" x14ac:dyDescent="0.25">
      <c r="A629" s="1"/>
      <c r="B629" s="1"/>
      <c r="C629" s="1"/>
      <c r="D629" s="1"/>
      <c r="E629" s="1"/>
      <c r="F629" s="5"/>
      <c r="G629" s="5"/>
      <c r="H629" s="1"/>
      <c r="I629" s="1"/>
      <c r="J629" s="1"/>
      <c r="K629" s="1"/>
      <c r="L629" s="5"/>
      <c r="M629" s="5"/>
      <c r="N629" s="1"/>
      <c r="O629" s="5"/>
      <c r="P629" s="5"/>
      <c r="Q629" s="1"/>
      <c r="R629" s="156"/>
      <c r="S629" s="156"/>
      <c r="T629" s="157"/>
    </row>
    <row r="630" spans="1:20" ht="13.5" customHeight="1" x14ac:dyDescent="0.25">
      <c r="A630" s="1"/>
      <c r="B630" s="1"/>
      <c r="C630" s="1"/>
      <c r="D630" s="1"/>
      <c r="E630" s="1"/>
      <c r="F630" s="5"/>
      <c r="G630" s="5"/>
      <c r="H630" s="1"/>
      <c r="I630" s="1"/>
      <c r="J630" s="1"/>
      <c r="K630" s="1"/>
      <c r="L630" s="5"/>
      <c r="M630" s="5"/>
      <c r="N630" s="1"/>
      <c r="O630" s="5"/>
      <c r="P630" s="5"/>
      <c r="Q630" s="1"/>
      <c r="R630" s="156"/>
      <c r="S630" s="156"/>
      <c r="T630" s="157"/>
    </row>
    <row r="631" spans="1:20" ht="13.5" customHeight="1" x14ac:dyDescent="0.25">
      <c r="A631" s="1"/>
      <c r="B631" s="1"/>
      <c r="C631" s="1"/>
      <c r="D631" s="1"/>
      <c r="E631" s="1"/>
      <c r="F631" s="5"/>
      <c r="G631" s="5"/>
      <c r="H631" s="1"/>
      <c r="I631" s="1"/>
      <c r="J631" s="1"/>
      <c r="K631" s="1"/>
      <c r="L631" s="5"/>
      <c r="M631" s="5"/>
      <c r="N631" s="1"/>
      <c r="O631" s="5"/>
      <c r="P631" s="5"/>
      <c r="Q631" s="1"/>
      <c r="R631" s="156"/>
      <c r="S631" s="156"/>
      <c r="T631" s="157"/>
    </row>
    <row r="632" spans="1:20" ht="13.5" customHeight="1" x14ac:dyDescent="0.25">
      <c r="A632" s="1"/>
      <c r="B632" s="1"/>
      <c r="C632" s="1"/>
      <c r="D632" s="1"/>
      <c r="E632" s="1"/>
      <c r="F632" s="5"/>
      <c r="G632" s="5"/>
      <c r="H632" s="1"/>
      <c r="I632" s="1"/>
      <c r="J632" s="1"/>
      <c r="K632" s="1"/>
      <c r="L632" s="5"/>
      <c r="M632" s="5"/>
      <c r="N632" s="1"/>
      <c r="O632" s="5"/>
      <c r="P632" s="5"/>
      <c r="Q632" s="1"/>
      <c r="R632" s="156"/>
      <c r="S632" s="156"/>
      <c r="T632" s="157"/>
    </row>
    <row r="633" spans="1:20" ht="13.5" customHeight="1" x14ac:dyDescent="0.25">
      <c r="A633" s="1"/>
      <c r="B633" s="1"/>
      <c r="C633" s="1"/>
      <c r="D633" s="1"/>
      <c r="E633" s="1"/>
      <c r="F633" s="5"/>
      <c r="G633" s="5"/>
      <c r="H633" s="1"/>
      <c r="I633" s="1"/>
      <c r="J633" s="1"/>
      <c r="K633" s="1"/>
      <c r="L633" s="5"/>
      <c r="M633" s="5"/>
      <c r="N633" s="1"/>
      <c r="O633" s="5"/>
      <c r="P633" s="5"/>
      <c r="Q633" s="1"/>
      <c r="R633" s="156"/>
      <c r="S633" s="156"/>
      <c r="T633" s="157"/>
    </row>
    <row r="634" spans="1:20" ht="13.5" customHeight="1" x14ac:dyDescent="0.25">
      <c r="A634" s="1"/>
      <c r="B634" s="1"/>
      <c r="C634" s="1"/>
      <c r="D634" s="1"/>
      <c r="E634" s="1"/>
      <c r="F634" s="5"/>
      <c r="G634" s="5"/>
      <c r="H634" s="1"/>
      <c r="I634" s="1"/>
      <c r="J634" s="1"/>
      <c r="K634" s="1"/>
      <c r="L634" s="5"/>
      <c r="M634" s="5"/>
      <c r="N634" s="1"/>
      <c r="O634" s="5"/>
      <c r="P634" s="5"/>
      <c r="Q634" s="1"/>
      <c r="R634" s="156"/>
      <c r="S634" s="156"/>
      <c r="T634" s="157"/>
    </row>
    <row r="635" spans="1:20" ht="13.5" customHeight="1" x14ac:dyDescent="0.25">
      <c r="A635" s="1"/>
      <c r="B635" s="1"/>
      <c r="C635" s="1"/>
      <c r="D635" s="1"/>
      <c r="E635" s="1"/>
      <c r="F635" s="5"/>
      <c r="G635" s="5"/>
      <c r="H635" s="1"/>
      <c r="I635" s="1"/>
      <c r="J635" s="1"/>
      <c r="K635" s="1"/>
      <c r="L635" s="5"/>
      <c r="M635" s="5"/>
      <c r="N635" s="1"/>
      <c r="O635" s="5"/>
      <c r="P635" s="5"/>
      <c r="Q635" s="1"/>
      <c r="R635" s="156"/>
      <c r="S635" s="156"/>
      <c r="T635" s="157"/>
    </row>
    <row r="636" spans="1:20" ht="13.5" customHeight="1" x14ac:dyDescent="0.25">
      <c r="A636" s="1"/>
      <c r="B636" s="1"/>
      <c r="C636" s="1"/>
      <c r="D636" s="1"/>
      <c r="E636" s="1"/>
      <c r="F636" s="5"/>
      <c r="G636" s="5"/>
      <c r="H636" s="1"/>
      <c r="I636" s="1"/>
      <c r="J636" s="1"/>
      <c r="K636" s="1"/>
      <c r="L636" s="5"/>
      <c r="M636" s="5"/>
      <c r="N636" s="1"/>
      <c r="O636" s="5"/>
      <c r="P636" s="5"/>
      <c r="Q636" s="1"/>
      <c r="R636" s="156"/>
      <c r="S636" s="156"/>
      <c r="T636" s="157"/>
    </row>
    <row r="637" spans="1:20" ht="13.5" customHeight="1" x14ac:dyDescent="0.25">
      <c r="A637" s="1"/>
      <c r="B637" s="1"/>
      <c r="C637" s="1"/>
      <c r="D637" s="1"/>
      <c r="E637" s="1"/>
      <c r="F637" s="5"/>
      <c r="G637" s="5"/>
      <c r="H637" s="1"/>
      <c r="I637" s="1"/>
      <c r="J637" s="1"/>
      <c r="K637" s="1"/>
      <c r="L637" s="5"/>
      <c r="M637" s="5"/>
      <c r="N637" s="1"/>
      <c r="O637" s="5"/>
      <c r="P637" s="5"/>
      <c r="Q637" s="1"/>
      <c r="R637" s="156"/>
      <c r="S637" s="156"/>
      <c r="T637" s="157"/>
    </row>
    <row r="638" spans="1:20" ht="13.5" customHeight="1" x14ac:dyDescent="0.25">
      <c r="A638" s="1"/>
      <c r="B638" s="1"/>
      <c r="C638" s="1"/>
      <c r="D638" s="1"/>
      <c r="E638" s="1"/>
      <c r="F638" s="5"/>
      <c r="G638" s="5"/>
      <c r="H638" s="1"/>
      <c r="I638" s="1"/>
      <c r="J638" s="1"/>
      <c r="K638" s="1"/>
      <c r="L638" s="5"/>
      <c r="M638" s="5"/>
      <c r="N638" s="1"/>
      <c r="O638" s="5"/>
      <c r="P638" s="5"/>
      <c r="Q638" s="1"/>
      <c r="R638" s="156"/>
      <c r="S638" s="156"/>
      <c r="T638" s="157"/>
    </row>
    <row r="639" spans="1:20" ht="13.5" customHeight="1" x14ac:dyDescent="0.25">
      <c r="A639" s="1"/>
      <c r="B639" s="1"/>
      <c r="C639" s="1"/>
      <c r="D639" s="1"/>
      <c r="E639" s="1"/>
      <c r="F639" s="5"/>
      <c r="G639" s="5"/>
      <c r="H639" s="1"/>
      <c r="I639" s="1"/>
      <c r="J639" s="1"/>
      <c r="K639" s="1"/>
      <c r="L639" s="5"/>
      <c r="M639" s="5"/>
      <c r="N639" s="1"/>
      <c r="O639" s="5"/>
      <c r="P639" s="5"/>
      <c r="Q639" s="1"/>
      <c r="R639" s="156"/>
      <c r="S639" s="156"/>
      <c r="T639" s="157"/>
    </row>
    <row r="640" spans="1:20" ht="13.5" customHeight="1" x14ac:dyDescent="0.25">
      <c r="A640" s="1"/>
      <c r="B640" s="1"/>
      <c r="C640" s="1"/>
      <c r="D640" s="1"/>
      <c r="E640" s="1"/>
      <c r="F640" s="5"/>
      <c r="G640" s="5"/>
      <c r="H640" s="1"/>
      <c r="I640" s="1"/>
      <c r="J640" s="1"/>
      <c r="K640" s="1"/>
      <c r="L640" s="5"/>
      <c r="M640" s="5"/>
      <c r="N640" s="1"/>
      <c r="O640" s="5"/>
      <c r="P640" s="5"/>
      <c r="Q640" s="1"/>
      <c r="R640" s="156"/>
      <c r="S640" s="156"/>
      <c r="T640" s="157"/>
    </row>
    <row r="641" spans="1:20" ht="13.5" customHeight="1" x14ac:dyDescent="0.25">
      <c r="A641" s="1"/>
      <c r="B641" s="1"/>
      <c r="C641" s="1"/>
      <c r="D641" s="1"/>
      <c r="E641" s="1"/>
      <c r="F641" s="5"/>
      <c r="G641" s="5"/>
      <c r="H641" s="1"/>
      <c r="I641" s="1"/>
      <c r="J641" s="1"/>
      <c r="K641" s="1"/>
      <c r="L641" s="5"/>
      <c r="M641" s="5"/>
      <c r="N641" s="1"/>
      <c r="O641" s="5"/>
      <c r="P641" s="5"/>
      <c r="Q641" s="1"/>
      <c r="R641" s="156"/>
      <c r="S641" s="156"/>
      <c r="T641" s="157"/>
    </row>
    <row r="642" spans="1:20" ht="13.5" customHeight="1" x14ac:dyDescent="0.25">
      <c r="A642" s="1"/>
      <c r="B642" s="1"/>
      <c r="C642" s="1"/>
      <c r="D642" s="1"/>
      <c r="E642" s="1"/>
      <c r="F642" s="5"/>
      <c r="G642" s="5"/>
      <c r="H642" s="1"/>
      <c r="I642" s="1"/>
      <c r="J642" s="1"/>
      <c r="K642" s="1"/>
      <c r="L642" s="5"/>
      <c r="M642" s="5"/>
      <c r="N642" s="1"/>
      <c r="O642" s="5"/>
      <c r="P642" s="5"/>
      <c r="Q642" s="1"/>
      <c r="R642" s="156"/>
      <c r="S642" s="156"/>
      <c r="T642" s="157"/>
    </row>
    <row r="643" spans="1:20" ht="13.5" customHeight="1" x14ac:dyDescent="0.25">
      <c r="A643" s="1"/>
      <c r="B643" s="1"/>
      <c r="C643" s="1"/>
      <c r="D643" s="1"/>
      <c r="E643" s="1"/>
      <c r="F643" s="5"/>
      <c r="G643" s="5"/>
      <c r="H643" s="1"/>
      <c r="I643" s="1"/>
      <c r="J643" s="1"/>
      <c r="K643" s="1"/>
      <c r="L643" s="5"/>
      <c r="M643" s="5"/>
      <c r="N643" s="1"/>
      <c r="O643" s="5"/>
      <c r="P643" s="5"/>
      <c r="Q643" s="1"/>
      <c r="R643" s="156"/>
      <c r="S643" s="156"/>
      <c r="T643" s="157"/>
    </row>
    <row r="644" spans="1:20" ht="13.5" customHeight="1" x14ac:dyDescent="0.25">
      <c r="A644" s="1"/>
      <c r="B644" s="1"/>
      <c r="C644" s="1"/>
      <c r="D644" s="1"/>
      <c r="E644" s="1"/>
      <c r="F644" s="5"/>
      <c r="G644" s="5"/>
      <c r="H644" s="1"/>
      <c r="I644" s="1"/>
      <c r="J644" s="1"/>
      <c r="K644" s="1"/>
      <c r="L644" s="5"/>
      <c r="M644" s="5"/>
      <c r="N644" s="1"/>
      <c r="O644" s="5"/>
      <c r="P644" s="5"/>
      <c r="Q644" s="1"/>
      <c r="R644" s="156"/>
      <c r="S644" s="156"/>
      <c r="T644" s="157"/>
    </row>
    <row r="645" spans="1:20" ht="13.5" customHeight="1" x14ac:dyDescent="0.25">
      <c r="A645" s="1"/>
      <c r="B645" s="1"/>
      <c r="C645" s="1"/>
      <c r="D645" s="1"/>
      <c r="E645" s="1"/>
      <c r="F645" s="5"/>
      <c r="G645" s="5"/>
      <c r="H645" s="1"/>
      <c r="I645" s="1"/>
      <c r="J645" s="1"/>
      <c r="K645" s="1"/>
      <c r="L645" s="5"/>
      <c r="M645" s="5"/>
      <c r="N645" s="1"/>
      <c r="O645" s="5"/>
      <c r="P645" s="5"/>
      <c r="Q645" s="1"/>
      <c r="R645" s="156"/>
      <c r="S645" s="156"/>
      <c r="T645" s="157"/>
    </row>
    <row r="646" spans="1:20" ht="13.5" customHeight="1" x14ac:dyDescent="0.25">
      <c r="A646" s="1"/>
      <c r="B646" s="1"/>
      <c r="C646" s="1"/>
      <c r="D646" s="1"/>
      <c r="E646" s="1"/>
      <c r="F646" s="5"/>
      <c r="G646" s="5"/>
      <c r="H646" s="1"/>
      <c r="I646" s="1"/>
      <c r="J646" s="1"/>
      <c r="K646" s="1"/>
      <c r="L646" s="5"/>
      <c r="M646" s="5"/>
      <c r="N646" s="1"/>
      <c r="O646" s="5"/>
      <c r="P646" s="5"/>
      <c r="Q646" s="1"/>
      <c r="R646" s="156"/>
      <c r="S646" s="156"/>
      <c r="T646" s="157"/>
    </row>
    <row r="647" spans="1:20" ht="13.5" customHeight="1" x14ac:dyDescent="0.25">
      <c r="A647" s="1"/>
      <c r="B647" s="1"/>
      <c r="C647" s="1"/>
      <c r="D647" s="1"/>
      <c r="E647" s="1"/>
      <c r="F647" s="5"/>
      <c r="G647" s="5"/>
      <c r="H647" s="1"/>
      <c r="I647" s="1"/>
      <c r="J647" s="1"/>
      <c r="K647" s="1"/>
      <c r="L647" s="5"/>
      <c r="M647" s="5"/>
      <c r="N647" s="1"/>
      <c r="O647" s="5"/>
      <c r="P647" s="5"/>
      <c r="Q647" s="1"/>
      <c r="R647" s="156"/>
      <c r="S647" s="156"/>
      <c r="T647" s="157"/>
    </row>
    <row r="648" spans="1:20" ht="13.5" customHeight="1" x14ac:dyDescent="0.25">
      <c r="A648" s="1"/>
      <c r="B648" s="1"/>
      <c r="C648" s="1"/>
      <c r="D648" s="1"/>
      <c r="E648" s="1"/>
      <c r="F648" s="5"/>
      <c r="G648" s="5"/>
      <c r="H648" s="1"/>
      <c r="I648" s="1"/>
      <c r="J648" s="1"/>
      <c r="K648" s="1"/>
      <c r="L648" s="5"/>
      <c r="M648" s="5"/>
      <c r="N648" s="1"/>
      <c r="O648" s="5"/>
      <c r="P648" s="5"/>
      <c r="Q648" s="1"/>
      <c r="R648" s="156"/>
      <c r="S648" s="156"/>
      <c r="T648" s="157"/>
    </row>
    <row r="649" spans="1:20" ht="13.5" customHeight="1" x14ac:dyDescent="0.25">
      <c r="A649" s="1"/>
      <c r="B649" s="1"/>
      <c r="C649" s="1"/>
      <c r="D649" s="1"/>
      <c r="E649" s="1"/>
      <c r="F649" s="5"/>
      <c r="G649" s="5"/>
      <c r="H649" s="1"/>
      <c r="I649" s="1"/>
      <c r="J649" s="1"/>
      <c r="K649" s="1"/>
      <c r="L649" s="5"/>
      <c r="M649" s="5"/>
      <c r="N649" s="1"/>
      <c r="O649" s="5"/>
      <c r="P649" s="5"/>
      <c r="Q649" s="1"/>
      <c r="R649" s="156"/>
      <c r="S649" s="156"/>
      <c r="T649" s="157"/>
    </row>
    <row r="650" spans="1:20" ht="13.5" customHeight="1" x14ac:dyDescent="0.25">
      <c r="A650" s="1"/>
      <c r="B650" s="1"/>
      <c r="C650" s="1"/>
      <c r="D650" s="1"/>
      <c r="E650" s="1"/>
      <c r="F650" s="5"/>
      <c r="G650" s="5"/>
      <c r="H650" s="1"/>
      <c r="I650" s="1"/>
      <c r="J650" s="1"/>
      <c r="K650" s="1"/>
      <c r="L650" s="5"/>
      <c r="M650" s="5"/>
      <c r="N650" s="1"/>
      <c r="O650" s="5"/>
      <c r="P650" s="5"/>
      <c r="Q650" s="1"/>
      <c r="R650" s="156"/>
      <c r="S650" s="156"/>
      <c r="T650" s="157"/>
    </row>
    <row r="651" spans="1:20" ht="13.5" customHeight="1" x14ac:dyDescent="0.25">
      <c r="A651" s="1"/>
      <c r="B651" s="1"/>
      <c r="C651" s="1"/>
      <c r="D651" s="1"/>
      <c r="E651" s="1"/>
      <c r="F651" s="5"/>
      <c r="G651" s="5"/>
      <c r="H651" s="1"/>
      <c r="I651" s="1"/>
      <c r="J651" s="1"/>
      <c r="K651" s="1"/>
      <c r="L651" s="5"/>
      <c r="M651" s="5"/>
      <c r="N651" s="1"/>
      <c r="O651" s="5"/>
      <c r="P651" s="5"/>
      <c r="Q651" s="1"/>
      <c r="R651" s="156"/>
      <c r="S651" s="156"/>
      <c r="T651" s="157"/>
    </row>
    <row r="652" spans="1:20" ht="13.5" customHeight="1" x14ac:dyDescent="0.25">
      <c r="A652" s="1"/>
      <c r="B652" s="1"/>
      <c r="C652" s="1"/>
      <c r="D652" s="1"/>
      <c r="E652" s="1"/>
      <c r="F652" s="5"/>
      <c r="G652" s="5"/>
      <c r="H652" s="1"/>
      <c r="I652" s="1"/>
      <c r="J652" s="1"/>
      <c r="K652" s="1"/>
      <c r="L652" s="5"/>
      <c r="M652" s="5"/>
      <c r="N652" s="1"/>
      <c r="O652" s="5"/>
      <c r="P652" s="5"/>
      <c r="Q652" s="1"/>
      <c r="R652" s="156"/>
      <c r="S652" s="156"/>
      <c r="T652" s="157"/>
    </row>
    <row r="653" spans="1:20" ht="13.5" customHeight="1" x14ac:dyDescent="0.25">
      <c r="A653" s="1"/>
      <c r="B653" s="1"/>
      <c r="C653" s="1"/>
      <c r="D653" s="1"/>
      <c r="E653" s="1"/>
      <c r="F653" s="5"/>
      <c r="G653" s="5"/>
      <c r="H653" s="1"/>
      <c r="I653" s="1"/>
      <c r="J653" s="1"/>
      <c r="K653" s="1"/>
      <c r="L653" s="5"/>
      <c r="M653" s="5"/>
      <c r="N653" s="1"/>
      <c r="O653" s="5"/>
      <c r="P653" s="5"/>
      <c r="Q653" s="1"/>
      <c r="R653" s="156"/>
      <c r="S653" s="156"/>
      <c r="T653" s="157"/>
    </row>
    <row r="654" spans="1:20" ht="13.5" customHeight="1" x14ac:dyDescent="0.25">
      <c r="A654" s="1"/>
      <c r="B654" s="1"/>
      <c r="C654" s="1"/>
      <c r="D654" s="1"/>
      <c r="E654" s="1"/>
      <c r="F654" s="5"/>
      <c r="G654" s="5"/>
      <c r="H654" s="1"/>
      <c r="I654" s="1"/>
      <c r="J654" s="1"/>
      <c r="K654" s="1"/>
      <c r="L654" s="5"/>
      <c r="M654" s="5"/>
      <c r="N654" s="1"/>
      <c r="O654" s="5"/>
      <c r="P654" s="5"/>
      <c r="Q654" s="1"/>
      <c r="R654" s="156"/>
      <c r="S654" s="156"/>
      <c r="T654" s="157"/>
    </row>
    <row r="655" spans="1:20" ht="13.5" customHeight="1" x14ac:dyDescent="0.25">
      <c r="A655" s="1"/>
      <c r="B655" s="1"/>
      <c r="C655" s="1"/>
      <c r="D655" s="1"/>
      <c r="E655" s="1"/>
      <c r="F655" s="5"/>
      <c r="G655" s="5"/>
      <c r="H655" s="1"/>
      <c r="I655" s="1"/>
      <c r="J655" s="1"/>
      <c r="K655" s="1"/>
      <c r="L655" s="5"/>
      <c r="M655" s="5"/>
      <c r="N655" s="1"/>
      <c r="O655" s="5"/>
      <c r="P655" s="5"/>
      <c r="Q655" s="1"/>
      <c r="R655" s="156"/>
      <c r="S655" s="156"/>
      <c r="T655" s="157"/>
    </row>
    <row r="656" spans="1:20" ht="13.5" customHeight="1" x14ac:dyDescent="0.25">
      <c r="A656" s="1"/>
      <c r="B656" s="1"/>
      <c r="C656" s="1"/>
      <c r="D656" s="1"/>
      <c r="E656" s="1"/>
      <c r="F656" s="5"/>
      <c r="G656" s="5"/>
      <c r="H656" s="1"/>
      <c r="I656" s="1"/>
      <c r="J656" s="1"/>
      <c r="K656" s="1"/>
      <c r="L656" s="5"/>
      <c r="M656" s="5"/>
      <c r="N656" s="1"/>
      <c r="O656" s="5"/>
      <c r="P656" s="5"/>
      <c r="Q656" s="1"/>
      <c r="R656" s="156"/>
      <c r="S656" s="156"/>
      <c r="T656" s="157"/>
    </row>
    <row r="657" spans="1:20" ht="13.5" customHeight="1" x14ac:dyDescent="0.25">
      <c r="A657" s="1"/>
      <c r="B657" s="1"/>
      <c r="C657" s="1"/>
      <c r="D657" s="1"/>
      <c r="E657" s="1"/>
      <c r="F657" s="5"/>
      <c r="G657" s="5"/>
      <c r="H657" s="1"/>
      <c r="I657" s="1"/>
      <c r="J657" s="1"/>
      <c r="K657" s="1"/>
      <c r="L657" s="5"/>
      <c r="M657" s="5"/>
      <c r="N657" s="1"/>
      <c r="O657" s="5"/>
      <c r="P657" s="5"/>
      <c r="Q657" s="1"/>
      <c r="R657" s="156"/>
      <c r="S657" s="156"/>
      <c r="T657" s="157"/>
    </row>
    <row r="658" spans="1:20" ht="13.5" customHeight="1" x14ac:dyDescent="0.25">
      <c r="A658" s="1"/>
      <c r="B658" s="1"/>
      <c r="C658" s="1"/>
      <c r="D658" s="1"/>
      <c r="E658" s="1"/>
      <c r="F658" s="5"/>
      <c r="G658" s="5"/>
      <c r="H658" s="1"/>
      <c r="I658" s="1"/>
      <c r="J658" s="1"/>
      <c r="K658" s="1"/>
      <c r="L658" s="5"/>
      <c r="M658" s="5"/>
      <c r="N658" s="1"/>
      <c r="O658" s="5"/>
      <c r="P658" s="5"/>
      <c r="Q658" s="1"/>
      <c r="R658" s="156"/>
      <c r="S658" s="156"/>
      <c r="T658" s="157"/>
    </row>
    <row r="659" spans="1:20" ht="13.5" customHeight="1" x14ac:dyDescent="0.25">
      <c r="A659" s="1"/>
      <c r="B659" s="1"/>
      <c r="C659" s="1"/>
      <c r="D659" s="1"/>
      <c r="E659" s="1"/>
      <c r="F659" s="5"/>
      <c r="G659" s="5"/>
      <c r="H659" s="1"/>
      <c r="I659" s="1"/>
      <c r="J659" s="1"/>
      <c r="K659" s="1"/>
      <c r="L659" s="5"/>
      <c r="M659" s="5"/>
      <c r="N659" s="1"/>
      <c r="O659" s="5"/>
      <c r="P659" s="5"/>
      <c r="Q659" s="1"/>
      <c r="R659" s="156"/>
      <c r="S659" s="156"/>
      <c r="T659" s="157"/>
    </row>
    <row r="660" spans="1:20" ht="13.5" customHeight="1" x14ac:dyDescent="0.25">
      <c r="A660" s="1"/>
      <c r="B660" s="1"/>
      <c r="C660" s="1"/>
      <c r="D660" s="1"/>
      <c r="E660" s="1"/>
      <c r="F660" s="5"/>
      <c r="G660" s="5"/>
      <c r="H660" s="1"/>
      <c r="I660" s="1"/>
      <c r="J660" s="1"/>
      <c r="K660" s="1"/>
      <c r="L660" s="5"/>
      <c r="M660" s="5"/>
      <c r="N660" s="1"/>
      <c r="O660" s="5"/>
      <c r="P660" s="5"/>
      <c r="Q660" s="1"/>
      <c r="R660" s="156"/>
      <c r="S660" s="156"/>
      <c r="T660" s="157"/>
    </row>
    <row r="661" spans="1:20" ht="13.5" customHeight="1" x14ac:dyDescent="0.25">
      <c r="A661" s="1"/>
      <c r="B661" s="1"/>
      <c r="C661" s="1"/>
      <c r="D661" s="1"/>
      <c r="E661" s="1"/>
      <c r="F661" s="5"/>
      <c r="G661" s="5"/>
      <c r="H661" s="1"/>
      <c r="I661" s="1"/>
      <c r="J661" s="1"/>
      <c r="K661" s="1"/>
      <c r="L661" s="5"/>
      <c r="M661" s="5"/>
      <c r="N661" s="1"/>
      <c r="O661" s="5"/>
      <c r="P661" s="5"/>
      <c r="Q661" s="1"/>
      <c r="R661" s="156"/>
      <c r="S661" s="156"/>
      <c r="T661" s="157"/>
    </row>
    <row r="662" spans="1:20" ht="13.5" customHeight="1" x14ac:dyDescent="0.25">
      <c r="A662" s="1"/>
      <c r="B662" s="1"/>
      <c r="C662" s="1"/>
      <c r="D662" s="1"/>
      <c r="E662" s="1"/>
      <c r="F662" s="5"/>
      <c r="G662" s="5"/>
      <c r="H662" s="1"/>
      <c r="I662" s="1"/>
      <c r="J662" s="1"/>
      <c r="K662" s="1"/>
      <c r="L662" s="5"/>
      <c r="M662" s="5"/>
      <c r="N662" s="1"/>
      <c r="O662" s="5"/>
      <c r="P662" s="5"/>
      <c r="Q662" s="1"/>
      <c r="R662" s="156"/>
      <c r="S662" s="156"/>
      <c r="T662" s="157"/>
    </row>
    <row r="663" spans="1:20" ht="13.5" customHeight="1" x14ac:dyDescent="0.25">
      <c r="A663" s="1"/>
      <c r="B663" s="1"/>
      <c r="C663" s="1"/>
      <c r="D663" s="1"/>
      <c r="E663" s="1"/>
      <c r="F663" s="5"/>
      <c r="G663" s="5"/>
      <c r="H663" s="1"/>
      <c r="I663" s="1"/>
      <c r="J663" s="1"/>
      <c r="K663" s="1"/>
      <c r="L663" s="5"/>
      <c r="M663" s="5"/>
      <c r="N663" s="1"/>
      <c r="O663" s="5"/>
      <c r="P663" s="5"/>
      <c r="Q663" s="1"/>
      <c r="R663" s="156"/>
      <c r="S663" s="156"/>
      <c r="T663" s="157"/>
    </row>
    <row r="664" spans="1:20" ht="13.5" customHeight="1" x14ac:dyDescent="0.25">
      <c r="A664" s="1"/>
      <c r="B664" s="1"/>
      <c r="C664" s="1"/>
      <c r="D664" s="1"/>
      <c r="E664" s="1"/>
      <c r="F664" s="5"/>
      <c r="G664" s="5"/>
      <c r="H664" s="1"/>
      <c r="I664" s="1"/>
      <c r="J664" s="1"/>
      <c r="K664" s="1"/>
      <c r="L664" s="5"/>
      <c r="M664" s="5"/>
      <c r="N664" s="1"/>
      <c r="O664" s="5"/>
      <c r="P664" s="5"/>
      <c r="Q664" s="1"/>
      <c r="R664" s="156"/>
      <c r="S664" s="156"/>
      <c r="T664" s="157"/>
    </row>
    <row r="665" spans="1:20" ht="13.5" customHeight="1" x14ac:dyDescent="0.25">
      <c r="A665" s="1"/>
      <c r="B665" s="1"/>
      <c r="C665" s="1"/>
      <c r="D665" s="1"/>
      <c r="E665" s="1"/>
      <c r="F665" s="5"/>
      <c r="G665" s="5"/>
      <c r="H665" s="1"/>
      <c r="I665" s="1"/>
      <c r="J665" s="1"/>
      <c r="K665" s="1"/>
      <c r="L665" s="5"/>
      <c r="M665" s="5"/>
      <c r="N665" s="1"/>
      <c r="O665" s="5"/>
      <c r="P665" s="5"/>
      <c r="Q665" s="1"/>
      <c r="R665" s="156"/>
      <c r="S665" s="156"/>
      <c r="T665" s="157"/>
    </row>
    <row r="666" spans="1:20" ht="13.5" customHeight="1" x14ac:dyDescent="0.25">
      <c r="A666" s="1"/>
      <c r="B666" s="1"/>
      <c r="C666" s="1"/>
      <c r="D666" s="1"/>
      <c r="E666" s="1"/>
      <c r="F666" s="5"/>
      <c r="G666" s="5"/>
      <c r="H666" s="1"/>
      <c r="I666" s="1"/>
      <c r="J666" s="1"/>
      <c r="K666" s="1"/>
      <c r="L666" s="5"/>
      <c r="M666" s="5"/>
      <c r="N666" s="1"/>
      <c r="O666" s="5"/>
      <c r="P666" s="5"/>
      <c r="Q666" s="1"/>
      <c r="R666" s="156"/>
      <c r="S666" s="156"/>
      <c r="T666" s="157"/>
    </row>
    <row r="667" spans="1:20" ht="13.5" customHeight="1" x14ac:dyDescent="0.25">
      <c r="A667" s="1"/>
      <c r="B667" s="1"/>
      <c r="C667" s="1"/>
      <c r="D667" s="1"/>
      <c r="E667" s="1"/>
      <c r="F667" s="5"/>
      <c r="G667" s="5"/>
      <c r="H667" s="1"/>
      <c r="I667" s="1"/>
      <c r="J667" s="1"/>
      <c r="K667" s="1"/>
      <c r="L667" s="5"/>
      <c r="M667" s="5"/>
      <c r="N667" s="1"/>
      <c r="O667" s="5"/>
      <c r="P667" s="5"/>
      <c r="Q667" s="1"/>
      <c r="R667" s="156"/>
      <c r="S667" s="156"/>
      <c r="T667" s="157"/>
    </row>
    <row r="668" spans="1:20" ht="13.5" customHeight="1" x14ac:dyDescent="0.25">
      <c r="A668" s="1"/>
      <c r="B668" s="1"/>
      <c r="C668" s="1"/>
      <c r="D668" s="1"/>
      <c r="E668" s="1"/>
      <c r="F668" s="5"/>
      <c r="G668" s="5"/>
      <c r="H668" s="1"/>
      <c r="I668" s="1"/>
      <c r="J668" s="1"/>
      <c r="K668" s="1"/>
      <c r="L668" s="5"/>
      <c r="M668" s="5"/>
      <c r="N668" s="1"/>
      <c r="O668" s="5"/>
      <c r="P668" s="5"/>
      <c r="Q668" s="1"/>
      <c r="R668" s="156"/>
      <c r="S668" s="156"/>
      <c r="T668" s="157"/>
    </row>
    <row r="669" spans="1:20" ht="13.5" customHeight="1" x14ac:dyDescent="0.25">
      <c r="A669" s="1"/>
      <c r="B669" s="1"/>
      <c r="C669" s="1"/>
      <c r="D669" s="1"/>
      <c r="E669" s="1"/>
      <c r="F669" s="5"/>
      <c r="G669" s="5"/>
      <c r="H669" s="1"/>
      <c r="I669" s="1"/>
      <c r="J669" s="1"/>
      <c r="K669" s="1"/>
      <c r="L669" s="5"/>
      <c r="M669" s="5"/>
      <c r="N669" s="1"/>
      <c r="O669" s="5"/>
      <c r="P669" s="5"/>
      <c r="Q669" s="1"/>
      <c r="R669" s="156"/>
      <c r="S669" s="156"/>
      <c r="T669" s="157"/>
    </row>
    <row r="670" spans="1:20" ht="13.5" customHeight="1" x14ac:dyDescent="0.25">
      <c r="A670" s="1"/>
      <c r="B670" s="1"/>
      <c r="C670" s="1"/>
      <c r="D670" s="1"/>
      <c r="E670" s="1"/>
      <c r="F670" s="5"/>
      <c r="G670" s="5"/>
      <c r="H670" s="1"/>
      <c r="I670" s="1"/>
      <c r="J670" s="1"/>
      <c r="K670" s="1"/>
      <c r="L670" s="5"/>
      <c r="M670" s="5"/>
      <c r="N670" s="1"/>
      <c r="O670" s="5"/>
      <c r="P670" s="5"/>
      <c r="Q670" s="1"/>
      <c r="R670" s="156"/>
      <c r="S670" s="156"/>
      <c r="T670" s="157"/>
    </row>
    <row r="671" spans="1:20" ht="13.5" customHeight="1" x14ac:dyDescent="0.25">
      <c r="A671" s="1"/>
      <c r="B671" s="1"/>
      <c r="C671" s="1"/>
      <c r="D671" s="1"/>
      <c r="E671" s="1"/>
      <c r="F671" s="5"/>
      <c r="G671" s="5"/>
      <c r="H671" s="1"/>
      <c r="I671" s="1"/>
      <c r="J671" s="1"/>
      <c r="K671" s="1"/>
      <c r="L671" s="5"/>
      <c r="M671" s="5"/>
      <c r="N671" s="1"/>
      <c r="O671" s="5"/>
      <c r="P671" s="5"/>
      <c r="Q671" s="1"/>
      <c r="R671" s="156"/>
      <c r="S671" s="156"/>
      <c r="T671" s="157"/>
    </row>
    <row r="672" spans="1:20" ht="13.5" customHeight="1" x14ac:dyDescent="0.25">
      <c r="A672" s="1"/>
      <c r="B672" s="1"/>
      <c r="C672" s="1"/>
      <c r="D672" s="1"/>
      <c r="E672" s="1"/>
      <c r="F672" s="5"/>
      <c r="G672" s="5"/>
      <c r="H672" s="1"/>
      <c r="I672" s="1"/>
      <c r="J672" s="1"/>
      <c r="K672" s="1"/>
      <c r="L672" s="5"/>
      <c r="M672" s="5"/>
      <c r="N672" s="1"/>
      <c r="O672" s="5"/>
      <c r="P672" s="5"/>
      <c r="Q672" s="1"/>
      <c r="R672" s="156"/>
      <c r="S672" s="156"/>
      <c r="T672" s="157"/>
    </row>
    <row r="673" spans="1:20" ht="13.5" customHeight="1" x14ac:dyDescent="0.25">
      <c r="A673" s="1"/>
      <c r="B673" s="1"/>
      <c r="C673" s="1"/>
      <c r="D673" s="1"/>
      <c r="E673" s="1"/>
      <c r="F673" s="5"/>
      <c r="G673" s="5"/>
      <c r="H673" s="1"/>
      <c r="I673" s="1"/>
      <c r="J673" s="1"/>
      <c r="K673" s="1"/>
      <c r="L673" s="5"/>
      <c r="M673" s="5"/>
      <c r="N673" s="1"/>
      <c r="O673" s="5"/>
      <c r="P673" s="5"/>
      <c r="Q673" s="1"/>
      <c r="R673" s="156"/>
      <c r="S673" s="156"/>
      <c r="T673" s="157"/>
    </row>
    <row r="674" spans="1:20" ht="13.5" customHeight="1" x14ac:dyDescent="0.25">
      <c r="A674" s="1"/>
      <c r="B674" s="1"/>
      <c r="C674" s="1"/>
      <c r="D674" s="1"/>
      <c r="E674" s="1"/>
      <c r="F674" s="5"/>
      <c r="G674" s="5"/>
      <c r="H674" s="1"/>
      <c r="I674" s="1"/>
      <c r="J674" s="1"/>
      <c r="K674" s="1"/>
      <c r="L674" s="5"/>
      <c r="M674" s="5"/>
      <c r="N674" s="1"/>
      <c r="O674" s="5"/>
      <c r="P674" s="5"/>
      <c r="Q674" s="1"/>
      <c r="R674" s="156"/>
      <c r="S674" s="156"/>
      <c r="T674" s="157"/>
    </row>
    <row r="675" spans="1:20" ht="13.5" customHeight="1" x14ac:dyDescent="0.25">
      <c r="A675" s="1"/>
      <c r="B675" s="1"/>
      <c r="C675" s="1"/>
      <c r="D675" s="1"/>
      <c r="E675" s="1"/>
      <c r="F675" s="5"/>
      <c r="G675" s="5"/>
      <c r="H675" s="1"/>
      <c r="I675" s="1"/>
      <c r="J675" s="1"/>
      <c r="K675" s="1"/>
      <c r="L675" s="5"/>
      <c r="M675" s="5"/>
      <c r="N675" s="1"/>
      <c r="O675" s="5"/>
      <c r="P675" s="5"/>
      <c r="Q675" s="1"/>
      <c r="R675" s="156"/>
      <c r="S675" s="156"/>
      <c r="T675" s="157"/>
    </row>
    <row r="676" spans="1:20" ht="13.5" customHeight="1" x14ac:dyDescent="0.25">
      <c r="A676" s="1"/>
      <c r="B676" s="1"/>
      <c r="C676" s="1"/>
      <c r="D676" s="1"/>
      <c r="E676" s="1"/>
      <c r="F676" s="5"/>
      <c r="G676" s="5"/>
      <c r="H676" s="1"/>
      <c r="I676" s="1"/>
      <c r="J676" s="1"/>
      <c r="K676" s="1"/>
      <c r="L676" s="5"/>
      <c r="M676" s="5"/>
      <c r="N676" s="1"/>
      <c r="O676" s="5"/>
      <c r="P676" s="5"/>
      <c r="Q676" s="1"/>
      <c r="R676" s="156"/>
      <c r="S676" s="156"/>
      <c r="T676" s="157"/>
    </row>
    <row r="677" spans="1:20" ht="13.5" customHeight="1" x14ac:dyDescent="0.25">
      <c r="A677" s="1"/>
      <c r="B677" s="1"/>
      <c r="C677" s="1"/>
      <c r="D677" s="1"/>
      <c r="E677" s="1"/>
      <c r="F677" s="5"/>
      <c r="G677" s="5"/>
      <c r="H677" s="1"/>
      <c r="I677" s="1"/>
      <c r="J677" s="1"/>
      <c r="K677" s="1"/>
      <c r="L677" s="5"/>
      <c r="M677" s="5"/>
      <c r="N677" s="1"/>
      <c r="O677" s="5"/>
      <c r="P677" s="5"/>
      <c r="Q677" s="1"/>
      <c r="R677" s="156"/>
      <c r="S677" s="156"/>
      <c r="T677" s="157"/>
    </row>
    <row r="678" spans="1:20" ht="13.5" customHeight="1" x14ac:dyDescent="0.25">
      <c r="A678" s="1"/>
      <c r="B678" s="1"/>
      <c r="C678" s="1"/>
      <c r="D678" s="1"/>
      <c r="E678" s="1"/>
      <c r="F678" s="5"/>
      <c r="G678" s="5"/>
      <c r="H678" s="1"/>
      <c r="I678" s="1"/>
      <c r="J678" s="1"/>
      <c r="K678" s="1"/>
      <c r="L678" s="5"/>
      <c r="M678" s="5"/>
      <c r="N678" s="1"/>
      <c r="O678" s="5"/>
      <c r="P678" s="5"/>
      <c r="Q678" s="1"/>
      <c r="R678" s="156"/>
      <c r="S678" s="156"/>
      <c r="T678" s="157"/>
    </row>
    <row r="679" spans="1:20" ht="13.5" customHeight="1" x14ac:dyDescent="0.25">
      <c r="A679" s="1"/>
      <c r="B679" s="1"/>
      <c r="C679" s="1"/>
      <c r="D679" s="1"/>
      <c r="E679" s="1"/>
      <c r="F679" s="5"/>
      <c r="G679" s="5"/>
      <c r="H679" s="1"/>
      <c r="I679" s="1"/>
      <c r="J679" s="1"/>
      <c r="K679" s="1"/>
      <c r="L679" s="5"/>
      <c r="M679" s="5"/>
      <c r="N679" s="1"/>
      <c r="O679" s="5"/>
      <c r="P679" s="5"/>
      <c r="Q679" s="1"/>
      <c r="R679" s="156"/>
      <c r="S679" s="156"/>
      <c r="T679" s="157"/>
    </row>
    <row r="680" spans="1:20" ht="13.5" customHeight="1" x14ac:dyDescent="0.25">
      <c r="A680" s="1"/>
      <c r="B680" s="1"/>
      <c r="C680" s="1"/>
      <c r="D680" s="1"/>
      <c r="E680" s="1"/>
      <c r="F680" s="5"/>
      <c r="G680" s="5"/>
      <c r="H680" s="1"/>
      <c r="I680" s="1"/>
      <c r="J680" s="1"/>
      <c r="K680" s="1"/>
      <c r="L680" s="5"/>
      <c r="M680" s="5"/>
      <c r="N680" s="1"/>
      <c r="O680" s="5"/>
      <c r="P680" s="5"/>
      <c r="Q680" s="1"/>
      <c r="R680" s="156"/>
      <c r="S680" s="156"/>
      <c r="T680" s="157"/>
    </row>
    <row r="681" spans="1:20" ht="13.5" customHeight="1" x14ac:dyDescent="0.25">
      <c r="A681" s="1"/>
      <c r="B681" s="1"/>
      <c r="C681" s="1"/>
      <c r="D681" s="1"/>
      <c r="E681" s="1"/>
      <c r="F681" s="5"/>
      <c r="G681" s="5"/>
      <c r="H681" s="1"/>
      <c r="I681" s="1"/>
      <c r="J681" s="1"/>
      <c r="K681" s="1"/>
      <c r="L681" s="5"/>
      <c r="M681" s="5"/>
      <c r="N681" s="1"/>
      <c r="O681" s="5"/>
      <c r="P681" s="5"/>
      <c r="Q681" s="1"/>
      <c r="R681" s="156"/>
      <c r="S681" s="156"/>
      <c r="T681" s="157"/>
    </row>
    <row r="682" spans="1:20" ht="13.5" customHeight="1" x14ac:dyDescent="0.25">
      <c r="A682" s="1"/>
      <c r="B682" s="1"/>
      <c r="C682" s="1"/>
      <c r="D682" s="1"/>
      <c r="E682" s="1"/>
      <c r="F682" s="5"/>
      <c r="G682" s="5"/>
      <c r="H682" s="1"/>
      <c r="I682" s="1"/>
      <c r="J682" s="1"/>
      <c r="K682" s="1"/>
      <c r="L682" s="5"/>
      <c r="M682" s="5"/>
      <c r="N682" s="1"/>
      <c r="O682" s="5"/>
      <c r="P682" s="5"/>
      <c r="Q682" s="1"/>
      <c r="R682" s="156"/>
      <c r="S682" s="156"/>
      <c r="T682" s="157"/>
    </row>
    <row r="683" spans="1:20" ht="13.5" customHeight="1" x14ac:dyDescent="0.25">
      <c r="A683" s="1"/>
      <c r="B683" s="1"/>
      <c r="C683" s="1"/>
      <c r="D683" s="1"/>
      <c r="E683" s="1"/>
      <c r="F683" s="5"/>
      <c r="G683" s="5"/>
      <c r="H683" s="1"/>
      <c r="I683" s="1"/>
      <c r="J683" s="1"/>
      <c r="K683" s="1"/>
      <c r="L683" s="5"/>
      <c r="M683" s="5"/>
      <c r="N683" s="1"/>
      <c r="O683" s="5"/>
      <c r="P683" s="5"/>
      <c r="Q683" s="1"/>
      <c r="R683" s="156"/>
      <c r="S683" s="156"/>
      <c r="T683" s="157"/>
    </row>
    <row r="684" spans="1:20" ht="13.5" customHeight="1" x14ac:dyDescent="0.25">
      <c r="A684" s="1"/>
      <c r="B684" s="1"/>
      <c r="C684" s="1"/>
      <c r="D684" s="1"/>
      <c r="E684" s="1"/>
      <c r="F684" s="5"/>
      <c r="G684" s="5"/>
      <c r="H684" s="1"/>
      <c r="I684" s="1"/>
      <c r="J684" s="1"/>
      <c r="K684" s="1"/>
      <c r="L684" s="5"/>
      <c r="M684" s="5"/>
      <c r="N684" s="1"/>
      <c r="O684" s="5"/>
      <c r="P684" s="5"/>
      <c r="Q684" s="1"/>
      <c r="R684" s="156"/>
      <c r="S684" s="156"/>
      <c r="T684" s="157"/>
    </row>
    <row r="685" spans="1:20" ht="13.5" customHeight="1" x14ac:dyDescent="0.25">
      <c r="A685" s="1"/>
      <c r="B685" s="1"/>
      <c r="C685" s="1"/>
      <c r="D685" s="1"/>
      <c r="E685" s="1"/>
      <c r="F685" s="5"/>
      <c r="G685" s="5"/>
      <c r="H685" s="1"/>
      <c r="I685" s="1"/>
      <c r="J685" s="1"/>
      <c r="K685" s="1"/>
      <c r="L685" s="5"/>
      <c r="M685" s="5"/>
      <c r="N685" s="1"/>
      <c r="O685" s="5"/>
      <c r="P685" s="5"/>
      <c r="Q685" s="1"/>
      <c r="R685" s="156"/>
      <c r="S685" s="156"/>
      <c r="T685" s="157"/>
    </row>
    <row r="686" spans="1:20" ht="13.5" customHeight="1" x14ac:dyDescent="0.25">
      <c r="A686" s="1"/>
      <c r="B686" s="1"/>
      <c r="C686" s="1"/>
      <c r="D686" s="1"/>
      <c r="E686" s="1"/>
      <c r="F686" s="5"/>
      <c r="G686" s="5"/>
      <c r="H686" s="1"/>
      <c r="I686" s="1"/>
      <c r="J686" s="1"/>
      <c r="K686" s="1"/>
      <c r="L686" s="5"/>
      <c r="M686" s="5"/>
      <c r="N686" s="1"/>
      <c r="O686" s="5"/>
      <c r="P686" s="5"/>
      <c r="Q686" s="1"/>
      <c r="R686" s="156"/>
      <c r="S686" s="156"/>
      <c r="T686" s="157"/>
    </row>
    <row r="687" spans="1:20" ht="13.5" customHeight="1" x14ac:dyDescent="0.25">
      <c r="A687" s="1"/>
      <c r="B687" s="1"/>
      <c r="C687" s="1"/>
      <c r="D687" s="1"/>
      <c r="E687" s="1"/>
      <c r="F687" s="5"/>
      <c r="G687" s="5"/>
      <c r="H687" s="1"/>
      <c r="I687" s="1"/>
      <c r="J687" s="1"/>
      <c r="K687" s="1"/>
      <c r="L687" s="5"/>
      <c r="M687" s="5"/>
      <c r="N687" s="1"/>
      <c r="O687" s="5"/>
      <c r="P687" s="5"/>
      <c r="Q687" s="1"/>
      <c r="R687" s="156"/>
      <c r="S687" s="156"/>
      <c r="T687" s="157"/>
    </row>
    <row r="688" spans="1:20" ht="13.5" customHeight="1" x14ac:dyDescent="0.25">
      <c r="A688" s="1"/>
      <c r="B688" s="1"/>
      <c r="C688" s="1"/>
      <c r="D688" s="1"/>
      <c r="E688" s="1"/>
      <c r="F688" s="5"/>
      <c r="G688" s="5"/>
      <c r="H688" s="1"/>
      <c r="I688" s="1"/>
      <c r="J688" s="1"/>
      <c r="K688" s="1"/>
      <c r="L688" s="5"/>
      <c r="M688" s="5"/>
      <c r="N688" s="1"/>
      <c r="O688" s="5"/>
      <c r="P688" s="5"/>
      <c r="Q688" s="1"/>
      <c r="R688" s="156"/>
      <c r="S688" s="156"/>
      <c r="T688" s="157"/>
    </row>
    <row r="689" spans="1:20" ht="13.5" customHeight="1" x14ac:dyDescent="0.25">
      <c r="A689" s="1"/>
      <c r="B689" s="1"/>
      <c r="C689" s="1"/>
      <c r="D689" s="1"/>
      <c r="E689" s="1"/>
      <c r="F689" s="5"/>
      <c r="G689" s="5"/>
      <c r="H689" s="1"/>
      <c r="I689" s="1"/>
      <c r="J689" s="1"/>
      <c r="K689" s="1"/>
      <c r="L689" s="5"/>
      <c r="M689" s="5"/>
      <c r="N689" s="1"/>
      <c r="O689" s="5"/>
      <c r="P689" s="5"/>
      <c r="Q689" s="1"/>
      <c r="R689" s="156"/>
      <c r="S689" s="156"/>
      <c r="T689" s="157"/>
    </row>
    <row r="690" spans="1:20" ht="13.5" customHeight="1" x14ac:dyDescent="0.25">
      <c r="A690" s="1"/>
      <c r="B690" s="1"/>
      <c r="C690" s="1"/>
      <c r="D690" s="1"/>
      <c r="E690" s="1"/>
      <c r="F690" s="5"/>
      <c r="G690" s="5"/>
      <c r="H690" s="1"/>
      <c r="I690" s="1"/>
      <c r="J690" s="1"/>
      <c r="K690" s="1"/>
      <c r="L690" s="5"/>
      <c r="M690" s="5"/>
      <c r="N690" s="1"/>
      <c r="O690" s="5"/>
      <c r="P690" s="5"/>
      <c r="Q690" s="1"/>
      <c r="R690" s="156"/>
      <c r="S690" s="156"/>
      <c r="T690" s="157"/>
    </row>
    <row r="691" spans="1:20" ht="13.5" customHeight="1" x14ac:dyDescent="0.25">
      <c r="A691" s="1"/>
      <c r="B691" s="1"/>
      <c r="C691" s="1"/>
      <c r="D691" s="1"/>
      <c r="E691" s="1"/>
      <c r="F691" s="5"/>
      <c r="G691" s="5"/>
      <c r="H691" s="1"/>
      <c r="I691" s="1"/>
      <c r="J691" s="1"/>
      <c r="K691" s="1"/>
      <c r="L691" s="5"/>
      <c r="M691" s="5"/>
      <c r="N691" s="1"/>
      <c r="O691" s="5"/>
      <c r="P691" s="5"/>
      <c r="Q691" s="1"/>
      <c r="R691" s="156"/>
      <c r="S691" s="156"/>
      <c r="T691" s="157"/>
    </row>
    <row r="692" spans="1:20" ht="13.5" customHeight="1" x14ac:dyDescent="0.25">
      <c r="A692" s="1"/>
      <c r="B692" s="1"/>
      <c r="C692" s="1"/>
      <c r="D692" s="1"/>
      <c r="E692" s="1"/>
      <c r="F692" s="5"/>
      <c r="G692" s="5"/>
      <c r="H692" s="1"/>
      <c r="I692" s="1"/>
      <c r="J692" s="1"/>
      <c r="K692" s="1"/>
      <c r="L692" s="5"/>
      <c r="M692" s="5"/>
      <c r="N692" s="1"/>
      <c r="O692" s="5"/>
      <c r="P692" s="5"/>
      <c r="Q692" s="1"/>
      <c r="R692" s="156"/>
      <c r="S692" s="156"/>
      <c r="T692" s="157"/>
    </row>
    <row r="693" spans="1:20" ht="13.5" customHeight="1" x14ac:dyDescent="0.25">
      <c r="A693" s="1"/>
      <c r="B693" s="1"/>
      <c r="C693" s="1"/>
      <c r="D693" s="1"/>
      <c r="E693" s="1"/>
      <c r="F693" s="5"/>
      <c r="G693" s="5"/>
      <c r="H693" s="1"/>
      <c r="I693" s="1"/>
      <c r="J693" s="1"/>
      <c r="K693" s="1"/>
      <c r="L693" s="5"/>
      <c r="M693" s="5"/>
      <c r="N693" s="1"/>
      <c r="O693" s="5"/>
      <c r="P693" s="5"/>
      <c r="Q693" s="1"/>
      <c r="R693" s="156"/>
      <c r="S693" s="156"/>
      <c r="T693" s="157"/>
    </row>
    <row r="694" spans="1:20" ht="13.5" customHeight="1" x14ac:dyDescent="0.25">
      <c r="A694" s="1"/>
      <c r="B694" s="1"/>
      <c r="C694" s="1"/>
      <c r="D694" s="1"/>
      <c r="E694" s="1"/>
      <c r="F694" s="5"/>
      <c r="G694" s="5"/>
      <c r="H694" s="1"/>
      <c r="I694" s="1"/>
      <c r="J694" s="1"/>
      <c r="K694" s="1"/>
      <c r="L694" s="5"/>
      <c r="M694" s="5"/>
      <c r="N694" s="1"/>
      <c r="O694" s="5"/>
      <c r="P694" s="5"/>
      <c r="Q694" s="1"/>
      <c r="R694" s="156"/>
      <c r="S694" s="156"/>
      <c r="T694" s="157"/>
    </row>
    <row r="695" spans="1:20" ht="13.5" customHeight="1" x14ac:dyDescent="0.25">
      <c r="A695" s="1"/>
      <c r="B695" s="1"/>
      <c r="C695" s="1"/>
      <c r="D695" s="1"/>
      <c r="E695" s="1"/>
      <c r="F695" s="5"/>
      <c r="G695" s="5"/>
      <c r="H695" s="1"/>
      <c r="I695" s="1"/>
      <c r="J695" s="1"/>
      <c r="K695" s="1"/>
      <c r="L695" s="5"/>
      <c r="M695" s="5"/>
      <c r="N695" s="1"/>
      <c r="O695" s="5"/>
      <c r="P695" s="5"/>
      <c r="Q695" s="1"/>
      <c r="R695" s="156"/>
      <c r="S695" s="156"/>
      <c r="T695" s="157"/>
    </row>
    <row r="696" spans="1:20" ht="13.5" customHeight="1" x14ac:dyDescent="0.25">
      <c r="A696" s="1"/>
      <c r="B696" s="1"/>
      <c r="C696" s="1"/>
      <c r="D696" s="1"/>
      <c r="E696" s="1"/>
      <c r="F696" s="5"/>
      <c r="G696" s="5"/>
      <c r="H696" s="1"/>
      <c r="I696" s="1"/>
      <c r="J696" s="1"/>
      <c r="K696" s="1"/>
      <c r="L696" s="5"/>
      <c r="M696" s="5"/>
      <c r="N696" s="1"/>
      <c r="O696" s="5"/>
      <c r="P696" s="5"/>
      <c r="Q696" s="1"/>
      <c r="R696" s="156"/>
      <c r="S696" s="156"/>
      <c r="T696" s="157"/>
    </row>
    <row r="697" spans="1:20" ht="13.5" customHeight="1" x14ac:dyDescent="0.25">
      <c r="A697" s="1"/>
      <c r="B697" s="1"/>
      <c r="C697" s="1"/>
      <c r="D697" s="1"/>
      <c r="E697" s="1"/>
      <c r="F697" s="5"/>
      <c r="G697" s="5"/>
      <c r="H697" s="1"/>
      <c r="I697" s="1"/>
      <c r="J697" s="1"/>
      <c r="K697" s="1"/>
      <c r="L697" s="5"/>
      <c r="M697" s="5"/>
      <c r="N697" s="1"/>
      <c r="O697" s="5"/>
      <c r="P697" s="5"/>
      <c r="Q697" s="1"/>
      <c r="R697" s="156"/>
      <c r="S697" s="156"/>
      <c r="T697" s="157"/>
    </row>
    <row r="698" spans="1:20" ht="13.5" customHeight="1" x14ac:dyDescent="0.25">
      <c r="A698" s="1"/>
      <c r="B698" s="1"/>
      <c r="C698" s="1"/>
      <c r="D698" s="1"/>
      <c r="E698" s="1"/>
      <c r="F698" s="5"/>
      <c r="G698" s="5"/>
      <c r="H698" s="1"/>
      <c r="I698" s="1"/>
      <c r="J698" s="1"/>
      <c r="K698" s="1"/>
      <c r="L698" s="5"/>
      <c r="M698" s="5"/>
      <c r="N698" s="1"/>
      <c r="O698" s="5"/>
      <c r="P698" s="5"/>
      <c r="Q698" s="1"/>
      <c r="R698" s="156"/>
      <c r="S698" s="156"/>
      <c r="T698" s="157"/>
    </row>
    <row r="699" spans="1:20" ht="13.5" customHeight="1" x14ac:dyDescent="0.25">
      <c r="A699" s="1"/>
      <c r="B699" s="1"/>
      <c r="C699" s="1"/>
      <c r="D699" s="1"/>
      <c r="E699" s="1"/>
      <c r="F699" s="5"/>
      <c r="G699" s="5"/>
      <c r="H699" s="1"/>
      <c r="I699" s="1"/>
      <c r="J699" s="1"/>
      <c r="K699" s="1"/>
      <c r="L699" s="5"/>
      <c r="M699" s="5"/>
      <c r="N699" s="1"/>
      <c r="O699" s="5"/>
      <c r="P699" s="5"/>
      <c r="Q699" s="1"/>
      <c r="R699" s="156"/>
      <c r="S699" s="156"/>
      <c r="T699" s="157"/>
    </row>
    <row r="700" spans="1:20" ht="13.5" customHeight="1" x14ac:dyDescent="0.25">
      <c r="A700" s="1"/>
      <c r="B700" s="1"/>
      <c r="C700" s="1"/>
      <c r="D700" s="1"/>
      <c r="E700" s="1"/>
      <c r="F700" s="5"/>
      <c r="G700" s="5"/>
      <c r="H700" s="1"/>
      <c r="I700" s="1"/>
      <c r="J700" s="1"/>
      <c r="K700" s="1"/>
      <c r="L700" s="5"/>
      <c r="M700" s="5"/>
      <c r="N700" s="1"/>
      <c r="O700" s="5"/>
      <c r="P700" s="5"/>
      <c r="Q700" s="1"/>
      <c r="R700" s="156"/>
      <c r="S700" s="156"/>
      <c r="T700" s="157"/>
    </row>
    <row r="701" spans="1:20" ht="13.5" customHeight="1" x14ac:dyDescent="0.25">
      <c r="A701" s="1"/>
      <c r="B701" s="1"/>
      <c r="C701" s="1"/>
      <c r="D701" s="1"/>
      <c r="E701" s="1"/>
      <c r="F701" s="5"/>
      <c r="G701" s="5"/>
      <c r="H701" s="1"/>
      <c r="I701" s="1"/>
      <c r="J701" s="1"/>
      <c r="K701" s="1"/>
      <c r="L701" s="5"/>
      <c r="M701" s="5"/>
      <c r="N701" s="1"/>
      <c r="O701" s="5"/>
      <c r="P701" s="5"/>
      <c r="Q701" s="1"/>
      <c r="R701" s="156"/>
      <c r="S701" s="156"/>
      <c r="T701" s="157"/>
    </row>
    <row r="702" spans="1:20" ht="13.5" customHeight="1" x14ac:dyDescent="0.25">
      <c r="A702" s="1"/>
      <c r="B702" s="1"/>
      <c r="C702" s="1"/>
      <c r="D702" s="1"/>
      <c r="E702" s="1"/>
      <c r="F702" s="5"/>
      <c r="G702" s="5"/>
      <c r="H702" s="1"/>
      <c r="I702" s="1"/>
      <c r="J702" s="1"/>
      <c r="K702" s="1"/>
      <c r="L702" s="5"/>
      <c r="M702" s="5"/>
      <c r="N702" s="1"/>
      <c r="O702" s="5"/>
      <c r="P702" s="5"/>
      <c r="Q702" s="1"/>
      <c r="R702" s="156"/>
      <c r="S702" s="156"/>
      <c r="T702" s="157"/>
    </row>
    <row r="703" spans="1:20" ht="13.5" customHeight="1" x14ac:dyDescent="0.25">
      <c r="A703" s="1"/>
      <c r="B703" s="1"/>
      <c r="C703" s="1"/>
      <c r="D703" s="1"/>
      <c r="E703" s="1"/>
      <c r="F703" s="5"/>
      <c r="G703" s="5"/>
      <c r="H703" s="1"/>
      <c r="I703" s="1"/>
      <c r="J703" s="1"/>
      <c r="K703" s="1"/>
      <c r="L703" s="5"/>
      <c r="M703" s="5"/>
      <c r="N703" s="1"/>
      <c r="O703" s="5"/>
      <c r="P703" s="5"/>
      <c r="Q703" s="1"/>
      <c r="R703" s="156"/>
      <c r="S703" s="156"/>
      <c r="T703" s="157"/>
    </row>
    <row r="704" spans="1:20" ht="13.5" customHeight="1" x14ac:dyDescent="0.25">
      <c r="A704" s="1"/>
      <c r="B704" s="1"/>
      <c r="C704" s="1"/>
      <c r="D704" s="1"/>
      <c r="E704" s="1"/>
      <c r="F704" s="5"/>
      <c r="G704" s="5"/>
      <c r="H704" s="1"/>
      <c r="I704" s="1"/>
      <c r="J704" s="1"/>
      <c r="K704" s="1"/>
      <c r="L704" s="5"/>
      <c r="M704" s="5"/>
      <c r="N704" s="1"/>
      <c r="O704" s="5"/>
      <c r="P704" s="5"/>
      <c r="Q704" s="1"/>
      <c r="R704" s="156"/>
      <c r="S704" s="156"/>
      <c r="T704" s="157"/>
    </row>
    <row r="705" spans="1:20" ht="13.5" customHeight="1" x14ac:dyDescent="0.25">
      <c r="A705" s="1"/>
      <c r="B705" s="1"/>
      <c r="C705" s="1"/>
      <c r="D705" s="1"/>
      <c r="E705" s="1"/>
      <c r="F705" s="5"/>
      <c r="G705" s="5"/>
      <c r="H705" s="1"/>
      <c r="I705" s="1"/>
      <c r="J705" s="1"/>
      <c r="K705" s="1"/>
      <c r="L705" s="5"/>
      <c r="M705" s="5"/>
      <c r="N705" s="1"/>
      <c r="O705" s="5"/>
      <c r="P705" s="5"/>
      <c r="Q705" s="1"/>
      <c r="R705" s="156"/>
      <c r="S705" s="156"/>
      <c r="T705" s="157"/>
    </row>
    <row r="706" spans="1:20" ht="13.5" customHeight="1" x14ac:dyDescent="0.25">
      <c r="A706" s="1"/>
      <c r="B706" s="1"/>
      <c r="C706" s="1"/>
      <c r="D706" s="1"/>
      <c r="E706" s="1"/>
      <c r="F706" s="5"/>
      <c r="G706" s="5"/>
      <c r="H706" s="1"/>
      <c r="I706" s="1"/>
      <c r="J706" s="1"/>
      <c r="K706" s="1"/>
      <c r="L706" s="5"/>
      <c r="M706" s="5"/>
      <c r="N706" s="1"/>
      <c r="O706" s="5"/>
      <c r="P706" s="5"/>
      <c r="Q706" s="1"/>
      <c r="R706" s="156"/>
      <c r="S706" s="156"/>
      <c r="T706" s="157"/>
    </row>
    <row r="707" spans="1:20" ht="13.5" customHeight="1" x14ac:dyDescent="0.25">
      <c r="A707" s="1"/>
      <c r="B707" s="1"/>
      <c r="C707" s="1"/>
      <c r="D707" s="1"/>
      <c r="E707" s="1"/>
      <c r="F707" s="5"/>
      <c r="G707" s="5"/>
      <c r="H707" s="1"/>
      <c r="I707" s="1"/>
      <c r="J707" s="1"/>
      <c r="K707" s="1"/>
      <c r="L707" s="5"/>
      <c r="M707" s="5"/>
      <c r="N707" s="1"/>
      <c r="O707" s="5"/>
      <c r="P707" s="5"/>
      <c r="Q707" s="1"/>
      <c r="R707" s="156"/>
      <c r="S707" s="156"/>
      <c r="T707" s="157"/>
    </row>
    <row r="708" spans="1:20" ht="13.5" customHeight="1" x14ac:dyDescent="0.25">
      <c r="A708" s="1"/>
      <c r="B708" s="1"/>
      <c r="C708" s="1"/>
      <c r="D708" s="1"/>
      <c r="E708" s="1"/>
      <c r="F708" s="5"/>
      <c r="G708" s="5"/>
      <c r="H708" s="1"/>
      <c r="I708" s="1"/>
      <c r="J708" s="1"/>
      <c r="K708" s="1"/>
      <c r="L708" s="5"/>
      <c r="M708" s="5"/>
      <c r="N708" s="1"/>
      <c r="O708" s="5"/>
      <c r="P708" s="5"/>
      <c r="Q708" s="1"/>
      <c r="R708" s="156"/>
      <c r="S708" s="156"/>
      <c r="T708" s="157"/>
    </row>
    <row r="709" spans="1:20" ht="13.5" customHeight="1" x14ac:dyDescent="0.25">
      <c r="A709" s="1"/>
      <c r="B709" s="1"/>
      <c r="C709" s="1"/>
      <c r="D709" s="1"/>
      <c r="E709" s="1"/>
      <c r="F709" s="5"/>
      <c r="G709" s="5"/>
      <c r="H709" s="1"/>
      <c r="I709" s="1"/>
      <c r="J709" s="1"/>
      <c r="K709" s="1"/>
      <c r="L709" s="5"/>
      <c r="M709" s="5"/>
      <c r="N709" s="1"/>
      <c r="O709" s="5"/>
      <c r="P709" s="5"/>
      <c r="Q709" s="1"/>
      <c r="R709" s="156"/>
      <c r="S709" s="156"/>
      <c r="T709" s="157"/>
    </row>
    <row r="710" spans="1:20" ht="13.5" customHeight="1" x14ac:dyDescent="0.25">
      <c r="A710" s="1"/>
      <c r="B710" s="1"/>
      <c r="C710" s="1"/>
      <c r="D710" s="1"/>
      <c r="E710" s="1"/>
      <c r="F710" s="5"/>
      <c r="G710" s="5"/>
      <c r="H710" s="1"/>
      <c r="I710" s="1"/>
      <c r="J710" s="1"/>
      <c r="K710" s="1"/>
      <c r="L710" s="5"/>
      <c r="M710" s="5"/>
      <c r="N710" s="1"/>
      <c r="O710" s="5"/>
      <c r="P710" s="5"/>
      <c r="Q710" s="1"/>
      <c r="R710" s="156"/>
      <c r="S710" s="156"/>
      <c r="T710" s="157"/>
    </row>
    <row r="711" spans="1:20" ht="13.5" customHeight="1" x14ac:dyDescent="0.25">
      <c r="A711" s="1"/>
      <c r="B711" s="1"/>
      <c r="C711" s="1"/>
      <c r="D711" s="1"/>
      <c r="E711" s="1"/>
      <c r="F711" s="5"/>
      <c r="G711" s="5"/>
      <c r="H711" s="1"/>
      <c r="I711" s="1"/>
      <c r="J711" s="1"/>
      <c r="K711" s="1"/>
      <c r="L711" s="5"/>
      <c r="M711" s="5"/>
      <c r="N711" s="1"/>
      <c r="O711" s="5"/>
      <c r="P711" s="5"/>
      <c r="Q711" s="1"/>
      <c r="R711" s="156"/>
      <c r="S711" s="156"/>
      <c r="T711" s="157"/>
    </row>
    <row r="712" spans="1:20" ht="13.5" customHeight="1" x14ac:dyDescent="0.25">
      <c r="A712" s="1"/>
      <c r="B712" s="1"/>
      <c r="C712" s="1"/>
      <c r="D712" s="1"/>
      <c r="E712" s="1"/>
      <c r="F712" s="5"/>
      <c r="G712" s="5"/>
      <c r="H712" s="1"/>
      <c r="I712" s="1"/>
      <c r="J712" s="1"/>
      <c r="K712" s="1"/>
      <c r="L712" s="5"/>
      <c r="M712" s="5"/>
      <c r="N712" s="1"/>
      <c r="O712" s="5"/>
      <c r="P712" s="5"/>
      <c r="Q712" s="1"/>
      <c r="R712" s="156"/>
      <c r="S712" s="156"/>
      <c r="T712" s="157"/>
    </row>
    <row r="713" spans="1:20" ht="13.5" customHeight="1" x14ac:dyDescent="0.25">
      <c r="A713" s="1"/>
      <c r="B713" s="1"/>
      <c r="C713" s="1"/>
      <c r="D713" s="1"/>
      <c r="E713" s="1"/>
      <c r="F713" s="5"/>
      <c r="G713" s="5"/>
      <c r="H713" s="1"/>
      <c r="I713" s="1"/>
      <c r="J713" s="1"/>
      <c r="K713" s="1"/>
      <c r="L713" s="5"/>
      <c r="M713" s="5"/>
      <c r="N713" s="1"/>
      <c r="O713" s="5"/>
      <c r="P713" s="5"/>
      <c r="Q713" s="1"/>
      <c r="R713" s="156"/>
      <c r="S713" s="156"/>
      <c r="T713" s="157"/>
    </row>
    <row r="714" spans="1:20" ht="13.5" customHeight="1" x14ac:dyDescent="0.25">
      <c r="A714" s="1"/>
      <c r="B714" s="1"/>
      <c r="C714" s="1"/>
      <c r="D714" s="1"/>
      <c r="E714" s="1"/>
      <c r="F714" s="5"/>
      <c r="G714" s="5"/>
      <c r="H714" s="1"/>
      <c r="I714" s="1"/>
      <c r="J714" s="1"/>
      <c r="K714" s="1"/>
      <c r="L714" s="5"/>
      <c r="M714" s="5"/>
      <c r="N714" s="1"/>
      <c r="O714" s="5"/>
      <c r="P714" s="5"/>
      <c r="Q714" s="1"/>
      <c r="R714" s="156"/>
      <c r="S714" s="156"/>
      <c r="T714" s="157"/>
    </row>
    <row r="715" spans="1:20" ht="13.5" customHeight="1" x14ac:dyDescent="0.25">
      <c r="A715" s="1"/>
      <c r="B715" s="1"/>
      <c r="C715" s="1"/>
      <c r="D715" s="1"/>
      <c r="E715" s="1"/>
      <c r="F715" s="5"/>
      <c r="G715" s="5"/>
      <c r="H715" s="1"/>
      <c r="I715" s="1"/>
      <c r="J715" s="1"/>
      <c r="K715" s="1"/>
      <c r="L715" s="5"/>
      <c r="M715" s="5"/>
      <c r="N715" s="1"/>
      <c r="O715" s="5"/>
      <c r="P715" s="5"/>
      <c r="Q715" s="1"/>
      <c r="R715" s="156"/>
      <c r="S715" s="156"/>
      <c r="T715" s="157"/>
    </row>
    <row r="716" spans="1:20" ht="13.5" customHeight="1" x14ac:dyDescent="0.25">
      <c r="A716" s="1"/>
      <c r="B716" s="1"/>
      <c r="C716" s="1"/>
      <c r="D716" s="1"/>
      <c r="E716" s="1"/>
      <c r="F716" s="5"/>
      <c r="G716" s="5"/>
      <c r="H716" s="1"/>
      <c r="I716" s="1"/>
      <c r="J716" s="1"/>
      <c r="K716" s="1"/>
      <c r="L716" s="5"/>
      <c r="M716" s="5"/>
      <c r="N716" s="1"/>
      <c r="O716" s="5"/>
      <c r="P716" s="5"/>
      <c r="Q716" s="1"/>
      <c r="R716" s="156"/>
      <c r="S716" s="156"/>
      <c r="T716" s="157"/>
    </row>
    <row r="717" spans="1:20" ht="13.5" customHeight="1" x14ac:dyDescent="0.25">
      <c r="A717" s="1"/>
      <c r="B717" s="1"/>
      <c r="C717" s="1"/>
      <c r="D717" s="1"/>
      <c r="E717" s="1"/>
      <c r="F717" s="5"/>
      <c r="G717" s="5"/>
      <c r="H717" s="1"/>
      <c r="I717" s="1"/>
      <c r="J717" s="1"/>
      <c r="K717" s="1"/>
      <c r="L717" s="5"/>
      <c r="M717" s="5"/>
      <c r="N717" s="1"/>
      <c r="O717" s="5"/>
      <c r="P717" s="5"/>
      <c r="Q717" s="1"/>
      <c r="R717" s="156"/>
      <c r="S717" s="156"/>
      <c r="T717" s="157"/>
    </row>
    <row r="718" spans="1:20" ht="13.5" customHeight="1" x14ac:dyDescent="0.25">
      <c r="A718" s="1"/>
      <c r="B718" s="1"/>
      <c r="C718" s="1"/>
      <c r="D718" s="1"/>
      <c r="E718" s="1"/>
      <c r="F718" s="5"/>
      <c r="G718" s="5"/>
      <c r="H718" s="1"/>
      <c r="I718" s="1"/>
      <c r="J718" s="1"/>
      <c r="K718" s="1"/>
      <c r="L718" s="5"/>
      <c r="M718" s="5"/>
      <c r="N718" s="1"/>
      <c r="O718" s="5"/>
      <c r="P718" s="5"/>
      <c r="Q718" s="1"/>
      <c r="R718" s="156"/>
      <c r="S718" s="156"/>
      <c r="T718" s="157"/>
    </row>
    <row r="719" spans="1:20" ht="13.5" customHeight="1" x14ac:dyDescent="0.25">
      <c r="A719" s="1"/>
      <c r="B719" s="1"/>
      <c r="C719" s="1"/>
      <c r="D719" s="1"/>
      <c r="E719" s="1"/>
      <c r="F719" s="5"/>
      <c r="G719" s="5"/>
      <c r="H719" s="1"/>
      <c r="I719" s="1"/>
      <c r="J719" s="1"/>
      <c r="K719" s="1"/>
      <c r="L719" s="5"/>
      <c r="M719" s="5"/>
      <c r="N719" s="1"/>
      <c r="O719" s="5"/>
      <c r="P719" s="5"/>
      <c r="Q719" s="1"/>
      <c r="R719" s="156"/>
      <c r="S719" s="156"/>
      <c r="T719" s="157"/>
    </row>
    <row r="720" spans="1:20" ht="13.5" customHeight="1" x14ac:dyDescent="0.25">
      <c r="A720" s="1"/>
      <c r="B720" s="1"/>
      <c r="C720" s="1"/>
      <c r="D720" s="1"/>
      <c r="E720" s="1"/>
      <c r="F720" s="5"/>
      <c r="G720" s="5"/>
      <c r="H720" s="1"/>
      <c r="I720" s="1"/>
      <c r="J720" s="1"/>
      <c r="K720" s="1"/>
      <c r="L720" s="5"/>
      <c r="M720" s="5"/>
      <c r="N720" s="1"/>
      <c r="O720" s="5"/>
      <c r="P720" s="5"/>
      <c r="Q720" s="1"/>
      <c r="R720" s="156"/>
      <c r="S720" s="156"/>
      <c r="T720" s="157"/>
    </row>
    <row r="721" spans="1:20" ht="13.5" customHeight="1" x14ac:dyDescent="0.25">
      <c r="A721" s="1"/>
      <c r="B721" s="1"/>
      <c r="C721" s="1"/>
      <c r="D721" s="1"/>
      <c r="E721" s="1"/>
      <c r="F721" s="5"/>
      <c r="G721" s="5"/>
      <c r="H721" s="1"/>
      <c r="I721" s="1"/>
      <c r="J721" s="1"/>
      <c r="K721" s="1"/>
      <c r="L721" s="5"/>
      <c r="M721" s="5"/>
      <c r="N721" s="1"/>
      <c r="O721" s="5"/>
      <c r="P721" s="5"/>
      <c r="Q721" s="1"/>
      <c r="R721" s="156"/>
      <c r="S721" s="156"/>
      <c r="T721" s="157"/>
    </row>
    <row r="722" spans="1:20" ht="13.5" customHeight="1" x14ac:dyDescent="0.25">
      <c r="A722" s="1"/>
      <c r="B722" s="1"/>
      <c r="C722" s="1"/>
      <c r="D722" s="1"/>
      <c r="E722" s="1"/>
      <c r="F722" s="5"/>
      <c r="G722" s="5"/>
      <c r="H722" s="1"/>
      <c r="I722" s="1"/>
      <c r="J722" s="1"/>
      <c r="K722" s="1"/>
      <c r="L722" s="5"/>
      <c r="M722" s="5"/>
      <c r="N722" s="1"/>
      <c r="O722" s="5"/>
      <c r="P722" s="5"/>
      <c r="Q722" s="1"/>
      <c r="R722" s="156"/>
      <c r="S722" s="156"/>
      <c r="T722" s="157"/>
    </row>
    <row r="723" spans="1:20" ht="13.5" customHeight="1" x14ac:dyDescent="0.25">
      <c r="A723" s="1"/>
      <c r="B723" s="1"/>
      <c r="C723" s="1"/>
      <c r="D723" s="1"/>
      <c r="E723" s="1"/>
      <c r="F723" s="5"/>
      <c r="G723" s="5"/>
      <c r="H723" s="1"/>
      <c r="I723" s="1"/>
      <c r="J723" s="1"/>
      <c r="K723" s="1"/>
      <c r="L723" s="5"/>
      <c r="M723" s="5"/>
      <c r="N723" s="1"/>
      <c r="O723" s="5"/>
      <c r="P723" s="5"/>
      <c r="Q723" s="1"/>
      <c r="R723" s="156"/>
      <c r="S723" s="156"/>
      <c r="T723" s="157"/>
    </row>
    <row r="724" spans="1:20" ht="13.5" customHeight="1" x14ac:dyDescent="0.25">
      <c r="A724" s="1"/>
      <c r="B724" s="1"/>
      <c r="C724" s="1"/>
      <c r="D724" s="1"/>
      <c r="E724" s="1"/>
      <c r="F724" s="5"/>
      <c r="G724" s="5"/>
      <c r="H724" s="1"/>
      <c r="I724" s="1"/>
      <c r="J724" s="1"/>
      <c r="K724" s="1"/>
      <c r="L724" s="5"/>
      <c r="M724" s="5"/>
      <c r="N724" s="1"/>
      <c r="O724" s="5"/>
      <c r="P724" s="5"/>
      <c r="Q724" s="1"/>
      <c r="R724" s="156"/>
      <c r="S724" s="156"/>
      <c r="T724" s="157"/>
    </row>
    <row r="725" spans="1:20" ht="13.5" customHeight="1" x14ac:dyDescent="0.25">
      <c r="A725" s="1"/>
      <c r="B725" s="1"/>
      <c r="C725" s="1"/>
      <c r="D725" s="1"/>
      <c r="E725" s="1"/>
      <c r="F725" s="5"/>
      <c r="G725" s="5"/>
      <c r="H725" s="1"/>
      <c r="I725" s="1"/>
      <c r="J725" s="1"/>
      <c r="K725" s="1"/>
      <c r="L725" s="5"/>
      <c r="M725" s="5"/>
      <c r="N725" s="1"/>
      <c r="O725" s="5"/>
      <c r="P725" s="5"/>
      <c r="Q725" s="1"/>
      <c r="R725" s="156"/>
      <c r="S725" s="156"/>
      <c r="T725" s="157"/>
    </row>
    <row r="726" spans="1:20" ht="13.5" customHeight="1" x14ac:dyDescent="0.25">
      <c r="A726" s="1"/>
      <c r="B726" s="1"/>
      <c r="C726" s="1"/>
      <c r="D726" s="1"/>
      <c r="E726" s="1"/>
      <c r="F726" s="5"/>
      <c r="G726" s="5"/>
      <c r="H726" s="1"/>
      <c r="I726" s="1"/>
      <c r="J726" s="1"/>
      <c r="K726" s="1"/>
      <c r="L726" s="5"/>
      <c r="M726" s="5"/>
      <c r="N726" s="1"/>
      <c r="O726" s="5"/>
      <c r="P726" s="5"/>
      <c r="Q726" s="1"/>
      <c r="R726" s="156"/>
      <c r="S726" s="156"/>
      <c r="T726" s="157"/>
    </row>
    <row r="727" spans="1:20" ht="13.5" customHeight="1" x14ac:dyDescent="0.25">
      <c r="A727" s="1"/>
      <c r="B727" s="1"/>
      <c r="C727" s="1"/>
      <c r="D727" s="1"/>
      <c r="E727" s="1"/>
      <c r="F727" s="5"/>
      <c r="G727" s="5"/>
      <c r="H727" s="1"/>
      <c r="I727" s="1"/>
      <c r="J727" s="1"/>
      <c r="K727" s="1"/>
      <c r="L727" s="5"/>
      <c r="M727" s="5"/>
      <c r="N727" s="1"/>
      <c r="O727" s="5"/>
      <c r="P727" s="5"/>
      <c r="Q727" s="1"/>
      <c r="R727" s="156"/>
      <c r="S727" s="156"/>
      <c r="T727" s="157"/>
    </row>
    <row r="728" spans="1:20" ht="13.5" customHeight="1" x14ac:dyDescent="0.25">
      <c r="A728" s="1"/>
      <c r="B728" s="1"/>
      <c r="C728" s="1"/>
      <c r="D728" s="1"/>
      <c r="E728" s="1"/>
      <c r="F728" s="5"/>
      <c r="G728" s="5"/>
      <c r="H728" s="1"/>
      <c r="I728" s="1"/>
      <c r="J728" s="1"/>
      <c r="K728" s="1"/>
      <c r="L728" s="5"/>
      <c r="M728" s="5"/>
      <c r="N728" s="1"/>
      <c r="O728" s="5"/>
      <c r="P728" s="5"/>
      <c r="Q728" s="1"/>
      <c r="R728" s="156"/>
      <c r="S728" s="156"/>
      <c r="T728" s="157"/>
    </row>
    <row r="729" spans="1:20" ht="13.5" customHeight="1" x14ac:dyDescent="0.25">
      <c r="A729" s="1"/>
      <c r="B729" s="1"/>
      <c r="C729" s="1"/>
      <c r="D729" s="1"/>
      <c r="E729" s="1"/>
      <c r="F729" s="5"/>
      <c r="G729" s="5"/>
      <c r="H729" s="1"/>
      <c r="I729" s="1"/>
      <c r="J729" s="1"/>
      <c r="K729" s="1"/>
      <c r="L729" s="5"/>
      <c r="M729" s="5"/>
      <c r="N729" s="1"/>
      <c r="O729" s="5"/>
      <c r="P729" s="5"/>
      <c r="Q729" s="1"/>
      <c r="R729" s="156"/>
      <c r="S729" s="156"/>
      <c r="T729" s="157"/>
    </row>
    <row r="730" spans="1:20" ht="13.5" customHeight="1" x14ac:dyDescent="0.25">
      <c r="A730" s="1"/>
      <c r="B730" s="1"/>
      <c r="C730" s="1"/>
      <c r="D730" s="1"/>
      <c r="E730" s="1"/>
      <c r="F730" s="5"/>
      <c r="G730" s="5"/>
      <c r="H730" s="1"/>
      <c r="I730" s="1"/>
      <c r="J730" s="1"/>
      <c r="K730" s="1"/>
      <c r="L730" s="5"/>
      <c r="M730" s="5"/>
      <c r="N730" s="1"/>
      <c r="O730" s="5"/>
      <c r="P730" s="5"/>
      <c r="Q730" s="1"/>
      <c r="R730" s="156"/>
      <c r="S730" s="156"/>
      <c r="T730" s="157"/>
    </row>
    <row r="731" spans="1:20" ht="13.5" customHeight="1" x14ac:dyDescent="0.25">
      <c r="A731" s="1"/>
      <c r="B731" s="1"/>
      <c r="C731" s="1"/>
      <c r="D731" s="1"/>
      <c r="E731" s="1"/>
      <c r="F731" s="5"/>
      <c r="G731" s="5"/>
      <c r="H731" s="1"/>
      <c r="I731" s="1"/>
      <c r="J731" s="1"/>
      <c r="K731" s="1"/>
      <c r="L731" s="5"/>
      <c r="M731" s="5"/>
      <c r="N731" s="1"/>
      <c r="O731" s="5"/>
      <c r="P731" s="5"/>
      <c r="Q731" s="1"/>
      <c r="R731" s="156"/>
      <c r="S731" s="156"/>
      <c r="T731" s="157"/>
    </row>
    <row r="732" spans="1:20" ht="13.5" customHeight="1" x14ac:dyDescent="0.25">
      <c r="A732" s="1"/>
      <c r="B732" s="1"/>
      <c r="C732" s="1"/>
      <c r="D732" s="1"/>
      <c r="E732" s="1"/>
      <c r="F732" s="5"/>
      <c r="G732" s="5"/>
      <c r="H732" s="1"/>
      <c r="I732" s="1"/>
      <c r="J732" s="1"/>
      <c r="K732" s="1"/>
      <c r="L732" s="5"/>
      <c r="M732" s="5"/>
      <c r="N732" s="1"/>
      <c r="O732" s="5"/>
      <c r="P732" s="5"/>
      <c r="Q732" s="1"/>
      <c r="R732" s="156"/>
      <c r="S732" s="156"/>
      <c r="T732" s="157"/>
    </row>
    <row r="733" spans="1:20" ht="13.5" customHeight="1" x14ac:dyDescent="0.25">
      <c r="A733" s="1"/>
      <c r="B733" s="1"/>
      <c r="C733" s="1"/>
      <c r="D733" s="1"/>
      <c r="E733" s="1"/>
      <c r="F733" s="5"/>
      <c r="G733" s="5"/>
      <c r="H733" s="1"/>
      <c r="I733" s="1"/>
      <c r="J733" s="1"/>
      <c r="K733" s="1"/>
      <c r="L733" s="5"/>
      <c r="M733" s="5"/>
      <c r="N733" s="1"/>
      <c r="O733" s="5"/>
      <c r="P733" s="5"/>
      <c r="Q733" s="1"/>
      <c r="R733" s="156"/>
      <c r="S733" s="156"/>
      <c r="T733" s="157"/>
    </row>
    <row r="734" spans="1:20" ht="13.5" customHeight="1" x14ac:dyDescent="0.25">
      <c r="A734" s="1"/>
      <c r="B734" s="1"/>
      <c r="C734" s="1"/>
      <c r="D734" s="1"/>
      <c r="E734" s="1"/>
      <c r="F734" s="5"/>
      <c r="G734" s="5"/>
      <c r="H734" s="1"/>
      <c r="I734" s="1"/>
      <c r="J734" s="1"/>
      <c r="K734" s="1"/>
      <c r="L734" s="5"/>
      <c r="M734" s="5"/>
      <c r="N734" s="1"/>
      <c r="O734" s="5"/>
      <c r="P734" s="5"/>
      <c r="Q734" s="1"/>
      <c r="R734" s="156"/>
      <c r="S734" s="156"/>
      <c r="T734" s="157"/>
    </row>
    <row r="735" spans="1:20" ht="13.5" customHeight="1" x14ac:dyDescent="0.25">
      <c r="A735" s="1"/>
      <c r="B735" s="1"/>
      <c r="C735" s="1"/>
      <c r="D735" s="1"/>
      <c r="E735" s="1"/>
      <c r="F735" s="5"/>
      <c r="G735" s="5"/>
      <c r="H735" s="1"/>
      <c r="I735" s="1"/>
      <c r="J735" s="1"/>
      <c r="K735" s="1"/>
      <c r="L735" s="5"/>
      <c r="M735" s="5"/>
      <c r="N735" s="1"/>
      <c r="O735" s="5"/>
      <c r="P735" s="5"/>
      <c r="Q735" s="1"/>
      <c r="R735" s="156"/>
      <c r="S735" s="156"/>
      <c r="T735" s="157"/>
    </row>
    <row r="736" spans="1:20" ht="13.5" customHeight="1" x14ac:dyDescent="0.25">
      <c r="A736" s="1"/>
      <c r="B736" s="1"/>
      <c r="C736" s="1"/>
      <c r="D736" s="1"/>
      <c r="E736" s="1"/>
      <c r="F736" s="5"/>
      <c r="G736" s="5"/>
      <c r="H736" s="1"/>
      <c r="I736" s="1"/>
      <c r="J736" s="1"/>
      <c r="K736" s="1"/>
      <c r="L736" s="5"/>
      <c r="M736" s="5"/>
      <c r="N736" s="1"/>
      <c r="O736" s="5"/>
      <c r="P736" s="5"/>
      <c r="Q736" s="1"/>
      <c r="R736" s="156"/>
      <c r="S736" s="156"/>
      <c r="T736" s="157"/>
    </row>
    <row r="737" spans="1:20" ht="13.5" customHeight="1" x14ac:dyDescent="0.25">
      <c r="A737" s="1"/>
      <c r="B737" s="1"/>
      <c r="C737" s="1"/>
      <c r="D737" s="1"/>
      <c r="E737" s="1"/>
      <c r="F737" s="5"/>
      <c r="G737" s="5"/>
      <c r="H737" s="1"/>
      <c r="I737" s="1"/>
      <c r="J737" s="1"/>
      <c r="K737" s="1"/>
      <c r="L737" s="5"/>
      <c r="M737" s="5"/>
      <c r="N737" s="1"/>
      <c r="O737" s="5"/>
      <c r="P737" s="5"/>
      <c r="Q737" s="1"/>
      <c r="R737" s="156"/>
      <c r="S737" s="156"/>
      <c r="T737" s="157"/>
    </row>
    <row r="738" spans="1:20" ht="13.5" customHeight="1" x14ac:dyDescent="0.25">
      <c r="A738" s="1"/>
      <c r="B738" s="1"/>
      <c r="C738" s="1"/>
      <c r="D738" s="1"/>
      <c r="E738" s="1"/>
      <c r="F738" s="5"/>
      <c r="G738" s="5"/>
      <c r="H738" s="1"/>
      <c r="I738" s="1"/>
      <c r="J738" s="1"/>
      <c r="K738" s="1"/>
      <c r="L738" s="5"/>
      <c r="M738" s="5"/>
      <c r="N738" s="1"/>
      <c r="O738" s="5"/>
      <c r="P738" s="5"/>
      <c r="Q738" s="1"/>
      <c r="R738" s="156"/>
      <c r="S738" s="156"/>
      <c r="T738" s="157"/>
    </row>
    <row r="739" spans="1:20" ht="13.5" customHeight="1" x14ac:dyDescent="0.25">
      <c r="A739" s="1"/>
      <c r="B739" s="1"/>
      <c r="C739" s="1"/>
      <c r="D739" s="1"/>
      <c r="E739" s="1"/>
      <c r="F739" s="5"/>
      <c r="G739" s="5"/>
      <c r="H739" s="1"/>
      <c r="I739" s="1"/>
      <c r="J739" s="1"/>
      <c r="K739" s="1"/>
      <c r="L739" s="5"/>
      <c r="M739" s="5"/>
      <c r="N739" s="1"/>
      <c r="O739" s="5"/>
      <c r="P739" s="5"/>
      <c r="Q739" s="1"/>
      <c r="R739" s="156"/>
      <c r="S739" s="156"/>
      <c r="T739" s="157"/>
    </row>
    <row r="740" spans="1:20" ht="13.5" customHeight="1" x14ac:dyDescent="0.25">
      <c r="A740" s="1"/>
      <c r="B740" s="1"/>
      <c r="C740" s="1"/>
      <c r="D740" s="1"/>
      <c r="E740" s="1"/>
      <c r="F740" s="5"/>
      <c r="G740" s="5"/>
      <c r="H740" s="1"/>
      <c r="I740" s="1"/>
      <c r="J740" s="1"/>
      <c r="K740" s="1"/>
      <c r="L740" s="5"/>
      <c r="M740" s="5"/>
      <c r="N740" s="1"/>
      <c r="O740" s="5"/>
      <c r="P740" s="5"/>
      <c r="Q740" s="1"/>
      <c r="R740" s="156"/>
      <c r="S740" s="156"/>
      <c r="T740" s="157"/>
    </row>
    <row r="741" spans="1:20" ht="13.5" customHeight="1" x14ac:dyDescent="0.25">
      <c r="A741" s="1"/>
      <c r="B741" s="1"/>
      <c r="C741" s="1"/>
      <c r="D741" s="1"/>
      <c r="E741" s="1"/>
      <c r="F741" s="5"/>
      <c r="G741" s="5"/>
      <c r="H741" s="1"/>
      <c r="I741" s="1"/>
      <c r="J741" s="1"/>
      <c r="K741" s="1"/>
      <c r="L741" s="5"/>
      <c r="M741" s="5"/>
      <c r="N741" s="1"/>
      <c r="O741" s="5"/>
      <c r="P741" s="5"/>
      <c r="Q741" s="1"/>
      <c r="R741" s="156"/>
      <c r="S741" s="156"/>
      <c r="T741" s="157"/>
    </row>
    <row r="742" spans="1:20" ht="13.5" customHeight="1" x14ac:dyDescent="0.25">
      <c r="A742" s="1"/>
      <c r="B742" s="1"/>
      <c r="C742" s="1"/>
      <c r="D742" s="1"/>
      <c r="E742" s="1"/>
      <c r="F742" s="5"/>
      <c r="G742" s="5"/>
      <c r="H742" s="1"/>
      <c r="I742" s="1"/>
      <c r="J742" s="1"/>
      <c r="K742" s="1"/>
      <c r="L742" s="5"/>
      <c r="M742" s="5"/>
      <c r="N742" s="1"/>
      <c r="O742" s="5"/>
      <c r="P742" s="5"/>
      <c r="Q742" s="1"/>
      <c r="R742" s="156"/>
      <c r="S742" s="156"/>
      <c r="T742" s="157"/>
    </row>
    <row r="743" spans="1:20" ht="13.5" customHeight="1" x14ac:dyDescent="0.25">
      <c r="A743" s="1"/>
      <c r="B743" s="1"/>
      <c r="C743" s="1"/>
      <c r="D743" s="1"/>
      <c r="E743" s="1"/>
      <c r="F743" s="5"/>
      <c r="G743" s="5"/>
      <c r="H743" s="1"/>
      <c r="I743" s="1"/>
      <c r="J743" s="1"/>
      <c r="K743" s="1"/>
      <c r="L743" s="5"/>
      <c r="M743" s="5"/>
      <c r="N743" s="1"/>
      <c r="O743" s="5"/>
      <c r="P743" s="5"/>
      <c r="Q743" s="1"/>
      <c r="R743" s="156"/>
      <c r="S743" s="156"/>
      <c r="T743" s="157"/>
    </row>
    <row r="744" spans="1:20" ht="13.5" customHeight="1" x14ac:dyDescent="0.25">
      <c r="A744" s="1"/>
      <c r="B744" s="1"/>
      <c r="C744" s="1"/>
      <c r="D744" s="1"/>
      <c r="E744" s="1"/>
      <c r="F744" s="5"/>
      <c r="G744" s="5"/>
      <c r="H744" s="1"/>
      <c r="I744" s="1"/>
      <c r="J744" s="1"/>
      <c r="K744" s="1"/>
      <c r="L744" s="5"/>
      <c r="M744" s="5"/>
      <c r="N744" s="1"/>
      <c r="O744" s="5"/>
      <c r="P744" s="5"/>
      <c r="Q744" s="1"/>
      <c r="R744" s="156"/>
      <c r="S744" s="156"/>
      <c r="T744" s="157"/>
    </row>
    <row r="745" spans="1:20" ht="13.5" customHeight="1" x14ac:dyDescent="0.25">
      <c r="A745" s="1"/>
      <c r="B745" s="1"/>
      <c r="C745" s="1"/>
      <c r="D745" s="1"/>
      <c r="E745" s="1"/>
      <c r="F745" s="5"/>
      <c r="G745" s="5"/>
      <c r="H745" s="1"/>
      <c r="I745" s="1"/>
      <c r="J745" s="1"/>
      <c r="K745" s="1"/>
      <c r="L745" s="5"/>
      <c r="M745" s="5"/>
      <c r="N745" s="1"/>
      <c r="O745" s="5"/>
      <c r="P745" s="5"/>
      <c r="Q745" s="1"/>
      <c r="R745" s="156"/>
      <c r="S745" s="156"/>
      <c r="T745" s="157"/>
    </row>
    <row r="746" spans="1:20" ht="13.5" customHeight="1" x14ac:dyDescent="0.25">
      <c r="A746" s="1"/>
      <c r="B746" s="1"/>
      <c r="C746" s="1"/>
      <c r="D746" s="1"/>
      <c r="E746" s="1"/>
      <c r="F746" s="5"/>
      <c r="G746" s="5"/>
      <c r="H746" s="1"/>
      <c r="I746" s="1"/>
      <c r="J746" s="1"/>
      <c r="K746" s="1"/>
      <c r="L746" s="5"/>
      <c r="M746" s="5"/>
      <c r="N746" s="1"/>
      <c r="O746" s="5"/>
      <c r="P746" s="5"/>
      <c r="Q746" s="1"/>
      <c r="R746" s="156"/>
      <c r="S746" s="156"/>
      <c r="T746" s="157"/>
    </row>
    <row r="747" spans="1:20" ht="13.5" customHeight="1" x14ac:dyDescent="0.25">
      <c r="A747" s="1"/>
      <c r="B747" s="1"/>
      <c r="C747" s="1"/>
      <c r="D747" s="1"/>
      <c r="E747" s="1"/>
      <c r="F747" s="5"/>
      <c r="G747" s="5"/>
      <c r="H747" s="1"/>
      <c r="I747" s="1"/>
      <c r="J747" s="1"/>
      <c r="K747" s="1"/>
      <c r="L747" s="5"/>
      <c r="M747" s="5"/>
      <c r="N747" s="1"/>
      <c r="O747" s="5"/>
      <c r="P747" s="5"/>
      <c r="Q747" s="1"/>
      <c r="R747" s="156"/>
      <c r="S747" s="156"/>
      <c r="T747" s="157"/>
    </row>
    <row r="748" spans="1:20" ht="13.5" customHeight="1" x14ac:dyDescent="0.25">
      <c r="A748" s="1"/>
      <c r="B748" s="1"/>
      <c r="C748" s="1"/>
      <c r="D748" s="1"/>
      <c r="E748" s="1"/>
      <c r="F748" s="5"/>
      <c r="G748" s="5"/>
      <c r="H748" s="1"/>
      <c r="I748" s="1"/>
      <c r="J748" s="1"/>
      <c r="K748" s="1"/>
      <c r="L748" s="5"/>
      <c r="M748" s="5"/>
      <c r="N748" s="1"/>
      <c r="O748" s="5"/>
      <c r="P748" s="5"/>
      <c r="Q748" s="1"/>
      <c r="R748" s="156"/>
      <c r="S748" s="156"/>
      <c r="T748" s="157"/>
    </row>
    <row r="749" spans="1:20" ht="13.5" customHeight="1" x14ac:dyDescent="0.25">
      <c r="A749" s="1"/>
      <c r="B749" s="1"/>
      <c r="C749" s="1"/>
      <c r="D749" s="1"/>
      <c r="E749" s="1"/>
      <c r="F749" s="5"/>
      <c r="G749" s="5"/>
      <c r="H749" s="1"/>
      <c r="I749" s="1"/>
      <c r="J749" s="1"/>
      <c r="K749" s="1"/>
      <c r="L749" s="5"/>
      <c r="M749" s="5"/>
      <c r="N749" s="1"/>
      <c r="O749" s="5"/>
      <c r="P749" s="5"/>
      <c r="Q749" s="1"/>
      <c r="R749" s="156"/>
      <c r="S749" s="156"/>
      <c r="T749" s="157"/>
    </row>
    <row r="750" spans="1:20" ht="13.5" customHeight="1" x14ac:dyDescent="0.25">
      <c r="A750" s="1"/>
      <c r="B750" s="1"/>
      <c r="C750" s="1"/>
      <c r="D750" s="1"/>
      <c r="E750" s="1"/>
      <c r="F750" s="5"/>
      <c r="G750" s="5"/>
      <c r="H750" s="1"/>
      <c r="I750" s="1"/>
      <c r="J750" s="1"/>
      <c r="K750" s="1"/>
      <c r="L750" s="5"/>
      <c r="M750" s="5"/>
      <c r="N750" s="1"/>
      <c r="O750" s="5"/>
      <c r="P750" s="5"/>
      <c r="Q750" s="1"/>
      <c r="R750" s="156"/>
      <c r="S750" s="156"/>
      <c r="T750" s="157"/>
    </row>
    <row r="751" spans="1:20" ht="13.5" customHeight="1" x14ac:dyDescent="0.25">
      <c r="A751" s="1"/>
      <c r="B751" s="1"/>
      <c r="C751" s="1"/>
      <c r="D751" s="1"/>
      <c r="E751" s="1"/>
      <c r="F751" s="5"/>
      <c r="G751" s="5"/>
      <c r="H751" s="1"/>
      <c r="I751" s="1"/>
      <c r="J751" s="1"/>
      <c r="K751" s="1"/>
      <c r="L751" s="5"/>
      <c r="M751" s="5"/>
      <c r="N751" s="1"/>
      <c r="O751" s="5"/>
      <c r="P751" s="5"/>
      <c r="Q751" s="1"/>
      <c r="R751" s="156"/>
      <c r="S751" s="156"/>
      <c r="T751" s="157"/>
    </row>
    <row r="752" spans="1:20" ht="13.5" customHeight="1" x14ac:dyDescent="0.25">
      <c r="A752" s="1"/>
      <c r="B752" s="1"/>
      <c r="C752" s="1"/>
      <c r="D752" s="1"/>
      <c r="E752" s="1"/>
      <c r="F752" s="5"/>
      <c r="G752" s="5"/>
      <c r="H752" s="1"/>
      <c r="I752" s="1"/>
      <c r="J752" s="1"/>
      <c r="K752" s="1"/>
      <c r="L752" s="5"/>
      <c r="M752" s="5"/>
      <c r="N752" s="1"/>
      <c r="O752" s="5"/>
      <c r="P752" s="5"/>
      <c r="Q752" s="1"/>
      <c r="R752" s="156"/>
      <c r="S752" s="156"/>
      <c r="T752" s="157"/>
    </row>
    <row r="753" spans="1:20" ht="13.5" customHeight="1" x14ac:dyDescent="0.25">
      <c r="A753" s="1"/>
      <c r="B753" s="1"/>
      <c r="C753" s="1"/>
      <c r="D753" s="1"/>
      <c r="E753" s="1"/>
      <c r="F753" s="5"/>
      <c r="G753" s="5"/>
      <c r="H753" s="1"/>
      <c r="I753" s="1"/>
      <c r="J753" s="1"/>
      <c r="K753" s="1"/>
      <c r="L753" s="5"/>
      <c r="M753" s="5"/>
      <c r="N753" s="1"/>
      <c r="O753" s="5"/>
      <c r="P753" s="5"/>
      <c r="Q753" s="1"/>
      <c r="R753" s="156"/>
      <c r="S753" s="156"/>
      <c r="T753" s="157"/>
    </row>
    <row r="754" spans="1:20" ht="13.5" customHeight="1" x14ac:dyDescent="0.25">
      <c r="A754" s="1"/>
      <c r="B754" s="1"/>
      <c r="C754" s="1"/>
      <c r="D754" s="1"/>
      <c r="E754" s="1"/>
      <c r="F754" s="5"/>
      <c r="G754" s="5"/>
      <c r="H754" s="1"/>
      <c r="I754" s="1"/>
      <c r="J754" s="1"/>
      <c r="K754" s="1"/>
      <c r="L754" s="5"/>
      <c r="M754" s="5"/>
      <c r="N754" s="1"/>
      <c r="O754" s="5"/>
      <c r="P754" s="5"/>
      <c r="Q754" s="1"/>
      <c r="R754" s="156"/>
      <c r="S754" s="156"/>
      <c r="T754" s="157"/>
    </row>
    <row r="755" spans="1:20" ht="13.5" customHeight="1" x14ac:dyDescent="0.25">
      <c r="A755" s="1"/>
      <c r="B755" s="1"/>
      <c r="C755" s="1"/>
      <c r="D755" s="1"/>
      <c r="E755" s="1"/>
      <c r="F755" s="5"/>
      <c r="G755" s="5"/>
      <c r="H755" s="1"/>
      <c r="I755" s="1"/>
      <c r="J755" s="1"/>
      <c r="K755" s="1"/>
      <c r="L755" s="5"/>
      <c r="M755" s="5"/>
      <c r="N755" s="1"/>
      <c r="O755" s="5"/>
      <c r="P755" s="5"/>
      <c r="Q755" s="1"/>
      <c r="R755" s="156"/>
      <c r="S755" s="156"/>
      <c r="T755" s="157"/>
    </row>
    <row r="756" spans="1:20" ht="13.5" customHeight="1" x14ac:dyDescent="0.25">
      <c r="A756" s="1"/>
      <c r="B756" s="1"/>
      <c r="C756" s="1"/>
      <c r="D756" s="1"/>
      <c r="E756" s="1"/>
      <c r="F756" s="5"/>
      <c r="G756" s="5"/>
      <c r="H756" s="1"/>
      <c r="I756" s="1"/>
      <c r="J756" s="1"/>
      <c r="K756" s="1"/>
      <c r="L756" s="5"/>
      <c r="M756" s="5"/>
      <c r="N756" s="1"/>
      <c r="O756" s="5"/>
      <c r="P756" s="5"/>
      <c r="Q756" s="1"/>
      <c r="R756" s="156"/>
      <c r="S756" s="156"/>
      <c r="T756" s="157"/>
    </row>
    <row r="757" spans="1:20" ht="13.5" customHeight="1" x14ac:dyDescent="0.25">
      <c r="A757" s="1"/>
      <c r="B757" s="1"/>
      <c r="C757" s="1"/>
      <c r="D757" s="1"/>
      <c r="E757" s="1"/>
      <c r="F757" s="5"/>
      <c r="G757" s="5"/>
      <c r="H757" s="1"/>
      <c r="I757" s="1"/>
      <c r="J757" s="1"/>
      <c r="K757" s="1"/>
      <c r="L757" s="5"/>
      <c r="M757" s="5"/>
      <c r="N757" s="1"/>
      <c r="O757" s="5"/>
      <c r="P757" s="5"/>
      <c r="Q757" s="1"/>
      <c r="R757" s="156"/>
      <c r="S757" s="156"/>
      <c r="T757" s="157"/>
    </row>
    <row r="758" spans="1:20" ht="13.5" customHeight="1" x14ac:dyDescent="0.25">
      <c r="A758" s="1"/>
      <c r="B758" s="1"/>
      <c r="C758" s="1"/>
      <c r="D758" s="1"/>
      <c r="E758" s="1"/>
      <c r="F758" s="5"/>
      <c r="G758" s="5"/>
      <c r="H758" s="1"/>
      <c r="I758" s="1"/>
      <c r="J758" s="1"/>
      <c r="K758" s="1"/>
      <c r="L758" s="5"/>
      <c r="M758" s="5"/>
      <c r="N758" s="1"/>
      <c r="O758" s="5"/>
      <c r="P758" s="5"/>
      <c r="Q758" s="1"/>
      <c r="R758" s="156"/>
      <c r="S758" s="156"/>
      <c r="T758" s="157"/>
    </row>
    <row r="759" spans="1:20" ht="13.5" customHeight="1" x14ac:dyDescent="0.25">
      <c r="A759" s="1"/>
      <c r="B759" s="1"/>
      <c r="C759" s="1"/>
      <c r="D759" s="1"/>
      <c r="E759" s="1"/>
      <c r="F759" s="5"/>
      <c r="G759" s="5"/>
      <c r="H759" s="1"/>
      <c r="I759" s="1"/>
      <c r="J759" s="1"/>
      <c r="K759" s="1"/>
      <c r="L759" s="5"/>
      <c r="M759" s="5"/>
      <c r="N759" s="1"/>
      <c r="O759" s="5"/>
      <c r="P759" s="5"/>
      <c r="Q759" s="1"/>
      <c r="R759" s="156"/>
      <c r="S759" s="156"/>
      <c r="T759" s="157"/>
    </row>
    <row r="760" spans="1:20" ht="13.5" customHeight="1" x14ac:dyDescent="0.25">
      <c r="A760" s="1"/>
      <c r="B760" s="1"/>
      <c r="C760" s="1"/>
      <c r="D760" s="1"/>
      <c r="E760" s="1"/>
      <c r="F760" s="5"/>
      <c r="G760" s="5"/>
      <c r="H760" s="1"/>
      <c r="I760" s="1"/>
      <c r="J760" s="1"/>
      <c r="K760" s="1"/>
      <c r="L760" s="5"/>
      <c r="M760" s="5"/>
      <c r="N760" s="1"/>
      <c r="O760" s="5"/>
      <c r="P760" s="5"/>
      <c r="Q760" s="1"/>
      <c r="R760" s="156"/>
      <c r="S760" s="156"/>
      <c r="T760" s="157"/>
    </row>
    <row r="761" spans="1:20" ht="13.5" customHeight="1" x14ac:dyDescent="0.25">
      <c r="A761" s="1"/>
      <c r="B761" s="1"/>
      <c r="C761" s="1"/>
      <c r="D761" s="1"/>
      <c r="E761" s="1"/>
      <c r="F761" s="5"/>
      <c r="G761" s="5"/>
      <c r="H761" s="1"/>
      <c r="I761" s="1"/>
      <c r="J761" s="1"/>
      <c r="K761" s="1"/>
      <c r="L761" s="5"/>
      <c r="M761" s="5"/>
      <c r="N761" s="1"/>
      <c r="O761" s="5"/>
      <c r="P761" s="5"/>
      <c r="Q761" s="1"/>
      <c r="R761" s="156"/>
      <c r="S761" s="156"/>
      <c r="T761" s="157"/>
    </row>
    <row r="762" spans="1:20" ht="13.5" customHeight="1" x14ac:dyDescent="0.25">
      <c r="A762" s="1"/>
      <c r="B762" s="1"/>
      <c r="C762" s="1"/>
      <c r="D762" s="1"/>
      <c r="E762" s="1"/>
      <c r="F762" s="5"/>
      <c r="G762" s="5"/>
      <c r="H762" s="1"/>
      <c r="I762" s="1"/>
      <c r="J762" s="1"/>
      <c r="K762" s="1"/>
      <c r="L762" s="5"/>
      <c r="M762" s="5"/>
      <c r="N762" s="1"/>
      <c r="O762" s="5"/>
      <c r="P762" s="5"/>
      <c r="Q762" s="1"/>
      <c r="R762" s="156"/>
      <c r="S762" s="156"/>
      <c r="T762" s="157"/>
    </row>
    <row r="763" spans="1:20" ht="13.5" customHeight="1" x14ac:dyDescent="0.25">
      <c r="A763" s="1"/>
      <c r="B763" s="1"/>
      <c r="C763" s="1"/>
      <c r="D763" s="1"/>
      <c r="E763" s="1"/>
      <c r="F763" s="5"/>
      <c r="G763" s="5"/>
      <c r="H763" s="1"/>
      <c r="I763" s="1"/>
      <c r="J763" s="1"/>
      <c r="K763" s="1"/>
      <c r="L763" s="5"/>
      <c r="M763" s="5"/>
      <c r="N763" s="1"/>
      <c r="O763" s="5"/>
      <c r="P763" s="5"/>
      <c r="Q763" s="1"/>
      <c r="R763" s="156"/>
      <c r="S763" s="156"/>
      <c r="T763" s="157"/>
    </row>
    <row r="764" spans="1:20" ht="13.5" customHeight="1" x14ac:dyDescent="0.25">
      <c r="A764" s="1"/>
      <c r="B764" s="1"/>
      <c r="C764" s="1"/>
      <c r="D764" s="1"/>
      <c r="E764" s="1"/>
      <c r="F764" s="5"/>
      <c r="G764" s="5"/>
      <c r="H764" s="1"/>
      <c r="I764" s="1"/>
      <c r="J764" s="1"/>
      <c r="K764" s="1"/>
      <c r="L764" s="5"/>
      <c r="M764" s="5"/>
      <c r="N764" s="1"/>
      <c r="O764" s="5"/>
      <c r="P764" s="5"/>
      <c r="Q764" s="1"/>
      <c r="R764" s="156"/>
      <c r="S764" s="156"/>
      <c r="T764" s="157"/>
    </row>
    <row r="765" spans="1:20" ht="13.5" customHeight="1" x14ac:dyDescent="0.25">
      <c r="A765" s="1"/>
      <c r="B765" s="1"/>
      <c r="C765" s="1"/>
      <c r="D765" s="1"/>
      <c r="E765" s="1"/>
      <c r="F765" s="5"/>
      <c r="G765" s="5"/>
      <c r="H765" s="1"/>
      <c r="I765" s="1"/>
      <c r="J765" s="1"/>
      <c r="K765" s="1"/>
      <c r="L765" s="5"/>
      <c r="M765" s="5"/>
      <c r="N765" s="1"/>
      <c r="O765" s="5"/>
      <c r="P765" s="5"/>
      <c r="Q765" s="1"/>
      <c r="R765" s="156"/>
      <c r="S765" s="156"/>
      <c r="T765" s="157"/>
    </row>
    <row r="766" spans="1:20" ht="13.5" customHeight="1" x14ac:dyDescent="0.25">
      <c r="A766" s="1"/>
      <c r="B766" s="1"/>
      <c r="C766" s="1"/>
      <c r="D766" s="1"/>
      <c r="E766" s="1"/>
      <c r="F766" s="5"/>
      <c r="G766" s="5"/>
      <c r="H766" s="1"/>
      <c r="I766" s="1"/>
      <c r="J766" s="1"/>
      <c r="K766" s="1"/>
      <c r="L766" s="5"/>
      <c r="M766" s="5"/>
      <c r="N766" s="1"/>
      <c r="O766" s="5"/>
      <c r="P766" s="5"/>
      <c r="Q766" s="1"/>
      <c r="R766" s="156"/>
      <c r="S766" s="156"/>
      <c r="T766" s="157"/>
    </row>
    <row r="767" spans="1:20" ht="13.5" customHeight="1" x14ac:dyDescent="0.25">
      <c r="A767" s="1"/>
      <c r="B767" s="1"/>
      <c r="C767" s="1"/>
      <c r="D767" s="1"/>
      <c r="E767" s="1"/>
      <c r="F767" s="5"/>
      <c r="G767" s="5"/>
      <c r="H767" s="1"/>
      <c r="I767" s="1"/>
      <c r="J767" s="1"/>
      <c r="K767" s="1"/>
      <c r="L767" s="5"/>
      <c r="M767" s="5"/>
      <c r="N767" s="1"/>
      <c r="O767" s="5"/>
      <c r="P767" s="5"/>
      <c r="Q767" s="1"/>
      <c r="R767" s="156"/>
      <c r="S767" s="156"/>
      <c r="T767" s="157"/>
    </row>
    <row r="768" spans="1:20" ht="13.5" customHeight="1" x14ac:dyDescent="0.25">
      <c r="A768" s="1"/>
      <c r="B768" s="1"/>
      <c r="C768" s="1"/>
      <c r="D768" s="1"/>
      <c r="E768" s="1"/>
      <c r="F768" s="5"/>
      <c r="G768" s="5"/>
      <c r="H768" s="1"/>
      <c r="I768" s="1"/>
      <c r="J768" s="1"/>
      <c r="K768" s="1"/>
      <c r="L768" s="5"/>
      <c r="M768" s="5"/>
      <c r="N768" s="1"/>
      <c r="O768" s="5"/>
      <c r="P768" s="5"/>
      <c r="Q768" s="1"/>
      <c r="R768" s="156"/>
      <c r="S768" s="156"/>
      <c r="T768" s="157"/>
    </row>
    <row r="769" spans="1:20" ht="13.5" customHeight="1" x14ac:dyDescent="0.25">
      <c r="A769" s="1"/>
      <c r="B769" s="1"/>
      <c r="C769" s="1"/>
      <c r="D769" s="1"/>
      <c r="E769" s="1"/>
      <c r="F769" s="5"/>
      <c r="G769" s="5"/>
      <c r="H769" s="1"/>
      <c r="I769" s="1"/>
      <c r="J769" s="1"/>
      <c r="K769" s="1"/>
      <c r="L769" s="5"/>
      <c r="M769" s="5"/>
      <c r="N769" s="1"/>
      <c r="O769" s="5"/>
      <c r="P769" s="5"/>
      <c r="Q769" s="1"/>
      <c r="R769" s="156"/>
      <c r="S769" s="156"/>
      <c r="T769" s="157"/>
    </row>
    <row r="770" spans="1:20" ht="13.5" customHeight="1" x14ac:dyDescent="0.25">
      <c r="A770" s="1"/>
      <c r="B770" s="1"/>
      <c r="C770" s="1"/>
      <c r="D770" s="1"/>
      <c r="E770" s="1"/>
      <c r="F770" s="5"/>
      <c r="G770" s="5"/>
      <c r="H770" s="1"/>
      <c r="I770" s="1"/>
      <c r="J770" s="1"/>
      <c r="K770" s="1"/>
      <c r="L770" s="5"/>
      <c r="M770" s="5"/>
      <c r="N770" s="1"/>
      <c r="O770" s="5"/>
      <c r="P770" s="5"/>
      <c r="Q770" s="1"/>
      <c r="R770" s="156"/>
      <c r="S770" s="156"/>
      <c r="T770" s="157"/>
    </row>
    <row r="771" spans="1:20" ht="13.5" customHeight="1" x14ac:dyDescent="0.25">
      <c r="A771" s="1"/>
      <c r="B771" s="1"/>
      <c r="C771" s="1"/>
      <c r="D771" s="1"/>
      <c r="E771" s="1"/>
      <c r="F771" s="5"/>
      <c r="G771" s="5"/>
      <c r="H771" s="1"/>
      <c r="I771" s="1"/>
      <c r="J771" s="1"/>
      <c r="K771" s="1"/>
      <c r="L771" s="5"/>
      <c r="M771" s="5"/>
      <c r="N771" s="1"/>
      <c r="O771" s="5"/>
      <c r="P771" s="5"/>
      <c r="Q771" s="1"/>
      <c r="R771" s="156"/>
      <c r="S771" s="156"/>
      <c r="T771" s="157"/>
    </row>
    <row r="772" spans="1:20" ht="13.5" customHeight="1" x14ac:dyDescent="0.25">
      <c r="A772" s="1"/>
      <c r="B772" s="1"/>
      <c r="C772" s="1"/>
      <c r="D772" s="1"/>
      <c r="E772" s="1"/>
      <c r="F772" s="5"/>
      <c r="G772" s="5"/>
      <c r="H772" s="1"/>
      <c r="I772" s="1"/>
      <c r="J772" s="1"/>
      <c r="K772" s="1"/>
      <c r="L772" s="5"/>
      <c r="M772" s="5"/>
      <c r="N772" s="1"/>
      <c r="O772" s="5"/>
      <c r="P772" s="5"/>
      <c r="Q772" s="1"/>
      <c r="R772" s="156"/>
      <c r="S772" s="156"/>
      <c r="T772" s="157"/>
    </row>
    <row r="773" spans="1:20" ht="13.5" customHeight="1" x14ac:dyDescent="0.25">
      <c r="A773" s="1"/>
      <c r="B773" s="1"/>
      <c r="C773" s="1"/>
      <c r="D773" s="1"/>
      <c r="E773" s="1"/>
      <c r="F773" s="5"/>
      <c r="G773" s="5"/>
      <c r="H773" s="1"/>
      <c r="I773" s="1"/>
      <c r="J773" s="1"/>
      <c r="K773" s="1"/>
      <c r="L773" s="5"/>
      <c r="M773" s="5"/>
      <c r="N773" s="1"/>
      <c r="O773" s="5"/>
      <c r="P773" s="5"/>
      <c r="Q773" s="1"/>
      <c r="R773" s="156"/>
      <c r="S773" s="156"/>
      <c r="T773" s="157"/>
    </row>
    <row r="774" spans="1:20" ht="13.5" customHeight="1" x14ac:dyDescent="0.25">
      <c r="A774" s="1"/>
      <c r="B774" s="1"/>
      <c r="C774" s="1"/>
      <c r="D774" s="1"/>
      <c r="E774" s="1"/>
      <c r="F774" s="5"/>
      <c r="G774" s="5"/>
      <c r="H774" s="1"/>
      <c r="I774" s="1"/>
      <c r="J774" s="1"/>
      <c r="K774" s="1"/>
      <c r="L774" s="5"/>
      <c r="M774" s="5"/>
      <c r="N774" s="1"/>
      <c r="O774" s="5"/>
      <c r="P774" s="5"/>
      <c r="Q774" s="1"/>
      <c r="R774" s="156"/>
      <c r="S774" s="156"/>
      <c r="T774" s="157"/>
    </row>
    <row r="775" spans="1:20" ht="13.5" customHeight="1" x14ac:dyDescent="0.25">
      <c r="A775" s="1"/>
      <c r="B775" s="1"/>
      <c r="C775" s="1"/>
      <c r="D775" s="1"/>
      <c r="E775" s="1"/>
      <c r="F775" s="5"/>
      <c r="G775" s="5"/>
      <c r="H775" s="1"/>
      <c r="I775" s="1"/>
      <c r="J775" s="1"/>
      <c r="K775" s="1"/>
      <c r="L775" s="5"/>
      <c r="M775" s="5"/>
      <c r="N775" s="1"/>
      <c r="O775" s="5"/>
      <c r="P775" s="5"/>
      <c r="Q775" s="1"/>
      <c r="R775" s="156"/>
      <c r="S775" s="156"/>
      <c r="T775" s="157"/>
    </row>
    <row r="776" spans="1:20" ht="13.5" customHeight="1" x14ac:dyDescent="0.25">
      <c r="A776" s="1"/>
      <c r="B776" s="1"/>
      <c r="C776" s="1"/>
      <c r="D776" s="1"/>
      <c r="E776" s="1"/>
      <c r="F776" s="5"/>
      <c r="G776" s="5"/>
      <c r="H776" s="1"/>
      <c r="I776" s="1"/>
      <c r="J776" s="1"/>
      <c r="K776" s="1"/>
      <c r="L776" s="5"/>
      <c r="M776" s="5"/>
      <c r="N776" s="1"/>
      <c r="O776" s="5"/>
      <c r="P776" s="5"/>
      <c r="Q776" s="1"/>
      <c r="R776" s="156"/>
      <c r="S776" s="156"/>
      <c r="T776" s="157"/>
    </row>
    <row r="777" spans="1:20" ht="13.5" customHeight="1" x14ac:dyDescent="0.25">
      <c r="A777" s="1"/>
      <c r="B777" s="1"/>
      <c r="C777" s="1"/>
      <c r="D777" s="1"/>
      <c r="E777" s="1"/>
      <c r="F777" s="5"/>
      <c r="G777" s="5"/>
      <c r="H777" s="1"/>
      <c r="I777" s="1"/>
      <c r="J777" s="1"/>
      <c r="K777" s="1"/>
      <c r="L777" s="5"/>
      <c r="M777" s="5"/>
      <c r="N777" s="1"/>
      <c r="O777" s="5"/>
      <c r="P777" s="5"/>
      <c r="Q777" s="1"/>
      <c r="R777" s="156"/>
      <c r="S777" s="156"/>
      <c r="T777" s="157"/>
    </row>
    <row r="778" spans="1:20" ht="13.5" customHeight="1" x14ac:dyDescent="0.25">
      <c r="A778" s="1"/>
      <c r="B778" s="1"/>
      <c r="C778" s="1"/>
      <c r="D778" s="1"/>
      <c r="E778" s="1"/>
      <c r="F778" s="5"/>
      <c r="G778" s="5"/>
      <c r="H778" s="1"/>
      <c r="I778" s="1"/>
      <c r="J778" s="1"/>
      <c r="K778" s="1"/>
      <c r="L778" s="5"/>
      <c r="M778" s="5"/>
      <c r="N778" s="1"/>
      <c r="O778" s="5"/>
      <c r="P778" s="5"/>
      <c r="Q778" s="1"/>
      <c r="R778" s="156"/>
      <c r="S778" s="156"/>
      <c r="T778" s="157"/>
    </row>
    <row r="779" spans="1:20" ht="13.5" customHeight="1" x14ac:dyDescent="0.25">
      <c r="A779" s="1"/>
      <c r="B779" s="1"/>
      <c r="C779" s="1"/>
      <c r="D779" s="1"/>
      <c r="E779" s="1"/>
      <c r="F779" s="5"/>
      <c r="G779" s="5"/>
      <c r="H779" s="1"/>
      <c r="I779" s="1"/>
      <c r="J779" s="1"/>
      <c r="K779" s="1"/>
      <c r="L779" s="5"/>
      <c r="M779" s="5"/>
      <c r="N779" s="1"/>
      <c r="O779" s="5"/>
      <c r="P779" s="5"/>
      <c r="Q779" s="1"/>
      <c r="R779" s="156"/>
      <c r="S779" s="156"/>
      <c r="T779" s="157"/>
    </row>
    <row r="780" spans="1:20" ht="13.5" customHeight="1" x14ac:dyDescent="0.25">
      <c r="A780" s="1"/>
      <c r="B780" s="1"/>
      <c r="C780" s="1"/>
      <c r="D780" s="1"/>
      <c r="E780" s="1"/>
      <c r="F780" s="5"/>
      <c r="G780" s="5"/>
      <c r="H780" s="1"/>
      <c r="I780" s="1"/>
      <c r="J780" s="1"/>
      <c r="K780" s="1"/>
      <c r="L780" s="5"/>
      <c r="M780" s="5"/>
      <c r="N780" s="1"/>
      <c r="O780" s="5"/>
      <c r="P780" s="5"/>
      <c r="Q780" s="1"/>
      <c r="R780" s="156"/>
      <c r="S780" s="156"/>
      <c r="T780" s="157"/>
    </row>
    <row r="781" spans="1:20" ht="13.5" customHeight="1" x14ac:dyDescent="0.25">
      <c r="A781" s="1"/>
      <c r="B781" s="1"/>
      <c r="C781" s="1"/>
      <c r="D781" s="1"/>
      <c r="E781" s="1"/>
      <c r="F781" s="5"/>
      <c r="G781" s="5"/>
      <c r="H781" s="1"/>
      <c r="I781" s="1"/>
      <c r="J781" s="1"/>
      <c r="K781" s="1"/>
      <c r="L781" s="5"/>
      <c r="M781" s="5"/>
      <c r="N781" s="1"/>
      <c r="O781" s="5"/>
      <c r="P781" s="5"/>
      <c r="Q781" s="1"/>
      <c r="R781" s="156"/>
      <c r="S781" s="156"/>
      <c r="T781" s="157"/>
    </row>
    <row r="782" spans="1:20" ht="13.5" customHeight="1" x14ac:dyDescent="0.25">
      <c r="A782" s="1"/>
      <c r="B782" s="1"/>
      <c r="C782" s="1"/>
      <c r="D782" s="1"/>
      <c r="E782" s="1"/>
      <c r="F782" s="5"/>
      <c r="G782" s="5"/>
      <c r="H782" s="1"/>
      <c r="I782" s="1"/>
      <c r="J782" s="1"/>
      <c r="K782" s="1"/>
      <c r="L782" s="5"/>
      <c r="M782" s="5"/>
      <c r="N782" s="1"/>
      <c r="O782" s="5"/>
      <c r="P782" s="5"/>
      <c r="Q782" s="1"/>
      <c r="R782" s="156"/>
      <c r="S782" s="156"/>
      <c r="T782" s="157"/>
    </row>
    <row r="783" spans="1:20" ht="13.5" customHeight="1" x14ac:dyDescent="0.25">
      <c r="A783" s="1"/>
      <c r="B783" s="1"/>
      <c r="C783" s="1"/>
      <c r="D783" s="1"/>
      <c r="E783" s="1"/>
      <c r="F783" s="5"/>
      <c r="G783" s="5"/>
      <c r="H783" s="1"/>
      <c r="I783" s="1"/>
      <c r="J783" s="1"/>
      <c r="K783" s="1"/>
      <c r="L783" s="5"/>
      <c r="M783" s="5"/>
      <c r="N783" s="1"/>
      <c r="O783" s="5"/>
      <c r="P783" s="5"/>
      <c r="Q783" s="1"/>
      <c r="R783" s="156"/>
      <c r="S783" s="156"/>
      <c r="T783" s="157"/>
    </row>
    <row r="784" spans="1:20" ht="13.5" customHeight="1" x14ac:dyDescent="0.25">
      <c r="A784" s="1"/>
      <c r="B784" s="1"/>
      <c r="C784" s="1"/>
      <c r="D784" s="1"/>
      <c r="E784" s="1"/>
      <c r="F784" s="5"/>
      <c r="G784" s="5"/>
      <c r="H784" s="1"/>
      <c r="I784" s="1"/>
      <c r="J784" s="1"/>
      <c r="K784" s="1"/>
      <c r="L784" s="5"/>
      <c r="M784" s="5"/>
      <c r="N784" s="1"/>
      <c r="O784" s="5"/>
      <c r="P784" s="5"/>
      <c r="Q784" s="1"/>
      <c r="R784" s="156"/>
      <c r="S784" s="156"/>
      <c r="T784" s="157"/>
    </row>
    <row r="785" spans="1:20" ht="13.5" customHeight="1" x14ac:dyDescent="0.25">
      <c r="A785" s="1"/>
      <c r="B785" s="1"/>
      <c r="C785" s="1"/>
      <c r="D785" s="1"/>
      <c r="E785" s="1"/>
      <c r="F785" s="5"/>
      <c r="G785" s="5"/>
      <c r="H785" s="1"/>
      <c r="I785" s="1"/>
      <c r="J785" s="1"/>
      <c r="K785" s="1"/>
      <c r="L785" s="5"/>
      <c r="M785" s="5"/>
      <c r="N785" s="1"/>
      <c r="O785" s="5"/>
      <c r="P785" s="5"/>
      <c r="Q785" s="1"/>
      <c r="R785" s="156"/>
      <c r="S785" s="156"/>
      <c r="T785" s="157"/>
    </row>
    <row r="786" spans="1:20" ht="13.5" customHeight="1" x14ac:dyDescent="0.25">
      <c r="A786" s="1"/>
      <c r="B786" s="1"/>
      <c r="C786" s="1"/>
      <c r="D786" s="1"/>
      <c r="E786" s="1"/>
      <c r="F786" s="5"/>
      <c r="G786" s="5"/>
      <c r="H786" s="1"/>
      <c r="I786" s="1"/>
      <c r="J786" s="1"/>
      <c r="K786" s="1"/>
      <c r="L786" s="5"/>
      <c r="M786" s="5"/>
      <c r="N786" s="1"/>
      <c r="O786" s="5"/>
      <c r="P786" s="5"/>
      <c r="Q786" s="1"/>
      <c r="R786" s="156"/>
      <c r="S786" s="156"/>
      <c r="T786" s="157"/>
    </row>
    <row r="787" spans="1:20" ht="13.5" customHeight="1" x14ac:dyDescent="0.25">
      <c r="A787" s="1"/>
      <c r="B787" s="1"/>
      <c r="C787" s="1"/>
      <c r="D787" s="1"/>
      <c r="E787" s="1"/>
      <c r="F787" s="5"/>
      <c r="G787" s="5"/>
      <c r="H787" s="1"/>
      <c r="I787" s="1"/>
      <c r="J787" s="1"/>
      <c r="K787" s="1"/>
      <c r="L787" s="5"/>
      <c r="M787" s="5"/>
      <c r="N787" s="1"/>
      <c r="O787" s="5"/>
      <c r="P787" s="5"/>
      <c r="Q787" s="1"/>
      <c r="R787" s="156"/>
      <c r="S787" s="156"/>
      <c r="T787" s="157"/>
    </row>
    <row r="788" spans="1:20" ht="13.5" customHeight="1" x14ac:dyDescent="0.25">
      <c r="A788" s="1"/>
      <c r="B788" s="1"/>
      <c r="C788" s="1"/>
      <c r="D788" s="1"/>
      <c r="E788" s="1"/>
      <c r="F788" s="5"/>
      <c r="G788" s="5"/>
      <c r="H788" s="1"/>
      <c r="I788" s="1"/>
      <c r="J788" s="1"/>
      <c r="K788" s="1"/>
      <c r="L788" s="5"/>
      <c r="M788" s="5"/>
      <c r="N788" s="1"/>
      <c r="O788" s="5"/>
      <c r="P788" s="5"/>
      <c r="Q788" s="1"/>
      <c r="R788" s="156"/>
      <c r="S788" s="156"/>
      <c r="T788" s="157"/>
    </row>
    <row r="789" spans="1:20" ht="13.5" customHeight="1" x14ac:dyDescent="0.25">
      <c r="A789" s="1"/>
      <c r="B789" s="1"/>
      <c r="C789" s="1"/>
      <c r="D789" s="1"/>
      <c r="E789" s="1"/>
      <c r="F789" s="5"/>
      <c r="G789" s="5"/>
      <c r="H789" s="1"/>
      <c r="I789" s="1"/>
      <c r="J789" s="1"/>
      <c r="K789" s="1"/>
      <c r="L789" s="5"/>
      <c r="M789" s="5"/>
      <c r="N789" s="1"/>
      <c r="O789" s="5"/>
      <c r="P789" s="5"/>
      <c r="Q789" s="1"/>
      <c r="R789" s="156"/>
      <c r="S789" s="156"/>
      <c r="T789" s="157"/>
    </row>
    <row r="790" spans="1:20" ht="13.5" customHeight="1" x14ac:dyDescent="0.25">
      <c r="A790" s="1"/>
      <c r="B790" s="1"/>
      <c r="C790" s="1"/>
      <c r="D790" s="1"/>
      <c r="E790" s="1"/>
      <c r="F790" s="5"/>
      <c r="G790" s="5"/>
      <c r="H790" s="1"/>
      <c r="I790" s="1"/>
      <c r="J790" s="1"/>
      <c r="K790" s="1"/>
      <c r="L790" s="5"/>
      <c r="M790" s="5"/>
      <c r="N790" s="1"/>
      <c r="O790" s="5"/>
      <c r="P790" s="5"/>
      <c r="Q790" s="1"/>
      <c r="R790" s="156"/>
      <c r="S790" s="156"/>
      <c r="T790" s="157"/>
    </row>
    <row r="791" spans="1:20" ht="13.5" customHeight="1" x14ac:dyDescent="0.25">
      <c r="A791" s="1"/>
      <c r="B791" s="1"/>
      <c r="C791" s="1"/>
      <c r="D791" s="1"/>
      <c r="E791" s="1"/>
      <c r="F791" s="5"/>
      <c r="G791" s="5"/>
      <c r="H791" s="1"/>
      <c r="I791" s="1"/>
      <c r="J791" s="1"/>
      <c r="K791" s="1"/>
      <c r="L791" s="5"/>
      <c r="M791" s="5"/>
      <c r="N791" s="1"/>
      <c r="O791" s="5"/>
      <c r="P791" s="5"/>
      <c r="Q791" s="1"/>
      <c r="R791" s="156"/>
      <c r="S791" s="156"/>
      <c r="T791" s="157"/>
    </row>
    <row r="792" spans="1:20" ht="13.5" customHeight="1" x14ac:dyDescent="0.25">
      <c r="A792" s="1"/>
      <c r="B792" s="1"/>
      <c r="C792" s="1"/>
      <c r="D792" s="1"/>
      <c r="E792" s="1"/>
      <c r="F792" s="5"/>
      <c r="G792" s="5"/>
      <c r="H792" s="1"/>
      <c r="I792" s="1"/>
      <c r="J792" s="1"/>
      <c r="K792" s="1"/>
      <c r="L792" s="5"/>
      <c r="M792" s="5"/>
      <c r="N792" s="1"/>
      <c r="O792" s="5"/>
      <c r="P792" s="5"/>
      <c r="Q792" s="1"/>
      <c r="R792" s="156"/>
      <c r="S792" s="156"/>
      <c r="T792" s="157"/>
    </row>
    <row r="793" spans="1:20" ht="13.5" customHeight="1" x14ac:dyDescent="0.25">
      <c r="A793" s="1"/>
      <c r="B793" s="1"/>
      <c r="C793" s="1"/>
      <c r="D793" s="1"/>
      <c r="E793" s="1"/>
      <c r="F793" s="5"/>
      <c r="G793" s="5"/>
      <c r="H793" s="1"/>
      <c r="I793" s="1"/>
      <c r="J793" s="1"/>
      <c r="K793" s="1"/>
      <c r="L793" s="5"/>
      <c r="M793" s="5"/>
      <c r="N793" s="1"/>
      <c r="O793" s="5"/>
      <c r="P793" s="5"/>
      <c r="Q793" s="1"/>
      <c r="R793" s="156"/>
      <c r="S793" s="156"/>
      <c r="T793" s="157"/>
    </row>
    <row r="794" spans="1:20" ht="13.5" customHeight="1" x14ac:dyDescent="0.25">
      <c r="A794" s="1"/>
      <c r="B794" s="1"/>
      <c r="C794" s="1"/>
      <c r="D794" s="1"/>
      <c r="E794" s="1"/>
      <c r="F794" s="5"/>
      <c r="G794" s="5"/>
      <c r="H794" s="1"/>
      <c r="I794" s="1"/>
      <c r="J794" s="1"/>
      <c r="K794" s="1"/>
      <c r="L794" s="5"/>
      <c r="M794" s="5"/>
      <c r="N794" s="1"/>
      <c r="O794" s="5"/>
      <c r="P794" s="5"/>
      <c r="Q794" s="1"/>
      <c r="R794" s="156"/>
      <c r="S794" s="156"/>
      <c r="T794" s="157"/>
    </row>
    <row r="795" spans="1:20" ht="13.5" customHeight="1" x14ac:dyDescent="0.25">
      <c r="A795" s="1"/>
      <c r="B795" s="1"/>
      <c r="C795" s="1"/>
      <c r="D795" s="1"/>
      <c r="E795" s="1"/>
      <c r="F795" s="5"/>
      <c r="G795" s="5"/>
      <c r="H795" s="1"/>
      <c r="I795" s="1"/>
      <c r="J795" s="1"/>
      <c r="K795" s="1"/>
      <c r="L795" s="5"/>
      <c r="M795" s="5"/>
      <c r="N795" s="1"/>
      <c r="O795" s="5"/>
      <c r="P795" s="5"/>
      <c r="Q795" s="1"/>
      <c r="R795" s="156"/>
      <c r="S795" s="156"/>
      <c r="T795" s="157"/>
    </row>
    <row r="796" spans="1:20" ht="13.5" customHeight="1" x14ac:dyDescent="0.25">
      <c r="A796" s="1"/>
      <c r="B796" s="1"/>
      <c r="C796" s="1"/>
      <c r="D796" s="1"/>
      <c r="E796" s="1"/>
      <c r="F796" s="5"/>
      <c r="G796" s="5"/>
      <c r="H796" s="1"/>
      <c r="I796" s="1"/>
      <c r="J796" s="1"/>
      <c r="K796" s="1"/>
      <c r="L796" s="5"/>
      <c r="M796" s="5"/>
      <c r="N796" s="1"/>
      <c r="O796" s="5"/>
      <c r="P796" s="5"/>
      <c r="Q796" s="1"/>
      <c r="R796" s="156"/>
      <c r="S796" s="156"/>
      <c r="T796" s="157"/>
    </row>
    <row r="797" spans="1:20" ht="13.5" customHeight="1" x14ac:dyDescent="0.25">
      <c r="A797" s="1"/>
      <c r="B797" s="1"/>
      <c r="C797" s="1"/>
      <c r="D797" s="1"/>
      <c r="E797" s="1"/>
      <c r="F797" s="5"/>
      <c r="G797" s="5"/>
      <c r="H797" s="1"/>
      <c r="I797" s="1"/>
      <c r="J797" s="1"/>
      <c r="K797" s="1"/>
      <c r="L797" s="5"/>
      <c r="M797" s="5"/>
      <c r="N797" s="1"/>
      <c r="O797" s="5"/>
      <c r="P797" s="5"/>
      <c r="Q797" s="1"/>
      <c r="R797" s="156"/>
      <c r="S797" s="156"/>
      <c r="T797" s="157"/>
    </row>
    <row r="798" spans="1:20" ht="13.5" customHeight="1" x14ac:dyDescent="0.25">
      <c r="A798" s="1"/>
      <c r="B798" s="1"/>
      <c r="C798" s="1"/>
      <c r="D798" s="1"/>
      <c r="E798" s="1"/>
      <c r="F798" s="5"/>
      <c r="G798" s="5"/>
      <c r="H798" s="1"/>
      <c r="I798" s="1"/>
      <c r="J798" s="1"/>
      <c r="K798" s="1"/>
      <c r="L798" s="5"/>
      <c r="M798" s="5"/>
      <c r="N798" s="1"/>
      <c r="O798" s="5"/>
      <c r="P798" s="5"/>
      <c r="Q798" s="1"/>
      <c r="R798" s="156"/>
      <c r="S798" s="156"/>
      <c r="T798" s="157"/>
    </row>
    <row r="799" spans="1:20" ht="13.5" customHeight="1" x14ac:dyDescent="0.25">
      <c r="A799" s="1"/>
      <c r="B799" s="1"/>
      <c r="C799" s="1"/>
      <c r="D799" s="1"/>
      <c r="E799" s="1"/>
      <c r="F799" s="5"/>
      <c r="G799" s="5"/>
      <c r="H799" s="1"/>
      <c r="I799" s="1"/>
      <c r="J799" s="1"/>
      <c r="K799" s="1"/>
      <c r="L799" s="5"/>
      <c r="M799" s="5"/>
      <c r="N799" s="1"/>
      <c r="O799" s="5"/>
      <c r="P799" s="5"/>
      <c r="Q799" s="1"/>
      <c r="R799" s="156"/>
      <c r="S799" s="156"/>
      <c r="T799" s="157"/>
    </row>
    <row r="800" spans="1:20" ht="13.5" customHeight="1" x14ac:dyDescent="0.25">
      <c r="A800" s="1"/>
      <c r="B800" s="1"/>
      <c r="C800" s="1"/>
      <c r="D800" s="1"/>
      <c r="E800" s="1"/>
      <c r="F800" s="5"/>
      <c r="G800" s="5"/>
      <c r="H800" s="1"/>
      <c r="I800" s="1"/>
      <c r="J800" s="1"/>
      <c r="K800" s="1"/>
      <c r="L800" s="5"/>
      <c r="M800" s="5"/>
      <c r="N800" s="1"/>
      <c r="O800" s="5"/>
      <c r="P800" s="5"/>
      <c r="Q800" s="1"/>
      <c r="R800" s="156"/>
      <c r="S800" s="156"/>
      <c r="T800" s="157"/>
    </row>
    <row r="801" spans="1:20" ht="13.5" customHeight="1" x14ac:dyDescent="0.25">
      <c r="A801" s="1"/>
      <c r="B801" s="1"/>
      <c r="C801" s="1"/>
      <c r="D801" s="1"/>
      <c r="E801" s="1"/>
      <c r="F801" s="5"/>
      <c r="G801" s="5"/>
      <c r="H801" s="1"/>
      <c r="I801" s="1"/>
      <c r="J801" s="1"/>
      <c r="K801" s="1"/>
      <c r="L801" s="5"/>
      <c r="M801" s="5"/>
      <c r="N801" s="1"/>
      <c r="O801" s="5"/>
      <c r="P801" s="5"/>
      <c r="Q801" s="1"/>
      <c r="R801" s="156"/>
      <c r="S801" s="156"/>
      <c r="T801" s="157"/>
    </row>
    <row r="802" spans="1:20" ht="13.5" customHeight="1" x14ac:dyDescent="0.25">
      <c r="A802" s="1"/>
      <c r="B802" s="1"/>
      <c r="C802" s="1"/>
      <c r="D802" s="1"/>
      <c r="E802" s="1"/>
      <c r="F802" s="5"/>
      <c r="G802" s="5"/>
      <c r="H802" s="1"/>
      <c r="I802" s="1"/>
      <c r="J802" s="1"/>
      <c r="K802" s="1"/>
      <c r="L802" s="5"/>
      <c r="M802" s="5"/>
      <c r="N802" s="1"/>
      <c r="O802" s="5"/>
      <c r="P802" s="5"/>
      <c r="Q802" s="1"/>
      <c r="R802" s="156"/>
      <c r="S802" s="156"/>
      <c r="T802" s="157"/>
    </row>
    <row r="803" spans="1:20" ht="13.5" customHeight="1" x14ac:dyDescent="0.25">
      <c r="A803" s="1"/>
      <c r="B803" s="1"/>
      <c r="C803" s="1"/>
      <c r="D803" s="1"/>
      <c r="E803" s="1"/>
      <c r="F803" s="5"/>
      <c r="G803" s="5"/>
      <c r="H803" s="1"/>
      <c r="I803" s="1"/>
      <c r="J803" s="1"/>
      <c r="K803" s="1"/>
      <c r="L803" s="5"/>
      <c r="M803" s="5"/>
      <c r="N803" s="1"/>
      <c r="O803" s="5"/>
      <c r="P803" s="5"/>
      <c r="Q803" s="1"/>
      <c r="R803" s="156"/>
      <c r="S803" s="156"/>
      <c r="T803" s="157"/>
    </row>
    <row r="804" spans="1:20" ht="13.5" customHeight="1" x14ac:dyDescent="0.25">
      <c r="A804" s="1"/>
      <c r="B804" s="1"/>
      <c r="C804" s="1"/>
      <c r="D804" s="1"/>
      <c r="E804" s="1"/>
      <c r="F804" s="5"/>
      <c r="G804" s="5"/>
      <c r="H804" s="1"/>
      <c r="I804" s="1"/>
      <c r="J804" s="1"/>
      <c r="K804" s="1"/>
      <c r="L804" s="5"/>
      <c r="M804" s="5"/>
      <c r="N804" s="1"/>
      <c r="O804" s="5"/>
      <c r="P804" s="5"/>
      <c r="Q804" s="1"/>
      <c r="R804" s="156"/>
      <c r="S804" s="156"/>
      <c r="T804" s="157"/>
    </row>
    <row r="805" spans="1:20" ht="13.5" customHeight="1" x14ac:dyDescent="0.25">
      <c r="A805" s="1"/>
      <c r="B805" s="1"/>
      <c r="C805" s="1"/>
      <c r="D805" s="1"/>
      <c r="E805" s="1"/>
      <c r="F805" s="5"/>
      <c r="G805" s="5"/>
      <c r="H805" s="1"/>
      <c r="I805" s="1"/>
      <c r="J805" s="1"/>
      <c r="K805" s="1"/>
      <c r="L805" s="5"/>
      <c r="M805" s="5"/>
      <c r="N805" s="1"/>
      <c r="O805" s="5"/>
      <c r="P805" s="5"/>
      <c r="Q805" s="1"/>
      <c r="R805" s="156"/>
      <c r="S805" s="156"/>
      <c r="T805" s="157"/>
    </row>
    <row r="806" spans="1:20" ht="13.5" customHeight="1" x14ac:dyDescent="0.25">
      <c r="A806" s="1"/>
      <c r="B806" s="1"/>
      <c r="C806" s="1"/>
      <c r="D806" s="1"/>
      <c r="E806" s="1"/>
      <c r="F806" s="5"/>
      <c r="G806" s="5"/>
      <c r="H806" s="1"/>
      <c r="I806" s="1"/>
      <c r="J806" s="1"/>
      <c r="K806" s="1"/>
      <c r="L806" s="5"/>
      <c r="M806" s="5"/>
      <c r="N806" s="1"/>
      <c r="O806" s="5"/>
      <c r="P806" s="5"/>
      <c r="Q806" s="1"/>
      <c r="R806" s="156"/>
      <c r="S806" s="156"/>
      <c r="T806" s="157"/>
    </row>
    <row r="807" spans="1:20" ht="13.5" customHeight="1" x14ac:dyDescent="0.25">
      <c r="A807" s="1"/>
      <c r="B807" s="1"/>
      <c r="C807" s="1"/>
      <c r="D807" s="1"/>
      <c r="E807" s="1"/>
      <c r="F807" s="5"/>
      <c r="G807" s="5"/>
      <c r="H807" s="1"/>
      <c r="I807" s="1"/>
      <c r="J807" s="1"/>
      <c r="K807" s="1"/>
      <c r="L807" s="5"/>
      <c r="M807" s="5"/>
      <c r="N807" s="1"/>
      <c r="O807" s="5"/>
      <c r="P807" s="5"/>
      <c r="Q807" s="1"/>
      <c r="R807" s="156"/>
      <c r="S807" s="156"/>
      <c r="T807" s="157"/>
    </row>
    <row r="808" spans="1:20" ht="13.5" customHeight="1" x14ac:dyDescent="0.25">
      <c r="A808" s="1"/>
      <c r="B808" s="1"/>
      <c r="C808" s="1"/>
      <c r="D808" s="1"/>
      <c r="E808" s="1"/>
      <c r="F808" s="5"/>
      <c r="G808" s="5"/>
      <c r="H808" s="1"/>
      <c r="I808" s="1"/>
      <c r="J808" s="1"/>
      <c r="K808" s="1"/>
      <c r="L808" s="5"/>
      <c r="M808" s="5"/>
      <c r="N808" s="1"/>
      <c r="O808" s="5"/>
      <c r="P808" s="5"/>
      <c r="Q808" s="1"/>
      <c r="R808" s="156"/>
      <c r="S808" s="156"/>
      <c r="T808" s="157"/>
    </row>
    <row r="809" spans="1:20" ht="13.5" customHeight="1" x14ac:dyDescent="0.25">
      <c r="A809" s="1"/>
      <c r="B809" s="1"/>
      <c r="C809" s="1"/>
      <c r="D809" s="1"/>
      <c r="E809" s="1"/>
      <c r="F809" s="5"/>
      <c r="G809" s="5"/>
      <c r="H809" s="1"/>
      <c r="I809" s="1"/>
      <c r="J809" s="1"/>
      <c r="K809" s="1"/>
      <c r="L809" s="5"/>
      <c r="M809" s="5"/>
      <c r="N809" s="1"/>
      <c r="O809" s="5"/>
      <c r="P809" s="5"/>
      <c r="Q809" s="1"/>
      <c r="R809" s="156"/>
      <c r="S809" s="156"/>
      <c r="T809" s="157"/>
    </row>
    <row r="810" spans="1:20" ht="13.5" customHeight="1" x14ac:dyDescent="0.25">
      <c r="A810" s="1"/>
      <c r="B810" s="1"/>
      <c r="C810" s="1"/>
      <c r="D810" s="1"/>
      <c r="E810" s="1"/>
      <c r="F810" s="5"/>
      <c r="G810" s="5"/>
      <c r="H810" s="1"/>
      <c r="I810" s="1"/>
      <c r="J810" s="1"/>
      <c r="K810" s="1"/>
      <c r="L810" s="5"/>
      <c r="M810" s="5"/>
      <c r="N810" s="1"/>
      <c r="O810" s="5"/>
      <c r="P810" s="5"/>
      <c r="Q810" s="1"/>
      <c r="R810" s="156"/>
      <c r="S810" s="156"/>
      <c r="T810" s="157"/>
    </row>
    <row r="811" spans="1:20" ht="13.5" customHeight="1" x14ac:dyDescent="0.25">
      <c r="A811" s="1"/>
      <c r="B811" s="1"/>
      <c r="C811" s="1"/>
      <c r="D811" s="1"/>
      <c r="E811" s="1"/>
      <c r="F811" s="5"/>
      <c r="G811" s="5"/>
      <c r="H811" s="1"/>
      <c r="I811" s="1"/>
      <c r="J811" s="1"/>
      <c r="K811" s="1"/>
      <c r="L811" s="5"/>
      <c r="M811" s="5"/>
      <c r="N811" s="1"/>
      <c r="O811" s="5"/>
      <c r="P811" s="5"/>
      <c r="Q811" s="1"/>
      <c r="R811" s="156"/>
      <c r="S811" s="156"/>
      <c r="T811" s="157"/>
    </row>
    <row r="812" spans="1:20" ht="13.5" customHeight="1" x14ac:dyDescent="0.25">
      <c r="A812" s="1"/>
      <c r="B812" s="1"/>
      <c r="C812" s="1"/>
      <c r="D812" s="1"/>
      <c r="E812" s="1"/>
      <c r="F812" s="5"/>
      <c r="G812" s="5"/>
      <c r="H812" s="1"/>
      <c r="I812" s="1"/>
      <c r="J812" s="1"/>
      <c r="K812" s="1"/>
      <c r="L812" s="5"/>
      <c r="M812" s="5"/>
      <c r="N812" s="1"/>
      <c r="O812" s="5"/>
      <c r="P812" s="5"/>
      <c r="Q812" s="1"/>
      <c r="R812" s="156"/>
      <c r="S812" s="156"/>
      <c r="T812" s="157"/>
    </row>
    <row r="813" spans="1:20" ht="13.5" customHeight="1" x14ac:dyDescent="0.25">
      <c r="A813" s="1"/>
      <c r="B813" s="1"/>
      <c r="C813" s="1"/>
      <c r="D813" s="1"/>
      <c r="E813" s="1"/>
      <c r="F813" s="5"/>
      <c r="G813" s="5"/>
      <c r="H813" s="1"/>
      <c r="I813" s="1"/>
      <c r="J813" s="1"/>
      <c r="K813" s="1"/>
      <c r="L813" s="5"/>
      <c r="M813" s="5"/>
      <c r="N813" s="1"/>
      <c r="O813" s="5"/>
      <c r="P813" s="5"/>
      <c r="Q813" s="1"/>
      <c r="R813" s="156"/>
      <c r="S813" s="156"/>
      <c r="T813" s="157"/>
    </row>
    <row r="814" spans="1:20" ht="13.5" customHeight="1" x14ac:dyDescent="0.25">
      <c r="A814" s="1"/>
      <c r="B814" s="1"/>
      <c r="C814" s="1"/>
      <c r="D814" s="1"/>
      <c r="E814" s="1"/>
      <c r="F814" s="5"/>
      <c r="G814" s="5"/>
      <c r="H814" s="1"/>
      <c r="I814" s="1"/>
      <c r="J814" s="1"/>
      <c r="K814" s="1"/>
      <c r="L814" s="5"/>
      <c r="M814" s="5"/>
      <c r="N814" s="1"/>
      <c r="O814" s="5"/>
      <c r="P814" s="5"/>
      <c r="Q814" s="1"/>
      <c r="R814" s="156"/>
      <c r="S814" s="156"/>
      <c r="T814" s="157"/>
    </row>
    <row r="815" spans="1:20" ht="13.5" customHeight="1" x14ac:dyDescent="0.25">
      <c r="A815" s="1"/>
      <c r="B815" s="1"/>
      <c r="C815" s="1"/>
      <c r="D815" s="1"/>
      <c r="E815" s="1"/>
      <c r="F815" s="5"/>
      <c r="G815" s="5"/>
      <c r="H815" s="1"/>
      <c r="I815" s="1"/>
      <c r="J815" s="1"/>
      <c r="K815" s="1"/>
      <c r="L815" s="5"/>
      <c r="M815" s="5"/>
      <c r="N815" s="1"/>
      <c r="O815" s="5"/>
      <c r="P815" s="5"/>
      <c r="Q815" s="1"/>
      <c r="R815" s="156"/>
      <c r="S815" s="156"/>
      <c r="T815" s="157"/>
    </row>
    <row r="816" spans="1:20" ht="13.5" customHeight="1" x14ac:dyDescent="0.25">
      <c r="A816" s="1"/>
      <c r="B816" s="1"/>
      <c r="C816" s="1"/>
      <c r="D816" s="1"/>
      <c r="E816" s="1"/>
      <c r="F816" s="5"/>
      <c r="G816" s="5"/>
      <c r="H816" s="1"/>
      <c r="I816" s="1"/>
      <c r="J816" s="1"/>
      <c r="K816" s="1"/>
      <c r="L816" s="5"/>
      <c r="M816" s="5"/>
      <c r="N816" s="1"/>
      <c r="O816" s="5"/>
      <c r="P816" s="5"/>
      <c r="Q816" s="1"/>
      <c r="R816" s="156"/>
      <c r="S816" s="156"/>
      <c r="T816" s="157"/>
    </row>
    <row r="817" spans="1:20" ht="13.5" customHeight="1" x14ac:dyDescent="0.25">
      <c r="A817" s="1"/>
      <c r="B817" s="1"/>
      <c r="C817" s="1"/>
      <c r="D817" s="1"/>
      <c r="E817" s="1"/>
      <c r="F817" s="5"/>
      <c r="G817" s="5"/>
      <c r="H817" s="1"/>
      <c r="I817" s="1"/>
      <c r="J817" s="1"/>
      <c r="K817" s="1"/>
      <c r="L817" s="5"/>
      <c r="M817" s="5"/>
      <c r="N817" s="1"/>
      <c r="O817" s="5"/>
      <c r="P817" s="5"/>
      <c r="Q817" s="1"/>
      <c r="R817" s="156"/>
      <c r="S817" s="156"/>
      <c r="T817" s="157"/>
    </row>
    <row r="818" spans="1:20" ht="13.5" customHeight="1" x14ac:dyDescent="0.25">
      <c r="A818" s="1"/>
      <c r="B818" s="1"/>
      <c r="C818" s="1"/>
      <c r="D818" s="1"/>
      <c r="E818" s="1"/>
      <c r="F818" s="5"/>
      <c r="G818" s="5"/>
      <c r="H818" s="1"/>
      <c r="I818" s="1"/>
      <c r="J818" s="1"/>
      <c r="K818" s="1"/>
      <c r="L818" s="5"/>
      <c r="M818" s="5"/>
      <c r="N818" s="1"/>
      <c r="O818" s="5"/>
      <c r="P818" s="5"/>
      <c r="Q818" s="1"/>
      <c r="R818" s="156"/>
      <c r="S818" s="156"/>
      <c r="T818" s="157"/>
    </row>
    <row r="819" spans="1:20" ht="13.5" customHeight="1" x14ac:dyDescent="0.25">
      <c r="A819" s="1"/>
      <c r="B819" s="1"/>
      <c r="C819" s="1"/>
      <c r="D819" s="1"/>
      <c r="E819" s="1"/>
      <c r="F819" s="5"/>
      <c r="G819" s="5"/>
      <c r="H819" s="1"/>
      <c r="I819" s="1"/>
      <c r="J819" s="1"/>
      <c r="K819" s="1"/>
      <c r="L819" s="5"/>
      <c r="M819" s="5"/>
      <c r="N819" s="1"/>
      <c r="O819" s="5"/>
      <c r="P819" s="5"/>
      <c r="Q819" s="1"/>
      <c r="R819" s="156"/>
      <c r="S819" s="156"/>
      <c r="T819" s="157"/>
    </row>
    <row r="820" spans="1:20" ht="13.5" customHeight="1" x14ac:dyDescent="0.25">
      <c r="A820" s="1"/>
      <c r="B820" s="1"/>
      <c r="C820" s="1"/>
      <c r="D820" s="1"/>
      <c r="E820" s="1"/>
      <c r="F820" s="5"/>
      <c r="G820" s="5"/>
      <c r="H820" s="1"/>
      <c r="I820" s="1"/>
      <c r="J820" s="1"/>
      <c r="K820" s="1"/>
      <c r="L820" s="5"/>
      <c r="M820" s="5"/>
      <c r="N820" s="1"/>
      <c r="O820" s="5"/>
      <c r="P820" s="5"/>
      <c r="Q820" s="1"/>
      <c r="R820" s="156"/>
      <c r="S820" s="156"/>
      <c r="T820" s="157"/>
    </row>
    <row r="821" spans="1:20" ht="13.5" customHeight="1" x14ac:dyDescent="0.25">
      <c r="A821" s="1"/>
      <c r="B821" s="1"/>
      <c r="C821" s="1"/>
      <c r="D821" s="1"/>
      <c r="E821" s="1"/>
      <c r="F821" s="5"/>
      <c r="G821" s="5"/>
      <c r="H821" s="1"/>
      <c r="I821" s="1"/>
      <c r="J821" s="1"/>
      <c r="K821" s="1"/>
      <c r="L821" s="5"/>
      <c r="M821" s="5"/>
      <c r="N821" s="1"/>
      <c r="O821" s="5"/>
      <c r="P821" s="5"/>
      <c r="Q821" s="1"/>
      <c r="R821" s="156"/>
      <c r="S821" s="156"/>
      <c r="T821" s="157"/>
    </row>
    <row r="822" spans="1:20" ht="13.5" customHeight="1" x14ac:dyDescent="0.25">
      <c r="A822" s="1"/>
      <c r="B822" s="1"/>
      <c r="C822" s="1"/>
      <c r="D822" s="1"/>
      <c r="E822" s="1"/>
      <c r="F822" s="5"/>
      <c r="G822" s="5"/>
      <c r="H822" s="1"/>
      <c r="I822" s="1"/>
      <c r="J822" s="1"/>
      <c r="K822" s="1"/>
      <c r="L822" s="5"/>
      <c r="M822" s="5"/>
      <c r="N822" s="1"/>
      <c r="O822" s="5"/>
      <c r="P822" s="5"/>
      <c r="Q822" s="1"/>
      <c r="R822" s="156"/>
      <c r="S822" s="156"/>
      <c r="T822" s="157"/>
    </row>
    <row r="823" spans="1:20" ht="13.5" customHeight="1" x14ac:dyDescent="0.25">
      <c r="A823" s="1"/>
      <c r="B823" s="1"/>
      <c r="C823" s="1"/>
      <c r="D823" s="1"/>
      <c r="E823" s="1"/>
      <c r="F823" s="5"/>
      <c r="G823" s="5"/>
      <c r="H823" s="1"/>
      <c r="I823" s="1"/>
      <c r="J823" s="1"/>
      <c r="K823" s="1"/>
      <c r="L823" s="5"/>
      <c r="M823" s="5"/>
      <c r="N823" s="1"/>
      <c r="O823" s="5"/>
      <c r="P823" s="5"/>
      <c r="Q823" s="1"/>
      <c r="R823" s="156"/>
      <c r="S823" s="156"/>
      <c r="T823" s="157"/>
    </row>
    <row r="824" spans="1:20" ht="13.5" customHeight="1" x14ac:dyDescent="0.25">
      <c r="A824" s="1"/>
      <c r="B824" s="1"/>
      <c r="C824" s="1"/>
      <c r="D824" s="1"/>
      <c r="E824" s="1"/>
      <c r="F824" s="5"/>
      <c r="G824" s="5"/>
      <c r="H824" s="1"/>
      <c r="I824" s="1"/>
      <c r="J824" s="1"/>
      <c r="K824" s="1"/>
      <c r="L824" s="5"/>
      <c r="M824" s="5"/>
      <c r="N824" s="1"/>
      <c r="O824" s="5"/>
      <c r="P824" s="5"/>
      <c r="Q824" s="1"/>
      <c r="R824" s="156"/>
      <c r="S824" s="156"/>
      <c r="T824" s="157"/>
    </row>
    <row r="825" spans="1:20" ht="13.5" customHeight="1" x14ac:dyDescent="0.25">
      <c r="A825" s="1"/>
      <c r="B825" s="1"/>
      <c r="C825" s="1"/>
      <c r="D825" s="1"/>
      <c r="E825" s="1"/>
      <c r="F825" s="5"/>
      <c r="G825" s="5"/>
      <c r="H825" s="1"/>
      <c r="I825" s="1"/>
      <c r="J825" s="1"/>
      <c r="K825" s="1"/>
      <c r="L825" s="5"/>
      <c r="M825" s="5"/>
      <c r="N825" s="1"/>
      <c r="O825" s="5"/>
      <c r="P825" s="5"/>
      <c r="Q825" s="1"/>
      <c r="R825" s="156"/>
      <c r="S825" s="156"/>
      <c r="T825" s="157"/>
    </row>
    <row r="826" spans="1:20" ht="13.5" customHeight="1" x14ac:dyDescent="0.25">
      <c r="A826" s="1"/>
      <c r="B826" s="1"/>
      <c r="C826" s="1"/>
      <c r="D826" s="1"/>
      <c r="E826" s="1"/>
      <c r="F826" s="5"/>
      <c r="G826" s="5"/>
      <c r="H826" s="1"/>
      <c r="I826" s="1"/>
      <c r="J826" s="1"/>
      <c r="K826" s="1"/>
      <c r="L826" s="5"/>
      <c r="M826" s="5"/>
      <c r="N826" s="1"/>
      <c r="O826" s="5"/>
      <c r="P826" s="5"/>
      <c r="Q826" s="1"/>
      <c r="R826" s="156"/>
      <c r="S826" s="156"/>
      <c r="T826" s="157"/>
    </row>
    <row r="827" spans="1:20" ht="13.5" customHeight="1" x14ac:dyDescent="0.25">
      <c r="A827" s="1"/>
      <c r="B827" s="1"/>
      <c r="C827" s="1"/>
      <c r="D827" s="1"/>
      <c r="E827" s="1"/>
      <c r="F827" s="5"/>
      <c r="G827" s="5"/>
      <c r="H827" s="1"/>
      <c r="I827" s="1"/>
      <c r="J827" s="1"/>
      <c r="K827" s="1"/>
      <c r="L827" s="5"/>
      <c r="M827" s="5"/>
      <c r="N827" s="1"/>
      <c r="O827" s="5"/>
      <c r="P827" s="5"/>
      <c r="Q827" s="1"/>
      <c r="R827" s="156"/>
      <c r="S827" s="156"/>
      <c r="T827" s="157"/>
    </row>
    <row r="828" spans="1:20" ht="13.5" customHeight="1" x14ac:dyDescent="0.25">
      <c r="A828" s="1"/>
      <c r="B828" s="1"/>
      <c r="C828" s="1"/>
      <c r="D828" s="1"/>
      <c r="E828" s="1"/>
      <c r="F828" s="5"/>
      <c r="G828" s="5"/>
      <c r="H828" s="1"/>
      <c r="I828" s="1"/>
      <c r="J828" s="1"/>
      <c r="K828" s="1"/>
      <c r="L828" s="5"/>
      <c r="M828" s="5"/>
      <c r="N828" s="1"/>
      <c r="O828" s="5"/>
      <c r="P828" s="5"/>
      <c r="Q828" s="1"/>
      <c r="R828" s="156"/>
      <c r="S828" s="156"/>
      <c r="T828" s="157"/>
    </row>
    <row r="829" spans="1:20" ht="13.5" customHeight="1" x14ac:dyDescent="0.25">
      <c r="A829" s="1"/>
      <c r="B829" s="1"/>
      <c r="C829" s="1"/>
      <c r="D829" s="1"/>
      <c r="E829" s="1"/>
      <c r="F829" s="5"/>
      <c r="G829" s="5"/>
      <c r="H829" s="1"/>
      <c r="I829" s="1"/>
      <c r="J829" s="1"/>
      <c r="K829" s="1"/>
      <c r="L829" s="5"/>
      <c r="M829" s="5"/>
      <c r="N829" s="1"/>
      <c r="O829" s="5"/>
      <c r="P829" s="5"/>
      <c r="Q829" s="1"/>
      <c r="R829" s="156"/>
      <c r="S829" s="156"/>
      <c r="T829" s="157"/>
    </row>
    <row r="830" spans="1:20" ht="13.5" customHeight="1" x14ac:dyDescent="0.25">
      <c r="A830" s="1"/>
      <c r="B830" s="1"/>
      <c r="C830" s="1"/>
      <c r="D830" s="1"/>
      <c r="E830" s="1"/>
      <c r="F830" s="5"/>
      <c r="G830" s="5"/>
      <c r="H830" s="1"/>
      <c r="I830" s="1"/>
      <c r="J830" s="1"/>
      <c r="K830" s="1"/>
      <c r="L830" s="5"/>
      <c r="M830" s="5"/>
      <c r="N830" s="1"/>
      <c r="O830" s="5"/>
      <c r="P830" s="5"/>
      <c r="Q830" s="1"/>
      <c r="R830" s="156"/>
      <c r="S830" s="156"/>
      <c r="T830" s="157"/>
    </row>
    <row r="831" spans="1:20" ht="13.5" customHeight="1" x14ac:dyDescent="0.25">
      <c r="A831" s="1"/>
      <c r="B831" s="1"/>
      <c r="C831" s="1"/>
      <c r="D831" s="1"/>
      <c r="E831" s="1"/>
      <c r="F831" s="5"/>
      <c r="G831" s="5"/>
      <c r="H831" s="1"/>
      <c r="I831" s="1"/>
      <c r="J831" s="1"/>
      <c r="K831" s="1"/>
      <c r="L831" s="5"/>
      <c r="M831" s="5"/>
      <c r="N831" s="1"/>
      <c r="O831" s="5"/>
      <c r="P831" s="5"/>
      <c r="Q831" s="1"/>
      <c r="R831" s="156"/>
      <c r="S831" s="156"/>
      <c r="T831" s="157"/>
    </row>
    <row r="832" spans="1:20" ht="13.5" customHeight="1" x14ac:dyDescent="0.25">
      <c r="A832" s="1"/>
      <c r="B832" s="1"/>
      <c r="C832" s="1"/>
      <c r="D832" s="1"/>
      <c r="E832" s="1"/>
      <c r="F832" s="5"/>
      <c r="G832" s="5"/>
      <c r="H832" s="1"/>
      <c r="I832" s="1"/>
      <c r="J832" s="1"/>
      <c r="K832" s="1"/>
      <c r="L832" s="5"/>
      <c r="M832" s="5"/>
      <c r="N832" s="1"/>
      <c r="O832" s="5"/>
      <c r="P832" s="5"/>
      <c r="Q832" s="1"/>
      <c r="R832" s="156"/>
      <c r="S832" s="156"/>
      <c r="T832" s="157"/>
    </row>
    <row r="833" spans="1:20" ht="13.5" customHeight="1" x14ac:dyDescent="0.25">
      <c r="A833" s="1"/>
      <c r="B833" s="1"/>
      <c r="C833" s="1"/>
      <c r="D833" s="1"/>
      <c r="E833" s="1"/>
      <c r="F833" s="5"/>
      <c r="G833" s="5"/>
      <c r="H833" s="1"/>
      <c r="I833" s="1"/>
      <c r="J833" s="1"/>
      <c r="K833" s="1"/>
      <c r="L833" s="5"/>
      <c r="M833" s="5"/>
      <c r="N833" s="1"/>
      <c r="O833" s="5"/>
      <c r="P833" s="5"/>
      <c r="Q833" s="1"/>
      <c r="R833" s="156"/>
      <c r="S833" s="156"/>
      <c r="T833" s="157"/>
    </row>
    <row r="834" spans="1:20" ht="13.5" customHeight="1" x14ac:dyDescent="0.25">
      <c r="A834" s="1"/>
      <c r="B834" s="1"/>
      <c r="C834" s="1"/>
      <c r="D834" s="1"/>
      <c r="E834" s="1"/>
      <c r="F834" s="5"/>
      <c r="G834" s="5"/>
      <c r="H834" s="1"/>
      <c r="I834" s="1"/>
      <c r="J834" s="1"/>
      <c r="K834" s="1"/>
      <c r="L834" s="5"/>
      <c r="M834" s="5"/>
      <c r="N834" s="1"/>
      <c r="O834" s="5"/>
      <c r="P834" s="5"/>
      <c r="Q834" s="1"/>
      <c r="R834" s="156"/>
      <c r="S834" s="156"/>
      <c r="T834" s="157"/>
    </row>
    <row r="835" spans="1:20" ht="13.5" customHeight="1" x14ac:dyDescent="0.25">
      <c r="A835" s="1"/>
      <c r="B835" s="1"/>
      <c r="C835" s="1"/>
      <c r="D835" s="1"/>
      <c r="E835" s="1"/>
      <c r="F835" s="5"/>
      <c r="G835" s="5"/>
      <c r="H835" s="1"/>
      <c r="I835" s="1"/>
      <c r="J835" s="1"/>
      <c r="K835" s="1"/>
      <c r="L835" s="5"/>
      <c r="M835" s="5"/>
      <c r="N835" s="1"/>
      <c r="O835" s="5"/>
      <c r="P835" s="5"/>
      <c r="Q835" s="1"/>
      <c r="R835" s="156"/>
      <c r="S835" s="156"/>
      <c r="T835" s="157"/>
    </row>
    <row r="836" spans="1:20" ht="13.5" customHeight="1" x14ac:dyDescent="0.25">
      <c r="A836" s="1"/>
      <c r="B836" s="1"/>
      <c r="C836" s="1"/>
      <c r="D836" s="1"/>
      <c r="E836" s="1"/>
      <c r="F836" s="5"/>
      <c r="G836" s="5"/>
      <c r="H836" s="1"/>
      <c r="I836" s="1"/>
      <c r="J836" s="1"/>
      <c r="K836" s="1"/>
      <c r="L836" s="5"/>
      <c r="M836" s="5"/>
      <c r="N836" s="1"/>
      <c r="O836" s="5"/>
      <c r="P836" s="5"/>
      <c r="Q836" s="1"/>
      <c r="R836" s="156"/>
      <c r="S836" s="156"/>
      <c r="T836" s="157"/>
    </row>
    <row r="837" spans="1:20" ht="13.5" customHeight="1" x14ac:dyDescent="0.25">
      <c r="A837" s="1"/>
      <c r="B837" s="1"/>
      <c r="C837" s="1"/>
      <c r="D837" s="1"/>
      <c r="E837" s="1"/>
      <c r="F837" s="5"/>
      <c r="G837" s="5"/>
      <c r="H837" s="1"/>
      <c r="I837" s="1"/>
      <c r="J837" s="1"/>
      <c r="K837" s="1"/>
      <c r="L837" s="5"/>
      <c r="M837" s="5"/>
      <c r="N837" s="1"/>
      <c r="O837" s="5"/>
      <c r="P837" s="5"/>
      <c r="Q837" s="1"/>
      <c r="R837" s="156"/>
      <c r="S837" s="156"/>
      <c r="T837" s="157"/>
    </row>
    <row r="838" spans="1:20" ht="13.5" customHeight="1" x14ac:dyDescent="0.25">
      <c r="A838" s="1"/>
      <c r="B838" s="1"/>
      <c r="C838" s="1"/>
      <c r="D838" s="1"/>
      <c r="E838" s="1"/>
      <c r="F838" s="5"/>
      <c r="G838" s="5"/>
      <c r="H838" s="1"/>
      <c r="I838" s="1"/>
      <c r="J838" s="1"/>
      <c r="K838" s="1"/>
      <c r="L838" s="5"/>
      <c r="M838" s="5"/>
      <c r="N838" s="1"/>
      <c r="O838" s="5"/>
      <c r="P838" s="5"/>
      <c r="Q838" s="1"/>
      <c r="R838" s="156"/>
      <c r="S838" s="156"/>
      <c r="T838" s="157"/>
    </row>
    <row r="839" spans="1:20" ht="13.5" customHeight="1" x14ac:dyDescent="0.25">
      <c r="A839" s="1"/>
      <c r="B839" s="1"/>
      <c r="C839" s="1"/>
      <c r="D839" s="1"/>
      <c r="E839" s="1"/>
      <c r="F839" s="5"/>
      <c r="G839" s="5"/>
      <c r="H839" s="1"/>
      <c r="I839" s="1"/>
      <c r="J839" s="1"/>
      <c r="K839" s="1"/>
      <c r="L839" s="5"/>
      <c r="M839" s="5"/>
      <c r="N839" s="1"/>
      <c r="O839" s="5"/>
      <c r="P839" s="5"/>
      <c r="Q839" s="1"/>
      <c r="R839" s="156"/>
      <c r="S839" s="156"/>
      <c r="T839" s="157"/>
    </row>
    <row r="840" spans="1:20" ht="13.5" customHeight="1" x14ac:dyDescent="0.25">
      <c r="A840" s="1"/>
      <c r="B840" s="1"/>
      <c r="C840" s="1"/>
      <c r="D840" s="1"/>
      <c r="E840" s="1"/>
      <c r="F840" s="5"/>
      <c r="G840" s="5"/>
      <c r="H840" s="1"/>
      <c r="I840" s="1"/>
      <c r="J840" s="1"/>
      <c r="K840" s="1"/>
      <c r="L840" s="5"/>
      <c r="M840" s="5"/>
      <c r="N840" s="1"/>
      <c r="O840" s="5"/>
      <c r="P840" s="5"/>
      <c r="Q840" s="1"/>
      <c r="R840" s="156"/>
      <c r="S840" s="156"/>
      <c r="T840" s="157"/>
    </row>
    <row r="841" spans="1:20" ht="13.5" customHeight="1" x14ac:dyDescent="0.25">
      <c r="A841" s="1"/>
      <c r="B841" s="1"/>
      <c r="C841" s="1"/>
      <c r="D841" s="1"/>
      <c r="E841" s="1"/>
      <c r="F841" s="5"/>
      <c r="G841" s="5"/>
      <c r="H841" s="1"/>
      <c r="I841" s="1"/>
      <c r="J841" s="1"/>
      <c r="K841" s="1"/>
      <c r="L841" s="5"/>
      <c r="M841" s="5"/>
      <c r="N841" s="1"/>
      <c r="O841" s="5"/>
      <c r="P841" s="5"/>
      <c r="Q841" s="1"/>
      <c r="R841" s="156"/>
      <c r="S841" s="156"/>
      <c r="T841" s="157"/>
    </row>
    <row r="842" spans="1:20" ht="13.5" customHeight="1" x14ac:dyDescent="0.25">
      <c r="A842" s="1"/>
      <c r="B842" s="1"/>
      <c r="C842" s="1"/>
      <c r="D842" s="1"/>
      <c r="E842" s="1"/>
      <c r="F842" s="5"/>
      <c r="G842" s="5"/>
      <c r="H842" s="1"/>
      <c r="I842" s="1"/>
      <c r="J842" s="1"/>
      <c r="K842" s="1"/>
      <c r="L842" s="5"/>
      <c r="M842" s="5"/>
      <c r="N842" s="1"/>
      <c r="O842" s="5"/>
      <c r="P842" s="5"/>
      <c r="Q842" s="1"/>
      <c r="R842" s="156"/>
      <c r="S842" s="156"/>
      <c r="T842" s="157"/>
    </row>
    <row r="843" spans="1:20" ht="13.5" customHeight="1" x14ac:dyDescent="0.25">
      <c r="A843" s="1"/>
      <c r="B843" s="1"/>
      <c r="C843" s="1"/>
      <c r="D843" s="1"/>
      <c r="E843" s="1"/>
      <c r="F843" s="5"/>
      <c r="G843" s="5"/>
      <c r="H843" s="1"/>
      <c r="I843" s="1"/>
      <c r="J843" s="1"/>
      <c r="K843" s="1"/>
      <c r="L843" s="5"/>
      <c r="M843" s="5"/>
      <c r="N843" s="1"/>
      <c r="O843" s="5"/>
      <c r="P843" s="5"/>
      <c r="Q843" s="1"/>
      <c r="R843" s="156"/>
      <c r="S843" s="156"/>
      <c r="T843" s="157"/>
    </row>
    <row r="844" spans="1:20" ht="13.5" customHeight="1" x14ac:dyDescent="0.25">
      <c r="A844" s="1"/>
      <c r="B844" s="1"/>
      <c r="C844" s="1"/>
      <c r="D844" s="1"/>
      <c r="E844" s="1"/>
      <c r="F844" s="5"/>
      <c r="G844" s="5"/>
      <c r="H844" s="1"/>
      <c r="I844" s="1"/>
      <c r="J844" s="1"/>
      <c r="K844" s="1"/>
      <c r="L844" s="5"/>
      <c r="M844" s="5"/>
      <c r="N844" s="1"/>
      <c r="O844" s="5"/>
      <c r="P844" s="5"/>
      <c r="Q844" s="1"/>
      <c r="R844" s="156"/>
      <c r="S844" s="156"/>
      <c r="T844" s="157"/>
    </row>
    <row r="845" spans="1:20" ht="13.5" customHeight="1" x14ac:dyDescent="0.25">
      <c r="A845" s="1"/>
      <c r="B845" s="1"/>
      <c r="C845" s="1"/>
      <c r="D845" s="1"/>
      <c r="E845" s="1"/>
      <c r="F845" s="5"/>
      <c r="G845" s="5"/>
      <c r="H845" s="1"/>
      <c r="I845" s="1"/>
      <c r="J845" s="1"/>
      <c r="K845" s="1"/>
      <c r="L845" s="5"/>
      <c r="M845" s="5"/>
      <c r="N845" s="1"/>
      <c r="O845" s="5"/>
      <c r="P845" s="5"/>
      <c r="Q845" s="1"/>
      <c r="R845" s="156"/>
      <c r="S845" s="156"/>
      <c r="T845" s="157"/>
    </row>
    <row r="846" spans="1:20" ht="13.5" customHeight="1" x14ac:dyDescent="0.25">
      <c r="A846" s="1"/>
      <c r="B846" s="1"/>
      <c r="C846" s="1"/>
      <c r="D846" s="1"/>
      <c r="E846" s="1"/>
      <c r="F846" s="5"/>
      <c r="G846" s="5"/>
      <c r="H846" s="1"/>
      <c r="I846" s="1"/>
      <c r="J846" s="1"/>
      <c r="K846" s="1"/>
      <c r="L846" s="5"/>
      <c r="M846" s="5"/>
      <c r="N846" s="1"/>
      <c r="O846" s="5"/>
      <c r="P846" s="5"/>
      <c r="Q846" s="1"/>
      <c r="R846" s="156"/>
      <c r="S846" s="156"/>
      <c r="T846" s="157"/>
    </row>
    <row r="847" spans="1:20" ht="13.5" customHeight="1" x14ac:dyDescent="0.25">
      <c r="A847" s="1"/>
      <c r="B847" s="1"/>
      <c r="C847" s="1"/>
      <c r="D847" s="1"/>
      <c r="E847" s="1"/>
      <c r="F847" s="5"/>
      <c r="G847" s="5"/>
      <c r="H847" s="1"/>
      <c r="I847" s="1"/>
      <c r="J847" s="1"/>
      <c r="K847" s="1"/>
      <c r="L847" s="5"/>
      <c r="M847" s="5"/>
      <c r="N847" s="1"/>
      <c r="O847" s="5"/>
      <c r="P847" s="5"/>
      <c r="Q847" s="1"/>
      <c r="R847" s="156"/>
      <c r="S847" s="156"/>
      <c r="T847" s="157"/>
    </row>
    <row r="848" spans="1:20" ht="13.5" customHeight="1" x14ac:dyDescent="0.25">
      <c r="A848" s="1"/>
      <c r="B848" s="1"/>
      <c r="C848" s="1"/>
      <c r="D848" s="1"/>
      <c r="E848" s="1"/>
      <c r="F848" s="5"/>
      <c r="G848" s="5"/>
      <c r="H848" s="1"/>
      <c r="I848" s="1"/>
      <c r="J848" s="1"/>
      <c r="K848" s="1"/>
      <c r="L848" s="5"/>
      <c r="M848" s="5"/>
      <c r="N848" s="1"/>
      <c r="O848" s="5"/>
      <c r="P848" s="5"/>
      <c r="Q848" s="1"/>
      <c r="R848" s="156"/>
      <c r="S848" s="156"/>
      <c r="T848" s="157"/>
    </row>
    <row r="849" spans="1:20" ht="13.5" customHeight="1" x14ac:dyDescent="0.25">
      <c r="A849" s="1"/>
      <c r="B849" s="1"/>
      <c r="C849" s="1"/>
      <c r="D849" s="1"/>
      <c r="E849" s="1"/>
      <c r="F849" s="5"/>
      <c r="G849" s="5"/>
      <c r="H849" s="1"/>
      <c r="I849" s="1"/>
      <c r="J849" s="1"/>
      <c r="K849" s="1"/>
      <c r="L849" s="5"/>
      <c r="M849" s="5"/>
      <c r="N849" s="1"/>
      <c r="O849" s="5"/>
      <c r="P849" s="5"/>
      <c r="Q849" s="1"/>
      <c r="R849" s="156"/>
      <c r="S849" s="156"/>
      <c r="T849" s="157"/>
    </row>
    <row r="850" spans="1:20" ht="13.5" customHeight="1" x14ac:dyDescent="0.25">
      <c r="A850" s="1"/>
      <c r="B850" s="1"/>
      <c r="C850" s="1"/>
      <c r="D850" s="1"/>
      <c r="E850" s="1"/>
      <c r="F850" s="5"/>
      <c r="G850" s="5"/>
      <c r="H850" s="1"/>
      <c r="I850" s="1"/>
      <c r="J850" s="1"/>
      <c r="K850" s="1"/>
      <c r="L850" s="5"/>
      <c r="M850" s="5"/>
      <c r="N850" s="1"/>
      <c r="O850" s="5"/>
      <c r="P850" s="5"/>
      <c r="Q850" s="1"/>
      <c r="R850" s="156"/>
      <c r="S850" s="156"/>
      <c r="T850" s="157"/>
    </row>
    <row r="851" spans="1:20" ht="13.5" customHeight="1" x14ac:dyDescent="0.25">
      <c r="A851" s="1"/>
      <c r="B851" s="1"/>
      <c r="C851" s="1"/>
      <c r="D851" s="1"/>
      <c r="E851" s="1"/>
      <c r="F851" s="5"/>
      <c r="G851" s="5"/>
      <c r="H851" s="1"/>
      <c r="I851" s="1"/>
      <c r="J851" s="1"/>
      <c r="K851" s="1"/>
      <c r="L851" s="5"/>
      <c r="M851" s="5"/>
      <c r="N851" s="1"/>
      <c r="O851" s="5"/>
      <c r="P851" s="5"/>
      <c r="Q851" s="1"/>
      <c r="R851" s="156"/>
      <c r="S851" s="156"/>
      <c r="T851" s="157"/>
    </row>
    <row r="852" spans="1:20" ht="13.5" customHeight="1" x14ac:dyDescent="0.25">
      <c r="A852" s="1"/>
      <c r="B852" s="1"/>
      <c r="C852" s="1"/>
      <c r="D852" s="1"/>
      <c r="E852" s="1"/>
      <c r="F852" s="5"/>
      <c r="G852" s="5"/>
      <c r="H852" s="1"/>
      <c r="I852" s="1"/>
      <c r="J852" s="1"/>
      <c r="K852" s="1"/>
      <c r="L852" s="5"/>
      <c r="M852" s="5"/>
      <c r="N852" s="1"/>
      <c r="O852" s="5"/>
      <c r="P852" s="5"/>
      <c r="Q852" s="1"/>
      <c r="R852" s="156"/>
      <c r="S852" s="156"/>
      <c r="T852" s="157"/>
    </row>
    <row r="853" spans="1:20" ht="13.5" customHeight="1" x14ac:dyDescent="0.25">
      <c r="A853" s="1"/>
      <c r="B853" s="1"/>
      <c r="C853" s="1"/>
      <c r="D853" s="1"/>
      <c r="E853" s="1"/>
      <c r="F853" s="5"/>
      <c r="G853" s="5"/>
      <c r="H853" s="1"/>
      <c r="I853" s="1"/>
      <c r="J853" s="1"/>
      <c r="K853" s="1"/>
      <c r="L853" s="5"/>
      <c r="M853" s="5"/>
      <c r="N853" s="1"/>
      <c r="O853" s="5"/>
      <c r="P853" s="5"/>
      <c r="Q853" s="1"/>
      <c r="R853" s="156"/>
      <c r="S853" s="156"/>
      <c r="T853" s="157"/>
    </row>
    <row r="854" spans="1:20" ht="13.5" customHeight="1" x14ac:dyDescent="0.25">
      <c r="A854" s="1"/>
      <c r="B854" s="1"/>
      <c r="C854" s="1"/>
      <c r="D854" s="1"/>
      <c r="E854" s="1"/>
      <c r="F854" s="5"/>
      <c r="G854" s="5"/>
      <c r="H854" s="1"/>
      <c r="I854" s="1"/>
      <c r="J854" s="1"/>
      <c r="K854" s="1"/>
      <c r="L854" s="5"/>
      <c r="M854" s="5"/>
      <c r="N854" s="1"/>
      <c r="O854" s="5"/>
      <c r="P854" s="5"/>
      <c r="Q854" s="1"/>
      <c r="R854" s="156"/>
      <c r="S854" s="156"/>
      <c r="T854" s="157"/>
    </row>
    <row r="855" spans="1:20" ht="13.5" customHeight="1" x14ac:dyDescent="0.25">
      <c r="A855" s="1"/>
      <c r="B855" s="1"/>
      <c r="C855" s="1"/>
      <c r="D855" s="1"/>
      <c r="E855" s="1"/>
      <c r="F855" s="5"/>
      <c r="G855" s="5"/>
      <c r="H855" s="1"/>
      <c r="I855" s="1"/>
      <c r="J855" s="1"/>
      <c r="K855" s="1"/>
      <c r="L855" s="5"/>
      <c r="M855" s="5"/>
      <c r="N855" s="1"/>
      <c r="O855" s="5"/>
      <c r="P855" s="5"/>
      <c r="Q855" s="1"/>
      <c r="R855" s="156"/>
      <c r="S855" s="156"/>
      <c r="T855" s="157"/>
    </row>
    <row r="856" spans="1:20" ht="13.5" customHeight="1" x14ac:dyDescent="0.25">
      <c r="A856" s="1"/>
      <c r="B856" s="1"/>
      <c r="C856" s="1"/>
      <c r="D856" s="1"/>
      <c r="E856" s="1"/>
      <c r="F856" s="5"/>
      <c r="G856" s="5"/>
      <c r="H856" s="1"/>
      <c r="I856" s="1"/>
      <c r="J856" s="1"/>
      <c r="K856" s="1"/>
      <c r="L856" s="5"/>
      <c r="M856" s="5"/>
      <c r="N856" s="1"/>
      <c r="O856" s="5"/>
      <c r="P856" s="5"/>
      <c r="Q856" s="1"/>
      <c r="R856" s="156"/>
      <c r="S856" s="156"/>
      <c r="T856" s="157"/>
    </row>
    <row r="857" spans="1:20" ht="13.5" customHeight="1" x14ac:dyDescent="0.25">
      <c r="A857" s="1"/>
      <c r="B857" s="1"/>
      <c r="C857" s="1"/>
      <c r="D857" s="1"/>
      <c r="E857" s="1"/>
      <c r="F857" s="5"/>
      <c r="G857" s="5"/>
      <c r="H857" s="1"/>
      <c r="I857" s="1"/>
      <c r="J857" s="1"/>
      <c r="K857" s="1"/>
      <c r="L857" s="5"/>
      <c r="M857" s="5"/>
      <c r="N857" s="1"/>
      <c r="O857" s="5"/>
      <c r="P857" s="5"/>
      <c r="Q857" s="1"/>
      <c r="R857" s="156"/>
      <c r="S857" s="156"/>
      <c r="T857" s="157"/>
    </row>
    <row r="858" spans="1:20" ht="13.5" customHeight="1" x14ac:dyDescent="0.25">
      <c r="A858" s="1"/>
      <c r="B858" s="1"/>
      <c r="C858" s="1"/>
      <c r="D858" s="1"/>
      <c r="E858" s="1"/>
      <c r="F858" s="5"/>
      <c r="G858" s="5"/>
      <c r="H858" s="1"/>
      <c r="I858" s="1"/>
      <c r="J858" s="1"/>
      <c r="K858" s="1"/>
      <c r="L858" s="5"/>
      <c r="M858" s="5"/>
      <c r="N858" s="1"/>
      <c r="O858" s="5"/>
      <c r="P858" s="5"/>
      <c r="Q858" s="1"/>
      <c r="R858" s="156"/>
      <c r="S858" s="156"/>
      <c r="T858" s="157"/>
    </row>
    <row r="859" spans="1:20" ht="13.5" customHeight="1" x14ac:dyDescent="0.25">
      <c r="A859" s="1"/>
      <c r="B859" s="1"/>
      <c r="C859" s="1"/>
      <c r="D859" s="1"/>
      <c r="E859" s="1"/>
      <c r="F859" s="5"/>
      <c r="G859" s="5"/>
      <c r="H859" s="1"/>
      <c r="I859" s="1"/>
      <c r="J859" s="1"/>
      <c r="K859" s="1"/>
      <c r="L859" s="5"/>
      <c r="M859" s="5"/>
      <c r="N859" s="1"/>
      <c r="O859" s="5"/>
      <c r="P859" s="5"/>
      <c r="Q859" s="1"/>
      <c r="R859" s="156"/>
      <c r="S859" s="156"/>
      <c r="T859" s="157"/>
    </row>
    <row r="860" spans="1:20" ht="13.5" customHeight="1" x14ac:dyDescent="0.25">
      <c r="A860" s="1"/>
      <c r="B860" s="1"/>
      <c r="C860" s="1"/>
      <c r="D860" s="1"/>
      <c r="E860" s="1"/>
      <c r="F860" s="5"/>
      <c r="G860" s="5"/>
      <c r="H860" s="1"/>
      <c r="I860" s="1"/>
      <c r="J860" s="1"/>
      <c r="K860" s="1"/>
      <c r="L860" s="5"/>
      <c r="M860" s="5"/>
      <c r="N860" s="1"/>
      <c r="O860" s="5"/>
      <c r="P860" s="5"/>
      <c r="Q860" s="1"/>
      <c r="R860" s="156"/>
      <c r="S860" s="156"/>
      <c r="T860" s="157"/>
    </row>
    <row r="861" spans="1:20" ht="13.5" customHeight="1" x14ac:dyDescent="0.25">
      <c r="A861" s="1"/>
      <c r="B861" s="1"/>
      <c r="C861" s="1"/>
      <c r="D861" s="1"/>
      <c r="E861" s="1"/>
      <c r="F861" s="5"/>
      <c r="G861" s="5"/>
      <c r="H861" s="1"/>
      <c r="I861" s="1"/>
      <c r="J861" s="1"/>
      <c r="K861" s="1"/>
      <c r="L861" s="5"/>
      <c r="M861" s="5"/>
      <c r="N861" s="1"/>
      <c r="O861" s="5"/>
      <c r="P861" s="5"/>
      <c r="Q861" s="1"/>
      <c r="R861" s="156"/>
      <c r="S861" s="156"/>
      <c r="T861" s="157"/>
    </row>
    <row r="862" spans="1:20" ht="13.5" customHeight="1" x14ac:dyDescent="0.25">
      <c r="A862" s="1"/>
      <c r="B862" s="1"/>
      <c r="C862" s="1"/>
      <c r="D862" s="1"/>
      <c r="E862" s="1"/>
      <c r="F862" s="5"/>
      <c r="G862" s="5"/>
      <c r="H862" s="1"/>
      <c r="I862" s="1"/>
      <c r="J862" s="1"/>
      <c r="K862" s="1"/>
      <c r="L862" s="5"/>
      <c r="M862" s="5"/>
      <c r="N862" s="1"/>
      <c r="O862" s="5"/>
      <c r="P862" s="5"/>
      <c r="Q862" s="1"/>
      <c r="R862" s="156"/>
      <c r="S862" s="156"/>
      <c r="T862" s="157"/>
    </row>
    <row r="863" spans="1:20" ht="13.5" customHeight="1" x14ac:dyDescent="0.25">
      <c r="A863" s="1"/>
      <c r="B863" s="1"/>
      <c r="C863" s="1"/>
      <c r="D863" s="1"/>
      <c r="E863" s="1"/>
      <c r="F863" s="5"/>
      <c r="G863" s="5"/>
      <c r="H863" s="1"/>
      <c r="I863" s="1"/>
      <c r="J863" s="1"/>
      <c r="K863" s="1"/>
      <c r="L863" s="5"/>
      <c r="M863" s="5"/>
      <c r="N863" s="1"/>
      <c r="O863" s="5"/>
      <c r="P863" s="5"/>
      <c r="Q863" s="1"/>
      <c r="R863" s="156"/>
      <c r="S863" s="156"/>
      <c r="T863" s="157"/>
    </row>
    <row r="864" spans="1:20" ht="13.5" customHeight="1" x14ac:dyDescent="0.25">
      <c r="A864" s="1"/>
      <c r="B864" s="1"/>
      <c r="C864" s="1"/>
      <c r="D864" s="1"/>
      <c r="E864" s="1"/>
      <c r="F864" s="5"/>
      <c r="G864" s="5"/>
      <c r="H864" s="1"/>
      <c r="I864" s="1"/>
      <c r="J864" s="1"/>
      <c r="K864" s="1"/>
      <c r="L864" s="5"/>
      <c r="M864" s="5"/>
      <c r="N864" s="1"/>
      <c r="O864" s="5"/>
      <c r="P864" s="5"/>
      <c r="Q864" s="1"/>
      <c r="R864" s="156"/>
      <c r="S864" s="156"/>
      <c r="T864" s="157"/>
    </row>
    <row r="865" spans="1:20" ht="13.5" customHeight="1" x14ac:dyDescent="0.25">
      <c r="A865" s="1"/>
      <c r="B865" s="1"/>
      <c r="C865" s="1"/>
      <c r="D865" s="1"/>
      <c r="E865" s="1"/>
      <c r="F865" s="5"/>
      <c r="G865" s="5"/>
      <c r="H865" s="1"/>
      <c r="I865" s="1"/>
      <c r="J865" s="1"/>
      <c r="K865" s="1"/>
      <c r="L865" s="5"/>
      <c r="M865" s="5"/>
      <c r="N865" s="1"/>
      <c r="O865" s="5"/>
      <c r="P865" s="5"/>
      <c r="Q865" s="1"/>
      <c r="R865" s="156"/>
      <c r="S865" s="156"/>
      <c r="T865" s="157"/>
    </row>
    <row r="866" spans="1:20" ht="13.5" customHeight="1" x14ac:dyDescent="0.25">
      <c r="A866" s="1"/>
      <c r="B866" s="1"/>
      <c r="C866" s="1"/>
      <c r="D866" s="1"/>
      <c r="E866" s="1"/>
      <c r="F866" s="5"/>
      <c r="G866" s="5"/>
      <c r="H866" s="1"/>
      <c r="I866" s="1"/>
      <c r="J866" s="1"/>
      <c r="K866" s="1"/>
      <c r="L866" s="5"/>
      <c r="M866" s="5"/>
      <c r="N866" s="1"/>
      <c r="O866" s="5"/>
      <c r="P866" s="5"/>
      <c r="Q866" s="1"/>
      <c r="R866" s="156"/>
      <c r="S866" s="156"/>
      <c r="T866" s="157"/>
    </row>
    <row r="867" spans="1:20" ht="13.5" customHeight="1" x14ac:dyDescent="0.25">
      <c r="A867" s="1"/>
      <c r="B867" s="1"/>
      <c r="C867" s="1"/>
      <c r="D867" s="1"/>
      <c r="E867" s="1"/>
      <c r="F867" s="5"/>
      <c r="G867" s="5"/>
      <c r="H867" s="1"/>
      <c r="I867" s="1"/>
      <c r="J867" s="1"/>
      <c r="K867" s="1"/>
      <c r="L867" s="5"/>
      <c r="M867" s="5"/>
      <c r="N867" s="1"/>
      <c r="O867" s="5"/>
      <c r="P867" s="5"/>
      <c r="Q867" s="1"/>
      <c r="R867" s="156"/>
      <c r="S867" s="156"/>
      <c r="T867" s="157"/>
    </row>
    <row r="868" spans="1:20" ht="13.5" customHeight="1" x14ac:dyDescent="0.25">
      <c r="A868" s="1"/>
      <c r="B868" s="1"/>
      <c r="C868" s="1"/>
      <c r="D868" s="1"/>
      <c r="E868" s="1"/>
      <c r="F868" s="5"/>
      <c r="G868" s="5"/>
      <c r="H868" s="1"/>
      <c r="I868" s="1"/>
      <c r="J868" s="1"/>
      <c r="K868" s="1"/>
      <c r="L868" s="5"/>
      <c r="M868" s="5"/>
      <c r="N868" s="1"/>
      <c r="O868" s="5"/>
      <c r="P868" s="5"/>
      <c r="Q868" s="1"/>
      <c r="R868" s="156"/>
      <c r="S868" s="156"/>
      <c r="T868" s="157"/>
    </row>
    <row r="869" spans="1:20" ht="13.5" customHeight="1" x14ac:dyDescent="0.25">
      <c r="A869" s="1"/>
      <c r="B869" s="1"/>
      <c r="C869" s="1"/>
      <c r="D869" s="1"/>
      <c r="E869" s="1"/>
      <c r="F869" s="5"/>
      <c r="G869" s="5"/>
      <c r="H869" s="1"/>
      <c r="I869" s="1"/>
      <c r="J869" s="1"/>
      <c r="K869" s="1"/>
      <c r="L869" s="5"/>
      <c r="M869" s="5"/>
      <c r="N869" s="1"/>
      <c r="O869" s="5"/>
      <c r="P869" s="5"/>
      <c r="Q869" s="1"/>
      <c r="R869" s="156"/>
      <c r="S869" s="156"/>
      <c r="T869" s="157"/>
    </row>
    <row r="870" spans="1:20" ht="13.5" customHeight="1" x14ac:dyDescent="0.25">
      <c r="A870" s="1"/>
      <c r="B870" s="1"/>
      <c r="C870" s="1"/>
      <c r="D870" s="1"/>
      <c r="E870" s="1"/>
      <c r="F870" s="5"/>
      <c r="G870" s="5"/>
      <c r="H870" s="1"/>
      <c r="I870" s="1"/>
      <c r="J870" s="1"/>
      <c r="K870" s="1"/>
      <c r="L870" s="5"/>
      <c r="M870" s="5"/>
      <c r="N870" s="1"/>
      <c r="O870" s="5"/>
      <c r="P870" s="5"/>
      <c r="Q870" s="1"/>
      <c r="R870" s="156"/>
      <c r="S870" s="156"/>
      <c r="T870" s="157"/>
    </row>
    <row r="871" spans="1:20" ht="13.5" customHeight="1" x14ac:dyDescent="0.25">
      <c r="A871" s="1"/>
      <c r="B871" s="1"/>
      <c r="C871" s="1"/>
      <c r="D871" s="1"/>
      <c r="E871" s="1"/>
      <c r="F871" s="5"/>
      <c r="G871" s="5"/>
      <c r="H871" s="1"/>
      <c r="I871" s="1"/>
      <c r="J871" s="1"/>
      <c r="K871" s="1"/>
      <c r="L871" s="5"/>
      <c r="M871" s="5"/>
      <c r="N871" s="1"/>
      <c r="O871" s="5"/>
      <c r="P871" s="5"/>
      <c r="Q871" s="1"/>
      <c r="R871" s="156"/>
      <c r="S871" s="156"/>
      <c r="T871" s="157"/>
    </row>
    <row r="872" spans="1:20" ht="13.5" customHeight="1" x14ac:dyDescent="0.25">
      <c r="A872" s="1"/>
      <c r="B872" s="1"/>
      <c r="C872" s="1"/>
      <c r="D872" s="1"/>
      <c r="E872" s="1"/>
      <c r="F872" s="5"/>
      <c r="G872" s="5"/>
      <c r="H872" s="1"/>
      <c r="I872" s="1"/>
      <c r="J872" s="1"/>
      <c r="K872" s="1"/>
      <c r="L872" s="5"/>
      <c r="M872" s="5"/>
      <c r="N872" s="1"/>
      <c r="O872" s="5"/>
      <c r="P872" s="5"/>
      <c r="Q872" s="1"/>
      <c r="R872" s="156"/>
      <c r="S872" s="156"/>
      <c r="T872" s="157"/>
    </row>
    <row r="873" spans="1:20" ht="13.5" customHeight="1" x14ac:dyDescent="0.25">
      <c r="A873" s="1"/>
      <c r="B873" s="1"/>
      <c r="C873" s="1"/>
      <c r="D873" s="1"/>
      <c r="E873" s="1"/>
      <c r="F873" s="5"/>
      <c r="G873" s="5"/>
      <c r="H873" s="1"/>
      <c r="I873" s="1"/>
      <c r="J873" s="1"/>
      <c r="K873" s="1"/>
      <c r="L873" s="5"/>
      <c r="M873" s="5"/>
      <c r="N873" s="1"/>
      <c r="O873" s="5"/>
      <c r="P873" s="5"/>
      <c r="Q873" s="1"/>
      <c r="R873" s="156"/>
      <c r="S873" s="156"/>
      <c r="T873" s="157"/>
    </row>
    <row r="874" spans="1:20" ht="13.5" customHeight="1" x14ac:dyDescent="0.25">
      <c r="A874" s="1"/>
      <c r="B874" s="1"/>
      <c r="C874" s="1"/>
      <c r="D874" s="1"/>
      <c r="E874" s="1"/>
      <c r="F874" s="5"/>
      <c r="G874" s="5"/>
      <c r="H874" s="1"/>
      <c r="I874" s="1"/>
      <c r="J874" s="1"/>
      <c r="K874" s="1"/>
      <c r="L874" s="5"/>
      <c r="M874" s="5"/>
      <c r="N874" s="1"/>
      <c r="O874" s="5"/>
      <c r="P874" s="5"/>
      <c r="Q874" s="1"/>
      <c r="R874" s="156"/>
      <c r="S874" s="156"/>
      <c r="T874" s="157"/>
    </row>
    <row r="875" spans="1:20" ht="13.5" customHeight="1" x14ac:dyDescent="0.25">
      <c r="A875" s="1"/>
      <c r="B875" s="1"/>
      <c r="C875" s="1"/>
      <c r="D875" s="1"/>
      <c r="E875" s="1"/>
      <c r="F875" s="5"/>
      <c r="G875" s="5"/>
      <c r="H875" s="1"/>
      <c r="I875" s="1"/>
      <c r="J875" s="1"/>
      <c r="K875" s="1"/>
      <c r="L875" s="5"/>
      <c r="M875" s="5"/>
      <c r="N875" s="1"/>
      <c r="O875" s="5"/>
      <c r="P875" s="5"/>
      <c r="Q875" s="1"/>
      <c r="R875" s="156"/>
      <c r="S875" s="156"/>
      <c r="T875" s="157"/>
    </row>
    <row r="876" spans="1:20" ht="13.5" customHeight="1" x14ac:dyDescent="0.25">
      <c r="A876" s="1"/>
      <c r="B876" s="1"/>
      <c r="C876" s="1"/>
      <c r="D876" s="1"/>
      <c r="E876" s="1"/>
      <c r="F876" s="5"/>
      <c r="G876" s="5"/>
      <c r="H876" s="1"/>
      <c r="I876" s="1"/>
      <c r="J876" s="1"/>
      <c r="K876" s="1"/>
      <c r="L876" s="5"/>
      <c r="M876" s="5"/>
      <c r="N876" s="1"/>
      <c r="O876" s="5"/>
      <c r="P876" s="5"/>
      <c r="Q876" s="1"/>
      <c r="R876" s="156"/>
      <c r="S876" s="156"/>
      <c r="T876" s="157"/>
    </row>
    <row r="877" spans="1:20" ht="13.5" customHeight="1" x14ac:dyDescent="0.25">
      <c r="A877" s="1"/>
      <c r="B877" s="1"/>
      <c r="C877" s="1"/>
      <c r="D877" s="1"/>
      <c r="E877" s="1"/>
      <c r="F877" s="5"/>
      <c r="G877" s="5"/>
      <c r="H877" s="1"/>
      <c r="I877" s="1"/>
      <c r="J877" s="1"/>
      <c r="K877" s="1"/>
      <c r="L877" s="5"/>
      <c r="M877" s="5"/>
      <c r="N877" s="1"/>
      <c r="O877" s="5"/>
      <c r="P877" s="5"/>
      <c r="Q877" s="1"/>
      <c r="R877" s="156"/>
      <c r="S877" s="156"/>
      <c r="T877" s="157"/>
    </row>
    <row r="878" spans="1:20" ht="13.5" customHeight="1" x14ac:dyDescent="0.25">
      <c r="A878" s="1"/>
      <c r="B878" s="1"/>
      <c r="C878" s="1"/>
      <c r="D878" s="1"/>
      <c r="E878" s="1"/>
      <c r="F878" s="5"/>
      <c r="G878" s="5"/>
      <c r="H878" s="1"/>
      <c r="I878" s="1"/>
      <c r="J878" s="1"/>
      <c r="K878" s="1"/>
      <c r="L878" s="5"/>
      <c r="M878" s="5"/>
      <c r="N878" s="1"/>
      <c r="O878" s="5"/>
      <c r="P878" s="5"/>
      <c r="Q878" s="1"/>
      <c r="R878" s="156"/>
      <c r="S878" s="156"/>
      <c r="T878" s="157"/>
    </row>
    <row r="879" spans="1:20" ht="13.5" customHeight="1" x14ac:dyDescent="0.25">
      <c r="A879" s="1"/>
      <c r="B879" s="1"/>
      <c r="C879" s="1"/>
      <c r="D879" s="1"/>
      <c r="E879" s="1"/>
      <c r="F879" s="5"/>
      <c r="G879" s="5"/>
      <c r="H879" s="1"/>
      <c r="I879" s="1"/>
      <c r="J879" s="1"/>
      <c r="K879" s="1"/>
      <c r="L879" s="5"/>
      <c r="M879" s="5"/>
      <c r="N879" s="1"/>
      <c r="O879" s="5"/>
      <c r="P879" s="5"/>
      <c r="Q879" s="1"/>
      <c r="R879" s="156"/>
      <c r="S879" s="156"/>
      <c r="T879" s="157"/>
    </row>
    <row r="880" spans="1:20" ht="13.5" customHeight="1" x14ac:dyDescent="0.25">
      <c r="A880" s="1"/>
      <c r="B880" s="1"/>
      <c r="C880" s="1"/>
      <c r="D880" s="1"/>
      <c r="E880" s="1"/>
      <c r="F880" s="5"/>
      <c r="G880" s="5"/>
      <c r="H880" s="1"/>
      <c r="I880" s="1"/>
      <c r="J880" s="1"/>
      <c r="K880" s="1"/>
      <c r="L880" s="5"/>
      <c r="M880" s="5"/>
      <c r="N880" s="1"/>
      <c r="O880" s="5"/>
      <c r="P880" s="5"/>
      <c r="Q880" s="1"/>
      <c r="R880" s="156"/>
      <c r="S880" s="156"/>
      <c r="T880" s="157"/>
    </row>
    <row r="881" spans="1:20" ht="13.5" customHeight="1" x14ac:dyDescent="0.25">
      <c r="A881" s="1"/>
      <c r="B881" s="1"/>
      <c r="C881" s="1"/>
      <c r="D881" s="1"/>
      <c r="E881" s="1"/>
      <c r="F881" s="5"/>
      <c r="G881" s="5"/>
      <c r="H881" s="1"/>
      <c r="I881" s="1"/>
      <c r="J881" s="1"/>
      <c r="K881" s="1"/>
      <c r="L881" s="5"/>
      <c r="M881" s="5"/>
      <c r="N881" s="1"/>
      <c r="O881" s="5"/>
      <c r="P881" s="5"/>
      <c r="Q881" s="1"/>
      <c r="R881" s="156"/>
      <c r="S881" s="156"/>
      <c r="T881" s="157"/>
    </row>
    <row r="882" spans="1:20" ht="13.5" customHeight="1" x14ac:dyDescent="0.25">
      <c r="A882" s="1"/>
      <c r="B882" s="1"/>
      <c r="C882" s="1"/>
      <c r="D882" s="1"/>
      <c r="E882" s="1"/>
      <c r="F882" s="5"/>
      <c r="G882" s="5"/>
      <c r="H882" s="1"/>
      <c r="I882" s="1"/>
      <c r="J882" s="1"/>
      <c r="K882" s="1"/>
      <c r="L882" s="5"/>
      <c r="M882" s="5"/>
      <c r="N882" s="1"/>
      <c r="O882" s="5"/>
      <c r="P882" s="5"/>
      <c r="Q882" s="1"/>
      <c r="R882" s="156"/>
      <c r="S882" s="156"/>
      <c r="T882" s="157"/>
    </row>
    <row r="883" spans="1:20" ht="13.5" customHeight="1" x14ac:dyDescent="0.25">
      <c r="A883" s="1"/>
      <c r="B883" s="1"/>
      <c r="C883" s="1"/>
      <c r="D883" s="1"/>
      <c r="E883" s="1"/>
      <c r="F883" s="5"/>
      <c r="G883" s="5"/>
      <c r="H883" s="1"/>
      <c r="I883" s="1"/>
      <c r="J883" s="1"/>
      <c r="K883" s="1"/>
      <c r="L883" s="5"/>
      <c r="M883" s="5"/>
      <c r="N883" s="1"/>
      <c r="O883" s="5"/>
      <c r="P883" s="5"/>
      <c r="Q883" s="1"/>
      <c r="R883" s="156"/>
      <c r="S883" s="156"/>
      <c r="T883" s="157"/>
    </row>
    <row r="884" spans="1:20" ht="13.5" customHeight="1" x14ac:dyDescent="0.25">
      <c r="A884" s="1"/>
      <c r="B884" s="1"/>
      <c r="C884" s="1"/>
      <c r="D884" s="1"/>
      <c r="E884" s="1"/>
      <c r="F884" s="5"/>
      <c r="G884" s="5"/>
      <c r="H884" s="1"/>
      <c r="I884" s="1"/>
      <c r="J884" s="1"/>
      <c r="K884" s="1"/>
      <c r="L884" s="5"/>
      <c r="M884" s="5"/>
      <c r="N884" s="1"/>
      <c r="O884" s="5"/>
      <c r="P884" s="5"/>
      <c r="Q884" s="1"/>
      <c r="R884" s="156"/>
      <c r="S884" s="156"/>
      <c r="T884" s="157"/>
    </row>
    <row r="885" spans="1:20" ht="13.5" customHeight="1" x14ac:dyDescent="0.25">
      <c r="A885" s="1"/>
      <c r="B885" s="1"/>
      <c r="C885" s="1"/>
      <c r="D885" s="1"/>
      <c r="E885" s="1"/>
      <c r="F885" s="5"/>
      <c r="G885" s="5"/>
      <c r="H885" s="1"/>
      <c r="I885" s="1"/>
      <c r="J885" s="1"/>
      <c r="K885" s="1"/>
      <c r="L885" s="5"/>
      <c r="M885" s="5"/>
      <c r="N885" s="1"/>
      <c r="O885" s="5"/>
      <c r="P885" s="5"/>
      <c r="Q885" s="1"/>
      <c r="R885" s="156"/>
      <c r="S885" s="156"/>
      <c r="T885" s="157"/>
    </row>
    <row r="886" spans="1:20" ht="13.5" customHeight="1" x14ac:dyDescent="0.25">
      <c r="A886" s="1"/>
      <c r="B886" s="1"/>
      <c r="C886" s="1"/>
      <c r="D886" s="1"/>
      <c r="E886" s="1"/>
      <c r="F886" s="5"/>
      <c r="G886" s="5"/>
      <c r="H886" s="1"/>
      <c r="I886" s="1"/>
      <c r="J886" s="1"/>
      <c r="K886" s="1"/>
      <c r="L886" s="5"/>
      <c r="M886" s="5"/>
      <c r="N886" s="1"/>
      <c r="O886" s="5"/>
      <c r="P886" s="5"/>
      <c r="Q886" s="1"/>
      <c r="R886" s="156"/>
      <c r="S886" s="156"/>
      <c r="T886" s="157"/>
    </row>
    <row r="887" spans="1:20" ht="13.5" customHeight="1" x14ac:dyDescent="0.25">
      <c r="A887" s="1"/>
      <c r="B887" s="1"/>
      <c r="C887" s="1"/>
      <c r="D887" s="1"/>
      <c r="E887" s="1"/>
      <c r="F887" s="5"/>
      <c r="G887" s="5"/>
      <c r="H887" s="1"/>
      <c r="I887" s="1"/>
      <c r="J887" s="1"/>
      <c r="K887" s="1"/>
      <c r="L887" s="5"/>
      <c r="M887" s="5"/>
      <c r="N887" s="1"/>
      <c r="O887" s="5"/>
      <c r="P887" s="5"/>
      <c r="Q887" s="1"/>
      <c r="R887" s="156"/>
      <c r="S887" s="156"/>
      <c r="T887" s="157"/>
    </row>
    <row r="888" spans="1:20" ht="13.5" customHeight="1" x14ac:dyDescent="0.25">
      <c r="A888" s="1"/>
      <c r="B888" s="1"/>
      <c r="C888" s="1"/>
      <c r="D888" s="1"/>
      <c r="E888" s="1"/>
      <c r="F888" s="5"/>
      <c r="G888" s="5"/>
      <c r="H888" s="1"/>
      <c r="I888" s="1"/>
      <c r="J888" s="1"/>
      <c r="K888" s="1"/>
      <c r="L888" s="5"/>
      <c r="M888" s="5"/>
      <c r="N888" s="1"/>
      <c r="O888" s="5"/>
      <c r="P888" s="5"/>
      <c r="Q888" s="1"/>
      <c r="R888" s="156"/>
      <c r="S888" s="156"/>
      <c r="T888" s="157"/>
    </row>
    <row r="889" spans="1:20" ht="13.5" customHeight="1" x14ac:dyDescent="0.25">
      <c r="A889" s="1"/>
      <c r="B889" s="1"/>
      <c r="C889" s="1"/>
      <c r="D889" s="1"/>
      <c r="E889" s="1"/>
      <c r="F889" s="5"/>
      <c r="G889" s="5"/>
      <c r="H889" s="1"/>
      <c r="I889" s="1"/>
      <c r="J889" s="1"/>
      <c r="K889" s="1"/>
      <c r="L889" s="5"/>
      <c r="M889" s="5"/>
      <c r="N889" s="1"/>
      <c r="O889" s="5"/>
      <c r="P889" s="5"/>
      <c r="Q889" s="1"/>
      <c r="R889" s="156"/>
      <c r="S889" s="156"/>
      <c r="T889" s="157"/>
    </row>
    <row r="890" spans="1:20" ht="13.5" customHeight="1" x14ac:dyDescent="0.25">
      <c r="A890" s="1"/>
      <c r="B890" s="1"/>
      <c r="C890" s="1"/>
      <c r="D890" s="1"/>
      <c r="E890" s="1"/>
      <c r="F890" s="5"/>
      <c r="G890" s="5"/>
      <c r="H890" s="1"/>
      <c r="I890" s="1"/>
      <c r="J890" s="1"/>
      <c r="K890" s="1"/>
      <c r="L890" s="5"/>
      <c r="M890" s="5"/>
      <c r="N890" s="1"/>
      <c r="O890" s="5"/>
      <c r="P890" s="5"/>
      <c r="Q890" s="1"/>
      <c r="R890" s="156"/>
      <c r="S890" s="156"/>
      <c r="T890" s="157"/>
    </row>
    <row r="891" spans="1:20" ht="13.5" customHeight="1" x14ac:dyDescent="0.25">
      <c r="A891" s="1"/>
      <c r="B891" s="1"/>
      <c r="C891" s="1"/>
      <c r="D891" s="1"/>
      <c r="E891" s="1"/>
      <c r="F891" s="5"/>
      <c r="G891" s="5"/>
      <c r="H891" s="1"/>
      <c r="I891" s="1"/>
      <c r="J891" s="1"/>
      <c r="K891" s="1"/>
      <c r="L891" s="5"/>
      <c r="M891" s="5"/>
      <c r="N891" s="1"/>
      <c r="O891" s="5"/>
      <c r="P891" s="5"/>
      <c r="Q891" s="1"/>
      <c r="R891" s="156"/>
      <c r="S891" s="156"/>
      <c r="T891" s="157"/>
    </row>
    <row r="892" spans="1:20" ht="13.5" customHeight="1" x14ac:dyDescent="0.25">
      <c r="A892" s="1"/>
      <c r="B892" s="1"/>
      <c r="C892" s="1"/>
      <c r="D892" s="1"/>
      <c r="E892" s="1"/>
      <c r="F892" s="5"/>
      <c r="G892" s="5"/>
      <c r="H892" s="1"/>
      <c r="I892" s="1"/>
      <c r="J892" s="1"/>
      <c r="K892" s="1"/>
      <c r="L892" s="5"/>
      <c r="M892" s="5"/>
      <c r="N892" s="1"/>
      <c r="O892" s="5"/>
      <c r="P892" s="5"/>
      <c r="Q892" s="1"/>
      <c r="R892" s="156"/>
      <c r="S892" s="156"/>
      <c r="T892" s="157"/>
    </row>
    <row r="893" spans="1:20" ht="13.5" customHeight="1" x14ac:dyDescent="0.25">
      <c r="A893" s="1"/>
      <c r="B893" s="1"/>
      <c r="C893" s="1"/>
      <c r="D893" s="1"/>
      <c r="E893" s="1"/>
      <c r="F893" s="5"/>
      <c r="G893" s="5"/>
      <c r="H893" s="1"/>
      <c r="I893" s="1"/>
      <c r="J893" s="1"/>
      <c r="K893" s="1"/>
      <c r="L893" s="5"/>
      <c r="M893" s="5"/>
      <c r="N893" s="1"/>
      <c r="O893" s="5"/>
      <c r="P893" s="5"/>
      <c r="Q893" s="1"/>
      <c r="R893" s="156"/>
      <c r="S893" s="156"/>
      <c r="T893" s="157"/>
    </row>
    <row r="894" spans="1:20" ht="13.5" customHeight="1" x14ac:dyDescent="0.25">
      <c r="A894" s="1"/>
      <c r="B894" s="1"/>
      <c r="C894" s="1"/>
      <c r="D894" s="1"/>
      <c r="E894" s="1"/>
      <c r="F894" s="5"/>
      <c r="G894" s="5"/>
      <c r="H894" s="1"/>
      <c r="I894" s="1"/>
      <c r="J894" s="1"/>
      <c r="K894" s="1"/>
      <c r="L894" s="5"/>
      <c r="M894" s="5"/>
      <c r="N894" s="1"/>
      <c r="O894" s="5"/>
      <c r="P894" s="5"/>
      <c r="Q894" s="1"/>
      <c r="R894" s="156"/>
      <c r="S894" s="156"/>
      <c r="T894" s="157"/>
    </row>
    <row r="895" spans="1:20" ht="13.5" customHeight="1" x14ac:dyDescent="0.25">
      <c r="A895" s="1"/>
      <c r="B895" s="1"/>
      <c r="C895" s="1"/>
      <c r="D895" s="1"/>
      <c r="E895" s="1"/>
      <c r="F895" s="5"/>
      <c r="G895" s="5"/>
      <c r="H895" s="1"/>
      <c r="I895" s="1"/>
      <c r="J895" s="1"/>
      <c r="K895" s="1"/>
      <c r="L895" s="5"/>
      <c r="M895" s="5"/>
      <c r="N895" s="1"/>
      <c r="O895" s="5"/>
      <c r="P895" s="5"/>
      <c r="Q895" s="1"/>
      <c r="R895" s="156"/>
      <c r="S895" s="156"/>
      <c r="T895" s="157"/>
    </row>
    <row r="896" spans="1:20" ht="13.5" customHeight="1" x14ac:dyDescent="0.25">
      <c r="A896" s="1"/>
      <c r="B896" s="1"/>
      <c r="C896" s="1"/>
      <c r="D896" s="1"/>
      <c r="E896" s="1"/>
      <c r="F896" s="5"/>
      <c r="G896" s="5"/>
      <c r="H896" s="1"/>
      <c r="I896" s="1"/>
      <c r="J896" s="1"/>
      <c r="K896" s="1"/>
      <c r="L896" s="5"/>
      <c r="M896" s="5"/>
      <c r="N896" s="1"/>
      <c r="O896" s="5"/>
      <c r="P896" s="5"/>
      <c r="Q896" s="1"/>
      <c r="R896" s="156"/>
      <c r="S896" s="156"/>
      <c r="T896" s="157"/>
    </row>
    <row r="897" spans="1:20" ht="13.5" customHeight="1" x14ac:dyDescent="0.25">
      <c r="A897" s="1"/>
      <c r="B897" s="1"/>
      <c r="C897" s="1"/>
      <c r="D897" s="1"/>
      <c r="E897" s="1"/>
      <c r="F897" s="5"/>
      <c r="G897" s="5"/>
      <c r="H897" s="1"/>
      <c r="I897" s="1"/>
      <c r="J897" s="1"/>
      <c r="K897" s="1"/>
      <c r="L897" s="5"/>
      <c r="M897" s="5"/>
      <c r="N897" s="1"/>
      <c r="O897" s="5"/>
      <c r="P897" s="5"/>
      <c r="Q897" s="1"/>
      <c r="R897" s="156"/>
      <c r="S897" s="156"/>
      <c r="T897" s="157"/>
    </row>
    <row r="898" spans="1:20" ht="13.5" customHeight="1" x14ac:dyDescent="0.25">
      <c r="A898" s="1"/>
      <c r="B898" s="1"/>
      <c r="C898" s="1"/>
      <c r="D898" s="1"/>
      <c r="E898" s="1"/>
      <c r="F898" s="5"/>
      <c r="G898" s="5"/>
      <c r="H898" s="1"/>
      <c r="I898" s="1"/>
      <c r="J898" s="1"/>
      <c r="K898" s="1"/>
      <c r="L898" s="5"/>
      <c r="M898" s="5"/>
      <c r="N898" s="1"/>
      <c r="O898" s="5"/>
      <c r="P898" s="5"/>
      <c r="Q898" s="1"/>
      <c r="R898" s="156"/>
      <c r="S898" s="156"/>
      <c r="T898" s="157"/>
    </row>
    <row r="899" spans="1:20" ht="13.5" customHeight="1" x14ac:dyDescent="0.25">
      <c r="A899" s="1"/>
      <c r="B899" s="1"/>
      <c r="C899" s="1"/>
      <c r="D899" s="1"/>
      <c r="E899" s="1"/>
      <c r="F899" s="5"/>
      <c r="G899" s="5"/>
      <c r="H899" s="1"/>
      <c r="I899" s="1"/>
      <c r="J899" s="1"/>
      <c r="K899" s="1"/>
      <c r="L899" s="5"/>
      <c r="M899" s="5"/>
      <c r="N899" s="1"/>
      <c r="O899" s="5"/>
      <c r="P899" s="5"/>
      <c r="Q899" s="1"/>
      <c r="R899" s="156"/>
      <c r="S899" s="156"/>
      <c r="T899" s="157"/>
    </row>
    <row r="900" spans="1:20" ht="13.5" customHeight="1" x14ac:dyDescent="0.25">
      <c r="A900" s="1"/>
      <c r="B900" s="1"/>
      <c r="C900" s="1"/>
      <c r="D900" s="1"/>
      <c r="E900" s="1"/>
      <c r="F900" s="5"/>
      <c r="G900" s="5"/>
      <c r="H900" s="1"/>
      <c r="I900" s="1"/>
      <c r="J900" s="1"/>
      <c r="K900" s="1"/>
      <c r="L900" s="5"/>
      <c r="M900" s="5"/>
      <c r="N900" s="1"/>
      <c r="O900" s="5"/>
      <c r="P900" s="5"/>
      <c r="Q900" s="1"/>
      <c r="R900" s="156"/>
      <c r="S900" s="156"/>
      <c r="T900" s="157"/>
    </row>
    <row r="901" spans="1:20" ht="13.5" customHeight="1" x14ac:dyDescent="0.25">
      <c r="A901" s="1"/>
      <c r="B901" s="1"/>
      <c r="C901" s="1"/>
      <c r="D901" s="1"/>
      <c r="E901" s="1"/>
      <c r="F901" s="5"/>
      <c r="G901" s="5"/>
      <c r="H901" s="1"/>
      <c r="I901" s="1"/>
      <c r="J901" s="1"/>
      <c r="K901" s="1"/>
      <c r="L901" s="5"/>
      <c r="M901" s="5"/>
      <c r="N901" s="1"/>
      <c r="O901" s="5"/>
      <c r="P901" s="5"/>
      <c r="Q901" s="1"/>
      <c r="R901" s="156"/>
      <c r="S901" s="156"/>
      <c r="T901" s="157"/>
    </row>
    <row r="902" spans="1:20" ht="13.5" customHeight="1" x14ac:dyDescent="0.25">
      <c r="A902" s="1"/>
      <c r="B902" s="1"/>
      <c r="C902" s="1"/>
      <c r="D902" s="1"/>
      <c r="E902" s="1"/>
      <c r="F902" s="5"/>
      <c r="G902" s="5"/>
      <c r="H902" s="1"/>
      <c r="I902" s="1"/>
      <c r="J902" s="1"/>
      <c r="K902" s="1"/>
      <c r="L902" s="5"/>
      <c r="M902" s="5"/>
      <c r="N902" s="1"/>
      <c r="O902" s="5"/>
      <c r="P902" s="5"/>
      <c r="Q902" s="1"/>
      <c r="R902" s="156"/>
      <c r="S902" s="156"/>
      <c r="T902" s="157"/>
    </row>
    <row r="903" spans="1:20" ht="13.5" customHeight="1" x14ac:dyDescent="0.25">
      <c r="A903" s="1"/>
      <c r="B903" s="1"/>
      <c r="C903" s="1"/>
      <c r="D903" s="1"/>
      <c r="E903" s="1"/>
      <c r="F903" s="5"/>
      <c r="G903" s="5"/>
      <c r="H903" s="1"/>
      <c r="I903" s="1"/>
      <c r="J903" s="1"/>
      <c r="K903" s="1"/>
      <c r="L903" s="5"/>
      <c r="M903" s="5"/>
      <c r="N903" s="1"/>
      <c r="O903" s="5"/>
      <c r="P903" s="5"/>
      <c r="Q903" s="1"/>
      <c r="R903" s="156"/>
      <c r="S903" s="156"/>
      <c r="T903" s="157"/>
    </row>
    <row r="904" spans="1:20" ht="13.5" customHeight="1" x14ac:dyDescent="0.25">
      <c r="A904" s="1"/>
      <c r="B904" s="1"/>
      <c r="C904" s="1"/>
      <c r="D904" s="1"/>
      <c r="E904" s="1"/>
      <c r="F904" s="5"/>
      <c r="G904" s="5"/>
      <c r="H904" s="1"/>
      <c r="I904" s="1"/>
      <c r="J904" s="1"/>
      <c r="K904" s="1"/>
      <c r="L904" s="5"/>
      <c r="M904" s="5"/>
      <c r="N904" s="1"/>
      <c r="O904" s="5"/>
      <c r="P904" s="5"/>
      <c r="Q904" s="1"/>
      <c r="R904" s="156"/>
      <c r="S904" s="156"/>
      <c r="T904" s="157"/>
    </row>
    <row r="905" spans="1:20" ht="13.5" customHeight="1" x14ac:dyDescent="0.25">
      <c r="A905" s="1"/>
      <c r="B905" s="1"/>
      <c r="C905" s="1"/>
      <c r="D905" s="1"/>
      <c r="E905" s="1"/>
      <c r="F905" s="5"/>
      <c r="G905" s="5"/>
      <c r="H905" s="1"/>
      <c r="I905" s="1"/>
      <c r="J905" s="1"/>
      <c r="K905" s="1"/>
      <c r="L905" s="5"/>
      <c r="M905" s="5"/>
      <c r="N905" s="1"/>
      <c r="O905" s="5"/>
      <c r="P905" s="5"/>
      <c r="Q905" s="1"/>
      <c r="R905" s="156"/>
      <c r="S905" s="156"/>
      <c r="T905" s="157"/>
    </row>
    <row r="906" spans="1:20" ht="13.5" customHeight="1" x14ac:dyDescent="0.25">
      <c r="A906" s="1"/>
      <c r="B906" s="1"/>
      <c r="C906" s="1"/>
      <c r="D906" s="1"/>
      <c r="E906" s="1"/>
      <c r="F906" s="5"/>
      <c r="G906" s="5"/>
      <c r="H906" s="1"/>
      <c r="I906" s="1"/>
      <c r="J906" s="1"/>
      <c r="K906" s="1"/>
      <c r="L906" s="5"/>
      <c r="M906" s="5"/>
      <c r="N906" s="1"/>
      <c r="O906" s="5"/>
      <c r="P906" s="5"/>
      <c r="Q906" s="1"/>
      <c r="R906" s="156"/>
      <c r="S906" s="156"/>
      <c r="T906" s="157"/>
    </row>
    <row r="907" spans="1:20" ht="13.5" customHeight="1" x14ac:dyDescent="0.25">
      <c r="A907" s="1"/>
      <c r="B907" s="1"/>
      <c r="C907" s="1"/>
      <c r="D907" s="1"/>
      <c r="E907" s="1"/>
      <c r="F907" s="5"/>
      <c r="G907" s="5"/>
      <c r="H907" s="1"/>
      <c r="I907" s="1"/>
      <c r="J907" s="1"/>
      <c r="K907" s="1"/>
      <c r="L907" s="5"/>
      <c r="M907" s="5"/>
      <c r="N907" s="1"/>
      <c r="O907" s="5"/>
      <c r="P907" s="5"/>
      <c r="Q907" s="1"/>
      <c r="R907" s="156"/>
      <c r="S907" s="156"/>
      <c r="T907" s="157"/>
    </row>
    <row r="908" spans="1:20" ht="13.5" customHeight="1" x14ac:dyDescent="0.25">
      <c r="A908" s="1"/>
      <c r="B908" s="1"/>
      <c r="C908" s="1"/>
      <c r="D908" s="1"/>
      <c r="E908" s="1"/>
      <c r="F908" s="5"/>
      <c r="G908" s="5"/>
      <c r="H908" s="1"/>
      <c r="I908" s="1"/>
      <c r="J908" s="1"/>
      <c r="K908" s="1"/>
      <c r="L908" s="5"/>
      <c r="M908" s="5"/>
      <c r="N908" s="1"/>
      <c r="O908" s="5"/>
      <c r="P908" s="5"/>
      <c r="Q908" s="1"/>
      <c r="R908" s="156"/>
      <c r="S908" s="156"/>
      <c r="T908" s="157"/>
    </row>
    <row r="909" spans="1:20" ht="13.5" customHeight="1" x14ac:dyDescent="0.25">
      <c r="A909" s="1"/>
      <c r="B909" s="1"/>
      <c r="C909" s="1"/>
      <c r="D909" s="1"/>
      <c r="E909" s="1"/>
      <c r="F909" s="5"/>
      <c r="G909" s="5"/>
      <c r="H909" s="1"/>
      <c r="I909" s="1"/>
      <c r="J909" s="1"/>
      <c r="K909" s="1"/>
      <c r="L909" s="5"/>
      <c r="M909" s="5"/>
      <c r="N909" s="1"/>
      <c r="O909" s="5"/>
      <c r="P909" s="5"/>
      <c r="Q909" s="1"/>
      <c r="R909" s="156"/>
      <c r="S909" s="156"/>
      <c r="T909" s="157"/>
    </row>
    <row r="910" spans="1:20" ht="13.5" customHeight="1" x14ac:dyDescent="0.25">
      <c r="A910" s="1"/>
      <c r="B910" s="1"/>
      <c r="C910" s="1"/>
      <c r="D910" s="1"/>
      <c r="E910" s="1"/>
      <c r="F910" s="5"/>
      <c r="G910" s="5"/>
      <c r="H910" s="1"/>
      <c r="I910" s="1"/>
      <c r="J910" s="1"/>
      <c r="K910" s="1"/>
      <c r="L910" s="5"/>
      <c r="M910" s="5"/>
      <c r="N910" s="1"/>
      <c r="O910" s="5"/>
      <c r="P910" s="5"/>
      <c r="Q910" s="1"/>
      <c r="R910" s="156"/>
      <c r="S910" s="156"/>
      <c r="T910" s="157"/>
    </row>
    <row r="911" spans="1:20" ht="13.5" customHeight="1" x14ac:dyDescent="0.25">
      <c r="A911" s="1"/>
      <c r="B911" s="1"/>
      <c r="C911" s="1"/>
      <c r="D911" s="1"/>
      <c r="E911" s="1"/>
      <c r="F911" s="5"/>
      <c r="G911" s="5"/>
      <c r="H911" s="1"/>
      <c r="I911" s="1"/>
      <c r="J911" s="1"/>
      <c r="K911" s="1"/>
      <c r="L911" s="5"/>
      <c r="M911" s="5"/>
      <c r="N911" s="1"/>
      <c r="O911" s="5"/>
      <c r="P911" s="5"/>
      <c r="Q911" s="1"/>
      <c r="R911" s="156"/>
      <c r="S911" s="156"/>
      <c r="T911" s="157"/>
    </row>
    <row r="912" spans="1:20" ht="13.5" customHeight="1" x14ac:dyDescent="0.25">
      <c r="A912" s="1"/>
      <c r="B912" s="1"/>
      <c r="C912" s="1"/>
      <c r="D912" s="1"/>
      <c r="E912" s="1"/>
      <c r="F912" s="5"/>
      <c r="G912" s="5"/>
      <c r="H912" s="1"/>
      <c r="I912" s="1"/>
      <c r="J912" s="1"/>
      <c r="K912" s="1"/>
      <c r="L912" s="5"/>
      <c r="M912" s="5"/>
      <c r="N912" s="1"/>
      <c r="O912" s="5"/>
      <c r="P912" s="5"/>
      <c r="Q912" s="1"/>
      <c r="R912" s="156"/>
      <c r="S912" s="156"/>
      <c r="T912" s="157"/>
    </row>
    <row r="913" spans="1:20" ht="13.5" customHeight="1" x14ac:dyDescent="0.25">
      <c r="A913" s="1"/>
      <c r="B913" s="1"/>
      <c r="C913" s="1"/>
      <c r="D913" s="1"/>
      <c r="E913" s="1"/>
      <c r="F913" s="5"/>
      <c r="G913" s="5"/>
      <c r="H913" s="1"/>
      <c r="I913" s="1"/>
      <c r="J913" s="1"/>
      <c r="K913" s="1"/>
      <c r="L913" s="5"/>
      <c r="M913" s="5"/>
      <c r="N913" s="1"/>
      <c r="O913" s="5"/>
      <c r="P913" s="5"/>
      <c r="Q913" s="1"/>
      <c r="R913" s="156"/>
      <c r="S913" s="156"/>
      <c r="T913" s="157"/>
    </row>
    <row r="914" spans="1:20" ht="13.5" customHeight="1" x14ac:dyDescent="0.25">
      <c r="A914" s="1"/>
      <c r="B914" s="1"/>
      <c r="C914" s="1"/>
      <c r="D914" s="1"/>
      <c r="E914" s="1"/>
      <c r="F914" s="5"/>
      <c r="G914" s="5"/>
      <c r="H914" s="1"/>
      <c r="I914" s="1"/>
      <c r="J914" s="1"/>
      <c r="K914" s="1"/>
      <c r="L914" s="5"/>
      <c r="M914" s="5"/>
      <c r="N914" s="1"/>
      <c r="O914" s="5"/>
      <c r="P914" s="5"/>
      <c r="Q914" s="1"/>
      <c r="R914" s="156"/>
      <c r="S914" s="156"/>
      <c r="T914" s="157"/>
    </row>
    <row r="915" spans="1:20" ht="13.5" customHeight="1" x14ac:dyDescent="0.25">
      <c r="A915" s="1"/>
      <c r="B915" s="1"/>
      <c r="C915" s="1"/>
      <c r="D915" s="1"/>
      <c r="E915" s="1"/>
      <c r="F915" s="5"/>
      <c r="G915" s="5"/>
      <c r="H915" s="1"/>
      <c r="I915" s="1"/>
      <c r="J915" s="1"/>
      <c r="K915" s="1"/>
      <c r="L915" s="5"/>
      <c r="M915" s="5"/>
      <c r="N915" s="1"/>
      <c r="O915" s="5"/>
      <c r="P915" s="5"/>
      <c r="Q915" s="1"/>
      <c r="R915" s="156"/>
      <c r="S915" s="156"/>
      <c r="T915" s="157"/>
    </row>
    <row r="916" spans="1:20" ht="13.5" customHeight="1" x14ac:dyDescent="0.25">
      <c r="A916" s="1"/>
      <c r="B916" s="1"/>
      <c r="C916" s="1"/>
      <c r="D916" s="1"/>
      <c r="E916" s="1"/>
      <c r="F916" s="5"/>
      <c r="G916" s="5"/>
      <c r="H916" s="1"/>
      <c r="I916" s="1"/>
      <c r="J916" s="1"/>
      <c r="K916" s="1"/>
      <c r="L916" s="5"/>
      <c r="M916" s="5"/>
      <c r="N916" s="1"/>
      <c r="O916" s="5"/>
      <c r="P916" s="5"/>
      <c r="Q916" s="1"/>
      <c r="R916" s="156"/>
      <c r="S916" s="156"/>
      <c r="T916" s="157"/>
    </row>
    <row r="917" spans="1:20" ht="13.5" customHeight="1" x14ac:dyDescent="0.25">
      <c r="A917" s="1"/>
      <c r="B917" s="1"/>
      <c r="C917" s="1"/>
      <c r="D917" s="1"/>
      <c r="E917" s="1"/>
      <c r="F917" s="5"/>
      <c r="G917" s="5"/>
      <c r="H917" s="1"/>
      <c r="I917" s="1"/>
      <c r="J917" s="1"/>
      <c r="K917" s="1"/>
      <c r="L917" s="5"/>
      <c r="M917" s="5"/>
      <c r="N917" s="1"/>
      <c r="O917" s="5"/>
      <c r="P917" s="5"/>
      <c r="Q917" s="1"/>
      <c r="R917" s="156"/>
      <c r="S917" s="156"/>
      <c r="T917" s="157"/>
    </row>
    <row r="918" spans="1:20" ht="13.5" customHeight="1" x14ac:dyDescent="0.25">
      <c r="A918" s="1"/>
      <c r="B918" s="1"/>
      <c r="C918" s="1"/>
      <c r="D918" s="1"/>
      <c r="E918" s="1"/>
      <c r="F918" s="5"/>
      <c r="G918" s="5"/>
      <c r="H918" s="1"/>
      <c r="I918" s="1"/>
      <c r="J918" s="1"/>
      <c r="K918" s="1"/>
      <c r="L918" s="5"/>
      <c r="M918" s="5"/>
      <c r="N918" s="1"/>
      <c r="O918" s="5"/>
      <c r="P918" s="5"/>
      <c r="Q918" s="1"/>
      <c r="R918" s="156"/>
      <c r="S918" s="156"/>
      <c r="T918" s="157"/>
    </row>
    <row r="919" spans="1:20" ht="13.5" customHeight="1" x14ac:dyDescent="0.25">
      <c r="A919" s="1"/>
      <c r="B919" s="1"/>
      <c r="C919" s="1"/>
      <c r="D919" s="1"/>
      <c r="E919" s="1"/>
      <c r="F919" s="5"/>
      <c r="G919" s="5"/>
      <c r="H919" s="1"/>
      <c r="I919" s="1"/>
      <c r="J919" s="1"/>
      <c r="K919" s="1"/>
      <c r="L919" s="5"/>
      <c r="M919" s="5"/>
      <c r="N919" s="1"/>
      <c r="O919" s="5"/>
      <c r="P919" s="5"/>
      <c r="Q919" s="1"/>
      <c r="R919" s="156"/>
      <c r="S919" s="156"/>
      <c r="T919" s="157"/>
    </row>
    <row r="920" spans="1:20" ht="13.5" customHeight="1" x14ac:dyDescent="0.25">
      <c r="A920" s="1"/>
      <c r="B920" s="1"/>
      <c r="C920" s="1"/>
      <c r="D920" s="1"/>
      <c r="E920" s="1"/>
      <c r="F920" s="5"/>
      <c r="G920" s="5"/>
      <c r="H920" s="1"/>
      <c r="I920" s="1"/>
      <c r="J920" s="1"/>
      <c r="K920" s="1"/>
      <c r="L920" s="5"/>
      <c r="M920" s="5"/>
      <c r="N920" s="1"/>
      <c r="O920" s="5"/>
      <c r="P920" s="5"/>
      <c r="Q920" s="1"/>
      <c r="R920" s="156"/>
      <c r="S920" s="156"/>
      <c r="T920" s="157"/>
    </row>
    <row r="921" spans="1:20" ht="13.5" customHeight="1" x14ac:dyDescent="0.25">
      <c r="A921" s="1"/>
      <c r="B921" s="1"/>
      <c r="C921" s="1"/>
      <c r="D921" s="1"/>
      <c r="E921" s="1"/>
      <c r="F921" s="5"/>
      <c r="G921" s="5"/>
      <c r="H921" s="1"/>
      <c r="I921" s="1"/>
      <c r="J921" s="1"/>
      <c r="K921" s="1"/>
      <c r="L921" s="5"/>
      <c r="M921" s="5"/>
      <c r="N921" s="1"/>
      <c r="O921" s="5"/>
      <c r="P921" s="5"/>
      <c r="Q921" s="1"/>
      <c r="R921" s="156"/>
      <c r="S921" s="156"/>
      <c r="T921" s="157"/>
    </row>
    <row r="922" spans="1:20" ht="13.5" customHeight="1" x14ac:dyDescent="0.25">
      <c r="A922" s="1"/>
      <c r="B922" s="1"/>
      <c r="C922" s="1"/>
      <c r="D922" s="1"/>
      <c r="E922" s="1"/>
      <c r="F922" s="5"/>
      <c r="G922" s="5"/>
      <c r="H922" s="1"/>
      <c r="I922" s="1"/>
      <c r="J922" s="1"/>
      <c r="K922" s="1"/>
      <c r="L922" s="5"/>
      <c r="M922" s="5"/>
      <c r="N922" s="1"/>
      <c r="O922" s="5"/>
      <c r="P922" s="5"/>
      <c r="Q922" s="1"/>
      <c r="R922" s="156"/>
      <c r="S922" s="156"/>
      <c r="T922" s="157"/>
    </row>
    <row r="923" spans="1:20" ht="13.5" customHeight="1" x14ac:dyDescent="0.25">
      <c r="A923" s="1"/>
      <c r="B923" s="1"/>
      <c r="C923" s="1"/>
      <c r="D923" s="1"/>
      <c r="E923" s="1"/>
      <c r="F923" s="5"/>
      <c r="G923" s="5"/>
      <c r="H923" s="1"/>
      <c r="I923" s="1"/>
      <c r="J923" s="1"/>
      <c r="K923" s="1"/>
      <c r="L923" s="5"/>
      <c r="M923" s="5"/>
      <c r="N923" s="1"/>
      <c r="O923" s="5"/>
      <c r="P923" s="5"/>
      <c r="Q923" s="1"/>
      <c r="R923" s="156"/>
      <c r="S923" s="156"/>
      <c r="T923" s="157"/>
    </row>
    <row r="924" spans="1:20" ht="13.5" customHeight="1" x14ac:dyDescent="0.25">
      <c r="A924" s="1"/>
      <c r="B924" s="1"/>
      <c r="C924" s="1"/>
      <c r="D924" s="1"/>
      <c r="E924" s="1"/>
      <c r="F924" s="5"/>
      <c r="G924" s="5"/>
      <c r="H924" s="1"/>
      <c r="I924" s="1"/>
      <c r="J924" s="1"/>
      <c r="K924" s="1"/>
      <c r="L924" s="5"/>
      <c r="M924" s="5"/>
      <c r="N924" s="1"/>
      <c r="O924" s="5"/>
      <c r="P924" s="5"/>
      <c r="Q924" s="1"/>
      <c r="R924" s="156"/>
      <c r="S924" s="156"/>
      <c r="T924" s="157"/>
    </row>
    <row r="925" spans="1:20" ht="13.5" customHeight="1" x14ac:dyDescent="0.25">
      <c r="A925" s="1"/>
      <c r="B925" s="1"/>
      <c r="C925" s="1"/>
      <c r="D925" s="1"/>
      <c r="E925" s="1"/>
      <c r="F925" s="5"/>
      <c r="G925" s="5"/>
      <c r="H925" s="1"/>
      <c r="I925" s="1"/>
      <c r="J925" s="1"/>
      <c r="K925" s="1"/>
      <c r="L925" s="5"/>
      <c r="M925" s="5"/>
      <c r="N925" s="1"/>
      <c r="O925" s="5"/>
      <c r="P925" s="5"/>
      <c r="Q925" s="1"/>
      <c r="R925" s="156"/>
      <c r="S925" s="156"/>
      <c r="T925" s="157"/>
    </row>
    <row r="926" spans="1:20" ht="13.5" customHeight="1" x14ac:dyDescent="0.25">
      <c r="A926" s="1"/>
      <c r="B926" s="1"/>
      <c r="C926" s="1"/>
      <c r="D926" s="1"/>
      <c r="E926" s="1"/>
      <c r="F926" s="5"/>
      <c r="G926" s="5"/>
      <c r="H926" s="1"/>
      <c r="I926" s="1"/>
      <c r="J926" s="1"/>
      <c r="K926" s="1"/>
      <c r="L926" s="5"/>
      <c r="M926" s="5"/>
      <c r="N926" s="1"/>
      <c r="O926" s="5"/>
      <c r="P926" s="5"/>
      <c r="Q926" s="1"/>
      <c r="R926" s="156"/>
      <c r="S926" s="156"/>
      <c r="T926" s="157"/>
    </row>
    <row r="927" spans="1:20" ht="13.5" customHeight="1" x14ac:dyDescent="0.25">
      <c r="A927" s="1"/>
      <c r="B927" s="1"/>
      <c r="C927" s="1"/>
      <c r="D927" s="1"/>
      <c r="E927" s="1"/>
      <c r="F927" s="5"/>
      <c r="G927" s="5"/>
      <c r="H927" s="1"/>
      <c r="I927" s="1"/>
      <c r="J927" s="1"/>
      <c r="K927" s="1"/>
      <c r="L927" s="5"/>
      <c r="M927" s="5"/>
      <c r="N927" s="1"/>
      <c r="O927" s="5"/>
      <c r="P927" s="5"/>
      <c r="Q927" s="1"/>
      <c r="R927" s="156"/>
      <c r="S927" s="156"/>
      <c r="T927" s="157"/>
    </row>
    <row r="928" spans="1:20" ht="13.5" customHeight="1" x14ac:dyDescent="0.25">
      <c r="A928" s="1"/>
      <c r="B928" s="1"/>
      <c r="C928" s="1"/>
      <c r="D928" s="1"/>
      <c r="E928" s="1"/>
      <c r="F928" s="5"/>
      <c r="G928" s="5"/>
      <c r="H928" s="1"/>
      <c r="I928" s="1"/>
      <c r="J928" s="1"/>
      <c r="K928" s="1"/>
      <c r="L928" s="5"/>
      <c r="M928" s="5"/>
      <c r="N928" s="1"/>
      <c r="O928" s="5"/>
      <c r="P928" s="5"/>
      <c r="Q928" s="1"/>
      <c r="R928" s="156"/>
      <c r="S928" s="156"/>
      <c r="T928" s="157"/>
    </row>
    <row r="929" spans="1:20" ht="13.5" customHeight="1" x14ac:dyDescent="0.25">
      <c r="A929" s="1"/>
      <c r="B929" s="1"/>
      <c r="C929" s="1"/>
      <c r="D929" s="1"/>
      <c r="E929" s="1"/>
      <c r="F929" s="5"/>
      <c r="G929" s="5"/>
      <c r="H929" s="1"/>
      <c r="I929" s="1"/>
      <c r="J929" s="1"/>
      <c r="K929" s="1"/>
      <c r="L929" s="5"/>
      <c r="M929" s="5"/>
      <c r="N929" s="1"/>
      <c r="O929" s="5"/>
      <c r="P929" s="5"/>
      <c r="Q929" s="1"/>
      <c r="R929" s="156"/>
      <c r="S929" s="156"/>
      <c r="T929" s="157"/>
    </row>
    <row r="930" spans="1:20" ht="13.5" customHeight="1" x14ac:dyDescent="0.25">
      <c r="A930" s="1"/>
      <c r="B930" s="1"/>
      <c r="C930" s="1"/>
      <c r="D930" s="1"/>
      <c r="E930" s="1"/>
      <c r="F930" s="5"/>
      <c r="G930" s="5"/>
      <c r="H930" s="1"/>
      <c r="I930" s="1"/>
      <c r="J930" s="1"/>
      <c r="K930" s="1"/>
      <c r="L930" s="5"/>
      <c r="M930" s="5"/>
      <c r="N930" s="1"/>
      <c r="O930" s="5"/>
      <c r="P930" s="5"/>
      <c r="Q930" s="1"/>
      <c r="R930" s="156"/>
      <c r="S930" s="156"/>
      <c r="T930" s="157"/>
    </row>
    <row r="931" spans="1:20" ht="13.5" customHeight="1" x14ac:dyDescent="0.25">
      <c r="A931" s="1"/>
      <c r="B931" s="1"/>
      <c r="C931" s="1"/>
      <c r="D931" s="1"/>
      <c r="E931" s="1"/>
      <c r="F931" s="5"/>
      <c r="G931" s="5"/>
      <c r="H931" s="1"/>
      <c r="I931" s="1"/>
      <c r="J931" s="1"/>
      <c r="K931" s="1"/>
      <c r="L931" s="5"/>
      <c r="M931" s="5"/>
      <c r="N931" s="1"/>
      <c r="O931" s="5"/>
      <c r="P931" s="5"/>
      <c r="Q931" s="1"/>
      <c r="R931" s="156"/>
      <c r="S931" s="156"/>
      <c r="T931" s="157"/>
    </row>
    <row r="932" spans="1:20" ht="13.5" customHeight="1" x14ac:dyDescent="0.25">
      <c r="A932" s="1"/>
      <c r="B932" s="1"/>
      <c r="C932" s="1"/>
      <c r="D932" s="1"/>
      <c r="E932" s="1"/>
      <c r="F932" s="5"/>
      <c r="G932" s="5"/>
      <c r="H932" s="1"/>
      <c r="I932" s="1"/>
      <c r="J932" s="1"/>
      <c r="K932" s="1"/>
      <c r="L932" s="5"/>
      <c r="M932" s="5"/>
      <c r="N932" s="1"/>
      <c r="O932" s="5"/>
      <c r="P932" s="5"/>
      <c r="Q932" s="1"/>
      <c r="R932" s="156"/>
      <c r="S932" s="156"/>
      <c r="T932" s="157"/>
    </row>
    <row r="933" spans="1:20" ht="13.5" customHeight="1" x14ac:dyDescent="0.25">
      <c r="A933" s="1"/>
      <c r="B933" s="1"/>
      <c r="C933" s="1"/>
      <c r="D933" s="1"/>
      <c r="E933" s="1"/>
      <c r="F933" s="5"/>
      <c r="G933" s="5"/>
      <c r="H933" s="1"/>
      <c r="I933" s="1"/>
      <c r="J933" s="1"/>
      <c r="K933" s="1"/>
      <c r="L933" s="5"/>
      <c r="M933" s="5"/>
      <c r="N933" s="1"/>
      <c r="O933" s="5"/>
      <c r="P933" s="5"/>
      <c r="Q933" s="1"/>
      <c r="R933" s="156"/>
      <c r="S933" s="156"/>
      <c r="T933" s="157"/>
    </row>
    <row r="934" spans="1:20" ht="13.5" customHeight="1" x14ac:dyDescent="0.25">
      <c r="A934" s="1"/>
      <c r="B934" s="1"/>
      <c r="C934" s="1"/>
      <c r="D934" s="1"/>
      <c r="E934" s="1"/>
      <c r="F934" s="5"/>
      <c r="G934" s="5"/>
      <c r="H934" s="1"/>
      <c r="I934" s="1"/>
      <c r="J934" s="1"/>
      <c r="K934" s="1"/>
      <c r="L934" s="5"/>
      <c r="M934" s="5"/>
      <c r="N934" s="1"/>
      <c r="O934" s="5"/>
      <c r="P934" s="5"/>
      <c r="Q934" s="1"/>
      <c r="R934" s="156"/>
      <c r="S934" s="156"/>
      <c r="T934" s="157"/>
    </row>
    <row r="935" spans="1:20" ht="13.5" customHeight="1" x14ac:dyDescent="0.25">
      <c r="A935" s="1"/>
      <c r="B935" s="1"/>
      <c r="C935" s="1"/>
      <c r="D935" s="1"/>
      <c r="E935" s="1"/>
      <c r="F935" s="5"/>
      <c r="G935" s="5"/>
      <c r="H935" s="1"/>
      <c r="I935" s="1"/>
      <c r="J935" s="1"/>
      <c r="K935" s="1"/>
      <c r="L935" s="5"/>
      <c r="M935" s="5"/>
      <c r="N935" s="1"/>
      <c r="O935" s="5"/>
      <c r="P935" s="5"/>
      <c r="Q935" s="1"/>
      <c r="R935" s="156"/>
      <c r="S935" s="156"/>
      <c r="T935" s="157"/>
    </row>
    <row r="936" spans="1:20" ht="13.5" customHeight="1" x14ac:dyDescent="0.25">
      <c r="A936" s="1"/>
      <c r="B936" s="1"/>
      <c r="C936" s="1"/>
      <c r="D936" s="1"/>
      <c r="E936" s="1"/>
      <c r="F936" s="5"/>
      <c r="G936" s="5"/>
      <c r="H936" s="1"/>
      <c r="I936" s="1"/>
      <c r="J936" s="1"/>
      <c r="K936" s="1"/>
      <c r="L936" s="5"/>
      <c r="M936" s="5"/>
      <c r="N936" s="1"/>
      <c r="O936" s="5"/>
      <c r="P936" s="5"/>
      <c r="Q936" s="1"/>
      <c r="R936" s="156"/>
      <c r="S936" s="156"/>
      <c r="T936" s="157"/>
    </row>
    <row r="937" spans="1:20" ht="13.5" customHeight="1" x14ac:dyDescent="0.25">
      <c r="A937" s="1"/>
      <c r="B937" s="1"/>
      <c r="C937" s="1"/>
      <c r="D937" s="1"/>
      <c r="E937" s="1"/>
      <c r="F937" s="5"/>
      <c r="G937" s="5"/>
      <c r="H937" s="1"/>
      <c r="I937" s="1"/>
      <c r="J937" s="1"/>
      <c r="K937" s="1"/>
      <c r="L937" s="5"/>
      <c r="M937" s="5"/>
      <c r="N937" s="1"/>
      <c r="O937" s="5"/>
      <c r="P937" s="5"/>
      <c r="Q937" s="1"/>
      <c r="R937" s="156"/>
      <c r="S937" s="156"/>
      <c r="T937" s="157"/>
    </row>
    <row r="938" spans="1:20" ht="13.5" customHeight="1" x14ac:dyDescent="0.25">
      <c r="A938" s="1"/>
      <c r="B938" s="1"/>
      <c r="C938" s="1"/>
      <c r="D938" s="1"/>
      <c r="E938" s="1"/>
      <c r="F938" s="5"/>
      <c r="G938" s="5"/>
      <c r="H938" s="1"/>
      <c r="I938" s="1"/>
      <c r="J938" s="1"/>
      <c r="K938" s="1"/>
      <c r="L938" s="5"/>
      <c r="M938" s="5"/>
      <c r="N938" s="1"/>
      <c r="O938" s="5"/>
      <c r="P938" s="5"/>
      <c r="Q938" s="1"/>
      <c r="R938" s="156"/>
      <c r="S938" s="156"/>
      <c r="T938" s="157"/>
    </row>
    <row r="939" spans="1:20" ht="13.5" customHeight="1" x14ac:dyDescent="0.25">
      <c r="A939" s="1"/>
      <c r="B939" s="1"/>
      <c r="C939" s="1"/>
      <c r="D939" s="1"/>
      <c r="E939" s="1"/>
      <c r="F939" s="5"/>
      <c r="G939" s="5"/>
      <c r="H939" s="1"/>
      <c r="I939" s="1"/>
      <c r="J939" s="1"/>
      <c r="K939" s="1"/>
      <c r="L939" s="5"/>
      <c r="M939" s="5"/>
      <c r="N939" s="1"/>
      <c r="O939" s="5"/>
      <c r="P939" s="5"/>
      <c r="Q939" s="1"/>
      <c r="R939" s="156"/>
      <c r="S939" s="156"/>
      <c r="T939" s="157"/>
    </row>
    <row r="940" spans="1:20" ht="13.5" customHeight="1" x14ac:dyDescent="0.25">
      <c r="A940" s="1"/>
      <c r="B940" s="1"/>
      <c r="C940" s="1"/>
      <c r="D940" s="1"/>
      <c r="E940" s="1"/>
      <c r="F940" s="5"/>
      <c r="G940" s="5"/>
      <c r="H940" s="1"/>
      <c r="I940" s="1"/>
      <c r="J940" s="1"/>
      <c r="K940" s="1"/>
      <c r="L940" s="5"/>
      <c r="M940" s="5"/>
      <c r="N940" s="1"/>
      <c r="O940" s="5"/>
      <c r="P940" s="5"/>
      <c r="Q940" s="1"/>
      <c r="R940" s="156"/>
      <c r="S940" s="156"/>
      <c r="T940" s="157"/>
    </row>
    <row r="941" spans="1:20" ht="13.5" customHeight="1" x14ac:dyDescent="0.25">
      <c r="A941" s="1"/>
      <c r="B941" s="1"/>
      <c r="C941" s="1"/>
      <c r="D941" s="1"/>
      <c r="E941" s="1"/>
      <c r="F941" s="5"/>
      <c r="G941" s="5"/>
      <c r="H941" s="1"/>
      <c r="I941" s="1"/>
      <c r="J941" s="1"/>
      <c r="K941" s="1"/>
      <c r="L941" s="5"/>
      <c r="M941" s="5"/>
      <c r="N941" s="1"/>
      <c r="O941" s="5"/>
      <c r="P941" s="5"/>
      <c r="Q941" s="1"/>
      <c r="R941" s="156"/>
      <c r="S941" s="156"/>
      <c r="T941" s="157"/>
    </row>
    <row r="942" spans="1:20" ht="13.5" customHeight="1" x14ac:dyDescent="0.25">
      <c r="A942" s="1"/>
      <c r="B942" s="1"/>
      <c r="C942" s="1"/>
      <c r="D942" s="1"/>
      <c r="E942" s="1"/>
      <c r="F942" s="5"/>
      <c r="G942" s="5"/>
      <c r="H942" s="1"/>
      <c r="I942" s="1"/>
      <c r="J942" s="1"/>
      <c r="K942" s="1"/>
      <c r="L942" s="5"/>
      <c r="M942" s="5"/>
      <c r="N942" s="1"/>
      <c r="O942" s="5"/>
      <c r="P942" s="5"/>
      <c r="Q942" s="1"/>
      <c r="R942" s="156"/>
      <c r="S942" s="156"/>
      <c r="T942" s="157"/>
    </row>
    <row r="943" spans="1:20" ht="13.5" customHeight="1" x14ac:dyDescent="0.25">
      <c r="A943" s="1"/>
      <c r="B943" s="1"/>
      <c r="C943" s="1"/>
      <c r="D943" s="1"/>
      <c r="E943" s="1"/>
      <c r="F943" s="5"/>
      <c r="G943" s="5"/>
      <c r="H943" s="1"/>
      <c r="I943" s="1"/>
      <c r="J943" s="1"/>
      <c r="K943" s="1"/>
      <c r="L943" s="5"/>
      <c r="M943" s="5"/>
      <c r="N943" s="1"/>
      <c r="O943" s="5"/>
      <c r="P943" s="5"/>
      <c r="Q943" s="1"/>
      <c r="R943" s="156"/>
      <c r="S943" s="156"/>
      <c r="T943" s="157"/>
    </row>
    <row r="944" spans="1:20" ht="13.5" customHeight="1" x14ac:dyDescent="0.25">
      <c r="A944" s="1"/>
      <c r="B944" s="1"/>
      <c r="C944" s="1"/>
      <c r="D944" s="1"/>
      <c r="E944" s="1"/>
      <c r="F944" s="5"/>
      <c r="G944" s="5"/>
      <c r="H944" s="1"/>
      <c r="I944" s="1"/>
      <c r="J944" s="1"/>
      <c r="K944" s="1"/>
      <c r="L944" s="5"/>
      <c r="M944" s="5"/>
      <c r="N944" s="1"/>
      <c r="O944" s="5"/>
      <c r="P944" s="5"/>
      <c r="Q944" s="1"/>
      <c r="R944" s="156"/>
      <c r="S944" s="156"/>
      <c r="T944" s="157"/>
    </row>
    <row r="945" spans="1:20" ht="13.5" customHeight="1" x14ac:dyDescent="0.25">
      <c r="A945" s="1"/>
      <c r="B945" s="1"/>
      <c r="C945" s="1"/>
      <c r="D945" s="1"/>
      <c r="E945" s="1"/>
      <c r="F945" s="5"/>
      <c r="G945" s="5"/>
      <c r="H945" s="1"/>
      <c r="I945" s="1"/>
      <c r="J945" s="1"/>
      <c r="K945" s="1"/>
      <c r="L945" s="5"/>
      <c r="M945" s="5"/>
      <c r="N945" s="1"/>
      <c r="O945" s="5"/>
      <c r="P945" s="5"/>
      <c r="Q945" s="1"/>
      <c r="R945" s="156"/>
      <c r="S945" s="156"/>
      <c r="T945" s="157"/>
    </row>
    <row r="946" spans="1:20" ht="13.5" customHeight="1" x14ac:dyDescent="0.25">
      <c r="A946" s="1"/>
      <c r="B946" s="1"/>
      <c r="C946" s="1"/>
      <c r="D946" s="1"/>
      <c r="E946" s="1"/>
      <c r="F946" s="5"/>
      <c r="G946" s="5"/>
      <c r="H946" s="1"/>
      <c r="I946" s="1"/>
      <c r="J946" s="1"/>
      <c r="K946" s="1"/>
      <c r="L946" s="5"/>
      <c r="M946" s="5"/>
      <c r="N946" s="1"/>
      <c r="O946" s="5"/>
      <c r="P946" s="5"/>
      <c r="Q946" s="1"/>
      <c r="R946" s="156"/>
      <c r="S946" s="156"/>
      <c r="T946" s="157"/>
    </row>
    <row r="947" spans="1:20" ht="13.5" customHeight="1" x14ac:dyDescent="0.25">
      <c r="A947" s="1"/>
      <c r="B947" s="1"/>
      <c r="C947" s="1"/>
      <c r="D947" s="1"/>
      <c r="E947" s="1"/>
      <c r="F947" s="5"/>
      <c r="G947" s="5"/>
      <c r="H947" s="1"/>
      <c r="I947" s="1"/>
      <c r="J947" s="1"/>
      <c r="K947" s="1"/>
      <c r="L947" s="5"/>
      <c r="M947" s="5"/>
      <c r="N947" s="1"/>
      <c r="O947" s="5"/>
      <c r="P947" s="5"/>
      <c r="Q947" s="1"/>
      <c r="R947" s="156"/>
      <c r="S947" s="156"/>
      <c r="T947" s="157"/>
    </row>
    <row r="948" spans="1:20" ht="13.5" customHeight="1" x14ac:dyDescent="0.25">
      <c r="A948" s="1"/>
      <c r="B948" s="1"/>
      <c r="C948" s="1"/>
      <c r="D948" s="1"/>
      <c r="E948" s="1"/>
      <c r="F948" s="5"/>
      <c r="G948" s="5"/>
      <c r="H948" s="1"/>
      <c r="I948" s="1"/>
      <c r="J948" s="1"/>
      <c r="K948" s="1"/>
      <c r="L948" s="5"/>
      <c r="M948" s="5"/>
      <c r="N948" s="1"/>
      <c r="O948" s="5"/>
      <c r="P948" s="5"/>
      <c r="Q948" s="1"/>
      <c r="R948" s="156"/>
      <c r="S948" s="156"/>
      <c r="T948" s="157"/>
    </row>
    <row r="949" spans="1:20" ht="13.5" customHeight="1" x14ac:dyDescent="0.25">
      <c r="A949" s="1"/>
      <c r="B949" s="1"/>
      <c r="C949" s="1"/>
      <c r="D949" s="1"/>
      <c r="E949" s="1"/>
      <c r="F949" s="5"/>
      <c r="G949" s="5"/>
      <c r="H949" s="1"/>
      <c r="I949" s="1"/>
      <c r="J949" s="1"/>
      <c r="K949" s="1"/>
      <c r="L949" s="5"/>
      <c r="M949" s="5"/>
      <c r="N949" s="1"/>
      <c r="O949" s="5"/>
      <c r="P949" s="5"/>
      <c r="Q949" s="1"/>
      <c r="R949" s="156"/>
      <c r="S949" s="156"/>
      <c r="T949" s="157"/>
    </row>
    <row r="950" spans="1:20" ht="13.5" customHeight="1" x14ac:dyDescent="0.25">
      <c r="A950" s="1"/>
      <c r="B950" s="1"/>
      <c r="C950" s="1"/>
      <c r="D950" s="1"/>
      <c r="E950" s="1"/>
      <c r="F950" s="5"/>
      <c r="G950" s="5"/>
      <c r="H950" s="1"/>
      <c r="I950" s="1"/>
      <c r="J950" s="1"/>
      <c r="K950" s="1"/>
      <c r="L950" s="5"/>
      <c r="M950" s="5"/>
      <c r="N950" s="1"/>
      <c r="O950" s="5"/>
      <c r="P950" s="5"/>
      <c r="Q950" s="1"/>
      <c r="R950" s="156"/>
      <c r="S950" s="156"/>
      <c r="T950" s="157"/>
    </row>
    <row r="951" spans="1:20" ht="13.5" customHeight="1" x14ac:dyDescent="0.25">
      <c r="A951" s="1"/>
      <c r="B951" s="1"/>
      <c r="C951" s="1"/>
      <c r="D951" s="1"/>
      <c r="E951" s="1"/>
      <c r="F951" s="5"/>
      <c r="G951" s="5"/>
      <c r="H951" s="1"/>
      <c r="I951" s="1"/>
      <c r="J951" s="1"/>
      <c r="K951" s="1"/>
      <c r="L951" s="5"/>
      <c r="M951" s="5"/>
      <c r="N951" s="1"/>
      <c r="O951" s="5"/>
      <c r="P951" s="5"/>
      <c r="Q951" s="1"/>
      <c r="R951" s="156"/>
      <c r="S951" s="156"/>
      <c r="T951" s="157"/>
    </row>
    <row r="952" spans="1:20" ht="13.5" customHeight="1" x14ac:dyDescent="0.25">
      <c r="A952" s="1"/>
      <c r="B952" s="1"/>
      <c r="C952" s="1"/>
      <c r="D952" s="1"/>
      <c r="E952" s="1"/>
      <c r="F952" s="5"/>
      <c r="G952" s="5"/>
      <c r="H952" s="1"/>
      <c r="I952" s="1"/>
      <c r="J952" s="1"/>
      <c r="K952" s="1"/>
      <c r="L952" s="5"/>
      <c r="M952" s="5"/>
      <c r="N952" s="1"/>
      <c r="O952" s="5"/>
      <c r="P952" s="5"/>
      <c r="Q952" s="1"/>
      <c r="R952" s="156"/>
      <c r="S952" s="156"/>
      <c r="T952" s="157"/>
    </row>
    <row r="953" spans="1:20" ht="13.5" customHeight="1" x14ac:dyDescent="0.25">
      <c r="A953" s="1"/>
      <c r="B953" s="1"/>
      <c r="C953" s="1"/>
      <c r="D953" s="1"/>
      <c r="E953" s="1"/>
      <c r="F953" s="5"/>
      <c r="G953" s="5"/>
      <c r="H953" s="1"/>
      <c r="I953" s="1"/>
      <c r="J953" s="1"/>
      <c r="K953" s="1"/>
      <c r="L953" s="5"/>
      <c r="M953" s="5"/>
      <c r="N953" s="1"/>
      <c r="O953" s="5"/>
      <c r="P953" s="5"/>
      <c r="Q953" s="1"/>
      <c r="R953" s="156"/>
      <c r="S953" s="156"/>
      <c r="T953" s="157"/>
    </row>
    <row r="954" spans="1:20" ht="13.5" customHeight="1" x14ac:dyDescent="0.25">
      <c r="A954" s="1"/>
      <c r="B954" s="1"/>
      <c r="C954" s="1"/>
      <c r="D954" s="1"/>
      <c r="E954" s="1"/>
      <c r="F954" s="5"/>
      <c r="G954" s="5"/>
      <c r="H954" s="1"/>
      <c r="I954" s="1"/>
      <c r="J954" s="1"/>
      <c r="K954" s="1"/>
      <c r="L954" s="5"/>
      <c r="M954" s="5"/>
      <c r="N954" s="1"/>
      <c r="O954" s="5"/>
      <c r="P954" s="5"/>
      <c r="Q954" s="1"/>
      <c r="R954" s="156"/>
      <c r="S954" s="156"/>
      <c r="T954" s="157"/>
    </row>
    <row r="955" spans="1:20" ht="13.5" customHeight="1" x14ac:dyDescent="0.25">
      <c r="A955" s="1"/>
      <c r="B955" s="1"/>
      <c r="C955" s="1"/>
      <c r="D955" s="1"/>
      <c r="E955" s="1"/>
      <c r="F955" s="5"/>
      <c r="G955" s="5"/>
      <c r="H955" s="1"/>
      <c r="I955" s="1"/>
      <c r="J955" s="1"/>
      <c r="K955" s="1"/>
      <c r="L955" s="5"/>
      <c r="M955" s="5"/>
      <c r="N955" s="1"/>
      <c r="O955" s="5"/>
      <c r="P955" s="5"/>
      <c r="Q955" s="1"/>
      <c r="R955" s="156"/>
      <c r="S955" s="156"/>
      <c r="T955" s="157"/>
    </row>
    <row r="956" spans="1:20" ht="13.5" customHeight="1" x14ac:dyDescent="0.25">
      <c r="A956" s="1"/>
      <c r="B956" s="1"/>
      <c r="C956" s="1"/>
      <c r="D956" s="1"/>
      <c r="E956" s="1"/>
      <c r="F956" s="5"/>
      <c r="G956" s="5"/>
      <c r="H956" s="1"/>
      <c r="I956" s="1"/>
      <c r="J956" s="1"/>
      <c r="K956" s="1"/>
      <c r="L956" s="5"/>
      <c r="M956" s="5"/>
      <c r="N956" s="1"/>
      <c r="O956" s="5"/>
      <c r="P956" s="5"/>
      <c r="Q956" s="1"/>
      <c r="R956" s="156"/>
      <c r="S956" s="156"/>
      <c r="T956" s="157"/>
    </row>
    <row r="957" spans="1:20" ht="13.5" customHeight="1" x14ac:dyDescent="0.25">
      <c r="A957" s="1"/>
      <c r="B957" s="1"/>
      <c r="C957" s="1"/>
      <c r="D957" s="1"/>
      <c r="E957" s="1"/>
      <c r="F957" s="5"/>
      <c r="G957" s="5"/>
      <c r="H957" s="1"/>
      <c r="I957" s="1"/>
      <c r="J957" s="1"/>
      <c r="K957" s="1"/>
      <c r="L957" s="5"/>
      <c r="M957" s="5"/>
      <c r="N957" s="1"/>
      <c r="O957" s="5"/>
      <c r="P957" s="5"/>
      <c r="Q957" s="1"/>
      <c r="R957" s="156"/>
      <c r="S957" s="156"/>
      <c r="T957" s="157"/>
    </row>
    <row r="958" spans="1:20" ht="13.5" customHeight="1" x14ac:dyDescent="0.25">
      <c r="A958" s="1"/>
      <c r="B958" s="1"/>
      <c r="C958" s="1"/>
      <c r="D958" s="1"/>
      <c r="E958" s="1"/>
      <c r="F958" s="5"/>
      <c r="G958" s="5"/>
      <c r="H958" s="1"/>
      <c r="I958" s="1"/>
      <c r="J958" s="1"/>
      <c r="K958" s="1"/>
      <c r="L958" s="5"/>
      <c r="M958" s="5"/>
      <c r="N958" s="1"/>
      <c r="O958" s="5"/>
      <c r="P958" s="5"/>
      <c r="Q958" s="1"/>
      <c r="R958" s="156"/>
      <c r="S958" s="156"/>
      <c r="T958" s="157"/>
    </row>
    <row r="959" spans="1:20" ht="13.5" customHeight="1" x14ac:dyDescent="0.25">
      <c r="A959" s="1"/>
      <c r="B959" s="1"/>
      <c r="C959" s="1"/>
      <c r="D959" s="1"/>
      <c r="E959" s="1"/>
      <c r="F959" s="5"/>
      <c r="G959" s="5"/>
      <c r="H959" s="1"/>
      <c r="I959" s="1"/>
      <c r="J959" s="1"/>
      <c r="K959" s="1"/>
      <c r="L959" s="5"/>
      <c r="M959" s="5"/>
      <c r="N959" s="1"/>
      <c r="O959" s="5"/>
      <c r="P959" s="5"/>
      <c r="Q959" s="1"/>
      <c r="R959" s="156"/>
      <c r="S959" s="156"/>
      <c r="T959" s="157"/>
    </row>
    <row r="960" spans="1:20" ht="13.5" customHeight="1" x14ac:dyDescent="0.25">
      <c r="A960" s="1"/>
      <c r="B960" s="1"/>
      <c r="C960" s="1"/>
      <c r="D960" s="1"/>
      <c r="E960" s="1"/>
      <c r="F960" s="5"/>
      <c r="G960" s="5"/>
      <c r="H960" s="1"/>
      <c r="I960" s="1"/>
      <c r="J960" s="1"/>
      <c r="K960" s="1"/>
      <c r="L960" s="5"/>
      <c r="M960" s="5"/>
      <c r="N960" s="1"/>
      <c r="O960" s="5"/>
      <c r="P960" s="5"/>
      <c r="Q960" s="1"/>
      <c r="R960" s="156"/>
      <c r="S960" s="156"/>
      <c r="T960" s="157"/>
    </row>
    <row r="961" spans="1:20" ht="13.5" customHeight="1" x14ac:dyDescent="0.25">
      <c r="A961" s="1"/>
      <c r="B961" s="1"/>
      <c r="C961" s="1"/>
      <c r="D961" s="1"/>
      <c r="E961" s="1"/>
      <c r="F961" s="5"/>
      <c r="G961" s="5"/>
      <c r="H961" s="1"/>
      <c r="I961" s="1"/>
      <c r="J961" s="1"/>
      <c r="K961" s="1"/>
      <c r="L961" s="5"/>
      <c r="M961" s="5"/>
      <c r="N961" s="1"/>
      <c r="O961" s="5"/>
      <c r="P961" s="5"/>
      <c r="Q961" s="1"/>
      <c r="R961" s="156"/>
      <c r="S961" s="156"/>
      <c r="T961" s="157"/>
    </row>
    <row r="962" spans="1:20" ht="13.5" customHeight="1" x14ac:dyDescent="0.25">
      <c r="A962" s="1"/>
      <c r="B962" s="1"/>
      <c r="C962" s="1"/>
      <c r="D962" s="1"/>
      <c r="E962" s="1"/>
      <c r="F962" s="5"/>
      <c r="G962" s="5"/>
      <c r="H962" s="1"/>
      <c r="I962" s="1"/>
      <c r="J962" s="1"/>
      <c r="K962" s="1"/>
      <c r="L962" s="5"/>
      <c r="M962" s="5"/>
      <c r="N962" s="1"/>
      <c r="O962" s="5"/>
      <c r="P962" s="5"/>
      <c r="Q962" s="1"/>
      <c r="R962" s="156"/>
      <c r="S962" s="156"/>
      <c r="T962" s="157"/>
    </row>
    <row r="963" spans="1:20" ht="13.5" customHeight="1" x14ac:dyDescent="0.25">
      <c r="A963" s="1"/>
      <c r="B963" s="1"/>
      <c r="C963" s="1"/>
      <c r="D963" s="1"/>
      <c r="E963" s="1"/>
      <c r="F963" s="5"/>
      <c r="G963" s="5"/>
      <c r="H963" s="1"/>
      <c r="I963" s="1"/>
      <c r="J963" s="1"/>
      <c r="K963" s="1"/>
      <c r="L963" s="5"/>
      <c r="M963" s="5"/>
      <c r="N963" s="1"/>
      <c r="O963" s="5"/>
      <c r="P963" s="5"/>
      <c r="Q963" s="1"/>
      <c r="R963" s="156"/>
      <c r="S963" s="156"/>
      <c r="T963" s="157"/>
    </row>
    <row r="964" spans="1:20" ht="13.5" customHeight="1" x14ac:dyDescent="0.25">
      <c r="A964" s="1"/>
      <c r="B964" s="1"/>
      <c r="C964" s="1"/>
      <c r="D964" s="1"/>
      <c r="E964" s="1"/>
      <c r="F964" s="5"/>
      <c r="G964" s="5"/>
      <c r="H964" s="1"/>
      <c r="I964" s="1"/>
      <c r="J964" s="1"/>
      <c r="K964" s="1"/>
      <c r="L964" s="5"/>
      <c r="M964" s="5"/>
      <c r="N964" s="1"/>
      <c r="O964" s="5"/>
      <c r="P964" s="5"/>
      <c r="Q964" s="1"/>
      <c r="R964" s="156"/>
      <c r="S964" s="156"/>
      <c r="T964" s="157"/>
    </row>
    <row r="965" spans="1:20" ht="13.5" customHeight="1" x14ac:dyDescent="0.25">
      <c r="A965" s="1"/>
      <c r="B965" s="1"/>
      <c r="C965" s="1"/>
      <c r="D965" s="1"/>
      <c r="E965" s="1"/>
      <c r="F965" s="5"/>
      <c r="G965" s="5"/>
      <c r="H965" s="1"/>
      <c r="I965" s="1"/>
      <c r="J965" s="1"/>
      <c r="K965" s="1"/>
      <c r="L965" s="5"/>
      <c r="M965" s="5"/>
      <c r="N965" s="1"/>
      <c r="O965" s="5"/>
      <c r="P965" s="5"/>
      <c r="Q965" s="1"/>
      <c r="R965" s="156"/>
      <c r="S965" s="156"/>
      <c r="T965" s="157"/>
    </row>
    <row r="966" spans="1:20" ht="13.5" customHeight="1" x14ac:dyDescent="0.25">
      <c r="A966" s="1"/>
      <c r="B966" s="1"/>
      <c r="C966" s="1"/>
      <c r="D966" s="1"/>
      <c r="E966" s="1"/>
      <c r="F966" s="5"/>
      <c r="G966" s="5"/>
      <c r="H966" s="1"/>
      <c r="I966" s="1"/>
      <c r="J966" s="1"/>
      <c r="K966" s="1"/>
      <c r="L966" s="5"/>
      <c r="M966" s="5"/>
      <c r="N966" s="1"/>
      <c r="O966" s="5"/>
      <c r="P966" s="5"/>
      <c r="Q966" s="1"/>
      <c r="R966" s="156"/>
      <c r="S966" s="156"/>
      <c r="T966" s="157"/>
    </row>
    <row r="967" spans="1:20" ht="13.5" customHeight="1" x14ac:dyDescent="0.25">
      <c r="A967" s="1"/>
      <c r="B967" s="1"/>
      <c r="C967" s="1"/>
      <c r="D967" s="1"/>
      <c r="E967" s="1"/>
      <c r="F967" s="5"/>
      <c r="G967" s="5"/>
      <c r="H967" s="1"/>
      <c r="I967" s="1"/>
      <c r="J967" s="1"/>
      <c r="K967" s="1"/>
      <c r="L967" s="5"/>
      <c r="M967" s="5"/>
      <c r="N967" s="1"/>
      <c r="O967" s="5"/>
      <c r="P967" s="5"/>
      <c r="Q967" s="1"/>
      <c r="R967" s="156"/>
      <c r="S967" s="156"/>
      <c r="T967" s="157"/>
    </row>
    <row r="968" spans="1:20" ht="13.5" customHeight="1" x14ac:dyDescent="0.25">
      <c r="A968" s="1"/>
      <c r="B968" s="1"/>
      <c r="C968" s="1"/>
      <c r="D968" s="1"/>
      <c r="E968" s="1"/>
      <c r="F968" s="5"/>
      <c r="G968" s="5"/>
      <c r="H968" s="1"/>
      <c r="I968" s="1"/>
      <c r="J968" s="1"/>
      <c r="K968" s="1"/>
      <c r="L968" s="5"/>
      <c r="M968" s="5"/>
      <c r="N968" s="1"/>
      <c r="O968" s="5"/>
      <c r="P968" s="5"/>
      <c r="Q968" s="1"/>
      <c r="R968" s="156"/>
      <c r="S968" s="156"/>
      <c r="T968" s="157"/>
    </row>
    <row r="969" spans="1:20" ht="13.5" customHeight="1" x14ac:dyDescent="0.25">
      <c r="A969" s="1"/>
      <c r="B969" s="1"/>
      <c r="C969" s="1"/>
      <c r="D969" s="1"/>
      <c r="E969" s="1"/>
      <c r="F969" s="5"/>
      <c r="G969" s="5"/>
      <c r="H969" s="1"/>
      <c r="I969" s="1"/>
      <c r="J969" s="1"/>
      <c r="K969" s="1"/>
      <c r="L969" s="5"/>
      <c r="M969" s="5"/>
      <c r="N969" s="1"/>
      <c r="O969" s="5"/>
      <c r="P969" s="5"/>
      <c r="Q969" s="1"/>
      <c r="R969" s="156"/>
      <c r="S969" s="156"/>
      <c r="T969" s="157"/>
    </row>
    <row r="970" spans="1:20" ht="13.5" customHeight="1" x14ac:dyDescent="0.25">
      <c r="A970" s="1"/>
      <c r="B970" s="1"/>
      <c r="C970" s="1"/>
      <c r="D970" s="1"/>
      <c r="E970" s="1"/>
      <c r="F970" s="5"/>
      <c r="G970" s="5"/>
      <c r="H970" s="1"/>
      <c r="I970" s="1"/>
      <c r="J970" s="1"/>
      <c r="K970" s="1"/>
      <c r="L970" s="5"/>
      <c r="M970" s="5"/>
      <c r="N970" s="1"/>
      <c r="O970" s="5"/>
      <c r="P970" s="5"/>
      <c r="Q970" s="1"/>
      <c r="R970" s="156"/>
      <c r="S970" s="156"/>
      <c r="T970" s="157"/>
    </row>
    <row r="971" spans="1:20" ht="13.5" customHeight="1" x14ac:dyDescent="0.25">
      <c r="A971" s="1"/>
      <c r="B971" s="1"/>
      <c r="C971" s="1"/>
      <c r="D971" s="1"/>
      <c r="E971" s="1"/>
      <c r="F971" s="5"/>
      <c r="G971" s="5"/>
      <c r="H971" s="1"/>
      <c r="I971" s="1"/>
      <c r="J971" s="1"/>
      <c r="K971" s="1"/>
      <c r="L971" s="5"/>
      <c r="M971" s="5"/>
      <c r="N971" s="1"/>
      <c r="O971" s="5"/>
      <c r="P971" s="5"/>
      <c r="Q971" s="1"/>
      <c r="R971" s="156"/>
      <c r="S971" s="156"/>
      <c r="T971" s="157"/>
    </row>
    <row r="972" spans="1:20" ht="13.5" customHeight="1" x14ac:dyDescent="0.25">
      <c r="A972" s="1"/>
      <c r="B972" s="1"/>
      <c r="C972" s="1"/>
      <c r="D972" s="1"/>
      <c r="E972" s="1"/>
      <c r="F972" s="5"/>
      <c r="G972" s="5"/>
      <c r="H972" s="1"/>
      <c r="I972" s="1"/>
      <c r="J972" s="1"/>
      <c r="K972" s="1"/>
      <c r="L972" s="5"/>
      <c r="M972" s="5"/>
      <c r="N972" s="1"/>
      <c r="O972" s="5"/>
      <c r="P972" s="5"/>
      <c r="Q972" s="1"/>
      <c r="R972" s="156"/>
      <c r="S972" s="156"/>
      <c r="T972" s="157"/>
    </row>
    <row r="973" spans="1:20" ht="13.5" customHeight="1" x14ac:dyDescent="0.25">
      <c r="A973" s="1"/>
      <c r="B973" s="1"/>
      <c r="C973" s="1"/>
      <c r="D973" s="1"/>
      <c r="E973" s="1"/>
      <c r="F973" s="5"/>
      <c r="G973" s="5"/>
      <c r="H973" s="1"/>
      <c r="I973" s="1"/>
      <c r="J973" s="1"/>
      <c r="K973" s="1"/>
      <c r="L973" s="5"/>
      <c r="M973" s="5"/>
      <c r="N973" s="1"/>
      <c r="O973" s="5"/>
      <c r="P973" s="5"/>
      <c r="Q973" s="1"/>
      <c r="R973" s="156"/>
      <c r="S973" s="156"/>
      <c r="T973" s="157"/>
    </row>
    <row r="974" spans="1:20" ht="13.5" customHeight="1" x14ac:dyDescent="0.25">
      <c r="A974" s="1"/>
      <c r="B974" s="1"/>
      <c r="C974" s="1"/>
      <c r="D974" s="1"/>
      <c r="E974" s="1"/>
      <c r="F974" s="5"/>
      <c r="G974" s="5"/>
      <c r="H974" s="1"/>
      <c r="I974" s="1"/>
      <c r="J974" s="1"/>
      <c r="K974" s="1"/>
      <c r="L974" s="5"/>
      <c r="M974" s="5"/>
      <c r="N974" s="1"/>
      <c r="O974" s="5"/>
      <c r="P974" s="5"/>
      <c r="Q974" s="1"/>
      <c r="R974" s="156"/>
      <c r="S974" s="156"/>
      <c r="T974" s="157"/>
    </row>
    <row r="975" spans="1:20" ht="13.5" customHeight="1" x14ac:dyDescent="0.25">
      <c r="A975" s="1"/>
      <c r="B975" s="1"/>
      <c r="C975" s="1"/>
      <c r="D975" s="1"/>
      <c r="E975" s="1"/>
      <c r="F975" s="5"/>
      <c r="G975" s="5"/>
      <c r="H975" s="1"/>
      <c r="I975" s="1"/>
      <c r="J975" s="1"/>
      <c r="K975" s="1"/>
      <c r="L975" s="5"/>
      <c r="M975" s="5"/>
      <c r="N975" s="1"/>
      <c r="O975" s="5"/>
      <c r="P975" s="5"/>
      <c r="Q975" s="1"/>
      <c r="R975" s="156"/>
      <c r="S975" s="156"/>
      <c r="T975" s="157"/>
    </row>
    <row r="976" spans="1:20" ht="13.5" customHeight="1" x14ac:dyDescent="0.25">
      <c r="A976" s="1"/>
      <c r="B976" s="1"/>
      <c r="C976" s="1"/>
      <c r="D976" s="1"/>
      <c r="E976" s="1"/>
      <c r="F976" s="5"/>
      <c r="G976" s="5"/>
      <c r="H976" s="1"/>
      <c r="I976" s="1"/>
      <c r="J976" s="1"/>
      <c r="K976" s="1"/>
      <c r="L976" s="5"/>
      <c r="M976" s="5"/>
      <c r="N976" s="1"/>
      <c r="O976" s="5"/>
      <c r="P976" s="5"/>
      <c r="Q976" s="1"/>
      <c r="R976" s="156"/>
      <c r="S976" s="156"/>
      <c r="T976" s="157"/>
    </row>
    <row r="977" spans="1:20" ht="13.5" customHeight="1" x14ac:dyDescent="0.25">
      <c r="A977" s="1"/>
      <c r="B977" s="1"/>
      <c r="C977" s="1"/>
      <c r="D977" s="1"/>
      <c r="E977" s="1"/>
      <c r="F977" s="5"/>
      <c r="G977" s="5"/>
      <c r="H977" s="1"/>
      <c r="I977" s="1"/>
      <c r="J977" s="1"/>
      <c r="K977" s="1"/>
      <c r="L977" s="5"/>
      <c r="M977" s="5"/>
      <c r="N977" s="1"/>
      <c r="O977" s="5"/>
      <c r="P977" s="5"/>
      <c r="Q977" s="1"/>
      <c r="R977" s="156"/>
      <c r="S977" s="156"/>
      <c r="T977" s="157"/>
    </row>
    <row r="978" spans="1:20" ht="13.5" customHeight="1" x14ac:dyDescent="0.25">
      <c r="A978" s="1"/>
      <c r="B978" s="1"/>
      <c r="C978" s="1"/>
      <c r="D978" s="1"/>
      <c r="E978" s="1"/>
      <c r="F978" s="5"/>
      <c r="G978" s="5"/>
      <c r="H978" s="1"/>
      <c r="I978" s="1"/>
      <c r="J978" s="1"/>
      <c r="K978" s="1"/>
      <c r="L978" s="5"/>
      <c r="M978" s="5"/>
      <c r="N978" s="1"/>
      <c r="O978" s="5"/>
      <c r="P978" s="5"/>
      <c r="Q978" s="1"/>
      <c r="R978" s="156"/>
      <c r="S978" s="156"/>
      <c r="T978" s="157"/>
    </row>
    <row r="979" spans="1:20" ht="13.5" customHeight="1" x14ac:dyDescent="0.25">
      <c r="A979" s="1"/>
      <c r="B979" s="1"/>
      <c r="C979" s="1"/>
      <c r="D979" s="1"/>
      <c r="E979" s="1"/>
      <c r="F979" s="5"/>
      <c r="G979" s="5"/>
      <c r="H979" s="1"/>
      <c r="I979" s="1"/>
      <c r="J979" s="1"/>
      <c r="K979" s="1"/>
      <c r="L979" s="5"/>
      <c r="M979" s="5"/>
      <c r="N979" s="1"/>
      <c r="O979" s="5"/>
      <c r="P979" s="5"/>
      <c r="Q979" s="1"/>
      <c r="R979" s="156"/>
      <c r="S979" s="156"/>
      <c r="T979" s="157"/>
    </row>
    <row r="980" spans="1:20" ht="13.5" customHeight="1" x14ac:dyDescent="0.25">
      <c r="A980" s="1"/>
      <c r="B980" s="1"/>
      <c r="C980" s="1"/>
      <c r="D980" s="1"/>
      <c r="E980" s="1"/>
      <c r="F980" s="5"/>
      <c r="G980" s="5"/>
      <c r="H980" s="1"/>
      <c r="I980" s="1"/>
      <c r="J980" s="1"/>
      <c r="K980" s="1"/>
      <c r="L980" s="5"/>
      <c r="M980" s="5"/>
      <c r="N980" s="1"/>
      <c r="O980" s="5"/>
      <c r="P980" s="5"/>
      <c r="Q980" s="1"/>
      <c r="R980" s="156"/>
      <c r="S980" s="156"/>
      <c r="T980" s="157"/>
    </row>
    <row r="981" spans="1:20" ht="13.5" customHeight="1" x14ac:dyDescent="0.25">
      <c r="A981" s="1"/>
      <c r="B981" s="1"/>
      <c r="C981" s="1"/>
      <c r="D981" s="1"/>
      <c r="E981" s="1"/>
      <c r="F981" s="5"/>
      <c r="G981" s="5"/>
      <c r="H981" s="1"/>
      <c r="I981" s="1"/>
      <c r="J981" s="1"/>
      <c r="K981" s="1"/>
      <c r="L981" s="5"/>
      <c r="M981" s="5"/>
      <c r="N981" s="1"/>
      <c r="O981" s="5"/>
      <c r="P981" s="5"/>
      <c r="Q981" s="1"/>
      <c r="R981" s="156"/>
      <c r="S981" s="156"/>
      <c r="T981" s="157"/>
    </row>
    <row r="982" spans="1:20" ht="13.5" customHeight="1" x14ac:dyDescent="0.25">
      <c r="A982" s="1"/>
      <c r="B982" s="1"/>
      <c r="C982" s="1"/>
      <c r="D982" s="1"/>
      <c r="E982" s="1"/>
      <c r="F982" s="5"/>
      <c r="G982" s="5"/>
      <c r="H982" s="1"/>
      <c r="I982" s="1"/>
      <c r="J982" s="1"/>
      <c r="K982" s="1"/>
      <c r="L982" s="5"/>
      <c r="M982" s="5"/>
      <c r="N982" s="1"/>
      <c r="O982" s="5"/>
      <c r="P982" s="5"/>
      <c r="Q982" s="1"/>
      <c r="R982" s="156"/>
      <c r="S982" s="156"/>
      <c r="T982" s="157"/>
    </row>
    <row r="983" spans="1:20" ht="13.5" customHeight="1" x14ac:dyDescent="0.25">
      <c r="A983" s="1"/>
      <c r="B983" s="1"/>
      <c r="C983" s="1"/>
      <c r="D983" s="1"/>
      <c r="E983" s="1"/>
      <c r="F983" s="5"/>
      <c r="G983" s="5"/>
      <c r="H983" s="1"/>
      <c r="I983" s="1"/>
      <c r="J983" s="1"/>
      <c r="K983" s="1"/>
      <c r="L983" s="5"/>
      <c r="M983" s="5"/>
      <c r="N983" s="1"/>
      <c r="O983" s="5"/>
      <c r="P983" s="5"/>
      <c r="Q983" s="1"/>
      <c r="R983" s="156"/>
      <c r="S983" s="156"/>
      <c r="T983" s="157"/>
    </row>
    <row r="984" spans="1:20" ht="13.5" customHeight="1" x14ac:dyDescent="0.25">
      <c r="A984" s="1"/>
      <c r="B984" s="1"/>
      <c r="C984" s="1"/>
      <c r="D984" s="1"/>
      <c r="E984" s="1"/>
      <c r="F984" s="5"/>
      <c r="G984" s="5"/>
      <c r="H984" s="1"/>
      <c r="I984" s="1"/>
      <c r="J984" s="1"/>
      <c r="K984" s="1"/>
      <c r="L984" s="5"/>
      <c r="M984" s="5"/>
      <c r="N984" s="1"/>
      <c r="O984" s="5"/>
      <c r="P984" s="5"/>
      <c r="Q984" s="1"/>
      <c r="R984" s="156"/>
      <c r="S984" s="156"/>
      <c r="T984" s="157"/>
    </row>
    <row r="985" spans="1:20" ht="13.5" customHeight="1" x14ac:dyDescent="0.25">
      <c r="A985" s="1"/>
      <c r="B985" s="1"/>
      <c r="C985" s="1"/>
      <c r="D985" s="1"/>
      <c r="E985" s="1"/>
      <c r="F985" s="5"/>
      <c r="G985" s="5"/>
      <c r="H985" s="1"/>
      <c r="I985" s="1"/>
      <c r="J985" s="1"/>
      <c r="K985" s="1"/>
      <c r="L985" s="5"/>
      <c r="M985" s="5"/>
      <c r="N985" s="1"/>
      <c r="O985" s="5"/>
      <c r="P985" s="5"/>
      <c r="Q985" s="1"/>
      <c r="R985" s="156"/>
      <c r="S985" s="156"/>
      <c r="T985" s="157"/>
    </row>
    <row r="986" spans="1:20" ht="13.5" customHeight="1" x14ac:dyDescent="0.25">
      <c r="A986" s="1"/>
      <c r="B986" s="1"/>
      <c r="C986" s="1"/>
      <c r="D986" s="1"/>
      <c r="E986" s="1"/>
      <c r="F986" s="5"/>
      <c r="G986" s="5"/>
      <c r="H986" s="1"/>
      <c r="I986" s="1"/>
      <c r="J986" s="1"/>
      <c r="K986" s="1"/>
      <c r="L986" s="5"/>
      <c r="M986" s="5"/>
      <c r="N986" s="1"/>
      <c r="O986" s="5"/>
      <c r="P986" s="5"/>
      <c r="Q986" s="1"/>
      <c r="R986" s="156"/>
      <c r="S986" s="156"/>
      <c r="T986" s="157"/>
    </row>
    <row r="987" spans="1:20" ht="13.5" customHeight="1" x14ac:dyDescent="0.25">
      <c r="A987" s="1"/>
      <c r="B987" s="1"/>
      <c r="C987" s="1"/>
      <c r="D987" s="1"/>
      <c r="E987" s="1"/>
      <c r="F987" s="5"/>
      <c r="G987" s="5"/>
      <c r="H987" s="1"/>
      <c r="I987" s="1"/>
      <c r="J987" s="1"/>
      <c r="K987" s="1"/>
      <c r="L987" s="5"/>
      <c r="M987" s="5"/>
      <c r="N987" s="1"/>
      <c r="O987" s="5"/>
      <c r="P987" s="5"/>
      <c r="Q987" s="1"/>
      <c r="R987" s="156"/>
      <c r="S987" s="156"/>
      <c r="T987" s="157"/>
    </row>
    <row r="988" spans="1:20" ht="13.5" customHeight="1" x14ac:dyDescent="0.25">
      <c r="A988" s="1"/>
      <c r="B988" s="1"/>
      <c r="C988" s="1"/>
      <c r="D988" s="1"/>
      <c r="E988" s="1"/>
      <c r="F988" s="5"/>
      <c r="G988" s="5"/>
      <c r="H988" s="1"/>
      <c r="I988" s="1"/>
      <c r="J988" s="1"/>
      <c r="K988" s="1"/>
      <c r="L988" s="5"/>
      <c r="M988" s="5"/>
      <c r="N988" s="1"/>
      <c r="O988" s="5"/>
      <c r="P988" s="5"/>
      <c r="Q988" s="1"/>
      <c r="R988" s="156"/>
      <c r="S988" s="156"/>
      <c r="T988" s="157"/>
    </row>
    <row r="989" spans="1:20" ht="13.5" customHeight="1" x14ac:dyDescent="0.25">
      <c r="A989" s="1"/>
      <c r="B989" s="1"/>
      <c r="C989" s="1"/>
      <c r="D989" s="1"/>
      <c r="E989" s="1"/>
      <c r="F989" s="5"/>
      <c r="G989" s="5"/>
      <c r="H989" s="1"/>
      <c r="I989" s="1"/>
      <c r="J989" s="1"/>
      <c r="K989" s="1"/>
      <c r="L989" s="5"/>
      <c r="M989" s="5"/>
      <c r="N989" s="1"/>
      <c r="O989" s="5"/>
      <c r="P989" s="5"/>
      <c r="Q989" s="1"/>
      <c r="R989" s="156"/>
      <c r="S989" s="156"/>
      <c r="T989" s="157"/>
    </row>
    <row r="990" spans="1:20" ht="13.5" customHeight="1" x14ac:dyDescent="0.25">
      <c r="A990" s="1"/>
      <c r="B990" s="1"/>
      <c r="C990" s="1"/>
      <c r="D990" s="1"/>
      <c r="E990" s="1"/>
      <c r="F990" s="5"/>
      <c r="G990" s="5"/>
      <c r="H990" s="1"/>
      <c r="I990" s="1"/>
      <c r="J990" s="1"/>
      <c r="K990" s="1"/>
      <c r="L990" s="5"/>
      <c r="M990" s="5"/>
      <c r="N990" s="1"/>
      <c r="O990" s="5"/>
      <c r="P990" s="5"/>
      <c r="Q990" s="1"/>
      <c r="R990" s="156"/>
      <c r="S990" s="156"/>
      <c r="T990" s="157"/>
    </row>
    <row r="991" spans="1:20" ht="13.5" customHeight="1" x14ac:dyDescent="0.25">
      <c r="A991" s="1"/>
      <c r="B991" s="1"/>
      <c r="C991" s="1"/>
      <c r="D991" s="1"/>
      <c r="E991" s="1"/>
      <c r="F991" s="5"/>
      <c r="G991" s="5"/>
      <c r="H991" s="1"/>
      <c r="I991" s="1"/>
      <c r="J991" s="1"/>
      <c r="K991" s="1"/>
      <c r="L991" s="5"/>
      <c r="M991" s="5"/>
      <c r="N991" s="1"/>
      <c r="O991" s="5"/>
      <c r="P991" s="5"/>
      <c r="Q991" s="1"/>
      <c r="R991" s="156"/>
      <c r="S991" s="156"/>
      <c r="T991" s="157"/>
    </row>
    <row r="992" spans="1:20" ht="13.5" customHeight="1" x14ac:dyDescent="0.25">
      <c r="A992" s="1"/>
      <c r="B992" s="1"/>
      <c r="C992" s="1"/>
      <c r="D992" s="1"/>
      <c r="E992" s="1"/>
      <c r="F992" s="5"/>
      <c r="G992" s="5"/>
      <c r="H992" s="1"/>
      <c r="I992" s="1"/>
      <c r="J992" s="1"/>
      <c r="K992" s="1"/>
      <c r="L992" s="5"/>
      <c r="M992" s="5"/>
      <c r="N992" s="1"/>
      <c r="O992" s="5"/>
      <c r="P992" s="5"/>
      <c r="Q992" s="1"/>
      <c r="R992" s="156"/>
      <c r="S992" s="156"/>
      <c r="T992" s="157"/>
    </row>
    <row r="993" spans="1:20" ht="13.5" customHeight="1" x14ac:dyDescent="0.25">
      <c r="A993" s="1"/>
      <c r="B993" s="1"/>
      <c r="C993" s="1"/>
      <c r="D993" s="1"/>
      <c r="E993" s="1"/>
      <c r="F993" s="5"/>
      <c r="G993" s="5"/>
      <c r="H993" s="1"/>
      <c r="I993" s="1"/>
      <c r="J993" s="1"/>
      <c r="K993" s="1"/>
      <c r="L993" s="5"/>
      <c r="M993" s="5"/>
      <c r="N993" s="1"/>
      <c r="O993" s="5"/>
      <c r="P993" s="5"/>
      <c r="Q993" s="1"/>
      <c r="R993" s="156"/>
      <c r="S993" s="156"/>
      <c r="T993" s="157"/>
    </row>
    <row r="994" spans="1:20" ht="13.5" customHeight="1" x14ac:dyDescent="0.25">
      <c r="A994" s="1"/>
      <c r="B994" s="1"/>
      <c r="C994" s="1"/>
      <c r="D994" s="1"/>
      <c r="E994" s="1"/>
      <c r="F994" s="5"/>
      <c r="G994" s="5"/>
      <c r="H994" s="1"/>
      <c r="I994" s="1"/>
      <c r="J994" s="1"/>
      <c r="K994" s="1"/>
      <c r="L994" s="5"/>
      <c r="M994" s="5"/>
      <c r="N994" s="1"/>
      <c r="O994" s="5"/>
      <c r="P994" s="5"/>
      <c r="Q994" s="1"/>
      <c r="R994" s="156"/>
      <c r="S994" s="156"/>
      <c r="T994" s="157"/>
    </row>
    <row r="995" spans="1:20" ht="13.5" customHeight="1" x14ac:dyDescent="0.25">
      <c r="A995" s="1"/>
      <c r="B995" s="1"/>
      <c r="C995" s="1"/>
      <c r="D995" s="1"/>
      <c r="E995" s="1"/>
      <c r="F995" s="5"/>
      <c r="G995" s="5"/>
      <c r="H995" s="1"/>
      <c r="I995" s="1"/>
      <c r="J995" s="1"/>
      <c r="K995" s="1"/>
      <c r="L995" s="5"/>
      <c r="M995" s="5"/>
      <c r="N995" s="1"/>
      <c r="O995" s="5"/>
      <c r="P995" s="5"/>
      <c r="Q995" s="1"/>
      <c r="R995" s="156"/>
      <c r="S995" s="156"/>
      <c r="T995" s="157"/>
    </row>
    <row r="996" spans="1:20" ht="13.5" customHeight="1" x14ac:dyDescent="0.25">
      <c r="A996" s="1"/>
      <c r="B996" s="1"/>
      <c r="C996" s="1"/>
      <c r="D996" s="1"/>
      <c r="E996" s="1"/>
      <c r="F996" s="5"/>
      <c r="G996" s="5"/>
      <c r="H996" s="1"/>
      <c r="I996" s="1"/>
      <c r="J996" s="1"/>
      <c r="K996" s="1"/>
      <c r="L996" s="5"/>
      <c r="M996" s="5"/>
      <c r="N996" s="1"/>
      <c r="O996" s="5"/>
      <c r="P996" s="5"/>
      <c r="Q996" s="1"/>
      <c r="R996" s="156"/>
      <c r="S996" s="156"/>
      <c r="T996" s="157"/>
    </row>
    <row r="997" spans="1:20" ht="13.5" customHeight="1" x14ac:dyDescent="0.25">
      <c r="A997" s="1"/>
      <c r="B997" s="1"/>
      <c r="C997" s="1"/>
      <c r="D997" s="1"/>
      <c r="E997" s="1"/>
      <c r="F997" s="5"/>
      <c r="G997" s="5"/>
      <c r="H997" s="1"/>
      <c r="I997" s="1"/>
      <c r="J997" s="1"/>
      <c r="K997" s="1"/>
      <c r="L997" s="5"/>
      <c r="M997" s="5"/>
      <c r="N997" s="1"/>
      <c r="O997" s="5"/>
      <c r="P997" s="5"/>
      <c r="Q997" s="1"/>
      <c r="R997" s="156"/>
      <c r="S997" s="156"/>
      <c r="T997" s="157"/>
    </row>
    <row r="998" spans="1:20" ht="13.5" customHeight="1" x14ac:dyDescent="0.25">
      <c r="A998" s="1"/>
      <c r="B998" s="1"/>
      <c r="C998" s="1"/>
      <c r="D998" s="1"/>
      <c r="E998" s="1"/>
      <c r="F998" s="5"/>
      <c r="G998" s="5"/>
      <c r="H998" s="1"/>
      <c r="I998" s="1"/>
      <c r="J998" s="1"/>
      <c r="K998" s="1"/>
      <c r="L998" s="5"/>
      <c r="M998" s="5"/>
      <c r="N998" s="1"/>
      <c r="O998" s="5"/>
      <c r="P998" s="5"/>
      <c r="Q998" s="1"/>
      <c r="R998" s="156"/>
      <c r="S998" s="156"/>
      <c r="T998" s="157"/>
    </row>
    <row r="999" spans="1:20" ht="13.5" customHeight="1" x14ac:dyDescent="0.25">
      <c r="A999" s="1"/>
      <c r="B999" s="1"/>
      <c r="C999" s="1"/>
      <c r="D999" s="1"/>
      <c r="E999" s="1"/>
      <c r="F999" s="5"/>
      <c r="G999" s="5"/>
      <c r="H999" s="1"/>
      <c r="I999" s="1"/>
      <c r="J999" s="1"/>
      <c r="K999" s="1"/>
      <c r="L999" s="5"/>
      <c r="M999" s="5"/>
      <c r="N999" s="1"/>
      <c r="O999" s="5"/>
      <c r="P999" s="5"/>
      <c r="Q999" s="1"/>
      <c r="R999" s="156"/>
      <c r="S999" s="156"/>
      <c r="T999" s="157"/>
    </row>
    <row r="1000" spans="1:20" ht="13.5" customHeight="1" x14ac:dyDescent="0.25">
      <c r="A1000" s="1"/>
      <c r="B1000" s="1"/>
      <c r="C1000" s="1"/>
      <c r="D1000" s="1"/>
      <c r="E1000" s="1"/>
      <c r="F1000" s="5"/>
      <c r="G1000" s="5"/>
      <c r="H1000" s="1"/>
      <c r="I1000" s="1"/>
      <c r="J1000" s="1"/>
      <c r="K1000" s="1"/>
      <c r="L1000" s="5"/>
      <c r="M1000" s="5"/>
      <c r="N1000" s="1"/>
      <c r="O1000" s="5"/>
      <c r="P1000" s="5"/>
      <c r="Q1000" s="1"/>
      <c r="R1000" s="156"/>
      <c r="S1000" s="156"/>
      <c r="T1000" s="157"/>
    </row>
    <row r="1001" spans="1:20" ht="13.5" customHeight="1" x14ac:dyDescent="0.25">
      <c r="A1001" s="1"/>
      <c r="B1001" s="1"/>
      <c r="C1001" s="1"/>
      <c r="D1001" s="1"/>
      <c r="E1001" s="1"/>
      <c r="F1001" s="5"/>
      <c r="G1001" s="5"/>
      <c r="H1001" s="1"/>
      <c r="I1001" s="1"/>
      <c r="J1001" s="1"/>
      <c r="K1001" s="1"/>
      <c r="L1001" s="5"/>
      <c r="M1001" s="5"/>
      <c r="N1001" s="1"/>
      <c r="O1001" s="5"/>
      <c r="P1001" s="5"/>
      <c r="Q1001" s="1"/>
      <c r="R1001" s="156"/>
      <c r="S1001" s="156"/>
      <c r="T1001" s="157"/>
    </row>
    <row r="1002" spans="1:20" ht="13.5" customHeight="1" x14ac:dyDescent="0.25">
      <c r="A1002" s="1"/>
      <c r="B1002" s="1"/>
      <c r="C1002" s="1"/>
      <c r="D1002" s="1"/>
      <c r="E1002" s="1"/>
      <c r="F1002" s="5"/>
      <c r="G1002" s="5"/>
      <c r="H1002" s="1"/>
      <c r="I1002" s="1"/>
      <c r="J1002" s="1"/>
      <c r="K1002" s="1"/>
      <c r="L1002" s="5"/>
      <c r="M1002" s="5"/>
      <c r="N1002" s="1"/>
      <c r="O1002" s="5"/>
      <c r="P1002" s="5"/>
      <c r="Q1002" s="1"/>
      <c r="R1002" s="156"/>
      <c r="S1002" s="156"/>
      <c r="T1002" s="157"/>
    </row>
    <row r="1003" spans="1:20" ht="13.5" customHeight="1" x14ac:dyDescent="0.25">
      <c r="A1003" s="1"/>
      <c r="B1003" s="1"/>
      <c r="C1003" s="1"/>
      <c r="D1003" s="1"/>
      <c r="E1003" s="1"/>
      <c r="F1003" s="5"/>
      <c r="G1003" s="5"/>
      <c r="H1003" s="1"/>
      <c r="I1003" s="1"/>
      <c r="J1003" s="1"/>
      <c r="K1003" s="1"/>
      <c r="L1003" s="5"/>
      <c r="M1003" s="5"/>
      <c r="N1003" s="1"/>
      <c r="O1003" s="5"/>
      <c r="P1003" s="5"/>
      <c r="Q1003" s="1"/>
      <c r="R1003" s="156"/>
      <c r="S1003" s="156"/>
      <c r="T1003" s="157"/>
    </row>
    <row r="1004" spans="1:20" ht="13.5" customHeight="1" x14ac:dyDescent="0.25">
      <c r="A1004" s="1"/>
      <c r="B1004" s="1"/>
      <c r="C1004" s="1"/>
      <c r="D1004" s="1"/>
      <c r="E1004" s="1"/>
      <c r="F1004" s="5"/>
      <c r="G1004" s="5"/>
      <c r="H1004" s="1"/>
      <c r="I1004" s="1"/>
      <c r="J1004" s="1"/>
      <c r="K1004" s="1"/>
      <c r="L1004" s="5"/>
      <c r="M1004" s="5"/>
      <c r="N1004" s="1"/>
      <c r="O1004" s="5"/>
      <c r="P1004" s="5"/>
      <c r="Q1004" s="1"/>
      <c r="R1004" s="156"/>
      <c r="S1004" s="156"/>
      <c r="T1004" s="157"/>
    </row>
    <row r="1005" spans="1:20" ht="13.5" customHeight="1" x14ac:dyDescent="0.25">
      <c r="A1005" s="1"/>
      <c r="B1005" s="1"/>
      <c r="C1005" s="1"/>
      <c r="D1005" s="1"/>
      <c r="E1005" s="1"/>
      <c r="F1005" s="5"/>
      <c r="G1005" s="5"/>
      <c r="H1005" s="1"/>
      <c r="I1005" s="1"/>
      <c r="J1005" s="1"/>
      <c r="K1005" s="1"/>
      <c r="L1005" s="5"/>
      <c r="M1005" s="5"/>
      <c r="N1005" s="1"/>
      <c r="O1005" s="5"/>
      <c r="P1005" s="5"/>
      <c r="Q1005" s="1"/>
      <c r="R1005" s="156"/>
      <c r="S1005" s="156"/>
      <c r="T1005" s="157"/>
    </row>
    <row r="1006" spans="1:20" ht="13.5" customHeight="1" x14ac:dyDescent="0.25">
      <c r="A1006" s="1"/>
      <c r="B1006" s="1"/>
      <c r="C1006" s="1"/>
      <c r="D1006" s="1"/>
      <c r="E1006" s="1"/>
      <c r="F1006" s="5"/>
      <c r="G1006" s="5"/>
      <c r="H1006" s="1"/>
      <c r="I1006" s="1"/>
      <c r="J1006" s="1"/>
      <c r="K1006" s="1"/>
      <c r="L1006" s="5"/>
      <c r="M1006" s="5"/>
      <c r="N1006" s="1"/>
      <c r="O1006" s="5"/>
      <c r="P1006" s="5"/>
      <c r="Q1006" s="1"/>
      <c r="R1006" s="156"/>
      <c r="S1006" s="156"/>
      <c r="T1006" s="157"/>
    </row>
    <row r="1007" spans="1:20" ht="13.5" customHeight="1" x14ac:dyDescent="0.25">
      <c r="A1007" s="1"/>
      <c r="B1007" s="1"/>
      <c r="C1007" s="1"/>
      <c r="D1007" s="1"/>
      <c r="E1007" s="1"/>
      <c r="F1007" s="5"/>
      <c r="G1007" s="5"/>
      <c r="H1007" s="1"/>
      <c r="I1007" s="1"/>
      <c r="J1007" s="1"/>
      <c r="K1007" s="1"/>
      <c r="L1007" s="5"/>
      <c r="M1007" s="5"/>
      <c r="N1007" s="1"/>
      <c r="O1007" s="5"/>
      <c r="P1007" s="5"/>
      <c r="Q1007" s="1"/>
      <c r="R1007" s="156"/>
      <c r="S1007" s="156"/>
      <c r="T1007" s="157"/>
    </row>
    <row r="1008" spans="1:20" ht="13.5" customHeight="1" x14ac:dyDescent="0.25">
      <c r="A1008" s="1"/>
      <c r="B1008" s="1"/>
      <c r="C1008" s="1"/>
      <c r="D1008" s="1"/>
      <c r="E1008" s="1"/>
      <c r="F1008" s="5"/>
      <c r="G1008" s="5"/>
      <c r="H1008" s="1"/>
      <c r="I1008" s="1"/>
      <c r="J1008" s="1"/>
      <c r="K1008" s="1"/>
      <c r="L1008" s="5"/>
      <c r="M1008" s="5"/>
      <c r="N1008" s="1"/>
      <c r="O1008" s="5"/>
      <c r="P1008" s="5"/>
      <c r="Q1008" s="1"/>
      <c r="R1008" s="156"/>
      <c r="S1008" s="156"/>
      <c r="T1008" s="157"/>
    </row>
    <row r="1009" spans="1:20" ht="13.5" customHeight="1" x14ac:dyDescent="0.25">
      <c r="A1009" s="1"/>
      <c r="B1009" s="1"/>
      <c r="C1009" s="1"/>
      <c r="D1009" s="1"/>
      <c r="E1009" s="1"/>
      <c r="F1009" s="5"/>
      <c r="G1009" s="5"/>
      <c r="H1009" s="1"/>
      <c r="I1009" s="1"/>
      <c r="J1009" s="1"/>
      <c r="K1009" s="1"/>
      <c r="L1009" s="5"/>
      <c r="M1009" s="5"/>
      <c r="N1009" s="1"/>
      <c r="O1009" s="5"/>
      <c r="P1009" s="5"/>
      <c r="Q1009" s="1"/>
      <c r="R1009" s="156"/>
      <c r="S1009" s="156"/>
      <c r="T1009" s="157"/>
    </row>
    <row r="1010" spans="1:20" ht="13.5" customHeight="1" x14ac:dyDescent="0.25">
      <c r="A1010" s="1"/>
      <c r="B1010" s="1"/>
      <c r="C1010" s="1"/>
      <c r="D1010" s="1"/>
      <c r="E1010" s="1"/>
      <c r="F1010" s="5"/>
      <c r="G1010" s="5"/>
      <c r="H1010" s="1"/>
      <c r="I1010" s="1"/>
      <c r="J1010" s="1"/>
      <c r="K1010" s="1"/>
      <c r="L1010" s="5"/>
      <c r="M1010" s="5"/>
      <c r="N1010" s="1"/>
      <c r="O1010" s="5"/>
      <c r="P1010" s="5"/>
      <c r="Q1010" s="1"/>
      <c r="R1010" s="156"/>
      <c r="S1010" s="156"/>
      <c r="T1010" s="157"/>
    </row>
    <row r="1011" spans="1:20" ht="13.5" customHeight="1" x14ac:dyDescent="0.25">
      <c r="A1011" s="1"/>
      <c r="B1011" s="1"/>
      <c r="C1011" s="1"/>
      <c r="D1011" s="1"/>
      <c r="E1011" s="1"/>
      <c r="F1011" s="5"/>
      <c r="G1011" s="5"/>
      <c r="H1011" s="1"/>
      <c r="I1011" s="1"/>
      <c r="J1011" s="1"/>
      <c r="K1011" s="1"/>
      <c r="L1011" s="5"/>
      <c r="M1011" s="5"/>
      <c r="N1011" s="1"/>
      <c r="O1011" s="5"/>
      <c r="P1011" s="5"/>
      <c r="Q1011" s="1"/>
      <c r="R1011" s="156"/>
      <c r="S1011" s="156"/>
      <c r="T1011" s="157"/>
    </row>
    <row r="1012" spans="1:20" ht="13.5" customHeight="1" x14ac:dyDescent="0.25">
      <c r="A1012" s="1"/>
      <c r="B1012" s="1"/>
      <c r="C1012" s="1"/>
      <c r="D1012" s="1"/>
      <c r="E1012" s="1"/>
      <c r="F1012" s="5"/>
      <c r="G1012" s="5"/>
      <c r="H1012" s="1"/>
      <c r="I1012" s="1"/>
      <c r="J1012" s="1"/>
      <c r="K1012" s="1"/>
      <c r="L1012" s="5"/>
      <c r="M1012" s="5"/>
      <c r="N1012" s="1"/>
      <c r="O1012" s="5"/>
      <c r="P1012" s="5"/>
      <c r="Q1012" s="1"/>
      <c r="R1012" s="156"/>
      <c r="S1012" s="156"/>
      <c r="T1012" s="157"/>
    </row>
    <row r="1013" spans="1:20" ht="13.5" customHeight="1" x14ac:dyDescent="0.25">
      <c r="A1013" s="1"/>
      <c r="B1013" s="1"/>
      <c r="C1013" s="1"/>
      <c r="D1013" s="1"/>
      <c r="E1013" s="1"/>
      <c r="F1013" s="5"/>
      <c r="G1013" s="5"/>
      <c r="H1013" s="1"/>
      <c r="I1013" s="1"/>
      <c r="J1013" s="1"/>
      <c r="K1013" s="1"/>
      <c r="L1013" s="5"/>
      <c r="M1013" s="5"/>
      <c r="N1013" s="1"/>
      <c r="O1013" s="5"/>
      <c r="P1013" s="5"/>
      <c r="Q1013" s="1"/>
      <c r="R1013" s="156"/>
      <c r="S1013" s="156"/>
      <c r="T1013" s="157"/>
    </row>
    <row r="1014" spans="1:20" ht="13.5" customHeight="1" x14ac:dyDescent="0.25">
      <c r="A1014" s="1"/>
      <c r="B1014" s="1"/>
      <c r="C1014" s="1"/>
      <c r="D1014" s="1"/>
      <c r="E1014" s="1"/>
      <c r="F1014" s="5"/>
      <c r="G1014" s="5"/>
      <c r="H1014" s="1"/>
      <c r="I1014" s="1"/>
      <c r="J1014" s="1"/>
      <c r="K1014" s="1"/>
      <c r="L1014" s="5"/>
      <c r="M1014" s="5"/>
      <c r="N1014" s="1"/>
      <c r="O1014" s="5"/>
      <c r="P1014" s="5"/>
      <c r="Q1014" s="1"/>
      <c r="R1014" s="156"/>
      <c r="S1014" s="156"/>
      <c r="T1014" s="157"/>
    </row>
    <row r="1015" spans="1:20" ht="13.5" customHeight="1" x14ac:dyDescent="0.25">
      <c r="A1015" s="1"/>
      <c r="B1015" s="1"/>
      <c r="C1015" s="1"/>
      <c r="D1015" s="1"/>
      <c r="E1015" s="1"/>
      <c r="F1015" s="5"/>
      <c r="G1015" s="5"/>
      <c r="H1015" s="1"/>
      <c r="I1015" s="1"/>
      <c r="J1015" s="1"/>
      <c r="K1015" s="1"/>
      <c r="L1015" s="5"/>
      <c r="M1015" s="5"/>
      <c r="N1015" s="1"/>
      <c r="O1015" s="5"/>
      <c r="P1015" s="5"/>
      <c r="Q1015" s="1"/>
      <c r="R1015" s="156"/>
      <c r="S1015" s="156"/>
      <c r="T1015" s="157"/>
    </row>
    <row r="1016" spans="1:20" ht="13.5" customHeight="1" x14ac:dyDescent="0.25">
      <c r="A1016" s="1"/>
      <c r="B1016" s="1"/>
      <c r="C1016" s="1"/>
      <c r="D1016" s="1"/>
      <c r="E1016" s="1"/>
      <c r="F1016" s="5"/>
      <c r="G1016" s="5"/>
      <c r="H1016" s="1"/>
      <c r="I1016" s="1"/>
      <c r="J1016" s="1"/>
      <c r="K1016" s="1"/>
      <c r="L1016" s="5"/>
      <c r="M1016" s="5"/>
      <c r="N1016" s="1"/>
      <c r="O1016" s="5"/>
      <c r="P1016" s="5"/>
      <c r="Q1016" s="1"/>
      <c r="R1016" s="156"/>
      <c r="S1016" s="156"/>
      <c r="T1016" s="157"/>
    </row>
    <row r="1017" spans="1:20" ht="13.5" customHeight="1" x14ac:dyDescent="0.25">
      <c r="A1017" s="1"/>
      <c r="B1017" s="1"/>
      <c r="C1017" s="1"/>
      <c r="D1017" s="1"/>
      <c r="E1017" s="1"/>
      <c r="F1017" s="5"/>
      <c r="G1017" s="5"/>
      <c r="H1017" s="1"/>
      <c r="I1017" s="1"/>
      <c r="J1017" s="1"/>
      <c r="K1017" s="1"/>
      <c r="L1017" s="5"/>
      <c r="M1017" s="5"/>
      <c r="N1017" s="1"/>
      <c r="O1017" s="5"/>
      <c r="P1017" s="5"/>
      <c r="Q1017" s="1"/>
      <c r="R1017" s="156"/>
      <c r="S1017" s="156"/>
      <c r="T1017" s="157"/>
    </row>
    <row r="1018" spans="1:20" ht="13.5" customHeight="1" x14ac:dyDescent="0.25">
      <c r="A1018" s="1"/>
      <c r="B1018" s="1"/>
      <c r="C1018" s="1"/>
      <c r="D1018" s="1"/>
      <c r="E1018" s="1"/>
      <c r="F1018" s="5"/>
      <c r="G1018" s="5"/>
      <c r="H1018" s="1"/>
      <c r="I1018" s="1"/>
      <c r="J1018" s="1"/>
      <c r="K1018" s="1"/>
      <c r="L1018" s="5"/>
      <c r="M1018" s="5"/>
      <c r="N1018" s="1"/>
      <c r="O1018" s="5"/>
      <c r="P1018" s="5"/>
      <c r="Q1018" s="1"/>
      <c r="R1018" s="156"/>
      <c r="S1018" s="156"/>
      <c r="T1018" s="157"/>
    </row>
    <row r="1019" spans="1:20" ht="13.5" customHeight="1" x14ac:dyDescent="0.25">
      <c r="A1019" s="1"/>
      <c r="B1019" s="1"/>
      <c r="C1019" s="1"/>
      <c r="D1019" s="1"/>
      <c r="E1019" s="1"/>
      <c r="F1019" s="5"/>
      <c r="G1019" s="5"/>
      <c r="H1019" s="1"/>
      <c r="I1019" s="1"/>
      <c r="J1019" s="1"/>
      <c r="K1019" s="1"/>
      <c r="L1019" s="5"/>
      <c r="M1019" s="5"/>
      <c r="N1019" s="1"/>
      <c r="O1019" s="5"/>
      <c r="P1019" s="5"/>
      <c r="Q1019" s="1"/>
      <c r="R1019" s="156"/>
      <c r="S1019" s="156"/>
      <c r="T1019" s="157"/>
    </row>
    <row r="1020" spans="1:20" ht="13.5" customHeight="1" x14ac:dyDescent="0.25">
      <c r="A1020" s="1"/>
      <c r="B1020" s="1"/>
      <c r="C1020" s="1"/>
      <c r="D1020" s="1"/>
      <c r="E1020" s="1"/>
      <c r="F1020" s="5"/>
      <c r="G1020" s="5"/>
      <c r="H1020" s="1"/>
      <c r="I1020" s="1"/>
      <c r="J1020" s="1"/>
      <c r="K1020" s="1"/>
      <c r="L1020" s="5"/>
      <c r="M1020" s="5"/>
      <c r="N1020" s="1"/>
      <c r="O1020" s="5"/>
      <c r="P1020" s="5"/>
      <c r="Q1020" s="1"/>
      <c r="R1020" s="156"/>
      <c r="S1020" s="156"/>
      <c r="T1020" s="157"/>
    </row>
    <row r="1021" spans="1:20" ht="13.5" customHeight="1" x14ac:dyDescent="0.25">
      <c r="A1021" s="1"/>
      <c r="B1021" s="1"/>
      <c r="C1021" s="1"/>
      <c r="D1021" s="1"/>
      <c r="E1021" s="1"/>
      <c r="F1021" s="5"/>
      <c r="G1021" s="5"/>
      <c r="H1021" s="1"/>
      <c r="I1021" s="1"/>
      <c r="J1021" s="1"/>
      <c r="K1021" s="1"/>
      <c r="L1021" s="5"/>
      <c r="M1021" s="5"/>
      <c r="N1021" s="1"/>
      <c r="O1021" s="5"/>
      <c r="P1021" s="5"/>
      <c r="Q1021" s="1"/>
      <c r="R1021" s="156"/>
      <c r="S1021" s="156"/>
      <c r="T1021" s="157"/>
    </row>
    <row r="1022" spans="1:20" ht="13.5" customHeight="1" x14ac:dyDescent="0.25">
      <c r="A1022" s="1"/>
      <c r="B1022" s="1"/>
      <c r="C1022" s="1"/>
      <c r="D1022" s="1"/>
      <c r="E1022" s="1"/>
      <c r="F1022" s="5"/>
      <c r="G1022" s="5"/>
      <c r="H1022" s="1"/>
      <c r="I1022" s="1"/>
      <c r="J1022" s="1"/>
      <c r="K1022" s="1"/>
      <c r="L1022" s="5"/>
      <c r="M1022" s="5"/>
      <c r="N1022" s="1"/>
      <c r="O1022" s="5"/>
      <c r="P1022" s="5"/>
      <c r="Q1022" s="1"/>
      <c r="R1022" s="156"/>
      <c r="S1022" s="156"/>
      <c r="T1022" s="157"/>
    </row>
    <row r="1023" spans="1:20" ht="13.5" customHeight="1" x14ac:dyDescent="0.25">
      <c r="A1023" s="1"/>
      <c r="B1023" s="1"/>
      <c r="C1023" s="1"/>
      <c r="D1023" s="1"/>
      <c r="E1023" s="1"/>
      <c r="F1023" s="5"/>
      <c r="G1023" s="5"/>
      <c r="H1023" s="1"/>
      <c r="I1023" s="1"/>
      <c r="J1023" s="1"/>
      <c r="K1023" s="1"/>
      <c r="L1023" s="5"/>
      <c r="M1023" s="5"/>
      <c r="N1023" s="1"/>
      <c r="O1023" s="5"/>
      <c r="P1023" s="5"/>
      <c r="Q1023" s="1"/>
      <c r="R1023" s="156"/>
      <c r="S1023" s="156"/>
      <c r="T1023" s="157"/>
    </row>
    <row r="1024" spans="1:20" ht="13.5" customHeight="1" x14ac:dyDescent="0.25">
      <c r="A1024" s="1"/>
      <c r="B1024" s="1"/>
      <c r="C1024" s="1"/>
      <c r="D1024" s="1"/>
      <c r="E1024" s="1"/>
      <c r="F1024" s="5"/>
      <c r="G1024" s="5"/>
      <c r="H1024" s="1"/>
      <c r="I1024" s="1"/>
      <c r="J1024" s="1"/>
      <c r="K1024" s="1"/>
      <c r="L1024" s="5"/>
      <c r="M1024" s="5"/>
      <c r="N1024" s="1"/>
      <c r="O1024" s="5"/>
      <c r="P1024" s="5"/>
      <c r="Q1024" s="1"/>
      <c r="R1024" s="156"/>
      <c r="S1024" s="156"/>
      <c r="T1024" s="157"/>
    </row>
    <row r="1025" spans="1:20" ht="13.5" customHeight="1" x14ac:dyDescent="0.25">
      <c r="A1025" s="1"/>
      <c r="B1025" s="1"/>
      <c r="C1025" s="1"/>
      <c r="D1025" s="1"/>
      <c r="E1025" s="1"/>
      <c r="F1025" s="5"/>
      <c r="G1025" s="5"/>
      <c r="H1025" s="1"/>
      <c r="I1025" s="1"/>
      <c r="J1025" s="1"/>
      <c r="K1025" s="1"/>
      <c r="L1025" s="5"/>
      <c r="M1025" s="5"/>
      <c r="N1025" s="1"/>
      <c r="O1025" s="5"/>
      <c r="P1025" s="5"/>
      <c r="Q1025" s="1"/>
      <c r="R1025" s="156"/>
      <c r="S1025" s="156"/>
      <c r="T1025" s="157"/>
    </row>
    <row r="1026" spans="1:20" ht="13.5" customHeight="1" x14ac:dyDescent="0.25">
      <c r="A1026" s="1"/>
      <c r="B1026" s="1"/>
      <c r="C1026" s="1"/>
      <c r="D1026" s="1"/>
      <c r="E1026" s="1"/>
      <c r="F1026" s="5"/>
      <c r="G1026" s="5"/>
      <c r="H1026" s="1"/>
      <c r="I1026" s="1"/>
      <c r="J1026" s="1"/>
      <c r="K1026" s="1"/>
      <c r="L1026" s="5"/>
      <c r="M1026" s="5"/>
      <c r="N1026" s="1"/>
      <c r="O1026" s="5"/>
      <c r="P1026" s="5"/>
      <c r="Q1026" s="1"/>
      <c r="R1026" s="156"/>
      <c r="S1026" s="156"/>
      <c r="T1026" s="157"/>
    </row>
    <row r="1027" spans="1:20" ht="13.5" customHeight="1" x14ac:dyDescent="0.25">
      <c r="A1027" s="1"/>
      <c r="B1027" s="1"/>
      <c r="C1027" s="1"/>
      <c r="D1027" s="1"/>
      <c r="E1027" s="1"/>
      <c r="F1027" s="5"/>
      <c r="G1027" s="5"/>
      <c r="H1027" s="1"/>
      <c r="I1027" s="1"/>
      <c r="J1027" s="1"/>
      <c r="K1027" s="1"/>
      <c r="L1027" s="5"/>
      <c r="M1027" s="5"/>
      <c r="N1027" s="1"/>
      <c r="O1027" s="5"/>
      <c r="P1027" s="5"/>
      <c r="Q1027" s="1"/>
      <c r="R1027" s="156"/>
      <c r="S1027" s="156"/>
      <c r="T1027" s="157"/>
    </row>
    <row r="1028" spans="1:20" ht="13.5" customHeight="1" x14ac:dyDescent="0.25">
      <c r="A1028" s="1"/>
      <c r="B1028" s="1"/>
      <c r="C1028" s="1"/>
      <c r="D1028" s="1"/>
      <c r="E1028" s="1"/>
      <c r="F1028" s="5"/>
      <c r="G1028" s="5"/>
      <c r="H1028" s="1"/>
      <c r="I1028" s="1"/>
      <c r="J1028" s="1"/>
      <c r="K1028" s="1"/>
      <c r="L1028" s="5"/>
      <c r="M1028" s="5"/>
      <c r="N1028" s="1"/>
      <c r="O1028" s="5"/>
      <c r="P1028" s="5"/>
      <c r="Q1028" s="1"/>
      <c r="R1028" s="156"/>
      <c r="S1028" s="156"/>
      <c r="T1028" s="157"/>
    </row>
    <row r="1029" spans="1:20" ht="13.5" customHeight="1" x14ac:dyDescent="0.25">
      <c r="A1029" s="1"/>
      <c r="B1029" s="1"/>
      <c r="C1029" s="1"/>
      <c r="D1029" s="1"/>
      <c r="E1029" s="1"/>
      <c r="F1029" s="5"/>
      <c r="G1029" s="5"/>
      <c r="H1029" s="1"/>
      <c r="I1029" s="1"/>
      <c r="J1029" s="1"/>
      <c r="K1029" s="1"/>
      <c r="L1029" s="5"/>
      <c r="M1029" s="5"/>
      <c r="N1029" s="1"/>
      <c r="O1029" s="5"/>
      <c r="P1029" s="5"/>
      <c r="Q1029" s="1"/>
      <c r="R1029" s="156"/>
      <c r="S1029" s="156"/>
      <c r="T1029" s="157"/>
    </row>
    <row r="1030" spans="1:20" ht="13.5" customHeight="1" x14ac:dyDescent="0.25">
      <c r="A1030" s="1"/>
      <c r="B1030" s="1"/>
      <c r="C1030" s="1"/>
      <c r="D1030" s="1"/>
      <c r="E1030" s="1"/>
      <c r="F1030" s="5"/>
      <c r="G1030" s="5"/>
      <c r="H1030" s="1"/>
      <c r="I1030" s="1"/>
      <c r="J1030" s="1"/>
      <c r="K1030" s="1"/>
      <c r="L1030" s="5"/>
      <c r="M1030" s="5"/>
      <c r="N1030" s="1"/>
      <c r="O1030" s="5"/>
      <c r="P1030" s="5"/>
      <c r="Q1030" s="1"/>
      <c r="R1030" s="156"/>
      <c r="S1030" s="156"/>
      <c r="T1030" s="157"/>
    </row>
    <row r="1031" spans="1:20" ht="13.5" customHeight="1" x14ac:dyDescent="0.25">
      <c r="A1031" s="1"/>
      <c r="B1031" s="1"/>
      <c r="C1031" s="1"/>
      <c r="D1031" s="1"/>
      <c r="E1031" s="1"/>
      <c r="F1031" s="5"/>
      <c r="G1031" s="5"/>
      <c r="H1031" s="1"/>
      <c r="I1031" s="1"/>
      <c r="J1031" s="1"/>
      <c r="K1031" s="1"/>
      <c r="L1031" s="5"/>
      <c r="M1031" s="5"/>
      <c r="N1031" s="1"/>
      <c r="O1031" s="5"/>
      <c r="P1031" s="5"/>
      <c r="Q1031" s="1"/>
      <c r="R1031" s="156"/>
      <c r="S1031" s="156"/>
      <c r="T1031" s="157"/>
    </row>
    <row r="1032" spans="1:20" ht="13.5" customHeight="1" x14ac:dyDescent="0.25">
      <c r="A1032" s="1"/>
      <c r="B1032" s="1"/>
      <c r="C1032" s="1"/>
      <c r="D1032" s="1"/>
      <c r="E1032" s="1"/>
      <c r="F1032" s="5"/>
      <c r="G1032" s="5"/>
      <c r="H1032" s="1"/>
      <c r="I1032" s="1"/>
      <c r="J1032" s="1"/>
      <c r="K1032" s="1"/>
      <c r="L1032" s="5"/>
      <c r="M1032" s="5"/>
      <c r="N1032" s="1"/>
      <c r="O1032" s="5"/>
      <c r="P1032" s="5"/>
      <c r="Q1032" s="1"/>
      <c r="R1032" s="156"/>
      <c r="S1032" s="156"/>
      <c r="T1032" s="157"/>
    </row>
    <row r="1033" spans="1:20" ht="13.5" customHeight="1" x14ac:dyDescent="0.25">
      <c r="A1033" s="1"/>
      <c r="B1033" s="1"/>
      <c r="C1033" s="1"/>
      <c r="D1033" s="1"/>
      <c r="E1033" s="1"/>
      <c r="F1033" s="5"/>
      <c r="G1033" s="5"/>
      <c r="H1033" s="1"/>
      <c r="I1033" s="1"/>
      <c r="J1033" s="1"/>
      <c r="K1033" s="1"/>
      <c r="L1033" s="5"/>
      <c r="M1033" s="5"/>
      <c r="N1033" s="1"/>
      <c r="O1033" s="5"/>
      <c r="P1033" s="5"/>
      <c r="Q1033" s="1"/>
      <c r="R1033" s="156"/>
      <c r="S1033" s="156"/>
      <c r="T1033" s="157"/>
    </row>
    <row r="1034" spans="1:20" ht="13.5" customHeight="1" x14ac:dyDescent="0.25">
      <c r="A1034" s="1"/>
      <c r="B1034" s="1"/>
      <c r="C1034" s="1"/>
      <c r="D1034" s="1"/>
      <c r="E1034" s="1"/>
      <c r="F1034" s="5"/>
      <c r="G1034" s="5"/>
      <c r="H1034" s="1"/>
      <c r="I1034" s="1"/>
      <c r="J1034" s="1"/>
      <c r="K1034" s="1"/>
      <c r="L1034" s="5"/>
      <c r="M1034" s="5"/>
      <c r="N1034" s="1"/>
      <c r="O1034" s="5"/>
      <c r="P1034" s="5"/>
      <c r="Q1034" s="1"/>
      <c r="R1034" s="156"/>
      <c r="S1034" s="156"/>
      <c r="T1034" s="157"/>
    </row>
    <row r="1035" spans="1:20" ht="13.5" customHeight="1" x14ac:dyDescent="0.25">
      <c r="A1035" s="1"/>
      <c r="B1035" s="1"/>
      <c r="C1035" s="1"/>
      <c r="D1035" s="1"/>
      <c r="E1035" s="1"/>
      <c r="F1035" s="5"/>
      <c r="G1035" s="5"/>
      <c r="H1035" s="1"/>
      <c r="I1035" s="1"/>
      <c r="J1035" s="1"/>
      <c r="K1035" s="1"/>
      <c r="L1035" s="5"/>
      <c r="M1035" s="5"/>
      <c r="N1035" s="1"/>
      <c r="O1035" s="5"/>
      <c r="P1035" s="5"/>
      <c r="Q1035" s="1"/>
      <c r="R1035" s="156"/>
      <c r="S1035" s="156"/>
      <c r="T1035" s="157"/>
    </row>
    <row r="1036" spans="1:20" ht="15" customHeight="1" x14ac:dyDescent="0.25">
      <c r="B1036" s="1"/>
      <c r="C1036" s="1"/>
      <c r="D1036" s="1"/>
      <c r="E1036" s="1"/>
      <c r="F1036" s="5"/>
      <c r="G1036" s="5"/>
      <c r="H1036" s="1"/>
      <c r="I1036" s="1"/>
      <c r="J1036" s="1"/>
      <c r="K1036" s="1"/>
      <c r="L1036" s="5"/>
      <c r="M1036" s="5"/>
      <c r="N1036" s="1"/>
      <c r="O1036" s="5"/>
    </row>
    <row r="1037" spans="1:20" ht="15" customHeight="1" x14ac:dyDescent="0.25">
      <c r="B1037" s="1"/>
      <c r="C1037" s="1"/>
      <c r="D1037" s="1"/>
      <c r="E1037" s="1"/>
      <c r="F1037" s="5"/>
    </row>
  </sheetData>
  <sheetProtection algorithmName="SHA-512" hashValue="vzosG1vdPbZtVo9a4HiEyGiME3BqRfUxFENyU1Hc6nB8HQLMx9qvyUKPIf0zi4yXu4Q9e9Cp8nhH5Hbc2h5Ucw==" saltValue="UujBQsKpQUjhOwuxqi1krw==" spinCount="100000" sheet="1" objects="1" scenarios="1"/>
  <mergeCells count="9">
    <mergeCell ref="B90:E90"/>
    <mergeCell ref="B100:D100"/>
    <mergeCell ref="B101:D101"/>
    <mergeCell ref="C3:D3"/>
    <mergeCell ref="N20:O20"/>
    <mergeCell ref="L20:M20"/>
    <mergeCell ref="J20:K20"/>
    <mergeCell ref="H20:I20"/>
    <mergeCell ref="B80:E80"/>
  </mergeCells>
  <conditionalFormatting sqref="C51:C73">
    <cfRule type="cellIs" dxfId="73" priority="1" stopIfTrue="1" operator="equal">
      <formula>0</formula>
    </cfRule>
  </conditionalFormatting>
  <conditionalFormatting sqref="C22:D44">
    <cfRule type="cellIs" dxfId="72" priority="3" stopIfTrue="1" operator="equal">
      <formula>0</formula>
    </cfRule>
  </conditionalFormatting>
  <conditionalFormatting sqref="D125:D132">
    <cfRule type="expression" dxfId="71" priority="18">
      <formula>ISERROR(D125)</formula>
    </cfRule>
  </conditionalFormatting>
  <conditionalFormatting sqref="D114:E116">
    <cfRule type="expression" dxfId="70" priority="2">
      <formula>ISERROR(D114)</formula>
    </cfRule>
  </conditionalFormatting>
  <conditionalFormatting sqref="F22:F44">
    <cfRule type="cellIs" dxfId="69" priority="4" stopIfTrue="1" operator="equal">
      <formula>0</formula>
    </cfRule>
  </conditionalFormatting>
  <conditionalFormatting sqref="F114:F117">
    <cfRule type="expression" dxfId="68" priority="16">
      <formula>ISERROR(F114)</formula>
    </cfRule>
  </conditionalFormatting>
  <conditionalFormatting sqref="H22:H44">
    <cfRule type="cellIs" dxfId="67" priority="6" stopIfTrue="1" operator="equal">
      <formula>0</formula>
    </cfRule>
  </conditionalFormatting>
  <conditionalFormatting sqref="J22:J44">
    <cfRule type="cellIs" dxfId="66" priority="7" stopIfTrue="1" operator="equal">
      <formula>0</formula>
    </cfRule>
  </conditionalFormatting>
  <conditionalFormatting sqref="L22:L44">
    <cfRule type="cellIs" dxfId="65" priority="11" stopIfTrue="1" operator="equal">
      <formula>0</formula>
    </cfRule>
  </conditionalFormatting>
  <pageMargins left="0.7" right="0.7" top="0.75" bottom="0.75" header="0" footer="0"/>
  <pageSetup paperSize="9" orientation="landscape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D12" sqref="D12"/>
    </sheetView>
  </sheetViews>
  <sheetFormatPr defaultRowHeight="15" x14ac:dyDescent="0.25"/>
  <cols>
    <col min="1" max="1" width="37" customWidth="1"/>
    <col min="2" max="2" width="12.5703125" customWidth="1"/>
    <col min="3" max="3" width="24.7109375" customWidth="1"/>
  </cols>
  <sheetData>
    <row r="1" spans="1:4" x14ac:dyDescent="0.25">
      <c r="A1" t="s">
        <v>169</v>
      </c>
      <c r="B1" t="s">
        <v>170</v>
      </c>
      <c r="C1" t="s">
        <v>171</v>
      </c>
      <c r="D1" s="93" t="s">
        <v>29</v>
      </c>
    </row>
    <row r="2" spans="1:4" x14ac:dyDescent="0.25">
      <c r="A2" t="s">
        <v>172</v>
      </c>
      <c r="B2" t="s">
        <v>138</v>
      </c>
      <c r="C2" t="s">
        <v>161</v>
      </c>
      <c r="D2" s="93" t="s">
        <v>173</v>
      </c>
    </row>
    <row r="3" spans="1:4" x14ac:dyDescent="0.25">
      <c r="A3" t="s">
        <v>139</v>
      </c>
      <c r="B3" t="s">
        <v>139</v>
      </c>
      <c r="C3" t="s">
        <v>162</v>
      </c>
      <c r="D3" s="93" t="s">
        <v>174</v>
      </c>
    </row>
    <row r="4" spans="1:4" x14ac:dyDescent="0.25">
      <c r="A4" s="93" t="s">
        <v>175</v>
      </c>
      <c r="B4" t="s">
        <v>140</v>
      </c>
      <c r="C4" t="s">
        <v>163</v>
      </c>
      <c r="D4" s="93" t="s">
        <v>176</v>
      </c>
    </row>
    <row r="5" spans="1:4" x14ac:dyDescent="0.25">
      <c r="A5" t="s">
        <v>177</v>
      </c>
      <c r="B5" t="s">
        <v>141</v>
      </c>
      <c r="C5" t="s">
        <v>16</v>
      </c>
      <c r="D5" s="93" t="s">
        <v>178</v>
      </c>
    </row>
    <row r="6" spans="1:4" x14ac:dyDescent="0.25">
      <c r="A6" t="s">
        <v>179</v>
      </c>
      <c r="C6" t="s">
        <v>164</v>
      </c>
      <c r="D6" s="93" t="s">
        <v>180</v>
      </c>
    </row>
    <row r="7" spans="1:4" x14ac:dyDescent="0.25">
      <c r="A7" t="s">
        <v>181</v>
      </c>
      <c r="C7" t="s">
        <v>165</v>
      </c>
    </row>
    <row r="8" spans="1:4" x14ac:dyDescent="0.25">
      <c r="A8" t="s">
        <v>182</v>
      </c>
      <c r="C8" t="s">
        <v>166</v>
      </c>
    </row>
    <row r="9" spans="1:4" x14ac:dyDescent="0.25">
      <c r="A9" t="s">
        <v>183</v>
      </c>
      <c r="C9" t="s">
        <v>167</v>
      </c>
    </row>
    <row r="10" spans="1:4" x14ac:dyDescent="0.25">
      <c r="A10" t="s">
        <v>184</v>
      </c>
    </row>
    <row r="11" spans="1:4" x14ac:dyDescent="0.25">
      <c r="A11" t="s">
        <v>185</v>
      </c>
    </row>
    <row r="12" spans="1:4" x14ac:dyDescent="0.25">
      <c r="A12" t="s">
        <v>186</v>
      </c>
    </row>
    <row r="13" spans="1:4" x14ac:dyDescent="0.25">
      <c r="A13" t="s">
        <v>167</v>
      </c>
    </row>
    <row r="14" spans="1:4" x14ac:dyDescent="0.25">
      <c r="A14" s="93" t="s">
        <v>187</v>
      </c>
    </row>
  </sheetData>
  <sheetProtection algorithmName="SHA-512" hashValue="GUVM/Ay9Pz8hh0AGgEF00g2otmGnJ+uGu3qU7ZQva3W1Ybcyj1609tWbIWQri0hq0dgsmAFfhcIlG0AACicxoQ==" saltValue="rhqIbrivrsUixhC0BYQ6J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PMR</vt:lpstr>
      <vt:lpstr>Tool 1-Processing</vt:lpstr>
      <vt:lpstr>Validation Menu</vt:lpstr>
      <vt:lpstr>Ao</vt:lpstr>
      <vt:lpstr>PMR!Print_Area</vt:lpstr>
      <vt:lpstr>PMR!Print_Titles</vt:lpstr>
      <vt:lpstr>TotalABC</vt:lpstr>
      <vt:lpstr>TotalContract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PGOBAC-817</cp:lastModifiedBy>
  <cp:revision/>
  <cp:lastPrinted>2024-07-10T02:39:35Z</cp:lastPrinted>
  <dcterms:created xsi:type="dcterms:W3CDTF">2020-02-21T06:15:22Z</dcterms:created>
  <dcterms:modified xsi:type="dcterms:W3CDTF">2024-07-10T02:40:04Z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0x01010011300B4FA7CEF44FAE44798F2B86F530</vt:lpwstr>
  </property>
  <property fmtid="{D5CDD505-2E9C-101B-9397-08002B2CF9AE}" pid="3" name="MediaServiceImageTags">
    <vt:lpwstr/>
  </property>
</Properties>
</file>